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matis\Desktop\Aalto S1\Advanced Energy Project\SMR-X-H2\"/>
    </mc:Choice>
  </mc:AlternateContent>
  <xr:revisionPtr revIDLastSave="0" documentId="8_{EFC6643E-1CC3-424A-9D59-ABAD2A5E25C6}" xr6:coauthVersionLast="47" xr6:coauthVersionMax="47" xr10:uidLastSave="{00000000-0000-0000-0000-000000000000}"/>
  <bookViews>
    <workbookView xWindow="-4515" yWindow="-10890" windowWidth="19380" windowHeight="10260" firstSheet="6" activeTab="10" xr2:uid="{00000000-000D-0000-FFFF-FFFF00000000}"/>
  </bookViews>
  <sheets>
    <sheet name="Analysis" sheetId="1" state="hidden" r:id="rId1"/>
    <sheet name="Excel Instruction" sheetId="12" r:id="rId2"/>
    <sheet name="Availability " sheetId="23" r:id="rId3"/>
    <sheet name="SMR (Main)" sheetId="7" r:id="rId4"/>
    <sheet name="Rentability" sheetId="19" r:id="rId5"/>
    <sheet name="Ecological Impact " sheetId="22" r:id="rId6"/>
    <sheet name="OPEX" sheetId="24" r:id="rId7"/>
    <sheet name="Production Efficiency" sheetId="17" r:id="rId8"/>
    <sheet name="Safety" sheetId="9" r:id="rId9"/>
    <sheet name="Footprint" sheetId="18" r:id="rId10"/>
    <sheet name="Scalability" sheetId="21" r:id="rId11"/>
    <sheet name="Technology Readiness" sheetId="8" r:id="rId12"/>
    <sheet name="Geopolitical Barriers" sheetId="20" r:id="rId13"/>
    <sheet name="Economic Lifetime" sheetId="15" r:id="rId14"/>
    <sheet name="ELECTROLYZER (Main)" sheetId="14" state="hidden" r:id="rId15"/>
    <sheet name="CAPEX" sheetId="10" r:id="rId16"/>
    <sheet name="Waste management and decomissio" sheetId="25" r:id="rId17"/>
    <sheet name="Electrolysis Technology" sheetId="2" state="hidden" r:id="rId18"/>
    <sheet name="Sources" sheetId="5" r:id="rId19"/>
    <sheet name="NRT (Old Not use)" sheetId="3" state="hidden" r:id="rId20"/>
    <sheet name="Excel Coupling Beta" sheetId="16" r:id="rId21"/>
  </sheets>
  <definedNames>
    <definedName name="_xlnm._FilterDatabase" localSheetId="5" hidden="1">'Ecological Impact '!$A$2:$I$2</definedName>
    <definedName name="_xlnm._FilterDatabase" localSheetId="7" hidden="1">'Production Efficiency'!$A$2:$L$2</definedName>
    <definedName name="_xlnm._FilterDatabase" localSheetId="3" hidden="1">'SMR (Main)'!$A$2:$AF$64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4" i="7" l="1"/>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3" i="7"/>
  <c r="T4" i="7"/>
  <c r="T5" i="7"/>
  <c r="T6" i="7"/>
  <c r="T7" i="7"/>
  <c r="T8" i="7"/>
  <c r="T9" i="7"/>
  <c r="T10" i="7"/>
  <c r="T11" i="7"/>
  <c r="T12" i="7"/>
  <c r="T13" i="7"/>
  <c r="T14" i="7"/>
  <c r="T15" i="7"/>
  <c r="T16" i="7"/>
  <c r="T17" i="7"/>
  <c r="T18" i="7"/>
  <c r="T19" i="7"/>
  <c r="T20" i="7"/>
  <c r="T21" i="7"/>
  <c r="T22" i="7"/>
  <c r="T23" i="7"/>
  <c r="T24" i="7"/>
  <c r="T25" i="7"/>
  <c r="T26" i="7"/>
  <c r="T27" i="7"/>
  <c r="T28" i="7"/>
  <c r="T29" i="7"/>
  <c r="T30" i="7"/>
  <c r="T31" i="7"/>
  <c r="T32" i="7"/>
  <c r="T33" i="7"/>
  <c r="T34" i="7"/>
  <c r="T35" i="7"/>
  <c r="T36" i="7"/>
  <c r="T37" i="7"/>
  <c r="T38" i="7"/>
  <c r="T39" i="7"/>
  <c r="T40" i="7"/>
  <c r="T41" i="7"/>
  <c r="T42" i="7"/>
  <c r="T43" i="7"/>
  <c r="T44" i="7"/>
  <c r="T45" i="7"/>
  <c r="T46" i="7"/>
  <c r="T47" i="7"/>
  <c r="T48" i="7"/>
  <c r="T49" i="7"/>
  <c r="T50" i="7"/>
  <c r="T51" i="7"/>
  <c r="T52" i="7"/>
  <c r="T53" i="7"/>
  <c r="T54" i="7"/>
  <c r="T55" i="7"/>
  <c r="T56" i="7"/>
  <c r="T57" i="7"/>
  <c r="T58" i="7"/>
  <c r="T59" i="7"/>
  <c r="T60" i="7"/>
  <c r="T61" i="7"/>
  <c r="T62" i="7"/>
  <c r="T63" i="7"/>
  <c r="T64" i="7"/>
  <c r="T65" i="7"/>
  <c r="T3" i="7"/>
  <c r="V4" i="7"/>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3" i="7"/>
  <c r="X3" i="7"/>
  <c r="Y4" i="7"/>
  <c r="Y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Z3" i="7"/>
  <c r="Z4" i="7"/>
  <c r="Z5" i="7"/>
  <c r="Z6" i="7"/>
  <c r="Z7" i="7"/>
  <c r="Z8" i="7"/>
  <c r="Z9" i="7"/>
  <c r="Z10" i="7"/>
  <c r="Z11" i="7"/>
  <c r="Z12" i="7"/>
  <c r="Z13" i="7"/>
  <c r="Z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4" i="7"/>
  <c r="Z65" i="7"/>
  <c r="Y3" i="7"/>
  <c r="AD3" i="7"/>
  <c r="AE4" i="7"/>
  <c r="AE5" i="7"/>
  <c r="AE6" i="7"/>
  <c r="AE7" i="7"/>
  <c r="AE8" i="7"/>
  <c r="AE9" i="7"/>
  <c r="AE10" i="7"/>
  <c r="AE11" i="7"/>
  <c r="AE12" i="7"/>
  <c r="AE13" i="7"/>
  <c r="AE14" i="7"/>
  <c r="AE15" i="7"/>
  <c r="AE16" i="7"/>
  <c r="AE17" i="7"/>
  <c r="AE18" i="7"/>
  <c r="AE19" i="7"/>
  <c r="AE20" i="7"/>
  <c r="AE21" i="7"/>
  <c r="AE22" i="7"/>
  <c r="AE23" i="7"/>
  <c r="AE24" i="7"/>
  <c r="AE25" i="7"/>
  <c r="AE26" i="7"/>
  <c r="AE27" i="7"/>
  <c r="AE28" i="7"/>
  <c r="AE29" i="7"/>
  <c r="AE30" i="7"/>
  <c r="AE31" i="7"/>
  <c r="AE32" i="7"/>
  <c r="AE33" i="7"/>
  <c r="AE34" i="7"/>
  <c r="AE35" i="7"/>
  <c r="AE36" i="7"/>
  <c r="AE37" i="7"/>
  <c r="AE38" i="7"/>
  <c r="AE39" i="7"/>
  <c r="AE40" i="7"/>
  <c r="AE41" i="7"/>
  <c r="AE42" i="7"/>
  <c r="AE43" i="7"/>
  <c r="AE44" i="7"/>
  <c r="AE45" i="7"/>
  <c r="AE46" i="7"/>
  <c r="AE47" i="7"/>
  <c r="AE48" i="7"/>
  <c r="AE49" i="7"/>
  <c r="AE50" i="7"/>
  <c r="AE51" i="7"/>
  <c r="AE52" i="7"/>
  <c r="AE53" i="7"/>
  <c r="AE54" i="7"/>
  <c r="AE55" i="7"/>
  <c r="AE56" i="7"/>
  <c r="AE57" i="7"/>
  <c r="AE58" i="7"/>
  <c r="AE59" i="7"/>
  <c r="AE60" i="7"/>
  <c r="AE61" i="7"/>
  <c r="AE62" i="7"/>
  <c r="AE63" i="7"/>
  <c r="AE64" i="7"/>
  <c r="AE65" i="7"/>
  <c r="AD4" i="7"/>
  <c r="AD5" i="7"/>
  <c r="AD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4" i="7"/>
  <c r="AD65" i="7"/>
  <c r="AE3" i="7"/>
  <c r="AA4" i="7" l="1"/>
  <c r="AA5" i="7"/>
  <c r="AA6" i="7"/>
  <c r="AA7" i="7"/>
  <c r="AA8" i="7"/>
  <c r="AA9" i="7"/>
  <c r="AA10" i="7"/>
  <c r="AA11" i="7"/>
  <c r="AA12" i="7"/>
  <c r="AA13" i="7"/>
  <c r="AA14"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4" i="7"/>
  <c r="AA65" i="7"/>
  <c r="AA3" i="7"/>
  <c r="B69" i="15"/>
  <c r="F66" i="15" s="1"/>
  <c r="B70" i="15"/>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3" i="7"/>
  <c r="R3"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4" i="7"/>
  <c r="R5" i="7"/>
  <c r="R6" i="7"/>
  <c r="R7" i="7"/>
  <c r="R8" i="7"/>
  <c r="M5" i="24"/>
  <c r="M6" i="24"/>
  <c r="M7" i="24"/>
  <c r="M8"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4" i="24"/>
  <c r="M3" i="24"/>
  <c r="I66" i="10"/>
  <c r="C10" i="20"/>
  <c r="P3" i="25"/>
  <c r="B52" i="20"/>
  <c r="A52" i="20"/>
  <c r="P65" i="25"/>
  <c r="M65" i="25"/>
  <c r="N65" i="25" s="1"/>
  <c r="Q65" i="25" s="1"/>
  <c r="P64" i="25"/>
  <c r="Q64" i="25" s="1"/>
  <c r="P63" i="25"/>
  <c r="Q63" i="25" s="1"/>
  <c r="P62" i="25"/>
  <c r="M62" i="25"/>
  <c r="N62" i="25" s="1"/>
  <c r="Q62" i="25" s="1"/>
  <c r="P61" i="25"/>
  <c r="M61" i="25"/>
  <c r="N61" i="25" s="1"/>
  <c r="Q61" i="25" s="1"/>
  <c r="P60" i="25"/>
  <c r="N60" i="25"/>
  <c r="Q60" i="25" s="1"/>
  <c r="P59" i="25"/>
  <c r="N59" i="25"/>
  <c r="Q59" i="25" s="1"/>
  <c r="P58" i="25"/>
  <c r="M58" i="25"/>
  <c r="N58" i="25" s="1"/>
  <c r="Q58" i="25" s="1"/>
  <c r="P57" i="25"/>
  <c r="M57" i="25"/>
  <c r="N57" i="25" s="1"/>
  <c r="Q57" i="25" s="1"/>
  <c r="P56" i="25"/>
  <c r="M56" i="25"/>
  <c r="N56" i="25" s="1"/>
  <c r="Q56" i="25" s="1"/>
  <c r="P55" i="25"/>
  <c r="M55" i="25"/>
  <c r="N55" i="25" s="1"/>
  <c r="Q55" i="25" s="1"/>
  <c r="P54" i="25"/>
  <c r="M54" i="25"/>
  <c r="N54" i="25" s="1"/>
  <c r="Q54" i="25" s="1"/>
  <c r="P53" i="25"/>
  <c r="M53" i="25"/>
  <c r="N53" i="25" s="1"/>
  <c r="Q53" i="25" s="1"/>
  <c r="P52" i="25"/>
  <c r="M52" i="25"/>
  <c r="N52" i="25" s="1"/>
  <c r="Q52" i="25" s="1"/>
  <c r="P51" i="25"/>
  <c r="M51" i="25"/>
  <c r="N51" i="25" s="1"/>
  <c r="Q51" i="25" s="1"/>
  <c r="P50" i="25"/>
  <c r="M50" i="25"/>
  <c r="N50" i="25" s="1"/>
  <c r="Q50" i="25" s="1"/>
  <c r="P49" i="25"/>
  <c r="M49" i="25"/>
  <c r="N49" i="25" s="1"/>
  <c r="Q49" i="25" s="1"/>
  <c r="P48" i="25"/>
  <c r="M48" i="25"/>
  <c r="N48" i="25" s="1"/>
  <c r="Q48" i="25" s="1"/>
  <c r="P47" i="25"/>
  <c r="M47" i="25"/>
  <c r="N47" i="25" s="1"/>
  <c r="Q47" i="25" s="1"/>
  <c r="P46" i="25"/>
  <c r="M46" i="25"/>
  <c r="N46" i="25" s="1"/>
  <c r="Q46" i="25" s="1"/>
  <c r="P45" i="25"/>
  <c r="M45" i="25"/>
  <c r="N45" i="25" s="1"/>
  <c r="Q45" i="25" s="1"/>
  <c r="P44" i="25"/>
  <c r="M44" i="25"/>
  <c r="N44" i="25" s="1"/>
  <c r="Q44" i="25" s="1"/>
  <c r="P43" i="25"/>
  <c r="M43" i="25"/>
  <c r="N43" i="25" s="1"/>
  <c r="Q43" i="25" s="1"/>
  <c r="P42" i="25"/>
  <c r="M42" i="25"/>
  <c r="N42" i="25" s="1"/>
  <c r="Q42" i="25" s="1"/>
  <c r="P41" i="25"/>
  <c r="Q41" i="25" s="1"/>
  <c r="P40" i="25"/>
  <c r="M40" i="25"/>
  <c r="N40" i="25" s="1"/>
  <c r="Q40" i="25" s="1"/>
  <c r="P39" i="25"/>
  <c r="Q39" i="25" s="1"/>
  <c r="P38" i="25"/>
  <c r="M38" i="25"/>
  <c r="N38" i="25" s="1"/>
  <c r="Q38" i="25" s="1"/>
  <c r="P37" i="25"/>
  <c r="M37" i="25"/>
  <c r="N37" i="25" s="1"/>
  <c r="Q37" i="25" s="1"/>
  <c r="P36" i="25"/>
  <c r="M36" i="25"/>
  <c r="N36" i="25" s="1"/>
  <c r="Q36" i="25" s="1"/>
  <c r="P35" i="25"/>
  <c r="M35" i="25"/>
  <c r="N35" i="25" s="1"/>
  <c r="Q35" i="25" s="1"/>
  <c r="P34" i="25"/>
  <c r="N34" i="25"/>
  <c r="Q34" i="25" s="1"/>
  <c r="P33" i="25"/>
  <c r="N33" i="25"/>
  <c r="Q33" i="25" s="1"/>
  <c r="M33" i="25"/>
  <c r="Q32" i="25"/>
  <c r="P32" i="25"/>
  <c r="N32" i="25"/>
  <c r="M32" i="25"/>
  <c r="P31" i="25"/>
  <c r="N31" i="25"/>
  <c r="Q31" i="25" s="1"/>
  <c r="M31" i="25"/>
  <c r="Q30" i="25"/>
  <c r="P30" i="25"/>
  <c r="Q29" i="25"/>
  <c r="P29" i="25"/>
  <c r="Q28" i="25"/>
  <c r="P28" i="25"/>
  <c r="N28" i="25"/>
  <c r="M28" i="25"/>
  <c r="P27" i="25"/>
  <c r="N27" i="25"/>
  <c r="Q27" i="25" s="1"/>
  <c r="M27" i="25"/>
  <c r="P26" i="25"/>
  <c r="N26" i="25"/>
  <c r="Q26" i="25" s="1"/>
  <c r="M26" i="25"/>
  <c r="Q25" i="25"/>
  <c r="P25" i="25"/>
  <c r="N25" i="25"/>
  <c r="M25" i="25"/>
  <c r="Q24" i="25"/>
  <c r="P24" i="25"/>
  <c r="P23" i="25"/>
  <c r="N23" i="25"/>
  <c r="Q23" i="25" s="1"/>
  <c r="M23" i="25"/>
  <c r="Q22" i="25"/>
  <c r="P22" i="25"/>
  <c r="Q21" i="25"/>
  <c r="P21" i="25"/>
  <c r="N21" i="25"/>
  <c r="M21" i="25"/>
  <c r="P20" i="25"/>
  <c r="N20" i="25"/>
  <c r="Q20" i="25" s="1"/>
  <c r="M20" i="25"/>
  <c r="P19" i="25"/>
  <c r="N19" i="25"/>
  <c r="Q19" i="25" s="1"/>
  <c r="M19" i="25"/>
  <c r="Q18" i="25"/>
  <c r="P18" i="25"/>
  <c r="N18" i="25"/>
  <c r="M18" i="25"/>
  <c r="P17" i="25"/>
  <c r="N17" i="25"/>
  <c r="Q17" i="25" s="1"/>
  <c r="M17" i="25"/>
  <c r="P16" i="25"/>
  <c r="N16" i="25"/>
  <c r="Q16" i="25" s="1"/>
  <c r="M16" i="25"/>
  <c r="Q15" i="25"/>
  <c r="P15" i="25"/>
  <c r="N15" i="25"/>
  <c r="M15" i="25"/>
  <c r="P14" i="25"/>
  <c r="N14" i="25"/>
  <c r="Q14" i="25" s="1"/>
  <c r="M14" i="25"/>
  <c r="P13" i="25"/>
  <c r="N13" i="25"/>
  <c r="Q13" i="25" s="1"/>
  <c r="M13" i="25"/>
  <c r="Q12" i="25"/>
  <c r="P12" i="25"/>
  <c r="N12" i="25"/>
  <c r="M12" i="25"/>
  <c r="P11" i="25"/>
  <c r="N11" i="25"/>
  <c r="Q11" i="25" s="1"/>
  <c r="M11" i="25"/>
  <c r="P10" i="25"/>
  <c r="N10" i="25"/>
  <c r="Q10" i="25" s="1"/>
  <c r="M10" i="25"/>
  <c r="Q9" i="25"/>
  <c r="P9" i="25"/>
  <c r="N9" i="25"/>
  <c r="M9" i="25"/>
  <c r="P8" i="25"/>
  <c r="M8" i="25"/>
  <c r="N8" i="25" s="1"/>
  <c r="Q8" i="25" s="1"/>
  <c r="P7" i="25"/>
  <c r="N7" i="25"/>
  <c r="Q7" i="25" s="1"/>
  <c r="M7" i="25"/>
  <c r="P6" i="25"/>
  <c r="M6" i="25"/>
  <c r="N6" i="25" s="1"/>
  <c r="Q6" i="25" s="1"/>
  <c r="P5" i="25"/>
  <c r="M5" i="25"/>
  <c r="N5" i="25" s="1"/>
  <c r="Q5" i="25" s="1"/>
  <c r="P4" i="25"/>
  <c r="N4" i="25"/>
  <c r="Q4" i="25" s="1"/>
  <c r="M4" i="25"/>
  <c r="M3" i="25"/>
  <c r="N3" i="25" s="1"/>
  <c r="N44" i="19"/>
  <c r="V6" i="19"/>
  <c r="N41" i="19" s="1"/>
  <c r="N4" i="19"/>
  <c r="N5" i="19"/>
  <c r="N6" i="19"/>
  <c r="O6" i="19" s="1"/>
  <c r="N8" i="19"/>
  <c r="N9" i="19"/>
  <c r="N10" i="19"/>
  <c r="O10" i="19" s="1"/>
  <c r="N11" i="19"/>
  <c r="O11" i="19" s="1"/>
  <c r="N12" i="19"/>
  <c r="N13" i="19"/>
  <c r="O13" i="19" s="1"/>
  <c r="N14" i="19"/>
  <c r="N15" i="19"/>
  <c r="O15" i="19" s="1"/>
  <c r="N16" i="19"/>
  <c r="N17" i="19"/>
  <c r="O17" i="19" s="1"/>
  <c r="N18" i="19"/>
  <c r="O18" i="19" s="1"/>
  <c r="N20" i="19"/>
  <c r="N21" i="19"/>
  <c r="N22" i="19"/>
  <c r="N23" i="19"/>
  <c r="N24" i="19"/>
  <c r="N25" i="19"/>
  <c r="N26" i="19"/>
  <c r="O27" i="19"/>
  <c r="N28" i="19"/>
  <c r="N29" i="19"/>
  <c r="N30" i="19"/>
  <c r="V7" i="19" s="1"/>
  <c r="N32" i="19"/>
  <c r="O32" i="19" s="1"/>
  <c r="N33" i="19"/>
  <c r="N34" i="19"/>
  <c r="O34" i="19" s="1"/>
  <c r="N35" i="19"/>
  <c r="O35" i="19" s="1"/>
  <c r="N36" i="19"/>
  <c r="N37" i="19"/>
  <c r="N38" i="19"/>
  <c r="N42" i="19"/>
  <c r="N43" i="19"/>
  <c r="N45" i="19"/>
  <c r="V8" i="19" s="1"/>
  <c r="N46" i="19"/>
  <c r="N47" i="19"/>
  <c r="N48" i="19"/>
  <c r="O48" i="19" s="1"/>
  <c r="N49" i="19"/>
  <c r="O49" i="19" s="1"/>
  <c r="N50" i="19"/>
  <c r="N51" i="19"/>
  <c r="N52" i="19"/>
  <c r="O52" i="19" s="1"/>
  <c r="N53" i="19"/>
  <c r="N54" i="19"/>
  <c r="O54" i="19" s="1"/>
  <c r="N55" i="19"/>
  <c r="O55" i="19" s="1"/>
  <c r="N56" i="19"/>
  <c r="O56" i="19" s="1"/>
  <c r="N57" i="19"/>
  <c r="O57" i="19" s="1"/>
  <c r="N59" i="19"/>
  <c r="O59" i="19" s="1"/>
  <c r="N60" i="19"/>
  <c r="O60" i="19" s="1"/>
  <c r="N61" i="19"/>
  <c r="N64" i="19"/>
  <c r="N65" i="19"/>
  <c r="N3" i="19"/>
  <c r="V5" i="19" s="1"/>
  <c r="O47" i="19"/>
  <c r="W18" i="19"/>
  <c r="L65" i="19"/>
  <c r="W17" i="19"/>
  <c r="L4" i="19"/>
  <c r="L5" i="19"/>
  <c r="L6" i="19"/>
  <c r="L7" i="19"/>
  <c r="L9" i="19"/>
  <c r="L10" i="19"/>
  <c r="L11" i="19"/>
  <c r="L12" i="19"/>
  <c r="L13" i="19"/>
  <c r="L14" i="19"/>
  <c r="L15" i="19"/>
  <c r="L18" i="19"/>
  <c r="L19" i="19"/>
  <c r="L20" i="19"/>
  <c r="L21" i="19"/>
  <c r="L22" i="19"/>
  <c r="L23" i="19"/>
  <c r="L26" i="19"/>
  <c r="L27" i="19"/>
  <c r="L28" i="19"/>
  <c r="L29" i="19"/>
  <c r="L30" i="19"/>
  <c r="L31"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61" i="19"/>
  <c r="L62" i="19"/>
  <c r="L63" i="19"/>
  <c r="L3" i="19"/>
  <c r="O8" i="19"/>
  <c r="O16" i="19"/>
  <c r="O24" i="19"/>
  <c r="O25" i="19"/>
  <c r="O45" i="19"/>
  <c r="O53" i="19"/>
  <c r="O61" i="19"/>
  <c r="O64" i="19"/>
  <c r="O65" i="19"/>
  <c r="O28" i="19"/>
  <c r="O4" i="19"/>
  <c r="O20" i="19"/>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3" i="19"/>
  <c r="H65" i="19"/>
  <c r="H64" i="19"/>
  <c r="H63" i="19"/>
  <c r="H62" i="19"/>
  <c r="H61" i="19"/>
  <c r="H60" i="19"/>
  <c r="H59" i="19"/>
  <c r="H58" i="19"/>
  <c r="H57" i="19"/>
  <c r="H56" i="19"/>
  <c r="H55" i="19"/>
  <c r="H54" i="19"/>
  <c r="H53" i="19"/>
  <c r="H52" i="19"/>
  <c r="H51" i="19"/>
  <c r="H50" i="19"/>
  <c r="H49" i="19"/>
  <c r="H48" i="19"/>
  <c r="H47" i="19"/>
  <c r="H46" i="19"/>
  <c r="H45" i="19"/>
  <c r="H44" i="19"/>
  <c r="H43" i="19"/>
  <c r="H42" i="19"/>
  <c r="H41" i="19"/>
  <c r="H40" i="19"/>
  <c r="H39" i="19"/>
  <c r="H38" i="19"/>
  <c r="H37" i="19"/>
  <c r="H36" i="19"/>
  <c r="H35" i="19"/>
  <c r="H34" i="19"/>
  <c r="H33" i="19"/>
  <c r="H32" i="19"/>
  <c r="H31" i="19"/>
  <c r="H30" i="19"/>
  <c r="H29" i="19"/>
  <c r="H28" i="19"/>
  <c r="H27" i="19"/>
  <c r="H26" i="19"/>
  <c r="H25" i="19"/>
  <c r="H24" i="19"/>
  <c r="H23" i="19"/>
  <c r="H22" i="19"/>
  <c r="H21" i="19"/>
  <c r="H20" i="19"/>
  <c r="H19" i="19"/>
  <c r="H18" i="19"/>
  <c r="H17" i="19"/>
  <c r="H16" i="19"/>
  <c r="H15" i="19"/>
  <c r="H14" i="19"/>
  <c r="H13" i="19"/>
  <c r="H12" i="19"/>
  <c r="H11" i="19"/>
  <c r="H10" i="19"/>
  <c r="H9" i="19"/>
  <c r="H8" i="19"/>
  <c r="H7" i="19"/>
  <c r="H6" i="19"/>
  <c r="H5" i="19"/>
  <c r="H4" i="19"/>
  <c r="H3" i="19"/>
  <c r="K65" i="23"/>
  <c r="I65" i="23"/>
  <c r="L65" i="23" s="1"/>
  <c r="M65" i="23" s="1"/>
  <c r="G65" i="23"/>
  <c r="K64" i="23"/>
  <c r="G64" i="23"/>
  <c r="E64" i="23"/>
  <c r="H64" i="23" s="1"/>
  <c r="I64" i="23" s="1"/>
  <c r="L64" i="23" s="1"/>
  <c r="M64" i="23" s="1"/>
  <c r="K63" i="23"/>
  <c r="H63" i="23"/>
  <c r="I63" i="23" s="1"/>
  <c r="L63" i="23" s="1"/>
  <c r="M63" i="23" s="1"/>
  <c r="G63" i="23"/>
  <c r="K62" i="23"/>
  <c r="I62" i="23"/>
  <c r="L62" i="23" s="1"/>
  <c r="M62" i="23" s="1"/>
  <c r="G62" i="23"/>
  <c r="I61" i="23"/>
  <c r="H61" i="23"/>
  <c r="G61" i="23"/>
  <c r="K61" i="23" s="1"/>
  <c r="I60" i="23"/>
  <c r="L60" i="23" s="1"/>
  <c r="M60" i="23" s="1"/>
  <c r="G60" i="23"/>
  <c r="K60" i="23" s="1"/>
  <c r="I59" i="23"/>
  <c r="G59" i="23"/>
  <c r="K59" i="23" s="1"/>
  <c r="L59" i="23" s="1"/>
  <c r="M59" i="23" s="1"/>
  <c r="I58" i="23"/>
  <c r="G58" i="23"/>
  <c r="K58" i="23" s="1"/>
  <c r="K57" i="23"/>
  <c r="I57" i="23"/>
  <c r="L57" i="23" s="1"/>
  <c r="M57" i="23" s="1"/>
  <c r="G57" i="23"/>
  <c r="H56" i="23"/>
  <c r="I56" i="23" s="1"/>
  <c r="G56" i="23"/>
  <c r="K56" i="23" s="1"/>
  <c r="I55" i="23"/>
  <c r="G55" i="23"/>
  <c r="K55" i="23" s="1"/>
  <c r="L55" i="23" s="1"/>
  <c r="M55" i="23" s="1"/>
  <c r="K54" i="23"/>
  <c r="I54" i="23"/>
  <c r="L54" i="23" s="1"/>
  <c r="M54" i="23" s="1"/>
  <c r="G54" i="23"/>
  <c r="I53" i="23"/>
  <c r="G53" i="23"/>
  <c r="K53" i="23" s="1"/>
  <c r="K52" i="23"/>
  <c r="H52" i="23"/>
  <c r="I52" i="23" s="1"/>
  <c r="L52" i="23" s="1"/>
  <c r="M52" i="23" s="1"/>
  <c r="G52" i="23"/>
  <c r="H51" i="23"/>
  <c r="I51" i="23" s="1"/>
  <c r="G51" i="23"/>
  <c r="K51" i="23" s="1"/>
  <c r="K50" i="23"/>
  <c r="H50" i="23"/>
  <c r="I50" i="23" s="1"/>
  <c r="L50" i="23" s="1"/>
  <c r="M50" i="23" s="1"/>
  <c r="G50" i="23"/>
  <c r="H49" i="23"/>
  <c r="I49" i="23" s="1"/>
  <c r="L49" i="23" s="1"/>
  <c r="M49" i="23" s="1"/>
  <c r="G49" i="23"/>
  <c r="K49" i="23" s="1"/>
  <c r="I48" i="23"/>
  <c r="G48" i="23"/>
  <c r="K48" i="23" s="1"/>
  <c r="L48" i="23" s="1"/>
  <c r="M48" i="23" s="1"/>
  <c r="I47" i="23"/>
  <c r="L47" i="23" s="1"/>
  <c r="M47" i="23" s="1"/>
  <c r="G47" i="23"/>
  <c r="K47" i="23" s="1"/>
  <c r="K46" i="23"/>
  <c r="I46" i="23"/>
  <c r="L46" i="23" s="1"/>
  <c r="M46" i="23" s="1"/>
  <c r="H46" i="23"/>
  <c r="G46" i="23"/>
  <c r="H45" i="23"/>
  <c r="I45" i="23" s="1"/>
  <c r="L45" i="23" s="1"/>
  <c r="M45" i="23" s="1"/>
  <c r="G45" i="23"/>
  <c r="K45" i="23" s="1"/>
  <c r="K44" i="23"/>
  <c r="I44" i="23"/>
  <c r="L44" i="23" s="1"/>
  <c r="M44" i="23" s="1"/>
  <c r="G44" i="23"/>
  <c r="I43" i="23"/>
  <c r="G43" i="23"/>
  <c r="K43" i="23" s="1"/>
  <c r="L43" i="23" s="1"/>
  <c r="M43" i="23" s="1"/>
  <c r="I42" i="23"/>
  <c r="L42" i="23" s="1"/>
  <c r="M42" i="23" s="1"/>
  <c r="H42" i="23"/>
  <c r="G42" i="23"/>
  <c r="K42" i="23" s="1"/>
  <c r="K41" i="23"/>
  <c r="I41" i="23"/>
  <c r="L41" i="23" s="1"/>
  <c r="M41" i="23" s="1"/>
  <c r="G41" i="23"/>
  <c r="K40" i="23"/>
  <c r="H40" i="23"/>
  <c r="I40" i="23" s="1"/>
  <c r="L40" i="23" s="1"/>
  <c r="M40" i="23" s="1"/>
  <c r="G40" i="23"/>
  <c r="I39" i="23"/>
  <c r="G39" i="23"/>
  <c r="K39" i="23" s="1"/>
  <c r="H38" i="23"/>
  <c r="I38" i="23" s="1"/>
  <c r="G38" i="23"/>
  <c r="K38" i="23" s="1"/>
  <c r="K37" i="23"/>
  <c r="H37" i="23"/>
  <c r="I37" i="23" s="1"/>
  <c r="L37" i="23" s="1"/>
  <c r="M37" i="23" s="1"/>
  <c r="G37" i="23"/>
  <c r="H36" i="23"/>
  <c r="I36" i="23" s="1"/>
  <c r="G36" i="23"/>
  <c r="K36" i="23" s="1"/>
  <c r="K35" i="23"/>
  <c r="H35" i="23"/>
  <c r="I35" i="23" s="1"/>
  <c r="L35" i="23" s="1"/>
  <c r="M35" i="23" s="1"/>
  <c r="G35" i="23"/>
  <c r="H34" i="23"/>
  <c r="I34" i="23" s="1"/>
  <c r="G34" i="23"/>
  <c r="K34" i="23" s="1"/>
  <c r="K33" i="23"/>
  <c r="H33" i="23"/>
  <c r="I33" i="23" s="1"/>
  <c r="L33" i="23" s="1"/>
  <c r="M33" i="23" s="1"/>
  <c r="G33" i="23"/>
  <c r="I32" i="23"/>
  <c r="L32" i="23" s="1"/>
  <c r="M32" i="23" s="1"/>
  <c r="G32" i="23"/>
  <c r="K32" i="23" s="1"/>
  <c r="K31" i="23"/>
  <c r="L31" i="23" s="1"/>
  <c r="M31" i="23" s="1"/>
  <c r="I31" i="23"/>
  <c r="H31" i="23"/>
  <c r="G31" i="23"/>
  <c r="H30" i="23"/>
  <c r="I30" i="23" s="1"/>
  <c r="G30" i="23"/>
  <c r="K30" i="23" s="1"/>
  <c r="K29" i="23"/>
  <c r="L29" i="23" s="1"/>
  <c r="M29" i="23" s="1"/>
  <c r="I29" i="23"/>
  <c r="G29" i="23"/>
  <c r="H28" i="23"/>
  <c r="I28" i="23" s="1"/>
  <c r="L28" i="23" s="1"/>
  <c r="M28" i="23" s="1"/>
  <c r="G28" i="23"/>
  <c r="K28" i="23" s="1"/>
  <c r="K27" i="23"/>
  <c r="I27" i="23"/>
  <c r="L27" i="23" s="1"/>
  <c r="M27" i="23" s="1"/>
  <c r="H27" i="23"/>
  <c r="G27" i="23"/>
  <c r="H26" i="23"/>
  <c r="I26" i="23" s="1"/>
  <c r="L26" i="23" s="1"/>
  <c r="M26" i="23" s="1"/>
  <c r="G26" i="23"/>
  <c r="K26" i="23" s="1"/>
  <c r="K25" i="23"/>
  <c r="I25" i="23"/>
  <c r="L25" i="23" s="1"/>
  <c r="M25" i="23" s="1"/>
  <c r="H25" i="23"/>
  <c r="G25" i="23"/>
  <c r="H24" i="23"/>
  <c r="I24" i="23" s="1"/>
  <c r="L24" i="23" s="1"/>
  <c r="M24" i="23" s="1"/>
  <c r="G24" i="23"/>
  <c r="K24" i="23" s="1"/>
  <c r="K23" i="23"/>
  <c r="I23" i="23"/>
  <c r="L23" i="23" s="1"/>
  <c r="M23" i="23" s="1"/>
  <c r="H23" i="23"/>
  <c r="G23" i="23"/>
  <c r="H22" i="23"/>
  <c r="I22" i="23" s="1"/>
  <c r="L22" i="23" s="1"/>
  <c r="M22" i="23" s="1"/>
  <c r="G22" i="23"/>
  <c r="K22" i="23" s="1"/>
  <c r="K21" i="23"/>
  <c r="I21" i="23"/>
  <c r="L21" i="23" s="1"/>
  <c r="M21" i="23" s="1"/>
  <c r="H21" i="23"/>
  <c r="G21" i="23"/>
  <c r="I20" i="23"/>
  <c r="L20" i="23" s="1"/>
  <c r="M20" i="23" s="1"/>
  <c r="G20" i="23"/>
  <c r="K20" i="23" s="1"/>
  <c r="K19" i="23"/>
  <c r="H19" i="23"/>
  <c r="I19" i="23" s="1"/>
  <c r="L19" i="23" s="1"/>
  <c r="M19" i="23" s="1"/>
  <c r="G19" i="23"/>
  <c r="H18" i="23"/>
  <c r="I18" i="23" s="1"/>
  <c r="G18" i="23"/>
  <c r="K18" i="23" s="1"/>
  <c r="K17" i="23"/>
  <c r="H17" i="23"/>
  <c r="I17" i="23" s="1"/>
  <c r="L17" i="23" s="1"/>
  <c r="M17" i="23" s="1"/>
  <c r="G17" i="23"/>
  <c r="H16" i="23"/>
  <c r="I16" i="23" s="1"/>
  <c r="G16" i="23"/>
  <c r="K16" i="23" s="1"/>
  <c r="K15" i="23"/>
  <c r="H15" i="23"/>
  <c r="I15" i="23" s="1"/>
  <c r="L15" i="23" s="1"/>
  <c r="M15" i="23" s="1"/>
  <c r="G15" i="23"/>
  <c r="H14" i="23"/>
  <c r="I14" i="23" s="1"/>
  <c r="G14" i="23"/>
  <c r="K14" i="23" s="1"/>
  <c r="K13" i="23"/>
  <c r="H13" i="23"/>
  <c r="I13" i="23" s="1"/>
  <c r="L13" i="23" s="1"/>
  <c r="M13" i="23" s="1"/>
  <c r="G13" i="23"/>
  <c r="F13" i="23"/>
  <c r="H12" i="23"/>
  <c r="I12" i="23" s="1"/>
  <c r="G12" i="23"/>
  <c r="K12" i="23" s="1"/>
  <c r="K11" i="23"/>
  <c r="I11" i="23"/>
  <c r="L11" i="23" s="1"/>
  <c r="M11" i="23" s="1"/>
  <c r="H11" i="23"/>
  <c r="G11" i="23"/>
  <c r="H10" i="23"/>
  <c r="I10" i="23" s="1"/>
  <c r="G10" i="23"/>
  <c r="K10" i="23" s="1"/>
  <c r="K9" i="23"/>
  <c r="I9" i="23"/>
  <c r="L9" i="23" s="1"/>
  <c r="M9" i="23" s="1"/>
  <c r="H9" i="23"/>
  <c r="G9" i="23"/>
  <c r="H8" i="23"/>
  <c r="I8" i="23" s="1"/>
  <c r="G8" i="23"/>
  <c r="K8" i="23" s="1"/>
  <c r="F8" i="23"/>
  <c r="K7" i="23"/>
  <c r="L7" i="23" s="1"/>
  <c r="M7" i="23" s="1"/>
  <c r="I7" i="23"/>
  <c r="H7" i="23"/>
  <c r="G7" i="23"/>
  <c r="H6" i="23"/>
  <c r="I6" i="23" s="1"/>
  <c r="L6" i="23" s="1"/>
  <c r="M6" i="23" s="1"/>
  <c r="G6" i="23"/>
  <c r="K6" i="23" s="1"/>
  <c r="K5" i="23"/>
  <c r="L5" i="23" s="1"/>
  <c r="M5" i="23" s="1"/>
  <c r="I5" i="23"/>
  <c r="H5" i="23"/>
  <c r="G5" i="23"/>
  <c r="H4" i="23"/>
  <c r="I4" i="23" s="1"/>
  <c r="G4" i="23"/>
  <c r="K4" i="23" s="1"/>
  <c r="K3" i="23"/>
  <c r="L3" i="23" s="1"/>
  <c r="M3" i="23" s="1"/>
  <c r="I3" i="23"/>
  <c r="H3" i="23"/>
  <c r="G3" i="23"/>
  <c r="H4" i="24"/>
  <c r="H5" i="24"/>
  <c r="H6" i="24"/>
  <c r="H7" i="24"/>
  <c r="H8" i="24"/>
  <c r="H10" i="24"/>
  <c r="H11" i="24"/>
  <c r="H12" i="24"/>
  <c r="H13" i="24"/>
  <c r="H14" i="24"/>
  <c r="H15" i="24"/>
  <c r="H16" i="24"/>
  <c r="H17" i="24"/>
  <c r="H18" i="24"/>
  <c r="H19" i="24"/>
  <c r="H20" i="24"/>
  <c r="H21" i="24"/>
  <c r="H22" i="24"/>
  <c r="H23" i="24"/>
  <c r="H24" i="24"/>
  <c r="H25" i="24"/>
  <c r="H26" i="24"/>
  <c r="H27" i="24"/>
  <c r="H28" i="24"/>
  <c r="H29" i="24"/>
  <c r="H30" i="24"/>
  <c r="H31" i="24"/>
  <c r="H32" i="24"/>
  <c r="H33" i="24"/>
  <c r="H34" i="24"/>
  <c r="H35" i="24"/>
  <c r="H36" i="24"/>
  <c r="H37" i="24"/>
  <c r="H38" i="24"/>
  <c r="H39" i="24"/>
  <c r="H40" i="24"/>
  <c r="H41" i="24"/>
  <c r="H42" i="24"/>
  <c r="H43" i="24"/>
  <c r="H44" i="24"/>
  <c r="H45" i="24"/>
  <c r="H46" i="24"/>
  <c r="H47" i="24"/>
  <c r="H48" i="24"/>
  <c r="H49" i="24"/>
  <c r="H50" i="24"/>
  <c r="H51" i="24"/>
  <c r="H52" i="24"/>
  <c r="H53" i="24"/>
  <c r="H54" i="24"/>
  <c r="H55" i="24"/>
  <c r="H56" i="24"/>
  <c r="H57" i="24"/>
  <c r="H59" i="24"/>
  <c r="H60" i="24"/>
  <c r="H61" i="24"/>
  <c r="H62" i="24"/>
  <c r="H64" i="24"/>
  <c r="H65" i="24"/>
  <c r="H3" i="24"/>
  <c r="Q3" i="25" l="1"/>
  <c r="N7" i="19"/>
  <c r="O7" i="19" s="1"/>
  <c r="N19" i="19"/>
  <c r="O19" i="19" s="1"/>
  <c r="N58" i="19"/>
  <c r="O58" i="19" s="1"/>
  <c r="N31" i="19"/>
  <c r="N63" i="19"/>
  <c r="N62" i="19"/>
  <c r="N40" i="19"/>
  <c r="O40" i="19" s="1"/>
  <c r="N39" i="19"/>
  <c r="O30" i="19"/>
  <c r="O38" i="19"/>
  <c r="O9" i="19"/>
  <c r="O43" i="19"/>
  <c r="O44" i="19"/>
  <c r="L34" i="23"/>
  <c r="M34" i="23" s="1"/>
  <c r="L39" i="23"/>
  <c r="M39" i="23" s="1"/>
  <c r="L53" i="23"/>
  <c r="M53" i="23" s="1"/>
  <c r="L58" i="23"/>
  <c r="M58" i="23" s="1"/>
  <c r="L30" i="23"/>
  <c r="M30" i="23" s="1"/>
  <c r="L38" i="23"/>
  <c r="M38" i="23" s="1"/>
  <c r="L18" i="23"/>
  <c r="M18" i="23" s="1"/>
  <c r="L16" i="23"/>
  <c r="M16" i="23" s="1"/>
  <c r="L12" i="23"/>
  <c r="M12" i="23" s="1"/>
  <c r="L10" i="23"/>
  <c r="M10" i="23" s="1"/>
  <c r="L4" i="23"/>
  <c r="M4" i="23" s="1"/>
  <c r="L36" i="23"/>
  <c r="M36" i="23" s="1"/>
  <c r="L8" i="23"/>
  <c r="M8" i="23" s="1"/>
  <c r="L14" i="23"/>
  <c r="M14" i="23" s="1"/>
  <c r="L51" i="23"/>
  <c r="M51" i="23" s="1"/>
  <c r="L56" i="23"/>
  <c r="M56" i="23" s="1"/>
  <c r="L61" i="23"/>
  <c r="M61" i="23" s="1"/>
  <c r="E13" i="24"/>
  <c r="K13" i="24" s="1"/>
  <c r="E14" i="24"/>
  <c r="K14" i="24" s="1"/>
  <c r="E20" i="24"/>
  <c r="K20" i="24" s="1"/>
  <c r="E24" i="24"/>
  <c r="K24" i="24" s="1"/>
  <c r="E28" i="24"/>
  <c r="K28" i="24" s="1"/>
  <c r="E40" i="24"/>
  <c r="K40" i="24" s="1"/>
  <c r="E41" i="24"/>
  <c r="K41" i="24" s="1"/>
  <c r="E44" i="24"/>
  <c r="K44" i="24" s="1"/>
  <c r="E47" i="24"/>
  <c r="K47" i="24" s="1"/>
  <c r="E58" i="24"/>
  <c r="K58" i="24" s="1"/>
  <c r="D4" i="24"/>
  <c r="E4" i="24" s="1"/>
  <c r="K4" i="24" s="1"/>
  <c r="D5" i="24"/>
  <c r="E5" i="24" s="1"/>
  <c r="K5" i="24" s="1"/>
  <c r="D6" i="24"/>
  <c r="E6" i="24" s="1"/>
  <c r="K6" i="24" s="1"/>
  <c r="D7" i="24"/>
  <c r="E7" i="24" s="1"/>
  <c r="K7" i="24" s="1"/>
  <c r="D8" i="24"/>
  <c r="E8" i="24" s="1"/>
  <c r="K8" i="24" s="1"/>
  <c r="D9" i="24"/>
  <c r="E9" i="24" s="1"/>
  <c r="K9" i="24" s="1"/>
  <c r="D10" i="24"/>
  <c r="E10" i="24" s="1"/>
  <c r="K10" i="24" s="1"/>
  <c r="D11" i="24"/>
  <c r="E11" i="24" s="1"/>
  <c r="K11" i="24" s="1"/>
  <c r="D12" i="24"/>
  <c r="E12" i="24" s="1"/>
  <c r="K12" i="24" s="1"/>
  <c r="D15" i="24"/>
  <c r="E15" i="24" s="1"/>
  <c r="K15" i="24" s="1"/>
  <c r="D16" i="24"/>
  <c r="E16" i="24" s="1"/>
  <c r="K16" i="24" s="1"/>
  <c r="D17" i="24"/>
  <c r="E17" i="24" s="1"/>
  <c r="K17" i="24" s="1"/>
  <c r="D18" i="24"/>
  <c r="E18" i="24" s="1"/>
  <c r="K18" i="24" s="1"/>
  <c r="D19" i="24"/>
  <c r="E19" i="24" s="1"/>
  <c r="K19" i="24" s="1"/>
  <c r="D21" i="24"/>
  <c r="E21" i="24" s="1"/>
  <c r="K21" i="24" s="1"/>
  <c r="D22" i="24"/>
  <c r="E22" i="24" s="1"/>
  <c r="K22" i="24" s="1"/>
  <c r="D23" i="24"/>
  <c r="E23" i="24" s="1"/>
  <c r="K23" i="24" s="1"/>
  <c r="D25" i="24"/>
  <c r="E25" i="24" s="1"/>
  <c r="K25" i="24" s="1"/>
  <c r="D26" i="24"/>
  <c r="E26" i="24" s="1"/>
  <c r="K26" i="24" s="1"/>
  <c r="D27" i="24"/>
  <c r="E27" i="24" s="1"/>
  <c r="K27" i="24" s="1"/>
  <c r="D29" i="24"/>
  <c r="E29" i="24" s="1"/>
  <c r="K29" i="24" s="1"/>
  <c r="D30" i="24"/>
  <c r="E30" i="24" s="1"/>
  <c r="K30" i="24" s="1"/>
  <c r="D31" i="24"/>
  <c r="E31" i="24" s="1"/>
  <c r="K31" i="24" s="1"/>
  <c r="D32" i="24"/>
  <c r="E32" i="24" s="1"/>
  <c r="K32" i="24" s="1"/>
  <c r="D33" i="24"/>
  <c r="E33" i="24" s="1"/>
  <c r="K33" i="24" s="1"/>
  <c r="D34" i="24"/>
  <c r="E34" i="24" s="1"/>
  <c r="K34" i="24" s="1"/>
  <c r="D35" i="24"/>
  <c r="E35" i="24" s="1"/>
  <c r="K35" i="24" s="1"/>
  <c r="D36" i="24"/>
  <c r="E36" i="24" s="1"/>
  <c r="K36" i="24" s="1"/>
  <c r="D37" i="24"/>
  <c r="E37" i="24" s="1"/>
  <c r="K37" i="24" s="1"/>
  <c r="D38" i="24"/>
  <c r="E38" i="24" s="1"/>
  <c r="K38" i="24" s="1"/>
  <c r="D39" i="24"/>
  <c r="E39" i="24" s="1"/>
  <c r="K39" i="24" s="1"/>
  <c r="D42" i="24"/>
  <c r="E42" i="24" s="1"/>
  <c r="K42" i="24" s="1"/>
  <c r="D43" i="24"/>
  <c r="E43" i="24" s="1"/>
  <c r="K43" i="24" s="1"/>
  <c r="D45" i="24"/>
  <c r="E45" i="24" s="1"/>
  <c r="K45" i="24" s="1"/>
  <c r="D46" i="24"/>
  <c r="E46" i="24" s="1"/>
  <c r="K46" i="24" s="1"/>
  <c r="D48" i="24"/>
  <c r="E48" i="24" s="1"/>
  <c r="K48" i="24" s="1"/>
  <c r="D49" i="24"/>
  <c r="E49" i="24" s="1"/>
  <c r="K49" i="24" s="1"/>
  <c r="D50" i="24"/>
  <c r="E50" i="24" s="1"/>
  <c r="K50" i="24" s="1"/>
  <c r="D51" i="24"/>
  <c r="E51" i="24" s="1"/>
  <c r="K51" i="24" s="1"/>
  <c r="D52" i="24"/>
  <c r="E52" i="24" s="1"/>
  <c r="K52" i="24" s="1"/>
  <c r="D53" i="24"/>
  <c r="E53" i="24" s="1"/>
  <c r="K53" i="24" s="1"/>
  <c r="D54" i="24"/>
  <c r="E54" i="24" s="1"/>
  <c r="K54" i="24" s="1"/>
  <c r="D55" i="24"/>
  <c r="E55" i="24" s="1"/>
  <c r="K55" i="24" s="1"/>
  <c r="D56" i="24"/>
  <c r="E56" i="24" s="1"/>
  <c r="K56" i="24" s="1"/>
  <c r="D57" i="24"/>
  <c r="E57" i="24" s="1"/>
  <c r="K57" i="24" s="1"/>
  <c r="D59" i="24"/>
  <c r="E59" i="24" s="1"/>
  <c r="K59" i="24" s="1"/>
  <c r="D60" i="24"/>
  <c r="E60" i="24" s="1"/>
  <c r="K60" i="24" s="1"/>
  <c r="D61" i="24"/>
  <c r="E61" i="24" s="1"/>
  <c r="K61" i="24" s="1"/>
  <c r="D62" i="24"/>
  <c r="E62" i="24" s="1"/>
  <c r="K62" i="24" s="1"/>
  <c r="D63" i="24"/>
  <c r="E63" i="24" s="1"/>
  <c r="K63" i="24" s="1"/>
  <c r="D64" i="24"/>
  <c r="E64" i="24" s="1"/>
  <c r="K64" i="24" s="1"/>
  <c r="D65" i="24"/>
  <c r="E65" i="24" s="1"/>
  <c r="K65" i="24" s="1"/>
  <c r="D66" i="24"/>
  <c r="D3" i="24"/>
  <c r="E3" i="24" s="1"/>
  <c r="K3" i="24" s="1"/>
  <c r="I65" i="10"/>
  <c r="I64" i="10"/>
  <c r="I63" i="10"/>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I15" i="10"/>
  <c r="I14" i="10"/>
  <c r="I13" i="10"/>
  <c r="I12" i="10"/>
  <c r="I11" i="10"/>
  <c r="I10" i="10"/>
  <c r="I9" i="10"/>
  <c r="I8" i="10"/>
  <c r="I7" i="10"/>
  <c r="I6" i="10"/>
  <c r="I5" i="10"/>
  <c r="I4" i="10"/>
  <c r="I3" i="10"/>
  <c r="F65" i="10"/>
  <c r="F64" i="10"/>
  <c r="F63" i="10"/>
  <c r="F62" i="10"/>
  <c r="F61" i="10"/>
  <c r="F60" i="10"/>
  <c r="F59" i="10"/>
  <c r="F58" i="10"/>
  <c r="F57" i="10"/>
  <c r="F56" i="10"/>
  <c r="F55" i="10"/>
  <c r="F54" i="10"/>
  <c r="F53" i="10"/>
  <c r="F52" i="10"/>
  <c r="F51" i="10"/>
  <c r="F50" i="10"/>
  <c r="F49" i="10"/>
  <c r="F48" i="10"/>
  <c r="F47" i="10"/>
  <c r="F46" i="10"/>
  <c r="F45" i="10"/>
  <c r="F44" i="10"/>
  <c r="F43" i="10"/>
  <c r="F42" i="10"/>
  <c r="F41" i="10"/>
  <c r="F40" i="10"/>
  <c r="F39" i="10"/>
  <c r="F38" i="10"/>
  <c r="F37" i="10"/>
  <c r="F36" i="10"/>
  <c r="F35" i="10"/>
  <c r="F34" i="10"/>
  <c r="F33" i="10"/>
  <c r="F32" i="10"/>
  <c r="F31" i="10"/>
  <c r="F30" i="10"/>
  <c r="F29" i="10"/>
  <c r="F28" i="10"/>
  <c r="F27" i="10"/>
  <c r="F26" i="10"/>
  <c r="F25" i="10"/>
  <c r="F24" i="10"/>
  <c r="F23" i="10"/>
  <c r="F22" i="10"/>
  <c r="F21" i="10"/>
  <c r="F20" i="10"/>
  <c r="F19" i="10"/>
  <c r="F18" i="10"/>
  <c r="F17" i="10"/>
  <c r="F16" i="10"/>
  <c r="F15" i="10"/>
  <c r="F14" i="10"/>
  <c r="F13" i="10"/>
  <c r="F12" i="10"/>
  <c r="F11" i="10"/>
  <c r="F10" i="10"/>
  <c r="F9" i="10"/>
  <c r="F8" i="10"/>
  <c r="F7" i="10"/>
  <c r="F6" i="10"/>
  <c r="F5" i="10"/>
  <c r="F4" i="10"/>
  <c r="F3" i="10"/>
  <c r="S13" i="20"/>
  <c r="G13" i="20" s="1"/>
  <c r="G26" i="20"/>
  <c r="G25" i="20"/>
  <c r="G24" i="20"/>
  <c r="G23" i="20"/>
  <c r="G22" i="20"/>
  <c r="G21" i="20"/>
  <c r="G20" i="20"/>
  <c r="G19" i="20"/>
  <c r="G18" i="20"/>
  <c r="G17" i="20"/>
  <c r="G16" i="20"/>
  <c r="G15" i="20"/>
  <c r="G14" i="20"/>
  <c r="G12" i="20"/>
  <c r="G11" i="20"/>
  <c r="G10" i="20"/>
  <c r="G9" i="20"/>
  <c r="G8" i="20"/>
  <c r="G7" i="20"/>
  <c r="G52" i="20" a="1"/>
  <c r="G52" i="20" s="1"/>
  <c r="AB53" i="20"/>
  <c r="B7" i="20"/>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2" i="8"/>
  <c r="I1" i="8"/>
  <c r="C4" i="18"/>
  <c r="C5" i="18"/>
  <c r="C7" i="18"/>
  <c r="C10" i="18"/>
  <c r="C11" i="18"/>
  <c r="C20" i="18"/>
  <c r="C23" i="18"/>
  <c r="C27" i="18"/>
  <c r="C38" i="18"/>
  <c r="C39" i="18"/>
  <c r="C40" i="18"/>
  <c r="C42" i="18"/>
  <c r="C43" i="18"/>
  <c r="C45" i="18"/>
  <c r="C46" i="18"/>
  <c r="C52" i="18"/>
  <c r="C53" i="18"/>
  <c r="C57" i="18"/>
  <c r="C60" i="18"/>
  <c r="C64" i="18"/>
  <c r="S21" i="20"/>
  <c r="P21" i="20"/>
  <c r="S11" i="20"/>
  <c r="P11" i="20"/>
  <c r="L8" i="20"/>
  <c r="L9" i="20"/>
  <c r="L10" i="20"/>
  <c r="L11" i="20"/>
  <c r="L12" i="20"/>
  <c r="L13" i="20"/>
  <c r="L14" i="20"/>
  <c r="L15" i="20"/>
  <c r="L16" i="20"/>
  <c r="L17" i="20"/>
  <c r="L18" i="20"/>
  <c r="L19" i="20"/>
  <c r="L20" i="20"/>
  <c r="L21" i="20"/>
  <c r="L22" i="20"/>
  <c r="L23" i="20"/>
  <c r="L24" i="20"/>
  <c r="L25" i="20"/>
  <c r="L26" i="20"/>
  <c r="L7" i="20"/>
  <c r="AB54" i="20"/>
  <c r="AB55" i="20"/>
  <c r="AB56" i="20"/>
  <c r="AB57" i="20"/>
  <c r="AB58" i="20"/>
  <c r="AB59" i="20"/>
  <c r="AB60" i="20"/>
  <c r="AB61" i="20"/>
  <c r="AB62" i="20"/>
  <c r="AB63" i="20"/>
  <c r="AB64" i="20"/>
  <c r="AB65" i="20"/>
  <c r="AB66" i="20"/>
  <c r="AB67" i="20"/>
  <c r="AB68" i="20"/>
  <c r="AB69" i="20"/>
  <c r="AB70" i="20"/>
  <c r="AB71" i="20"/>
  <c r="AB72" i="20"/>
  <c r="B10" i="20"/>
  <c r="B2" i="20"/>
  <c r="B3" i="20"/>
  <c r="B4" i="20"/>
  <c r="B5" i="20"/>
  <c r="B6" i="20"/>
  <c r="B8" i="20"/>
  <c r="B9"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3" i="20"/>
  <c r="B54" i="20"/>
  <c r="B55" i="20"/>
  <c r="B56" i="20"/>
  <c r="B57" i="20"/>
  <c r="B58" i="20"/>
  <c r="B59" i="20"/>
  <c r="B60" i="20"/>
  <c r="B61" i="20"/>
  <c r="B62" i="20"/>
  <c r="B63" i="20"/>
  <c r="B64" i="20"/>
  <c r="B65" i="20"/>
  <c r="B1" i="20"/>
  <c r="A17" i="20"/>
  <c r="A18" i="20"/>
  <c r="A19" i="20"/>
  <c r="A20" i="20"/>
  <c r="A21" i="20"/>
  <c r="A22" i="20"/>
  <c r="A23" i="20"/>
  <c r="A24" i="20"/>
  <c r="A25" i="20"/>
  <c r="A26" i="20"/>
  <c r="A27" i="20"/>
  <c r="A28" i="20"/>
  <c r="A29" i="20"/>
  <c r="A30" i="20"/>
  <c r="A31" i="20"/>
  <c r="A32" i="20"/>
  <c r="A33" i="20"/>
  <c r="A34" i="20"/>
  <c r="A35" i="20"/>
  <c r="A36" i="20"/>
  <c r="A37" i="20"/>
  <c r="A38" i="20"/>
  <c r="A39" i="20"/>
  <c r="A40" i="20"/>
  <c r="A41" i="20"/>
  <c r="A42" i="20"/>
  <c r="A43" i="20"/>
  <c r="A44" i="20"/>
  <c r="A45" i="20"/>
  <c r="A46" i="20"/>
  <c r="A47" i="20"/>
  <c r="A48" i="20"/>
  <c r="A49" i="20"/>
  <c r="A50" i="20"/>
  <c r="A51" i="20"/>
  <c r="A53" i="20"/>
  <c r="A54" i="20"/>
  <c r="A55" i="20"/>
  <c r="A56" i="20"/>
  <c r="A57" i="20"/>
  <c r="A58" i="20"/>
  <c r="A59" i="20"/>
  <c r="A60" i="20"/>
  <c r="A61" i="20"/>
  <c r="A62" i="20"/>
  <c r="A63" i="20"/>
  <c r="A64" i="20"/>
  <c r="A65" i="20"/>
  <c r="A2" i="20"/>
  <c r="A3" i="20"/>
  <c r="AC65" i="7" s="1"/>
  <c r="A4" i="20"/>
  <c r="A5" i="20"/>
  <c r="A6" i="20"/>
  <c r="A7" i="20"/>
  <c r="A8" i="20"/>
  <c r="A9" i="20"/>
  <c r="A10" i="20"/>
  <c r="A11" i="20"/>
  <c r="A12" i="20"/>
  <c r="A13" i="20"/>
  <c r="A14" i="20"/>
  <c r="A15" i="20"/>
  <c r="A16" i="20"/>
  <c r="A1" i="20"/>
  <c r="AC5" i="7" l="1"/>
  <c r="AC17" i="7"/>
  <c r="AC29" i="7"/>
  <c r="AC41" i="7"/>
  <c r="AC53" i="7"/>
  <c r="AC31" i="7"/>
  <c r="AC6" i="7"/>
  <c r="AC18" i="7"/>
  <c r="AC30" i="7"/>
  <c r="AC42" i="7"/>
  <c r="AC54" i="7"/>
  <c r="AC19" i="7"/>
  <c r="AC7" i="7"/>
  <c r="AC8" i="7"/>
  <c r="AC20" i="7"/>
  <c r="AC32" i="7"/>
  <c r="AC44" i="7"/>
  <c r="AC56" i="7"/>
  <c r="AC9" i="7"/>
  <c r="AC21" i="7"/>
  <c r="AC33" i="7"/>
  <c r="AC45" i="7"/>
  <c r="AC57" i="7"/>
  <c r="AC10" i="7"/>
  <c r="AC22" i="7"/>
  <c r="AC34" i="7"/>
  <c r="AC46" i="7"/>
  <c r="AC58" i="7"/>
  <c r="AC50" i="7"/>
  <c r="AC3" i="7"/>
  <c r="AC11" i="7"/>
  <c r="AC23" i="7"/>
  <c r="AC35" i="7"/>
  <c r="AC47" i="7"/>
  <c r="AC59" i="7"/>
  <c r="AC62" i="7"/>
  <c r="AC12" i="7"/>
  <c r="AC24" i="7"/>
  <c r="AC36" i="7"/>
  <c r="AC48" i="7"/>
  <c r="AC60" i="7"/>
  <c r="AC38" i="7"/>
  <c r="AC13" i="7"/>
  <c r="AC25" i="7"/>
  <c r="AC37" i="7"/>
  <c r="AC49" i="7"/>
  <c r="AC61" i="7"/>
  <c r="AC14" i="7"/>
  <c r="AC26" i="7"/>
  <c r="AC15" i="7"/>
  <c r="AC27" i="7"/>
  <c r="AC39" i="7"/>
  <c r="AC51" i="7"/>
  <c r="AC63" i="7"/>
  <c r="AC55" i="7"/>
  <c r="AC4" i="7"/>
  <c r="AC16" i="7"/>
  <c r="AC28" i="7"/>
  <c r="AC40" i="7"/>
  <c r="AC52" i="7"/>
  <c r="AC64" i="7"/>
  <c r="AC43" i="7"/>
  <c r="E66" i="24"/>
  <c r="F35" i="24" s="1"/>
  <c r="E7" i="20" a="1"/>
  <c r="E7" i="20" s="1"/>
  <c r="C3" i="20" s="1"/>
  <c r="AB74" i="20"/>
  <c r="E53" i="20" a="1"/>
  <c r="F3" i="24" l="1"/>
  <c r="K66" i="24"/>
  <c r="F11" i="24"/>
  <c r="F53" i="24"/>
  <c r="F17" i="24"/>
  <c r="F29" i="24"/>
  <c r="F19" i="24"/>
  <c r="F10" i="24"/>
  <c r="F65" i="24"/>
  <c r="F32" i="24"/>
  <c r="F50" i="24"/>
  <c r="F23" i="24"/>
  <c r="F7" i="24"/>
  <c r="F39" i="24"/>
  <c r="F43" i="24"/>
  <c r="F61" i="24"/>
  <c r="F22" i="24"/>
  <c r="F31" i="24"/>
  <c r="F14" i="24"/>
  <c r="F28" i="24"/>
  <c r="F34" i="24"/>
  <c r="F57" i="24"/>
  <c r="F36" i="24"/>
  <c r="F63" i="24"/>
  <c r="F25" i="24"/>
  <c r="F60" i="24"/>
  <c r="F58" i="24"/>
  <c r="F6" i="24"/>
  <c r="F9" i="24"/>
  <c r="F16" i="24"/>
  <c r="F51" i="24"/>
  <c r="F5" i="24"/>
  <c r="F26" i="24"/>
  <c r="F55" i="24"/>
  <c r="F48" i="24"/>
  <c r="F27" i="24"/>
  <c r="F8" i="24"/>
  <c r="F18" i="24"/>
  <c r="F42" i="24"/>
  <c r="F20" i="24"/>
  <c r="F47" i="24"/>
  <c r="F30" i="24"/>
  <c r="F33" i="24"/>
  <c r="F38" i="24"/>
  <c r="F40" i="24"/>
  <c r="F4" i="24"/>
  <c r="F46" i="24"/>
  <c r="F41" i="24"/>
  <c r="F12" i="24"/>
  <c r="F64" i="24"/>
  <c r="F37" i="24"/>
  <c r="F52" i="24"/>
  <c r="F15" i="24"/>
  <c r="F54" i="24"/>
  <c r="F44" i="24"/>
  <c r="F24" i="24"/>
  <c r="F45" i="24"/>
  <c r="F49" i="24"/>
  <c r="F21" i="24"/>
  <c r="F56" i="24"/>
  <c r="F13" i="24"/>
  <c r="F59" i="24"/>
  <c r="F62" i="24"/>
  <c r="C12" i="20"/>
  <c r="C7" i="20"/>
  <c r="C58" i="20"/>
  <c r="C54" i="20"/>
  <c r="C26" i="20"/>
  <c r="C47" i="20"/>
  <c r="C62" i="20"/>
  <c r="C28" i="20"/>
  <c r="C45" i="20"/>
  <c r="C42" i="20"/>
  <c r="C38" i="20"/>
  <c r="C21" i="20"/>
  <c r="C31" i="20"/>
  <c r="C33" i="20"/>
  <c r="C25" i="20"/>
  <c r="C20" i="20"/>
  <c r="C14" i="20"/>
  <c r="C11" i="20"/>
  <c r="C6" i="20"/>
  <c r="C56" i="20"/>
  <c r="C53" i="20"/>
  <c r="C30" i="20"/>
  <c r="C48" i="20"/>
  <c r="C27" i="20"/>
  <c r="C44" i="20"/>
  <c r="C41" i="20"/>
  <c r="C36" i="20"/>
  <c r="C9" i="20"/>
  <c r="C29" i="20"/>
  <c r="C24" i="20"/>
  <c r="C5" i="20"/>
  <c r="C22" i="20"/>
  <c r="C15" i="20"/>
  <c r="C61" i="20"/>
  <c r="C13" i="20"/>
  <c r="C8" i="20"/>
  <c r="C32" i="20"/>
  <c r="C46" i="20"/>
  <c r="C40" i="20"/>
  <c r="C63" i="20"/>
  <c r="C59" i="20"/>
  <c r="C55" i="20"/>
  <c r="C51" i="20"/>
  <c r="C23" i="20"/>
  <c r="C57" i="20"/>
  <c r="C49" i="20"/>
  <c r="C43" i="20"/>
  <c r="C39" i="20"/>
  <c r="C35" i="20"/>
  <c r="C34" i="20"/>
  <c r="C37" i="20"/>
  <c r="C50" i="20"/>
  <c r="C60" i="20"/>
  <c r="C52" i="20"/>
  <c r="C64" i="20"/>
  <c r="C65" i="20"/>
  <c r="C19" i="20"/>
  <c r="C18" i="20"/>
  <c r="C17" i="20"/>
  <c r="C16" i="20"/>
  <c r="C4" i="20"/>
  <c r="E53" i="20"/>
  <c r="E65" i="19"/>
  <c r="E64" i="19"/>
  <c r="E63" i="19"/>
  <c r="E62" i="19"/>
  <c r="E61" i="19"/>
  <c r="E60" i="19"/>
  <c r="E59" i="19"/>
  <c r="E58" i="19"/>
  <c r="E57" i="19"/>
  <c r="E56" i="19"/>
  <c r="E55" i="19"/>
  <c r="E54" i="19"/>
  <c r="E53" i="19"/>
  <c r="E52" i="19"/>
  <c r="E51" i="19"/>
  <c r="E50" i="19"/>
  <c r="E49" i="19"/>
  <c r="E48" i="19"/>
  <c r="E47" i="19"/>
  <c r="E46" i="19"/>
  <c r="E45" i="19"/>
  <c r="E44" i="19"/>
  <c r="E43" i="19"/>
  <c r="E42" i="19"/>
  <c r="E41" i="19"/>
  <c r="E40" i="19"/>
  <c r="E39" i="19"/>
  <c r="E38" i="19"/>
  <c r="E37" i="19"/>
  <c r="E36" i="19"/>
  <c r="E35" i="19"/>
  <c r="E34" i="19"/>
  <c r="E33" i="19"/>
  <c r="E32" i="19"/>
  <c r="E31" i="19"/>
  <c r="E30" i="19"/>
  <c r="E29" i="19"/>
  <c r="E28" i="19"/>
  <c r="E27" i="19"/>
  <c r="E26" i="19"/>
  <c r="E25" i="19"/>
  <c r="E24" i="19"/>
  <c r="E23" i="19"/>
  <c r="E22" i="19"/>
  <c r="E21" i="19"/>
  <c r="E20" i="19"/>
  <c r="E19" i="19"/>
  <c r="E18" i="19"/>
  <c r="E17" i="19"/>
  <c r="E16" i="19"/>
  <c r="E15" i="19"/>
  <c r="E14" i="19"/>
  <c r="E13" i="19"/>
  <c r="E12" i="19"/>
  <c r="E11" i="19"/>
  <c r="E10" i="19"/>
  <c r="E9" i="19"/>
  <c r="E8" i="19"/>
  <c r="E7" i="19"/>
  <c r="E6" i="19"/>
  <c r="E5" i="19"/>
  <c r="E4" i="19"/>
  <c r="E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3" i="19"/>
  <c r="B56" i="18"/>
  <c r="B38" i="18"/>
  <c r="B33" i="18"/>
  <c r="B7" i="18"/>
  <c r="K3" i="19" l="1"/>
  <c r="D3" i="19"/>
  <c r="D65" i="19"/>
  <c r="K65" i="19"/>
  <c r="D64" i="19"/>
  <c r="K64" i="19"/>
  <c r="D63" i="19"/>
  <c r="K63" i="19"/>
  <c r="D62" i="19"/>
  <c r="K62" i="19"/>
  <c r="D61" i="19"/>
  <c r="K61" i="19"/>
  <c r="D60" i="19"/>
  <c r="K60" i="19"/>
  <c r="D59" i="19"/>
  <c r="K59" i="19"/>
  <c r="D58" i="19"/>
  <c r="K58" i="19"/>
  <c r="D57" i="19"/>
  <c r="K57" i="19"/>
  <c r="D56" i="19"/>
  <c r="K56" i="19"/>
  <c r="D55" i="19"/>
  <c r="K55" i="19"/>
  <c r="D54" i="19"/>
  <c r="K54" i="19"/>
  <c r="D53" i="19"/>
  <c r="K53" i="19"/>
  <c r="D52" i="19"/>
  <c r="K52" i="19"/>
  <c r="D51" i="19"/>
  <c r="K51" i="19"/>
  <c r="D50" i="19"/>
  <c r="K50" i="19"/>
  <c r="D49" i="19"/>
  <c r="K49" i="19"/>
  <c r="D48" i="19"/>
  <c r="K48" i="19"/>
  <c r="D47" i="19"/>
  <c r="K47" i="19"/>
  <c r="D46" i="19"/>
  <c r="K46" i="19"/>
  <c r="D45" i="19"/>
  <c r="K45" i="19"/>
  <c r="D44" i="19"/>
  <c r="K44" i="19"/>
  <c r="D43" i="19"/>
  <c r="K43" i="19"/>
  <c r="D42" i="19"/>
  <c r="K42" i="19"/>
  <c r="D41" i="19"/>
  <c r="K41" i="19"/>
  <c r="D40" i="19"/>
  <c r="K40" i="19"/>
  <c r="D39" i="19"/>
  <c r="K39" i="19"/>
  <c r="D38" i="19"/>
  <c r="K38" i="19"/>
  <c r="D37" i="19"/>
  <c r="K37" i="19"/>
  <c r="D36" i="19"/>
  <c r="K36" i="19"/>
  <c r="D35" i="19"/>
  <c r="K35" i="19"/>
  <c r="D34" i="19"/>
  <c r="K34" i="19"/>
  <c r="D33" i="19"/>
  <c r="K33" i="19"/>
  <c r="D32" i="19"/>
  <c r="K32" i="19"/>
  <c r="D31" i="19"/>
  <c r="K31" i="19"/>
  <c r="D30" i="19"/>
  <c r="K30" i="19"/>
  <c r="D29" i="19"/>
  <c r="K29" i="19"/>
  <c r="D28" i="19"/>
  <c r="K28" i="19"/>
  <c r="D27" i="19"/>
  <c r="K27" i="19"/>
  <c r="D26" i="19"/>
  <c r="K26" i="19"/>
  <c r="D25" i="19"/>
  <c r="K25" i="19"/>
  <c r="D24" i="19"/>
  <c r="K24" i="19"/>
  <c r="D23" i="19"/>
  <c r="K23" i="19"/>
  <c r="D22" i="19"/>
  <c r="K22" i="19"/>
  <c r="D21" i="19"/>
  <c r="K21" i="19"/>
  <c r="D20" i="19"/>
  <c r="K20" i="19"/>
  <c r="D18" i="19"/>
  <c r="K18" i="19"/>
  <c r="D17" i="19"/>
  <c r="K17" i="19"/>
  <c r="D16" i="19"/>
  <c r="K16" i="19"/>
  <c r="D15" i="19"/>
  <c r="K15" i="19"/>
  <c r="D14" i="19"/>
  <c r="K14" i="19"/>
  <c r="D13" i="19"/>
  <c r="K13" i="19"/>
  <c r="D12" i="19"/>
  <c r="K12" i="19"/>
  <c r="D11" i="19"/>
  <c r="K11" i="19"/>
  <c r="D10" i="19"/>
  <c r="K10" i="19"/>
  <c r="D9" i="19"/>
  <c r="K9" i="19"/>
  <c r="D8" i="19"/>
  <c r="K8" i="19"/>
  <c r="D7" i="19"/>
  <c r="K7" i="19"/>
  <c r="D6" i="19"/>
  <c r="K6" i="19"/>
  <c r="D5" i="19"/>
  <c r="K5" i="19"/>
  <c r="D4" i="19"/>
  <c r="K4" i="19"/>
  <c r="D19" i="19"/>
  <c r="K19" i="19"/>
  <c r="L29" i="24"/>
  <c r="L9" i="24"/>
  <c r="L11" i="24"/>
  <c r="L62" i="24"/>
  <c r="L46" i="24"/>
  <c r="L57" i="24"/>
  <c r="L53" i="24"/>
  <c r="L49" i="24"/>
  <c r="L31" i="24"/>
  <c r="L12" i="24"/>
  <c r="L35" i="24"/>
  <c r="L8" i="24"/>
  <c r="L56" i="24"/>
  <c r="L22" i="24"/>
  <c r="L25" i="24"/>
  <c r="L42" i="24"/>
  <c r="L64" i="24"/>
  <c r="L43" i="24"/>
  <c r="L18" i="24"/>
  <c r="L47" i="24"/>
  <c r="L27" i="24"/>
  <c r="L37" i="24"/>
  <c r="L51" i="24"/>
  <c r="L33" i="24"/>
  <c r="L16" i="24"/>
  <c r="L58" i="24"/>
  <c r="L21" i="24"/>
  <c r="L20" i="24"/>
  <c r="L10" i="24"/>
  <c r="L59" i="24"/>
  <c r="L32" i="24"/>
  <c r="L24" i="24"/>
  <c r="L19" i="24"/>
  <c r="L28" i="24"/>
  <c r="L55" i="24"/>
  <c r="L23" i="24"/>
  <c r="L13" i="24"/>
  <c r="L61" i="24"/>
  <c r="L52" i="24"/>
  <c r="L63" i="24"/>
  <c r="L38" i="24"/>
  <c r="L41" i="24"/>
  <c r="L6" i="24"/>
  <c r="L48" i="24"/>
  <c r="L45" i="24"/>
  <c r="L34" i="24"/>
  <c r="L26" i="24"/>
  <c r="L60" i="24"/>
  <c r="L54" i="24"/>
  <c r="L65" i="24"/>
  <c r="L44" i="24"/>
  <c r="L40" i="24"/>
  <c r="L4" i="24"/>
  <c r="L7" i="24"/>
  <c r="L5" i="24"/>
  <c r="L36" i="24"/>
  <c r="L50" i="24"/>
  <c r="L17" i="24"/>
  <c r="L30" i="24"/>
  <c r="L15" i="24"/>
  <c r="L14" i="24"/>
  <c r="L39" i="24"/>
  <c r="L3" i="24"/>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5" i="15"/>
  <c r="F6" i="15"/>
  <c r="F7" i="15"/>
  <c r="F8" i="15"/>
  <c r="F9" i="15"/>
  <c r="F10" i="15"/>
  <c r="F3" i="15"/>
  <c r="F4" i="15"/>
  <c r="M66" i="24" l="1"/>
  <c r="W26" i="19"/>
  <c r="O26" i="19" l="1"/>
  <c r="O14" i="19"/>
  <c r="O36" i="19" l="1"/>
  <c r="O12" i="19"/>
  <c r="O22" i="19"/>
  <c r="O31" i="19"/>
  <c r="O37" i="19"/>
  <c r="O39" i="19"/>
  <c r="O23" i="19"/>
  <c r="O29" i="19"/>
  <c r="O21" i="19"/>
  <c r="O42" i="19"/>
  <c r="O50" i="19"/>
  <c r="O62" i="19"/>
  <c r="O41" i="19"/>
  <c r="O51" i="19"/>
  <c r="O5" i="19"/>
  <c r="O46" i="19"/>
  <c r="O3" i="19"/>
  <c r="O33" i="19"/>
  <c r="O63" i="19"/>
  <c r="W20" i="19"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<sst xmlns="http://schemas.openxmlformats.org/spreadsheetml/2006/main" count="4922" uniqueCount="891">
  <si>
    <t>Welcome on the Main Excel for our VTT Group work for the SMR technologies comparison</t>
  </si>
  <si>
    <t>Only the SMR (Main) sheet is planned to be read by the Excel. In this Sheet the technology are sorted and the final values are put in</t>
  </si>
  <si>
    <t xml:space="preserve">In case of calculation need please use another excel sheet. For example Safety calculation grade will be done on another excel sheet and the values will be liked to the main sheet </t>
  </si>
  <si>
    <t>You can add some rows freely in the main Excel</t>
  </si>
  <si>
    <r>
      <rPr>
        <sz val="11"/>
        <color rgb="FFFF0000"/>
        <rFont val="Aptos Narrow"/>
        <family val="2"/>
        <scheme val="minor"/>
      </rPr>
      <t xml:space="preserve">If you add some columns please inform everyone working on the script </t>
    </r>
    <r>
      <rPr>
        <sz val="11"/>
        <color theme="1"/>
        <rFont val="Aptos Narrow"/>
        <family val="2"/>
        <scheme val="minor"/>
      </rPr>
      <t>(Rule starting from 11.10)</t>
    </r>
  </si>
  <si>
    <r>
      <t>We have a lot of data so please simplify the writing, for numerical Data only numerical values allowed,</t>
    </r>
    <r>
      <rPr>
        <sz val="11"/>
        <color rgb="FFFF0000"/>
        <rFont val="Aptos Narrow"/>
        <family val="2"/>
        <scheme val="minor"/>
      </rPr>
      <t xml:space="preserve"> interpretation and rewriting is needed for those cases</t>
    </r>
    <r>
      <rPr>
        <sz val="11"/>
        <color theme="1"/>
        <rFont val="Aptos Narrow"/>
        <family val="2"/>
        <scheme val="minor"/>
      </rPr>
      <t>:</t>
    </r>
  </si>
  <si>
    <r>
      <t xml:space="preserve">If you add new Data please </t>
    </r>
    <r>
      <rPr>
        <sz val="11"/>
        <color rgb="FFFF0000"/>
        <rFont val="Aptos Narrow"/>
        <family val="2"/>
        <scheme val="minor"/>
      </rPr>
      <t>add the source in the source Sheet</t>
    </r>
    <r>
      <rPr>
        <sz val="11"/>
        <color theme="1"/>
        <rFont val="Aptos Narrow"/>
        <family val="2"/>
        <scheme val="minor"/>
      </rPr>
      <t xml:space="preserve"> so we can track our Data </t>
    </r>
  </si>
  <si>
    <t>Project Name</t>
  </si>
  <si>
    <t>Technology</t>
  </si>
  <si>
    <t>Reactor Type</t>
  </si>
  <si>
    <t>Short Description</t>
  </si>
  <si>
    <t>Country</t>
  </si>
  <si>
    <t>Status</t>
  </si>
  <si>
    <t>Production Start</t>
  </si>
  <si>
    <t>Coolant</t>
  </si>
  <si>
    <t>Fuel</t>
  </si>
  <si>
    <t>Fuel cycle</t>
  </si>
  <si>
    <t>Electricity Power Output</t>
  </si>
  <si>
    <t>Thermal Output</t>
  </si>
  <si>
    <t>Operating Pressure</t>
  </si>
  <si>
    <t>Core inlet</t>
  </si>
  <si>
    <t>Outlet Coolant</t>
  </si>
  <si>
    <t>Thermal efficiency</t>
  </si>
  <si>
    <t>Design life</t>
  </si>
  <si>
    <t>Capex</t>
  </si>
  <si>
    <t>Safety</t>
  </si>
  <si>
    <t>Rentability</t>
  </si>
  <si>
    <t>Opex</t>
  </si>
  <si>
    <t>Ecological impact</t>
  </si>
  <si>
    <t>Startup time</t>
  </si>
  <si>
    <t>Scalability</t>
  </si>
  <si>
    <t>Availability (h/year)</t>
  </si>
  <si>
    <t>Plant Area/Footprint</t>
  </si>
  <si>
    <t>Technology readiness</t>
  </si>
  <si>
    <t>Connection flexibility</t>
  </si>
  <si>
    <t>Geopolitical barriers</t>
  </si>
  <si>
    <t>Economic lifetime</t>
  </si>
  <si>
    <t>Production efficiency</t>
  </si>
  <si>
    <t>Waste and decomissioning</t>
  </si>
  <si>
    <t>Units</t>
  </si>
  <si>
    <t>MW</t>
  </si>
  <si>
    <t>(MW(t))</t>
  </si>
  <si>
    <t>Mpa</t>
  </si>
  <si>
    <t>°C</t>
  </si>
  <si>
    <t>%</t>
  </si>
  <si>
    <t>years</t>
  </si>
  <si>
    <t>/10</t>
  </si>
  <si>
    <t xml:space="preserve">4S </t>
  </si>
  <si>
    <t>Liquid Metal cooled</t>
  </si>
  <si>
    <t>LMFR (pool type)</t>
  </si>
  <si>
    <t xml:space="preserve">Core lifetime of ~30 years without on-site refuelling, passive walkaway safety </t>
  </si>
  <si>
    <t>Japan</t>
  </si>
  <si>
    <t xml:space="preserve">Detailed Design </t>
  </si>
  <si>
    <t>?</t>
  </si>
  <si>
    <t>Sodium</t>
  </si>
  <si>
    <t>Uranium</t>
  </si>
  <si>
    <t>ACP100</t>
  </si>
  <si>
    <t>Water Cooled SMR</t>
  </si>
  <si>
    <t>Integral PWR</t>
  </si>
  <si>
    <t>Integrated reactor with tube-in-tube once through steam generator, nuclear island underground</t>
  </si>
  <si>
    <t>China</t>
  </si>
  <si>
    <t>Under Construction</t>
  </si>
  <si>
    <t>2026 (commercial)</t>
  </si>
  <si>
    <t>Light Water</t>
  </si>
  <si>
    <t>AHTR-100</t>
  </si>
  <si>
    <t>High Temp Gas cooled SMR</t>
  </si>
  <si>
    <t>HTGR (pebble bed)</t>
  </si>
  <si>
    <t>A multipurpose reactor for cogenerations of electricity, heat and hydrogen; high-temperature heat supply to oil refinery plant</t>
  </si>
  <si>
    <t>South Africa</t>
  </si>
  <si>
    <t>Conceptual Design Completed</t>
  </si>
  <si>
    <t>2019 (Hold due to Funding)</t>
  </si>
  <si>
    <t>Helium/Graphite</t>
  </si>
  <si>
    <t xml:space="preserve">ARC-100 </t>
  </si>
  <si>
    <t xml:space="preserve">Inherent safety with passive, diverse and redundant decay heat removal. Core lifetime of 20 years without refueling. </t>
  </si>
  <si>
    <t>Canada</t>
  </si>
  <si>
    <t xml:space="preserve">Preliminary Design </t>
  </si>
  <si>
    <t>2029 (License to Operate First Unit)</t>
  </si>
  <si>
    <t xml:space="preserve">BREST-OD-300 </t>
  </si>
  <si>
    <t>High level of inherent safety due to natural properties of the lead, fuel, core and cooling design</t>
  </si>
  <si>
    <t>Russia</t>
  </si>
  <si>
    <t xml:space="preserve">Under Construction </t>
  </si>
  <si>
    <t xml:space="preserve">2026 (Start operation of pilot plant) </t>
  </si>
  <si>
    <t>Lead</t>
  </si>
  <si>
    <t>BWRX-300</t>
  </si>
  <si>
    <t>BWR</t>
  </si>
  <si>
    <t>Natural circulation BWR, integral RPV isolation valves, isolation condenser</t>
  </si>
  <si>
    <t>USA &amp; Japan</t>
  </si>
  <si>
    <t>Detailed Design</t>
  </si>
  <si>
    <t>2028 (Commercial)</t>
  </si>
  <si>
    <t>CANDU SMR</t>
  </si>
  <si>
    <t>PHWR</t>
  </si>
  <si>
    <t>Natural Uranium fuel (no enrichment); high degree of localization</t>
  </si>
  <si>
    <t>Conceptual Design</t>
  </si>
  <si>
    <t>2028 (In service)</t>
  </si>
  <si>
    <t>Heavy Water (D2O)</t>
  </si>
  <si>
    <t>CAP200</t>
  </si>
  <si>
    <t>PWR</t>
  </si>
  <si>
    <t>Compact layout; Passive safety; Underground containmen</t>
  </si>
  <si>
    <t>Basic Design</t>
  </si>
  <si>
    <t>2022 (Basic Design Started)</t>
  </si>
  <si>
    <t>CAREM</t>
  </si>
  <si>
    <t>Core heat removal by natural circulation, pressure suppression containment</t>
  </si>
  <si>
    <t>Argentina</t>
  </si>
  <si>
    <t>2026 (first criticality)</t>
  </si>
  <si>
    <t xml:space="preserve">CMSR </t>
  </si>
  <si>
    <t>Molten Salt SMR</t>
  </si>
  <si>
    <t xml:space="preserve"> MSR </t>
  </si>
  <si>
    <t>CMSR integrated into a floating non- self-propelled Power Barge; new CMSR units installed after 12 years. CMSR Power Barge operates for 24 years. Moduar Nature provides output from 200-800 MWe Liquid fuel which is the primary coolant, and a liquid moderator.</t>
  </si>
  <si>
    <t>Denmark</t>
  </si>
  <si>
    <t xml:space="preserve"> Conceptual Design </t>
  </si>
  <si>
    <t>2028 (1srt barge delivery)</t>
  </si>
  <si>
    <t xml:space="preserve">Fluoride fuel salt / NaOH salt (patented moderator) </t>
  </si>
  <si>
    <t xml:space="preserve">Copenhagen Atomics Waste Burner </t>
  </si>
  <si>
    <t xml:space="preserve">MSR </t>
  </si>
  <si>
    <t>Liquid moderator, Low fissile inventory, and Potential for breeding</t>
  </si>
  <si>
    <t xml:space="preserve">2028 (test of commercial 100 MW reactor) </t>
  </si>
  <si>
    <t xml:space="preserve">Fuel salt/heavy water </t>
  </si>
  <si>
    <t>DHR400</t>
  </si>
  <si>
    <t>PWR (pool type)</t>
  </si>
  <si>
    <t>Inherent safety features / Economical / Heat load tracking capability</t>
  </si>
  <si>
    <t>2023 (Commercial Operation)</t>
  </si>
  <si>
    <t>EM^2</t>
  </si>
  <si>
    <t>GFR</t>
  </si>
  <si>
    <t>No core meltdown, no active engineered safety systems</t>
  </si>
  <si>
    <t>USA</t>
  </si>
  <si>
    <t>Phase 3 (Proto Dev)</t>
  </si>
  <si>
    <t>Helium</t>
  </si>
  <si>
    <t>FMR</t>
  </si>
  <si>
    <t>Convert-and-burn/Silicon carbide composite cladding/ Fission gas collection</t>
  </si>
  <si>
    <t>2035 (Commercialization)</t>
  </si>
  <si>
    <t xml:space="preserve">FUJI </t>
  </si>
  <si>
    <t xml:space="preserve"> Self-sustaining at FUJI-U3. Spent fuel salt is reprocessed at off-site facility.</t>
  </si>
  <si>
    <t xml:space="preserve"> Preliminary Design Completed </t>
  </si>
  <si>
    <t>? Recent</t>
  </si>
  <si>
    <t xml:space="preserve">Molten fluoride/graphite </t>
  </si>
  <si>
    <t>GTHTR300</t>
  </si>
  <si>
    <t>HTGR (prismatic)</t>
  </si>
  <si>
    <t>Compact, low-weight design; simplicity of manufacturing, flexibility of operation; intrinsic passive safet</t>
  </si>
  <si>
    <t>2040 (Operation &amp; Demo)</t>
  </si>
  <si>
    <t>GT-MHR</t>
  </si>
  <si>
    <t>Multiple applications of power generation, cogeneration of hydrogen, process heat, steelmaking, desalination, district heating</t>
  </si>
  <si>
    <t>Preliminary Design Completed</t>
  </si>
  <si>
    <t>Since 2014 (Use for basis of MHR-T)</t>
  </si>
  <si>
    <t>HAPPY200</t>
  </si>
  <si>
    <t>Pool-loop combined type reactor, heat generator</t>
  </si>
  <si>
    <t>2027 (Commissioning &amp; commercial)</t>
  </si>
  <si>
    <t>HTMR100</t>
  </si>
  <si>
    <t>Inherent safety characteristics; no core melt; high efficiency; small number of safety systems Design status Preliminary desi</t>
  </si>
  <si>
    <t>2022 (Basic design started)</t>
  </si>
  <si>
    <t>HTR-10</t>
  </si>
  <si>
    <t>Inherent safety, no need for offsite emergency measures</t>
  </si>
  <si>
    <t>Operable</t>
  </si>
  <si>
    <t>2018 (Restart, test temp distribution)</t>
  </si>
  <si>
    <t>HTR-PM</t>
  </si>
  <si>
    <t>In operation</t>
  </si>
  <si>
    <t>HTTR</t>
  </si>
  <si>
    <t>To verify and demonstrate the technical and safety features; and to establish an experimental base for process heat applications</t>
  </si>
  <si>
    <t>2021 (Operation started)</t>
  </si>
  <si>
    <t>IMR</t>
  </si>
  <si>
    <t>Integral PWR with natural circulation; employs two types of in-vessel steam generator</t>
  </si>
  <si>
    <t>2019 (Development)</t>
  </si>
  <si>
    <t xml:space="preserve">IMSR400 </t>
  </si>
  <si>
    <t>Core-unit replaced completely as a single unit every 7 years; Fuel salt is reused from one Core-unit to the next</t>
  </si>
  <si>
    <t xml:space="preserve"> Detailed Design </t>
  </si>
  <si>
    <t>2031 (planned in service)</t>
  </si>
  <si>
    <t xml:space="preserve">Fluoride Fuel Salt/graphite </t>
  </si>
  <si>
    <t>i-SMR</t>
  </si>
  <si>
    <t>At least 72 hours for core cooling without AC/DC power</t>
  </si>
  <si>
    <t>Rep. of Korea</t>
  </si>
  <si>
    <t>2028 (Design Approval)</t>
  </si>
  <si>
    <t>Jimmy</t>
  </si>
  <si>
    <t>hardened silos</t>
  </si>
  <si>
    <t>France</t>
  </si>
  <si>
    <t>2026 (Fuel Loading &amp; Test)</t>
  </si>
  <si>
    <t>KARAT-100</t>
  </si>
  <si>
    <t>Multi-purpose reactor: cogeneration of electricity and heat</t>
  </si>
  <si>
    <t>T0+11 (First Start)</t>
  </si>
  <si>
    <t>KARAT-45</t>
  </si>
  <si>
    <t>Designed for extreme arctic and northern area conditions</t>
  </si>
  <si>
    <t xml:space="preserve">KP-FHR </t>
  </si>
  <si>
    <t xml:space="preserve"> FHR </t>
  </si>
  <si>
    <t>longer than 72-hours coping time for core cooling without AC/DC power or operation action</t>
  </si>
  <si>
    <t>2022 (ETU commissioning)</t>
  </si>
  <si>
    <t xml:space="preserve">Li2BeF4 / graphite </t>
  </si>
  <si>
    <t xml:space="preserve">LFR-AS-200 </t>
  </si>
  <si>
    <t>Active + passive walkaway safety; No intermediate loops; Simple, compact primary system: ≤ 1 m3/MWe; Compact reactor building.</t>
  </si>
  <si>
    <t>Italy</t>
  </si>
  <si>
    <t xml:space="preserve">Conceptual Design </t>
  </si>
  <si>
    <t xml:space="preserve">LFTR </t>
  </si>
  <si>
    <t xml:space="preserve"> Complete consumption of thorium resource for energy generation  </t>
  </si>
  <si>
    <t>LiF-BeF2-UF4 fuel salt / Graphite</t>
  </si>
  <si>
    <t xml:space="preserve">MCSFR </t>
  </si>
  <si>
    <t xml:space="preserve">MSR (fast spectrum) </t>
  </si>
  <si>
    <t>Fast spectrum, no in-core structure, 60 years fuel life</t>
  </si>
  <si>
    <t xml:space="preserve">2030 (Licensing/building commercially) </t>
  </si>
  <si>
    <t>NaCl-XClv-YClz-UCl3/4-PuCl3-FPClx fuel salt / None</t>
  </si>
  <si>
    <t>MHR-100</t>
  </si>
  <si>
    <t>HTGR</t>
  </si>
  <si>
    <t>Multi-module HTGR dedicated to hydrogen production / high temperature process heat application.</t>
  </si>
  <si>
    <t>2020 (Basis for non elec nuclear)</t>
  </si>
  <si>
    <t>MHR-T</t>
  </si>
  <si>
    <t>Inherent safety characteristics; no core melt; high temperature process heat capabilities; small number of safety systems</t>
  </si>
  <si>
    <t>2020 (Dev of basic Design sol)</t>
  </si>
  <si>
    <t xml:space="preserve">MicroURANUS </t>
  </si>
  <si>
    <t xml:space="preserve">LBE-cooled Reactor </t>
  </si>
  <si>
    <t xml:space="preserve">Ex-vessel emergency water cooling system </t>
  </si>
  <si>
    <t>2030 (construction permit for prototype reactor)</t>
  </si>
  <si>
    <t>Pb-Bi (45-55% Wt.%) eutectic alloy</t>
  </si>
  <si>
    <t xml:space="preserve">Mk1 PB-FHR </t>
  </si>
  <si>
    <t>FHR</t>
  </si>
  <si>
    <t xml:space="preserve">Large fuel and coolant thermal margin, high temperature operation </t>
  </si>
  <si>
    <t xml:space="preserve"> Pre-Conceptual Design </t>
  </si>
  <si>
    <t>? 2018 (demo)</t>
  </si>
  <si>
    <t>mPower</t>
  </si>
  <si>
    <t>In-vessel control rod drives mechanism</t>
  </si>
  <si>
    <t>NHR200-II</t>
  </si>
  <si>
    <t>Natural Circulation, Passive Safety</t>
  </si>
  <si>
    <t>2022 (Demo Project)</t>
  </si>
  <si>
    <t>NUWARD</t>
  </si>
  <si>
    <t>Integrated NSSS with pool submerged containment, boron-free in normal operation and in all Design Basis Conditions (DBC), semi-buried nuclear island</t>
  </si>
  <si>
    <t>2030 (First Concrete)</t>
  </si>
  <si>
    <t>OPEN20</t>
  </si>
  <si>
    <t>Fully-modular construction, underground nuclear island, digital controls, closed tertiary loop using air cooling</t>
  </si>
  <si>
    <t>2027 (Assembly line start)</t>
  </si>
  <si>
    <t>PBMR-400</t>
  </si>
  <si>
    <t>Inherent safety characteristics; no core melt; high efficiency; small number of safety systems</t>
  </si>
  <si>
    <t>2018 (Project in care &amp; maintancê</t>
  </si>
  <si>
    <t>PeLUIt / RDE</t>
  </si>
  <si>
    <t>Coated particle fuel; passive decay heat removal; passive safety; high temperature process steam; vented reactor building; 400m EPZ (emergency planning zone); underground construction; modular construction; available in a range of stationary (s) and mobile (m) power levels: 315(s), 180(s), 54(s), 10(s) and 7m (MWth)</t>
  </si>
  <si>
    <t>Indonesia</t>
  </si>
  <si>
    <t>2022 (Concept Design for hydrogen)</t>
  </si>
  <si>
    <t>RITM-200N</t>
  </si>
  <si>
    <t>Modular design; integral reactor; in-vessel corium retention in severe accidents</t>
  </si>
  <si>
    <t>Detailed Design Completed</t>
  </si>
  <si>
    <t>2027 (First Electricity)</t>
  </si>
  <si>
    <t>Water</t>
  </si>
  <si>
    <t>RR SMR</t>
  </si>
  <si>
    <t>Modular approach facilitating rapid and cost-effective build.</t>
  </si>
  <si>
    <t>UK</t>
  </si>
  <si>
    <t>2030 (Commercial Operation)</t>
  </si>
  <si>
    <t>RUTA-70</t>
  </si>
  <si>
    <t>Design capable for radioisotopes production for medical, neutron beams for neutron therapy and industrial purposes</t>
  </si>
  <si>
    <t>2003 (Tech &amp; econ assesment)</t>
  </si>
  <si>
    <t>SC-HTGR</t>
  </si>
  <si>
    <t>Online refuelling, core cannot melt and fuel damage minimized by design, independent radionuclide barriers, potential for advanced fuel cycles</t>
  </si>
  <si>
    <t>Preliminary Design</t>
  </si>
  <si>
    <t>2033 (Commercial Operation)</t>
  </si>
  <si>
    <t xml:space="preserve">SEALER-55 </t>
  </si>
  <si>
    <t xml:space="preserve">LMFR </t>
  </si>
  <si>
    <t xml:space="preserve">Nuclear battery </t>
  </si>
  <si>
    <t>Sweden</t>
  </si>
  <si>
    <t>2030 (operation of nuclear demonstration unit)</t>
  </si>
  <si>
    <t>SMART</t>
  </si>
  <si>
    <t>Coupling with desalination and process heat application, integrated primary system</t>
  </si>
  <si>
    <t>Rep. of Korea &amp; Saudi Arabia</t>
  </si>
  <si>
    <t>2020 (Design Approval)</t>
  </si>
  <si>
    <t>SMR-160</t>
  </si>
  <si>
    <t>Passive safety cooling systems and active non-safety systems; critical components below grade. Integrated dry spent fuel storage and transportation system</t>
  </si>
  <si>
    <t>2023 (Commercial)</t>
  </si>
  <si>
    <t xml:space="preserve">smTMSR-400 </t>
  </si>
  <si>
    <t>Replaceable Reactor module (~10 years); Passive safety Near 40% power contributed by thorium</t>
  </si>
  <si>
    <t xml:space="preserve">&gt; 2028 (construction start) </t>
  </si>
  <si>
    <t xml:space="preserve"> LiF-BeF2-ZrF4-ThF4-UF4 fuel salt / Graphite</t>
  </si>
  <si>
    <t xml:space="preserve">SSR-U </t>
  </si>
  <si>
    <t xml:space="preserve">FHR </t>
  </si>
  <si>
    <t xml:space="preserve">Low pressure molten salt reactor system; ~20 years fuel cycle; ~700°C heat output; Thermal </t>
  </si>
  <si>
    <t xml:space="preserve"> Basic Design </t>
  </si>
  <si>
    <t>? 2023 (preliminary report completed)</t>
  </si>
  <si>
    <t xml:space="preserve">Molten eutectic fluoride coolant salt / solid commercial grade graphite moderator </t>
  </si>
  <si>
    <t xml:space="preserve">SSR-W </t>
  </si>
  <si>
    <t xml:space="preserve"> MSR (static fuelled) </t>
  </si>
  <si>
    <t xml:space="preserve">Molten salt fuel in conventional fuel Assemblies. Thermal energy storage. </t>
  </si>
  <si>
    <t>? 2021 (phase 1 ompleted)</t>
  </si>
  <si>
    <t xml:space="preserve"> Coolant is molten salt MgCl/NaCl  No moderator</t>
  </si>
  <si>
    <t>STAR</t>
  </si>
  <si>
    <t>LWR (pressure tube)</t>
  </si>
  <si>
    <t>Compact, low-weight design without a pressure vessel; flexibility of operation; intrinsic passive safety</t>
  </si>
  <si>
    <t>Switzerland</t>
  </si>
  <si>
    <t>2027 (Pilot Unit)</t>
  </si>
  <si>
    <t>Starcore</t>
  </si>
  <si>
    <t>3 blocks in design + RPV 30 Metres below grade in</t>
  </si>
  <si>
    <t>Pre-Conceptual design</t>
  </si>
  <si>
    <t>2026 (Deployment/start of construction)</t>
  </si>
  <si>
    <t xml:space="preserve">SVBR </t>
  </si>
  <si>
    <t>Integral monoblock primary circuit where reactor, steam generators, pumps are installed in one vessel</t>
  </si>
  <si>
    <t>2032 (Serial production and supply of packaged equipment)</t>
  </si>
  <si>
    <t xml:space="preserve">Lead-bismuth eutectic alloy </t>
  </si>
  <si>
    <t>TEPLATOR</t>
  </si>
  <si>
    <t>HWR</t>
  </si>
  <si>
    <t>District heating zero CO2 source with zero fuel cost, heatstorage for decay heat removal.</t>
  </si>
  <si>
    <t>Czech Rep.</t>
  </si>
  <si>
    <t>2028+ (First Unit)</t>
  </si>
  <si>
    <t xml:space="preserve">ThorCon </t>
  </si>
  <si>
    <t xml:space="preserve">Full passive safety, short construction time, low cost </t>
  </si>
  <si>
    <t>USA and Indonesia</t>
  </si>
  <si>
    <t>2028 (commercial construction start)</t>
  </si>
  <si>
    <t xml:space="preserve">Molten salts / graphite </t>
  </si>
  <si>
    <t xml:space="preserve">THORIZON </t>
  </si>
  <si>
    <t>Nuclear safe core material replacement strategy, with external core module series production, continuous improvement by module updates, and fuel cycle flexibility</t>
  </si>
  <si>
    <t>Netherlands</t>
  </si>
  <si>
    <t>2035 (initial operation)</t>
  </si>
  <si>
    <t>Molten salt/graphite (no salt-graphite contact)</t>
  </si>
  <si>
    <t>VK-300</t>
  </si>
  <si>
    <t>Innovative passive BWR based on operating prototype and welldeveloped equipment</t>
  </si>
  <si>
    <t>2013 (Design Validation)</t>
  </si>
  <si>
    <t>VOYGR</t>
  </si>
  <si>
    <t>Unlimited time for core cooling without AC or DC power, or water addition, or operator action</t>
  </si>
  <si>
    <t>Equipment Manifacturing</t>
  </si>
  <si>
    <t>2029 (Commercial)</t>
  </si>
  <si>
    <t xml:space="preserve">Westinghouse LFR </t>
  </si>
  <si>
    <t>Safety demonstration test</t>
  </si>
  <si>
    <t>Beyond 2030s (liscensed and deployed)</t>
  </si>
  <si>
    <t xml:space="preserve">Lead / fast spectrum </t>
  </si>
  <si>
    <t>Westinghouse SMR</t>
  </si>
  <si>
    <t>Incorporates passive safety systems and proven components of the AP1000 plant and earlier Westinghouse designs</t>
  </si>
  <si>
    <t>2015 (Conceptual Design Complete)</t>
  </si>
  <si>
    <t>Xe-100</t>
  </si>
  <si>
    <t>Silicon carbide composite cladding</t>
  </si>
  <si>
    <t>2025 (Start of Construction)</t>
  </si>
  <si>
    <t>Final Mark</t>
  </si>
  <si>
    <t xml:space="preserve">Previous activity in Nuclear 
Plant Import/Export </t>
  </si>
  <si>
    <t>Worldwide Political 
Stability Indicator  (-2.5 to +2.5)</t>
  </si>
  <si>
    <t>Global Peace 
Index</t>
  </si>
  <si>
    <t>OECD Members or
 close partners (2-0)</t>
  </si>
  <si>
    <t xml:space="preserve">RCEP Trade 
agreement </t>
  </si>
  <si>
    <t>EAR Sanctions</t>
  </si>
  <si>
    <t>Already
 Exporter</t>
  </si>
  <si>
    <t xml:space="preserve">Grading </t>
  </si>
  <si>
    <t>NP1</t>
  </si>
  <si>
    <t>NP2</t>
  </si>
  <si>
    <t>Rep. Of Korea</t>
  </si>
  <si>
    <t>Sum</t>
  </si>
  <si>
    <t xml:space="preserve">For Sum &gt;7 =&gt;Grade =5
For Sum 6-7 =&gt;Grade =4
For Sum 5 -4=&gt; Grade =3
For Sum 3-2 =&gt; Grade=2
For Sum 1 =&gt; Grade =1
</t>
  </si>
  <si>
    <t>Max</t>
  </si>
  <si>
    <t>USAJApan</t>
  </si>
  <si>
    <t>USA &amp; Indonesia</t>
  </si>
  <si>
    <t>Se-100</t>
  </si>
  <si>
    <t>Grade</t>
  </si>
  <si>
    <t xml:space="preserve">the expected lifetime duration has been defined as the time over which a hydrogen production plant can operate effectively and profitably, considering factors like maintenance costs, operational efficiency, and revenue generation.
It encompasses the total period during which the reactor remains economically viable, allowing for a return on investment.
This Criteria as defined is difficult to grade because most of the project are still in conception phase. No economical lifetime can be calculated because it depends on a lot of different factors like the installation country, the costs of materials, the cost of fuels, the OPEX costs, the hydrogen cost... 
The estimates we can make for projects starting decades from now, with lifetimes of up to 80 years, are virtually impossible. Since many economic criteria such as CAPEX or OPEX are already considered in the multi-criteria analysis, the focus will be set on the design lifetime of the projects and technologies.
The different companies can estimate the lifetime of their project regarding the technical end-of-life limits, especially for materials (C Stoiber, 2010).
The projected design lifetime transmitted from the companies to the IEA are used to define a grade. The maximal lifetime for all the SMR projects is 80 years. We will take this as a reference to calculate the grades of all the projects (80 years is 10/10).
The missing data for some projects have been handled by taking the average lifetime value of the technology group. </t>
  </si>
  <si>
    <t>Min</t>
  </si>
  <si>
    <t>Thermal Efficiency</t>
  </si>
  <si>
    <t>Value Production Efficiency (Thermal)</t>
  </si>
  <si>
    <t>Production Efficiency ALK</t>
  </si>
  <si>
    <t>Value ALK</t>
  </si>
  <si>
    <t>Production Efficiency PEM</t>
  </si>
  <si>
    <t>Value PEM</t>
  </si>
  <si>
    <t>Production Efficiency SOEC</t>
  </si>
  <si>
    <t>Value SOEC</t>
  </si>
  <si>
    <t>MWe</t>
  </si>
  <si>
    <t>MWt</t>
  </si>
  <si>
    <t> </t>
  </si>
  <si>
    <t>Coolant Type</t>
  </si>
  <si>
    <t>319,5</t>
  </si>
  <si>
    <t>0,4</t>
  </si>
  <si>
    <t>320,9</t>
  </si>
  <si>
    <t xml:space="preserve">Li2BeF4 (Molten salt) / graphite </t>
  </si>
  <si>
    <t>Lead-bismuth Pb-Bi (45-55% Wt.%) eutectic alloy</t>
  </si>
  <si>
    <t>318,9</t>
  </si>
  <si>
    <t>LiF-BeF2-ZrF4-ThF4-UF4 fuel salt / Graphite</t>
  </si>
  <si>
    <t xml:space="preserve">MSR (static fuelled) </t>
  </si>
  <si>
    <t>Grading according to plant size</t>
  </si>
  <si>
    <t>Grading according to Technology</t>
  </si>
  <si>
    <t>Grading according to Inflation</t>
  </si>
  <si>
    <t>Final Grade</t>
  </si>
  <si>
    <t>M$</t>
  </si>
  <si>
    <t>Technology Type</t>
  </si>
  <si>
    <t>CAPEX Range (USD/kW)</t>
  </si>
  <si>
    <t>Mean</t>
  </si>
  <si>
    <t>Light-Water Reactors (LWRs)</t>
  </si>
  <si>
    <t>$3,000 - $6,000</t>
  </si>
  <si>
    <t>High-Temperature Gas Reactors (HTGRs)</t>
  </si>
  <si>
    <t>$4,000 - $7,000</t>
  </si>
  <si>
    <t>Molten Salt Reactors (MSRs)</t>
  </si>
  <si>
    <t>$5,000 - $8,000</t>
  </si>
  <si>
    <t>Fast Neutron Reactors</t>
  </si>
  <si>
    <t>$4,000 - $10,000</t>
  </si>
  <si>
    <t>Inflation Index</t>
  </si>
  <si>
    <t>Fuel cost</t>
  </si>
  <si>
    <t>Grading according to Coolant</t>
  </si>
  <si>
    <t>Other Costs</t>
  </si>
  <si>
    <t>Grading based on Other costs</t>
  </si>
  <si>
    <t>GWh</t>
  </si>
  <si>
    <t>$/yr</t>
  </si>
  <si>
    <t> /10</t>
  </si>
  <si>
    <t>/6</t>
  </si>
  <si>
    <t>Typical OPEX Range (per MWh)</t>
  </si>
  <si>
    <t>Liquid Sodium</t>
  </si>
  <si>
    <t>PWR, BWR</t>
  </si>
  <si>
    <t>$20–$40</t>
  </si>
  <si>
    <t>PHWR, CANDU</t>
  </si>
  <si>
    <t>Heavy Water</t>
  </si>
  <si>
    <t>$30–$50</t>
  </si>
  <si>
    <t>Gas (CO₂, He)</t>
  </si>
  <si>
    <t>AGR, HTGR</t>
  </si>
  <si>
    <t>$40–$60</t>
  </si>
  <si>
    <t>Sodium Fast Reactor</t>
  </si>
  <si>
    <t>$50–$70</t>
  </si>
  <si>
    <t>Molten Salt Reactor</t>
  </si>
  <si>
    <t>Molten Salt</t>
  </si>
  <si>
    <t>$30–$55 (estimated)</t>
  </si>
  <si>
    <t>ead-Cooled Fast Reactor (LFR)</t>
  </si>
  <si>
    <t>$45–$65 (estimated)</t>
  </si>
  <si>
    <t xml:space="preserve">Heavy Water </t>
  </si>
  <si>
    <t>Project created with multiple hearts in mind for plant?</t>
  </si>
  <si>
    <t>0 or 1</t>
  </si>
  <si>
    <t>Reference scale</t>
  </si>
  <si>
    <t>TRL 1-9</t>
  </si>
  <si>
    <t>Remark/Reason</t>
  </si>
  <si>
    <t>Scale out of 10</t>
  </si>
  <si>
    <t>Tech</t>
  </si>
  <si>
    <t>Paper</t>
  </si>
  <si>
    <t>Data</t>
  </si>
  <si>
    <t>2026 (commercial operation)</t>
  </si>
  <si>
    <t>Design Status</t>
  </si>
  <si>
    <t>TRL</t>
  </si>
  <si>
    <t>TRL 7-9</t>
  </si>
  <si>
    <t>TRL 5-7</t>
  </si>
  <si>
    <t>2023  (Ready for commercialization)</t>
  </si>
  <si>
    <t>4,5</t>
  </si>
  <si>
    <r>
      <t xml:space="preserve">PSAR for Commercial Project by 2023: </t>
    </r>
    <r>
      <rPr>
        <i/>
        <sz val="11"/>
        <color theme="1"/>
        <rFont val="Aptos Narrow"/>
        <family val="2"/>
        <scheme val="minor"/>
      </rPr>
      <t>Preliminary Safety Analysis Report (PSAR)</t>
    </r>
  </si>
  <si>
    <t>TRL 3-5</t>
  </si>
  <si>
    <t>2029 (Commercial operational)</t>
  </si>
  <si>
    <t>construction start 2025</t>
  </si>
  <si>
    <t>TRL 4-6</t>
  </si>
  <si>
    <t>2027 (First Electricity to be generated)</t>
  </si>
  <si>
    <t>6,7</t>
  </si>
  <si>
    <t xml:space="preserve">2026 Operation license to be issued </t>
  </si>
  <si>
    <t>Basic &amp; Preliminary Design</t>
  </si>
  <si>
    <t xml:space="preserve">2025 To start construction of a proto-type NPP in China </t>
  </si>
  <si>
    <t>2022 Planned OPG submittal of License to Construct for DNNP-1</t>
  </si>
  <si>
    <t>2026 Projected start of first of a kind construction</t>
  </si>
  <si>
    <t>2013 (R&amp;D for Design Validation)</t>
  </si>
  <si>
    <r>
      <t xml:space="preserve">Ongoing R&amp;D for </t>
    </r>
    <r>
      <rPr>
        <i/>
        <sz val="11"/>
        <color theme="1"/>
        <rFont val="Aptos Narrow"/>
        <family val="2"/>
        <scheme val="minor"/>
      </rPr>
      <t>validation and actualization</t>
    </r>
    <r>
      <rPr>
        <sz val="11"/>
        <color theme="1"/>
        <rFont val="Aptos Narrow"/>
        <family val="2"/>
        <scheme val="minor"/>
      </rPr>
      <t xml:space="preserve"> of a design</t>
    </r>
  </si>
  <si>
    <t>Under Construction &amp; Equipment Manufacturing</t>
  </si>
  <si>
    <t>2019 pre project completed. Without future plans.</t>
  </si>
  <si>
    <t>In Operation</t>
  </si>
  <si>
    <t>Detailed Design and Construction-Ready Drawings</t>
  </si>
  <si>
    <t>Without future plans.</t>
  </si>
  <si>
    <t>2019 (SMR development based on the IMR experiences)</t>
  </si>
  <si>
    <t>2,3</t>
  </si>
  <si>
    <t>Start of DEMO unit construction</t>
  </si>
  <si>
    <t>conformity with Russian laws. No designated schedule.</t>
  </si>
  <si>
    <t>preparing for pre-licensing</t>
  </si>
  <si>
    <t>based on Contract Effective Date</t>
  </si>
  <si>
    <t>NAN</t>
  </si>
  <si>
    <t>mid-2020s Design Certification and site-specific licensing, without future plans</t>
  </si>
  <si>
    <t>2023 Basic design completed</t>
  </si>
  <si>
    <t>waiting upon commercial request. Without future plans.</t>
  </si>
  <si>
    <t>Seeking for construction license in 2023.</t>
  </si>
  <si>
    <t>2022 Plan to complete the preliminary work</t>
  </si>
  <si>
    <t xml:space="preserve">2022 Basic design started </t>
  </si>
  <si>
    <t>Site permit to be developed</t>
  </si>
  <si>
    <t>2022 operation</t>
  </si>
  <si>
    <t xml:space="preserve">conceptual design of pilot fuel production and reactor are in progress. </t>
  </si>
  <si>
    <t>Interaction with Nuclear Safety Authority has started</t>
  </si>
  <si>
    <t>2026 (Commissioning, Fuel Loading &amp; Test)</t>
  </si>
  <si>
    <t>2026 Commissioning</t>
  </si>
  <si>
    <t>The design is developed at pre-licensing basic design stage.</t>
  </si>
  <si>
    <t>2020 ( Development of basic design solutions)</t>
  </si>
  <si>
    <t>Feasibility study of plant application for large-scale hydrogen production completed</t>
  </si>
  <si>
    <t>pre-license application is underway.</t>
  </si>
  <si>
    <t>Completion of demonstration, no future plans</t>
  </si>
  <si>
    <t xml:space="preserve">Preliminary Design Completed </t>
  </si>
  <si>
    <t>2028 Start of commercial operation</t>
  </si>
  <si>
    <t>licensing for commercial unit</t>
  </si>
  <si>
    <t xml:space="preserve">2022( experimental demo) </t>
  </si>
  <si>
    <t>experimental MSRs were built. Detailed design not started</t>
  </si>
  <si>
    <t>2018 (Project in care &amp; maintance)</t>
  </si>
  <si>
    <t>project was terminated in 2010</t>
  </si>
  <si>
    <t xml:space="preserve">Pre-Conceptual Design </t>
  </si>
  <si>
    <t>facilities demonstration</t>
  </si>
  <si>
    <t>feasibility study for for large-scale hydrogen production</t>
  </si>
  <si>
    <t>2026 start of demo</t>
  </si>
  <si>
    <t>2026 License to Prepare Site</t>
  </si>
  <si>
    <t>2013 (submitting technical report)</t>
  </si>
  <si>
    <t>Without future plans</t>
  </si>
  <si>
    <t xml:space="preserve">2028 construction permit of the prototype </t>
  </si>
  <si>
    <t>Design restarted after an idle phase. Licensing process has not started.</t>
  </si>
  <si>
    <t xml:space="preserve">construction in 2025 </t>
  </si>
  <si>
    <t>2032 (operation of nuclear demonstration unit)</t>
  </si>
  <si>
    <t xml:space="preserve">2030 nuclear demonstration unit is taken into operation </t>
  </si>
  <si>
    <t>2025 Start of Construction. Commission pre-licensing phase</t>
  </si>
  <si>
    <t xml:space="preserve">The licensing framework for the proof of concept is complete </t>
  </si>
  <si>
    <t xml:space="preserve">2022 Basic design started. </t>
  </si>
  <si>
    <t xml:space="preserve">pre-application licensing engagement </t>
  </si>
  <si>
    <t>2021 (phase 1 completed)</t>
  </si>
  <si>
    <t>Phase 2 review. Without future plans</t>
  </si>
  <si>
    <t>design is in an early stage of development</t>
  </si>
  <si>
    <t>Test of demo reactor</t>
  </si>
  <si>
    <t>hydrogen production system, without future plans</t>
  </si>
  <si>
    <t xml:space="preserve">Basic Design </t>
  </si>
  <si>
    <t>2023 (preliminary report completed)</t>
  </si>
  <si>
    <t xml:space="preserve">Preliminary Safety Report (PSR) Complete </t>
  </si>
  <si>
    <t>2022 (ETU (engineering test unit) commissioning)</t>
  </si>
  <si>
    <t>2026 end of design</t>
  </si>
  <si>
    <t>2021 operation</t>
  </si>
  <si>
    <t>2018 operation</t>
  </si>
  <si>
    <t>refueling cycle</t>
  </si>
  <si>
    <t>Outage for refueling</t>
  </si>
  <si>
    <t>Core Damage Frequency (CDF)</t>
  </si>
  <si>
    <t>Outages cycle per year</t>
  </si>
  <si>
    <t>Refueling downtime per year</t>
  </si>
  <si>
    <t>Maintenance per year</t>
  </si>
  <si>
    <t>Unscheduled Downtime</t>
  </si>
  <si>
    <t>Availability </t>
  </si>
  <si>
    <t>rank</t>
  </si>
  <si>
    <t>months</t>
  </si>
  <si>
    <t>days</t>
  </si>
  <si>
    <t>per year</t>
  </si>
  <si>
    <t>hours</t>
  </si>
  <si>
    <t>Availability (h/year)=T−(SD+UD)</t>
  </si>
  <si>
    <t xml:space="preserve">Total Hours in a Year (T): </t>
  </si>
  <si>
    <t>60 – 72</t>
  </si>
  <si>
    <t xml:space="preserve"> 12 - 24 </t>
  </si>
  <si>
    <t xml:space="preserve"> 10 - 20 </t>
  </si>
  <si>
    <t>Scheduled Downtime (SD): Time planned for maintenance, inspections, or refueling.</t>
  </si>
  <si>
    <t>Unscheduled Downtime (UD): Time lost due to unexpected issues, such as equipment failures or emergency shutdowns.</t>
  </si>
  <si>
    <r>
      <t>Operational Hours (OH):</t>
    </r>
    <r>
      <rPr>
        <sz val="11"/>
        <color theme="1"/>
        <rFont val="Aptos Narrow"/>
        <family val="2"/>
        <scheme val="minor"/>
      </rPr>
      <t xml:space="preserve"> Total hours the SMR is producing energy or hydrogen in a given year.</t>
    </r>
  </si>
  <si>
    <t>Outages cycle per year = 12 / refueling cycle</t>
  </si>
  <si>
    <t>refueling downtime per year = Outages cycle per year*outage days * 24</t>
  </si>
  <si>
    <t>on-line</t>
  </si>
  <si>
    <t>Scale</t>
  </si>
  <si>
    <t>Rate</t>
  </si>
  <si>
    <t xml:space="preserve"> 480 - 720 </t>
  </si>
  <si>
    <t xml:space="preserve"> 120 - 240 </t>
  </si>
  <si>
    <t xml:space="preserve">No refuelling </t>
  </si>
  <si>
    <t xml:space="preserve">Continuous operation possible </t>
  </si>
  <si>
    <t xml:space="preserve">On-line refuelling </t>
  </si>
  <si>
    <t xml:space="preserve">96 – 180 </t>
  </si>
  <si>
    <t xml:space="preserve">36 – 78 </t>
  </si>
  <si>
    <t xml:space="preserve">84 – 96 </t>
  </si>
  <si>
    <t xml:space="preserve">Online fuel loading </t>
  </si>
  <si>
    <t>on-load refuelling</t>
  </si>
  <si>
    <t>Continuous refuelling</t>
  </si>
  <si>
    <t>Footprint</t>
  </si>
  <si>
    <t>Comment</t>
  </si>
  <si>
    <t>Grade Adapdation</t>
  </si>
  <si>
    <t>m^2</t>
  </si>
  <si>
    <t>/</t>
  </si>
  <si>
    <t>Base for 10/10 is the reactor being less than 20000 m^2</t>
  </si>
  <si>
    <t>Highest Grade 7.5/10 lowest 2.5/10</t>
  </si>
  <si>
    <t>~ 60 000, for NPP with 2 reactors ~ 90 000, for NPP with 4reactors</t>
  </si>
  <si>
    <t>nuclear island including fuel storage pool</t>
  </si>
  <si>
    <t>1/3 size of LWR</t>
  </si>
  <si>
    <t>1 Reactor of a 4 reactor plant</t>
  </si>
  <si>
    <t>one out of 4 reactor category</t>
  </si>
  <si>
    <t>Main Structure only</t>
  </si>
  <si>
    <t>Depends on Configuration</t>
  </si>
  <si>
    <t>with air-cooled condensers</t>
  </si>
  <si>
    <t>nuclear island with fuel storage</t>
  </si>
  <si>
    <t>with fence, 600 just unit</t>
  </si>
  <si>
    <t>one out of fore reactor+turbines</t>
  </si>
  <si>
    <t>To be comfirmed</t>
  </si>
  <si>
    <t>Buildings Only</t>
  </si>
  <si>
    <t>one out of fore modules</t>
  </si>
  <si>
    <t>32units (0.5 GW(e)) ~ 10,000</t>
  </si>
  <si>
    <t>200 - 800 MWe – 5 000 – 14 000 m2 Depending on the Power Barge model.</t>
  </si>
  <si>
    <t>Core Discharge Burnup (GWd/ton)</t>
  </si>
  <si>
    <t>GWd/ton to MWh/ton</t>
  </si>
  <si>
    <t>Yearly Uranium use</t>
  </si>
  <si>
    <t>Price Uranium 99274.89€</t>
  </si>
  <si>
    <t>MW to MWh</t>
  </si>
  <si>
    <t>Electricity Revenue (56.5 €/MWh)</t>
  </si>
  <si>
    <t>Profit</t>
  </si>
  <si>
    <t>Reuse extra point</t>
  </si>
  <si>
    <t>MWh</t>
  </si>
  <si>
    <t>Ton</t>
  </si>
  <si>
    <t>€</t>
  </si>
  <si>
    <t>Yes/no</t>
  </si>
  <si>
    <t>Price of electricity based on average price of elec for 2023 in finland</t>
  </si>
  <si>
    <t>https://energia.fi/wp-content/uploads/2024/01/Electricity-price-statistics-2023.pdf</t>
  </si>
  <si>
    <t>Price of Uranium based of average price of 2023 in $ per pound</t>
  </si>
  <si>
    <t>https://www.statista.com/statistics/260005/monthly-uranium-price/</t>
  </si>
  <si>
    <t>Exchange rate in euros used is: 1$=0.92€</t>
  </si>
  <si>
    <t>1pnd=0.454kg</t>
  </si>
  <si>
    <t>So price used is: 99274.88987 €/ton of uranium</t>
  </si>
  <si>
    <t>Uranium quantity use checks out compared to other nuclear station</t>
  </si>
  <si>
    <t>https://www.kernenergie.ch/fr/faq-detail-682.html</t>
  </si>
  <si>
    <t>Average per Tech+prendre la meilleire note comme le meilleure truc mais plutot comme prendre le meilleir1/8 meilleure</t>
  </si>
  <si>
    <t>Add extra point if reuse nuclear fuel</t>
  </si>
  <si>
    <t>Alkaline</t>
  </si>
  <si>
    <t>PEM</t>
  </si>
  <si>
    <t>AEM</t>
  </si>
  <si>
    <t>SOEC</t>
  </si>
  <si>
    <t>System energy consumption (kWh/kg H2)</t>
  </si>
  <si>
    <t>50-78</t>
  </si>
  <si>
    <t>50-83</t>
  </si>
  <si>
    <t>57-69</t>
  </si>
  <si>
    <t>38 (With steam import)</t>
  </si>
  <si>
    <t>48 (without steam import)</t>
  </si>
  <si>
    <t>Stack cost (2020 $/kW)</t>
  </si>
  <si>
    <t>270-450</t>
  </si>
  <si>
    <t>400 - 870</t>
  </si>
  <si>
    <t>250-2,000</t>
  </si>
  <si>
    <t>Electrolyzer system cost with BOP (2020 $/kW)</t>
  </si>
  <si>
    <t>800 -1,500</t>
  </si>
  <si>
    <t>1,400-2,100</t>
  </si>
  <si>
    <t>917 - 4,000</t>
  </si>
  <si>
    <t>Stack lifetime (full load hours)</t>
  </si>
  <si>
    <t>60,000 — I000000</t>
  </si>
  <si>
    <t>50,000 — 90000</t>
  </si>
  <si>
    <t>5,000 - 40,000</t>
  </si>
  <si>
    <t>20,000 — 50000</t>
  </si>
  <si>
    <t>Degradation (% 1000 hours)</t>
  </si>
  <si>
    <t xml:space="preserve">Ramp up time hot idle to nominal power </t>
  </si>
  <si>
    <t xml:space="preserve">60s </t>
  </si>
  <si>
    <t>I0s</t>
  </si>
  <si>
    <t xml:space="preserve">30 minutes </t>
  </si>
  <si>
    <t xml:space="preserve">10 minutes </t>
  </si>
  <si>
    <t>Cold ramp up time</t>
  </si>
  <si>
    <t>minutes</t>
  </si>
  <si>
    <t>30 — 60</t>
  </si>
  <si>
    <t>Minimum load</t>
  </si>
  <si>
    <t>10 — 40</t>
  </si>
  <si>
    <t>5— 10</t>
  </si>
  <si>
    <t>10—20</t>
  </si>
  <si>
    <t>Development stage Electrolyte</t>
  </si>
  <si>
    <t>&gt;1GW deployed</t>
  </si>
  <si>
    <t>&gt;100 MW deployed</t>
  </si>
  <si>
    <t>&lt;10 MW deployed</t>
  </si>
  <si>
    <t>&gt;1GW deployed (fuel cell)</t>
  </si>
  <si>
    <t>&lt;10 MW deployed (electrolyser)</t>
  </si>
  <si>
    <t>Electrolyte</t>
  </si>
  <si>
    <t>Liquid: 25-40% KOH</t>
  </si>
  <si>
    <t>Solid: proton exchange membrane (Nafion)</t>
  </si>
  <si>
    <t>Liquid - solid hybrid: 1%KOH/anion exchange membrane</t>
  </si>
  <si>
    <t>Solid: ceramic - zirconia or ceria based</t>
  </si>
  <si>
    <t>Operating temperature (•C)</t>
  </si>
  <si>
    <t>70-90</t>
  </si>
  <si>
    <t>50-80</t>
  </si>
  <si>
    <t>40-80</t>
  </si>
  <si>
    <t>500-900</t>
  </si>
  <si>
    <t>Operating  pressure (bar)</t>
  </si>
  <si>
    <t>Conventional: atmospheric Modem: up to 30 bar (50 among startups)</t>
  </si>
  <si>
    <t>Up to 80 (350 among startups)</t>
  </si>
  <si>
    <t>Up to 35 with potential for much higher in the future</t>
  </si>
  <si>
    <t>0 -2 bar</t>
  </si>
  <si>
    <t>Typical current today (A/Cm.2)</t>
  </si>
  <si>
    <t>0.4-1.0</t>
  </si>
  <si>
    <t>0,2-4,0</t>
  </si>
  <si>
    <t>0.2 -2,0</t>
  </si>
  <si>
    <t>0.5 -1.5</t>
  </si>
  <si>
    <t>Inputs</t>
  </si>
  <si>
    <t xml:space="preserve">Water (H₂O) for reaction </t>
  </si>
  <si>
    <t xml:space="preserve">Water (H₂O) for reaction   </t>
  </si>
  <si>
    <t>Water (H₂O) for reaction</t>
  </si>
  <si>
    <t>Steam</t>
  </si>
  <si>
    <t>T°C?? it is defined as the operating temperature of the stack and there is no pre heating needed for the water</t>
  </si>
  <si>
    <t>Alkaline electrolyte (KOH or NaOH)</t>
  </si>
  <si>
    <t>Pressure</t>
  </si>
  <si>
    <t>Anion exchange membrane/ 1%KOH additive</t>
  </si>
  <si>
    <t>Heat</t>
  </si>
  <si>
    <t>Electrical energy (DC power)</t>
  </si>
  <si>
    <t xml:space="preserve">Electrical energy (DC power) </t>
  </si>
  <si>
    <t>Cooling water</t>
  </si>
  <si>
    <t xml:space="preserve">Cooling water </t>
  </si>
  <si>
    <t xml:space="preserve">Electricity Power Output </t>
  </si>
  <si>
    <t xml:space="preserve">Thermal </t>
  </si>
  <si>
    <t xml:space="preserve">Safety </t>
  </si>
  <si>
    <t xml:space="preserve">Ecological impact </t>
  </si>
  <si>
    <t xml:space="preserve">https://www.iaea.org/newscenter/news/what-are-small-modular-reactors-smrs
</t>
  </si>
  <si>
    <t>https://aris.iaea.org/Publications/SMR_booklet_2022.pdf</t>
  </si>
  <si>
    <t>PeluIt / RDE</t>
  </si>
  <si>
    <t xml:space="preserve">Project </t>
  </si>
  <si>
    <t>AMR</t>
  </si>
  <si>
    <t>SMR</t>
  </si>
  <si>
    <t>Name of Technology</t>
  </si>
  <si>
    <t>-</t>
  </si>
  <si>
    <t>High/Very high temperature gas reactors  
(HTG/VTG)</t>
  </si>
  <si>
    <t>Sodium- cooled fast reactors (SFR)</t>
  </si>
  <si>
    <t>Supercritical water-cooled reactors (SCWR)</t>
  </si>
  <si>
    <t>Gas-cooled fast reactors (GFR)</t>
  </si>
  <si>
    <t>Lead-cooled fast reactors (LFR)</t>
  </si>
  <si>
    <t>Molten salt fast reactors (MSR)</t>
  </si>
  <si>
    <t>Boiling water reactor (BWR)​</t>
  </si>
  <si>
    <t>Fast Breeder Reactor (FBR)​</t>
  </si>
  <si>
    <t>Heatpipe microeactor​</t>
  </si>
  <si>
    <t>Pressurized water reactor (PWR)​</t>
  </si>
  <si>
    <t xml:space="preserve"> </t>
  </si>
  <si>
    <t>Lead or lead- bismuth</t>
  </si>
  <si>
    <t>Fluoride salts</t>
  </si>
  <si>
    <t>Readiness</t>
  </si>
  <si>
    <t xml:space="preserve">7 / 5 </t>
  </si>
  <si>
    <t>4 thermal 
3 fast</t>
  </si>
  <si>
    <t>Temperature at outlet</t>
  </si>
  <si>
    <t>900–1,000</t>
  </si>
  <si>
    <t>500-550</t>
  </si>
  <si>
    <t>510–625</t>
  </si>
  <si>
    <t>480–800</t>
  </si>
  <si>
    <t>700–800</t>
  </si>
  <si>
    <t>UO2 prism or pebbles</t>
  </si>
  <si>
    <t>U-238 &amp; MOX</t>
  </si>
  <si>
    <t>UO2</t>
  </si>
  <si>
    <t>U-238†</t>
  </si>
  <si>
    <t>UF in salt</t>
  </si>
  <si>
    <t>Fuel Cycle</t>
  </si>
  <si>
    <t>Open</t>
  </si>
  <si>
    <t>Closed</t>
  </si>
  <si>
    <t>Open (thermal)
Closed (fast)</t>
  </si>
  <si>
    <t>Closed, on site</t>
  </si>
  <si>
    <t>Closed, regional</t>
  </si>
  <si>
    <t>Economic Analysis</t>
  </si>
  <si>
    <t xml:space="preserve">Risk </t>
  </si>
  <si>
    <t>Toxic</t>
  </si>
  <si>
    <t>CAPEX</t>
  </si>
  <si>
    <t>OPEX</t>
  </si>
  <si>
    <t>317°C </t>
  </si>
  <si>
    <t>303°C </t>
  </si>
  <si>
    <t>308°C </t>
  </si>
  <si>
    <t>375°C </t>
  </si>
  <si>
    <t>387°C </t>
  </si>
  <si>
    <t>277°C </t>
  </si>
  <si>
    <t>320°C </t>
  </si>
  <si>
    <t>261°C </t>
  </si>
  <si>
    <t>H2 density</t>
  </si>
  <si>
    <t>0,083</t>
  </si>
  <si>
    <t>kg/m³</t>
  </si>
  <si>
    <t>Parameter/Electrolyzer Type</t>
  </si>
  <si>
    <t>Alkaline (ALK)</t>
  </si>
  <si>
    <t>Proton exchange membrane (PEM)</t>
  </si>
  <si>
    <t>Solid oxide electrolyzer cell (SOEC)</t>
  </si>
  <si>
    <t>1KW=1J/s</t>
  </si>
  <si>
    <t>Water T°C</t>
  </si>
  <si>
    <t>minimum T°C values</t>
  </si>
  <si>
    <t>1 MWh= 1 3,6 x 10^9 J</t>
  </si>
  <si>
    <t>Electricity input (MWh)</t>
  </si>
  <si>
    <t>0,050</t>
  </si>
  <si>
    <t>0,051</t>
  </si>
  <si>
    <t>0,060</t>
  </si>
  <si>
    <t>0,055</t>
  </si>
  <si>
    <t>0,041</t>
  </si>
  <si>
    <t>1 MWh= x MJ / 3600</t>
  </si>
  <si>
    <t>Thermal input (MWh)</t>
  </si>
  <si>
    <t>0,007</t>
  </si>
  <si>
    <t>0,008</t>
  </si>
  <si>
    <t>0,009</t>
  </si>
  <si>
    <t>H2 Generation (kgH2)</t>
  </si>
  <si>
    <t>Reactor type</t>
  </si>
  <si>
    <t>Outlet temp (◦C)</t>
  </si>
  <si>
    <t>Temp min</t>
  </si>
  <si>
    <t>Temp max</t>
  </si>
  <si>
    <t>Thermal power (MWt)</t>
  </si>
  <si>
    <t>Avg MWe</t>
  </si>
  <si>
    <t>Avg MWt</t>
  </si>
  <si>
    <t>Electrical output (MWe)</t>
  </si>
  <si>
    <t>LWR</t>
  </si>
  <si>
    <t>Light Water Reactor</t>
  </si>
  <si>
    <t xml:space="preserve">Low (&lt;300 ◦C) </t>
  </si>
  <si>
    <t>AGR</t>
  </si>
  <si>
    <t xml:space="preserve">Advanced Gas Reactor </t>
  </si>
  <si>
    <t>Medium (&lt;750 ◦C)</t>
  </si>
  <si>
    <t>SFR</t>
  </si>
  <si>
    <t>Sodium Cooled Fast Reactor</t>
  </si>
  <si>
    <t>LCR</t>
  </si>
  <si>
    <t>Lead Cooled Fast Reactor</t>
  </si>
  <si>
    <t>SCWR</t>
  </si>
  <si>
    <t>Super Critical Water Reactor</t>
  </si>
  <si>
    <t>MSFR</t>
  </si>
  <si>
    <t>Molten Salt Fast Reactor</t>
  </si>
  <si>
    <t>VHTR</t>
  </si>
  <si>
    <t>Very High Temperature Reactor</t>
  </si>
  <si>
    <t>High (&lt;950 ◦C)</t>
  </si>
  <si>
    <t>Gas Cooled Fast Reactor</t>
  </si>
  <si>
    <t>MSR</t>
  </si>
  <si>
    <t>CAPACITY FACTOR EFFICIENCY</t>
  </si>
  <si>
    <t>0,93</t>
  </si>
  <si>
    <t>HEAT TO ELECTRICITY CONVERSION</t>
  </si>
  <si>
    <t>COUPLING - STEP 1</t>
  </si>
  <si>
    <t>Reactor type/Electrolyzer Type</t>
  </si>
  <si>
    <t>Parameters defined per SMR</t>
  </si>
  <si>
    <t>ALK (min T°C)</t>
  </si>
  <si>
    <t>PEM (min T°C)</t>
  </si>
  <si>
    <t>SOEC (min T°C)</t>
  </si>
  <si>
    <t>Electrical power (MWe) INPUT</t>
  </si>
  <si>
    <t>New H2 Generation (kgH2)</t>
  </si>
  <si>
    <t>Thermal power (MWt) INPUT</t>
  </si>
  <si>
    <t>135,4</t>
  </si>
  <si>
    <t>Coupling</t>
  </si>
  <si>
    <t>YES</t>
  </si>
  <si>
    <t>NO</t>
  </si>
  <si>
    <t>Electrical power (MWe) OUTPUT</t>
  </si>
  <si>
    <t>COUPLING - STEP 2</t>
  </si>
  <si>
    <t>Criteria</t>
  </si>
  <si>
    <t>Value</t>
  </si>
  <si>
    <t>Weight</t>
  </si>
  <si>
    <t>hours per year</t>
  </si>
  <si>
    <t>Days per Year</t>
  </si>
  <si>
    <t>Grade without extra point</t>
  </si>
  <si>
    <t>Grade with extra point</t>
  </si>
  <si>
    <t xml:space="preserve">Average </t>
  </si>
  <si>
    <t>Water cooled SMR</t>
  </si>
  <si>
    <t>High Temp gas</t>
  </si>
  <si>
    <t>Liquid Metal</t>
  </si>
  <si>
    <t>0 due to heat</t>
  </si>
  <si>
    <t>0 due to 0 data</t>
  </si>
  <si>
    <t>Profit per MWh</t>
  </si>
  <si>
    <t>Top 75%</t>
  </si>
  <si>
    <t>Waste Management</t>
  </si>
  <si>
    <t>scaled grade</t>
  </si>
  <si>
    <t>Decommissioning</t>
  </si>
  <si>
    <t>overall grade</t>
  </si>
  <si>
    <t>Disposal plans</t>
  </si>
  <si>
    <t>Storage methods</t>
  </si>
  <si>
    <t>Regulations</t>
  </si>
  <si>
    <t>waste type (high, medium or low waste level)</t>
  </si>
  <si>
    <t xml:space="preserve">Recycling and reprocessing options </t>
  </si>
  <si>
    <t>0/5</t>
  </si>
  <si>
    <t>0/10</t>
  </si>
  <si>
    <t>status</t>
  </si>
  <si>
    <t>0/1</t>
  </si>
  <si>
    <t>disposal of sodium by following EBR-II</t>
  </si>
  <si>
    <t>reactor filled with concrete and transported to disposal site</t>
  </si>
  <si>
    <t>decommissioing plan based on EBR-II and LWR plant in the US</t>
  </si>
  <si>
    <t>storage and disposal of spent fuel</t>
  </si>
  <si>
    <t>final disposal of fuel sphere at designated site</t>
  </si>
  <si>
    <t>low and medium level waste</t>
  </si>
  <si>
    <t>stored and trasnported to authorized facilities</t>
  </si>
  <si>
    <t>long term strorage based on Nuclear Waste Management Organization (NWMO)</t>
  </si>
  <si>
    <t>low level waste</t>
  </si>
  <si>
    <t>low level waste (natural raw material)</t>
  </si>
  <si>
    <t>waste treatment, storage and disposal</t>
  </si>
  <si>
    <t>low and medium level waste stored</t>
  </si>
  <si>
    <t>waste management based on ALARA and NWMO principle</t>
  </si>
  <si>
    <t>high level waste store on site in dry storage</t>
  </si>
  <si>
    <t xml:space="preserve">transported to geological disposal </t>
  </si>
  <si>
    <t>long term storage plan at site</t>
  </si>
  <si>
    <t>flexible based on national policies</t>
  </si>
  <si>
    <t>low level waste to store in host country</t>
  </si>
  <si>
    <t>high level waste to be abroad</t>
  </si>
  <si>
    <t>salt and moderator to be resued</t>
  </si>
  <si>
    <t>decommissioning plan: remelting of the vessle for non nuclear reuse</t>
  </si>
  <si>
    <t>cooling and storage at the site</t>
  </si>
  <si>
    <t xml:space="preserve">After cooling, the used fuel will be directly disposed of or recycled. </t>
  </si>
  <si>
    <t>salts stored at disposal</t>
  </si>
  <si>
    <t>actinides can be recycled to MSR</t>
  </si>
  <si>
    <t>direct disposal or reprocessing for spent fuel</t>
  </si>
  <si>
    <t xml:space="preserve">long term storage plan and then underground disposal </t>
  </si>
  <si>
    <t>fuel spheres require coolind down and concrete tanks and disposal sites</t>
  </si>
  <si>
    <t>to be included later stage</t>
  </si>
  <si>
    <t>similar technology to normal PWR plants</t>
  </si>
  <si>
    <t>low to medium level waste</t>
  </si>
  <si>
    <t>transported to offsite highlevel waste repository facility</t>
  </si>
  <si>
    <t>Used fuel recycled/reused in next core unit until end of plant's life time.</t>
  </si>
  <si>
    <t xml:space="preserve">disposal of end-of-life waste according to French waste management regulation </t>
  </si>
  <si>
    <t>basically no waste during operation only low level waste from helium loop which is stored and filtered</t>
  </si>
  <si>
    <t>under development</t>
  </si>
  <si>
    <t>in accordance with IAEA recommendations</t>
  </si>
  <si>
    <t>storgae and transporation to off-site geologic disposal</t>
  </si>
  <si>
    <t>low level wates through life time</t>
  </si>
  <si>
    <t>residual fuel to be transported to geological repositories</t>
  </si>
  <si>
    <t>Uranium, plutonium and minor actinides will be recycled</t>
  </si>
  <si>
    <t>less waste produced than LWRs</t>
  </si>
  <si>
    <t>it can consume remaining fissle material around the world</t>
  </si>
  <si>
    <t>high temperature salts need to be stored and cooled for 100 years</t>
  </si>
  <si>
    <t>intermediate level waste with geological disposal plan</t>
  </si>
  <si>
    <t>fuel pebbles have excellent radioactivity containtment but requires cleaning</t>
  </si>
  <si>
    <t>no plan mentioned</t>
  </si>
  <si>
    <t>under assessment from best practices</t>
  </si>
  <si>
    <t xml:space="preserve">pebble fuel storage and monitoring </t>
  </si>
  <si>
    <t>converting liquid waste to solid phase</t>
  </si>
  <si>
    <t>based on best practices and lessons learned</t>
  </si>
  <si>
    <t>transferred to National Radioactive Waste Management Operator for disposal</t>
  </si>
  <si>
    <t>coated particles have excellent radioactivity containment characteristics</t>
  </si>
  <si>
    <t>For long term storage or disposal, volume reduction and reprocessing are also options studied in the past</t>
  </si>
  <si>
    <t>spent fuel to be disposed or recycled</t>
  </si>
  <si>
    <t>liquid and solid waste management</t>
  </si>
  <si>
    <t>storage and disposal of spent fuel at site</t>
  </si>
  <si>
    <t>high level waste management</t>
  </si>
  <si>
    <t xml:space="preserve">pyro-processing facility to be established. </t>
  </si>
  <si>
    <t>fuel salt recovery</t>
  </si>
  <si>
    <t>consistent with IAEA practive at desgin stage</t>
  </si>
  <si>
    <t xml:space="preserve">minimal waste during operation </t>
  </si>
  <si>
    <t xml:space="preserve">soldi waste stored on site and can be recycled </t>
  </si>
  <si>
    <t>decommision waste is graphite which is planed to be reclycled and resued in new reactors</t>
  </si>
  <si>
    <t>radionuclides are in salt waste form that can be safely disposed in the proposed Canadian deep geological repository.</t>
  </si>
  <si>
    <t>low level - destroy a large proportion of higher actinides in spent fuel</t>
  </si>
  <si>
    <t>local not international</t>
  </si>
  <si>
    <t>disposed according to regulation and practices</t>
  </si>
  <si>
    <t>no waste during operation</t>
  </si>
  <si>
    <t>transported to underground facilities</t>
  </si>
  <si>
    <t>decommissiong costs are already in the financial plan</t>
  </si>
  <si>
    <t>Spent fuel to be stored in repository.</t>
  </si>
  <si>
    <t xml:space="preserve">transported to storage or geological disposal </t>
  </si>
  <si>
    <t>high temperature salts need to be stored and cooled for 80 years and then cooled to be transferred and storaged again</t>
  </si>
  <si>
    <t>medium level waste storage</t>
  </si>
  <si>
    <t>no plans for low level waste</t>
  </si>
  <si>
    <t xml:space="preserve">No liquid or solid waste in operation life time </t>
  </si>
  <si>
    <t xml:space="preserve">salt is separated and puridied and recycled </t>
  </si>
  <si>
    <t>medium level waste</t>
  </si>
  <si>
    <t xml:space="preserve">Annual energy input </t>
  </si>
  <si>
    <t>Projects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</si>
</sst>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_);[Red]\(&quot;$&quot;#,##0\)"/>
    <numFmt numFmtId="165" formatCode="0.0"/>
    <numFmt numFmtId="166" formatCode="0.0000"/>
    <numFmt numFmtId="167" formatCode="0.0000000"/>
    <numFmt numFmtId="168" formatCode="0.000"/>
  </numFmts>
  <fonts count="37" x14ac:knownFonts="1">
    <font>
      <sz val="11"/>
      <color theme="1"/>
      <name val="Aptos Narrow"/>
      <family val="2"/>
      <scheme val="minor"/>
    </font>
    <font>
      <b/>
      <sz val="11"/>
      <color rgb="FF000000"/>
      <name val="Aptos Narrow"/>
      <family val="2"/>
    </font>
    <font>
      <sz val="11"/>
      <color rgb="FF000000"/>
      <name val="Aptos Narrow"/>
      <family val="2"/>
    </font>
    <font>
      <sz val="11"/>
      <color rgb="FF000000"/>
      <name val="Aptos Narrow"/>
      <family val="2"/>
      <scheme val="minor"/>
    </font>
    <font>
      <sz val="11"/>
      <color rgb="FF000000"/>
      <name val="Calibri"/>
      <family val="2"/>
    </font>
    <font>
      <sz val="11"/>
      <color rgb="FFFF0000"/>
      <name val="Aptos Narrow"/>
      <family val="2"/>
      <scheme val="minor"/>
    </font>
    <font>
      <b/>
      <sz val="11"/>
      <color theme="1"/>
      <name val="Aptos Narrow"/>
      <family val="2"/>
      <scheme val="minor"/>
    </font>
    <font>
      <b/>
      <sz val="11"/>
      <color rgb="FF000000"/>
      <name val="Calibri"/>
      <family val="2"/>
    </font>
    <font>
      <u/>
      <sz val="11"/>
      <color theme="10"/>
      <name val="Aptos Narrow"/>
      <family val="2"/>
      <scheme val="minor"/>
    </font>
    <font>
      <sz val="12"/>
      <name val="Arial"/>
      <family val="2"/>
    </font>
    <font>
      <sz val="8"/>
      <color theme="1"/>
      <name val="Aptos Narrow"/>
      <family val="2"/>
      <scheme val="minor"/>
    </font>
    <font>
      <sz val="11"/>
      <color rgb="FF000000"/>
      <name val="Arial"/>
      <family val="2"/>
    </font>
    <font>
      <b/>
      <sz val="11"/>
      <color rgb="FF000000"/>
      <name val="Arial"/>
      <family val="2"/>
    </font>
    <font>
      <sz val="11"/>
      <color rgb="FFFF0000"/>
      <name val="Arial"/>
      <family val="2"/>
    </font>
    <font>
      <sz val="11"/>
      <name val="Arial"/>
      <family val="2"/>
    </font>
    <font>
      <sz val="11"/>
      <color rgb="FF242424"/>
      <name val="Arial"/>
      <family val="2"/>
    </font>
    <font>
      <b/>
      <sz val="11"/>
      <color rgb="FFFF0000"/>
      <name val="Arial"/>
      <family val="2"/>
    </font>
    <font>
      <sz val="11"/>
      <color rgb="FFFF0000"/>
      <name val="Aptos Narrow"/>
      <family val="2"/>
    </font>
    <font>
      <sz val="11"/>
      <color rgb="FFFFFFFF"/>
      <name val="Aptos Narrow"/>
      <family val="2"/>
    </font>
    <font>
      <sz val="12"/>
      <color rgb="FF000000"/>
      <name val="Aptos"/>
      <family val="2"/>
    </font>
    <font>
      <sz val="11"/>
      <color rgb="FF000000"/>
      <name val="Aptos"/>
      <family val="2"/>
    </font>
    <font>
      <b/>
      <u/>
      <sz val="11"/>
      <color theme="1"/>
      <name val="Aptos Narrow"/>
      <family val="2"/>
      <scheme val="minor"/>
    </font>
    <font>
      <sz val="10"/>
      <color rgb="FF5D5D5D"/>
      <name val="Arial"/>
      <family val="2"/>
    </font>
    <font>
      <i/>
      <sz val="11"/>
      <color theme="1"/>
      <name val="Aptos Narrow"/>
      <family val="2"/>
      <scheme val="minor"/>
    </font>
    <font>
      <sz val="11"/>
      <name val="Aptos Narrow"/>
      <family val="2"/>
      <scheme val="minor"/>
    </font>
    <font>
      <b/>
      <sz val="11"/>
      <color rgb="FFFF0000"/>
      <name val="Aptos Narrow"/>
      <family val="2"/>
    </font>
    <font>
      <b/>
      <sz val="11"/>
      <color rgb="FFFFFFFF"/>
      <name val="Aptos Narrow"/>
      <family val="2"/>
    </font>
    <font>
      <i/>
      <sz val="11"/>
      <color rgb="FF000000"/>
      <name val="Aptos Narrow"/>
      <family val="2"/>
    </font>
    <font>
      <sz val="8"/>
      <color rgb="FF000000"/>
      <name val="Aptos Narrow"/>
      <family val="2"/>
    </font>
    <font>
      <sz val="11"/>
      <color rgb="FF50595E"/>
      <name val="Arial"/>
      <family val="2"/>
    </font>
    <font>
      <sz val="11"/>
      <color rgb="FF9C0006"/>
      <name val="Aptos Narrow"/>
      <family val="2"/>
    </font>
    <font>
      <sz val="11"/>
      <name val="Aptos Narrow"/>
      <family val="2"/>
    </font>
    <font>
      <b/>
      <sz val="13.5"/>
      <color theme="1"/>
      <name val="Aptos Narrow"/>
      <family val="2"/>
      <scheme val="minor"/>
    </font>
    <font>
      <sz val="11"/>
      <color theme="4"/>
      <name val="Aptos Narrow"/>
      <family val="2"/>
      <scheme val="minor"/>
    </font>
    <font>
      <b/>
      <sz val="12"/>
      <color theme="1"/>
      <name val="Aptos Narrow"/>
      <family val="2"/>
      <scheme val="minor"/>
    </font>
    <font>
      <sz val="11"/>
      <color rgb="FF000000"/>
      <name val="Aptos Narrow"/>
      <family val="2"/>
    </font>
    <font>
      <sz val="11"/>
      <color theme="1"/>
      <name val="Aptos Narrow"/>
      <family val="2"/>
      <scheme val="minor"/>
    </font>
  </fonts>
  <fills count="27">
    <fill>
      <patternFill patternType="none"/>
    </fill>
    <fill>
      <patternFill patternType="gray125"/>
    </fill>
    <fill>
      <patternFill patternType="solid">
        <fgColor theme="2" tint="-9.9978637043366805E-2"/>
        <bgColor indexed="64"/>
      </patternFill>
    </fill>
    <fill>
      <patternFill patternType="solid">
        <fgColor theme="0"/>
        <bgColor indexed="64"/>
      </patternFill>
    </fill>
    <fill>
      <patternFill patternType="solid">
        <fgColor rgb="FFFFFF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BE2D5"/>
        <bgColor rgb="FF000000"/>
      </patternFill>
    </fill>
    <fill>
      <patternFill patternType="solid">
        <fgColor rgb="FFFFFF00"/>
        <bgColor rgb="FF000000"/>
      </patternFill>
    </fill>
    <fill>
      <patternFill patternType="solid">
        <fgColor rgb="FFD9D9D9"/>
        <bgColor rgb="FF000000"/>
      </patternFill>
    </fill>
    <fill>
      <patternFill patternType="solid">
        <fgColor rgb="FFDAF2D0"/>
        <bgColor rgb="FF000000"/>
      </patternFill>
    </fill>
    <fill>
      <patternFill patternType="solid">
        <fgColor rgb="FFF2F2F2"/>
        <bgColor rgb="FF000000"/>
      </patternFill>
    </fill>
    <fill>
      <patternFill patternType="solid">
        <fgColor rgb="FFFF0000"/>
        <bgColor rgb="FF000000"/>
      </patternFill>
    </fill>
    <fill>
      <patternFill patternType="solid">
        <fgColor theme="0" tint="-0.249977111117893"/>
        <bgColor indexed="64"/>
      </patternFill>
    </fill>
    <fill>
      <patternFill patternType="solid">
        <fgColor theme="5" tint="-0.249977111117893"/>
        <bgColor indexed="64"/>
      </patternFill>
    </fill>
    <fill>
      <patternFill patternType="solid">
        <fgColor theme="1"/>
        <bgColor indexed="64"/>
      </patternFill>
    </fill>
    <fill>
      <patternFill patternType="solid">
        <fgColor rgb="FF00B0F0"/>
        <bgColor indexed="64"/>
      </patternFill>
    </fill>
    <fill>
      <patternFill patternType="solid">
        <fgColor rgb="FF92D050"/>
        <bgColor indexed="64"/>
      </patternFill>
    </fill>
    <fill>
      <patternFill patternType="solid">
        <fgColor rgb="FFE8E8E8"/>
        <bgColor rgb="FF000000"/>
      </patternFill>
    </fill>
    <fill>
      <patternFill patternType="solid">
        <fgColor rgb="FFFFC7CE"/>
        <bgColor rgb="FF000000"/>
      </patternFill>
    </fill>
    <fill>
      <patternFill patternType="solid">
        <fgColor theme="4" tint="-0.249977111117893"/>
        <bgColor indexed="64"/>
      </patternFill>
    </fill>
    <fill>
      <patternFill patternType="solid">
        <fgColor theme="2"/>
        <bgColor indexed="64"/>
      </patternFill>
    </fill>
    <fill>
      <patternFill patternType="solid">
        <fgColor theme="5" tint="0.39997558519241921"/>
        <bgColor indexed="64"/>
      </patternFill>
    </fill>
    <fill>
      <patternFill patternType="solid">
        <fgColor theme="9" tint="0.59999389629810485"/>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indexed="64"/>
      </left>
      <right style="thin">
        <color indexed="64"/>
      </right>
      <top style="thin">
        <color indexed="64"/>
      </top>
      <bottom style="double">
        <color indexed="64"/>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indexed="64"/>
      </right>
      <top/>
      <bottom style="thin">
        <color rgb="FF000000"/>
      </bottom>
      <diagonal/>
    </border>
    <border>
      <left style="thin">
        <color rgb="FF000000"/>
      </left>
      <right style="thin">
        <color indexed="64"/>
      </right>
      <top/>
      <bottom/>
      <diagonal/>
    </border>
    <border>
      <left style="thin">
        <color indexed="64"/>
      </left>
      <right style="thin">
        <color indexed="64"/>
      </right>
      <top/>
      <bottom style="thin">
        <color rgb="FF000000"/>
      </bottom>
      <diagonal/>
    </border>
    <border>
      <left style="thin">
        <color indexed="64"/>
      </left>
      <right style="thin">
        <color indexed="64"/>
      </right>
      <top/>
      <bottom/>
      <diagonal/>
    </border>
    <border>
      <left style="thin">
        <color indexed="64"/>
      </left>
      <right style="thin">
        <color indexed="64"/>
      </right>
      <top/>
      <bottom style="medium">
        <color rgb="FF000000"/>
      </bottom>
      <diagonal/>
    </border>
    <border>
      <left/>
      <right style="thin">
        <color indexed="64"/>
      </right>
      <top/>
      <bottom style="thin">
        <color rgb="FF000000"/>
      </bottom>
      <diagonal/>
    </border>
    <border>
      <left/>
      <right style="thin">
        <color indexed="64"/>
      </right>
      <top/>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style="thin">
        <color indexed="64"/>
      </right>
      <top/>
      <bottom style="medium">
        <color rgb="FF000000"/>
      </bottom>
      <diagonal/>
    </border>
    <border>
      <left/>
      <right style="thin">
        <color indexed="64"/>
      </right>
      <top style="thin">
        <color indexed="64"/>
      </top>
      <bottom style="double">
        <color indexed="64"/>
      </bottom>
      <diagonal/>
    </border>
    <border>
      <left/>
      <right style="thin">
        <color indexed="64"/>
      </right>
      <top style="thin">
        <color indexed="64"/>
      </top>
      <bottom/>
      <diagonal/>
    </border>
    <border>
      <left/>
      <right style="thin">
        <color rgb="FF000000"/>
      </right>
      <top style="thin">
        <color indexed="64"/>
      </top>
      <bottom/>
      <diagonal/>
    </border>
    <border>
      <left/>
      <right style="thin">
        <color rgb="FF000000"/>
      </right>
      <top style="thin">
        <color indexed="64"/>
      </top>
      <bottom style="double">
        <color indexed="64"/>
      </bottom>
      <diagonal/>
    </border>
    <border>
      <left style="thin">
        <color indexed="64"/>
      </left>
      <right style="thin">
        <color indexed="64"/>
      </right>
      <top/>
      <bottom style="double">
        <color indexed="64"/>
      </bottom>
      <diagonal/>
    </border>
    <border>
      <left/>
      <right style="thin">
        <color indexed="64"/>
      </right>
      <top/>
      <bottom style="double">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rgb="FF000000"/>
      </left>
      <right style="thin">
        <color rgb="FF000000"/>
      </right>
      <top style="thin">
        <color rgb="FF000000"/>
      </top>
      <bottom style="double">
        <color rgb="FF000000"/>
      </bottom>
      <diagonal/>
    </border>
  </borders>
  <cellStyleXfs count="3">
    <xf numFmtId="0" fontId="0" fillId="0" borderId="0"/>
    <xf numFmtId="0" fontId="8" fillId="0" borderId="0" applyNumberFormat="0" applyFill="0" applyBorder="0" applyAlignment="0" applyProtection="0"/>
    <xf numFmtId="9" fontId="36" fillId="0" borderId="0" applyFont="0" applyFill="0" applyBorder="0" applyAlignment="0" applyProtection="0"/>
  </cellStyleXfs>
  <cellXfs count="316">
    <xf numFmtId="0" fontId="0" fillId="0" borderId="0" xfId="0"/>
    <xf numFmtId="0" fontId="1" fillId="0" borderId="2" xfId="0" applyFont="1" applyBorder="1" applyAlignment="1">
      <alignment horizontal="center" vertical="center" wrapText="1"/>
    </xf>
    <xf numFmtId="0" fontId="2" fillId="0" borderId="2" xfId="0" applyFont="1" applyBorder="1" applyAlignment="1">
      <alignment horizontal="center" vertical="center" wrapText="1"/>
    </xf>
    <xf numFmtId="3" fontId="2" fillId="0" borderId="2" xfId="0" applyNumberFormat="1" applyFont="1" applyBorder="1" applyAlignment="1">
      <alignment horizontal="center" vertical="center" wrapText="1"/>
    </xf>
    <xf numFmtId="0" fontId="0" fillId="2" borderId="0" xfId="0" applyFill="1"/>
    <xf numFmtId="0" fontId="0" fillId="0" borderId="0" xfId="0" applyAlignment="1">
      <alignment vertical="center"/>
    </xf>
    <xf numFmtId="0" fontId="0" fillId="0" borderId="1" xfId="0" applyBorder="1" applyAlignment="1">
      <alignment horizontal="center" vertical="center"/>
    </xf>
    <xf numFmtId="0" fontId="0" fillId="3" borderId="2" xfId="0" applyFill="1" applyBorder="1" applyAlignment="1">
      <alignment horizontal="center" vertical="center" wrapText="1"/>
    </xf>
    <xf numFmtId="0" fontId="4" fillId="3" borderId="2" xfId="0" applyFont="1" applyFill="1" applyBorder="1" applyAlignment="1">
      <alignment horizontal="center" vertical="center" wrapText="1"/>
    </xf>
    <xf numFmtId="49" fontId="0" fillId="3" borderId="2" xfId="0" applyNumberFormat="1" applyFill="1" applyBorder="1" applyAlignment="1">
      <alignment horizontal="center" vertical="center" wrapText="1"/>
    </xf>
    <xf numFmtId="0" fontId="0" fillId="0" borderId="1" xfId="0" applyBorder="1" applyAlignment="1">
      <alignment horizontal="left" vertical="center"/>
    </xf>
    <xf numFmtId="0" fontId="0" fillId="2" borderId="4" xfId="0" applyFill="1" applyBorder="1" applyAlignment="1">
      <alignment horizontal="left"/>
    </xf>
    <xf numFmtId="0" fontId="0" fillId="2" borderId="1" xfId="0" applyFill="1" applyBorder="1" applyAlignment="1">
      <alignment horizontal="left"/>
    </xf>
    <xf numFmtId="0" fontId="0" fillId="0" borderId="0" xfId="0" applyAlignment="1">
      <alignment horizontal="left"/>
    </xf>
    <xf numFmtId="0" fontId="2" fillId="0" borderId="5" xfId="0" applyFont="1" applyBorder="1" applyAlignment="1">
      <alignment horizontal="center" vertical="center" wrapText="1"/>
    </xf>
    <xf numFmtId="0" fontId="3" fillId="0" borderId="2" xfId="0" applyFont="1" applyBorder="1" applyAlignment="1">
      <alignment horizontal="center" vertical="center" wrapText="1"/>
    </xf>
    <xf numFmtId="0" fontId="3" fillId="0" borderId="7" xfId="0" applyFont="1" applyBorder="1" applyAlignment="1">
      <alignment horizontal="center" vertical="center" wrapText="1"/>
    </xf>
    <xf numFmtId="0" fontId="0" fillId="0" borderId="7" xfId="0" applyBorder="1" applyAlignment="1">
      <alignment horizontal="center" vertical="center" wrapText="1"/>
    </xf>
    <xf numFmtId="0" fontId="0" fillId="0" borderId="2" xfId="0" applyBorder="1" applyAlignment="1">
      <alignment horizontal="center" vertical="center" wrapText="1"/>
    </xf>
    <xf numFmtId="0" fontId="0" fillId="4" borderId="2" xfId="0" applyFill="1" applyBorder="1" applyAlignment="1">
      <alignment horizontal="center" vertical="center" wrapText="1"/>
    </xf>
    <xf numFmtId="0" fontId="3" fillId="0" borderId="6" xfId="0" applyFont="1" applyBorder="1" applyAlignment="1">
      <alignment horizontal="center" vertical="center" wrapText="1"/>
    </xf>
    <xf numFmtId="0" fontId="0" fillId="0" borderId="2" xfId="0" applyBorder="1" applyAlignment="1">
      <alignment horizontal="center" vertical="center"/>
    </xf>
    <xf numFmtId="0" fontId="0" fillId="0" borderId="6" xfId="0" applyBorder="1" applyAlignment="1">
      <alignment horizontal="center" vertical="center"/>
    </xf>
    <xf numFmtId="0" fontId="5" fillId="4" borderId="2" xfId="0" applyFont="1" applyFill="1" applyBorder="1" applyAlignment="1">
      <alignment horizontal="left" vertical="center" wrapText="1"/>
    </xf>
    <xf numFmtId="0" fontId="4" fillId="5" borderId="2" xfId="0" applyFont="1" applyFill="1" applyBorder="1" applyAlignment="1">
      <alignment horizontal="center" vertical="center" wrapText="1"/>
    </xf>
    <xf numFmtId="0" fontId="6" fillId="3" borderId="3" xfId="0" applyFont="1" applyFill="1" applyBorder="1" applyAlignment="1">
      <alignment horizontal="left" vertical="center"/>
    </xf>
    <xf numFmtId="0" fontId="6" fillId="3" borderId="3" xfId="0" applyFont="1" applyFill="1" applyBorder="1" applyAlignment="1">
      <alignment horizontal="center" vertical="center"/>
    </xf>
    <xf numFmtId="0" fontId="6" fillId="0" borderId="1" xfId="0" applyFont="1" applyBorder="1" applyAlignment="1">
      <alignment horizontal="center" vertical="center"/>
    </xf>
    <xf numFmtId="0" fontId="6" fillId="3" borderId="2" xfId="0" applyFont="1" applyFill="1" applyBorder="1" applyAlignment="1">
      <alignment horizontal="left" vertical="center" wrapText="1"/>
    </xf>
    <xf numFmtId="0" fontId="6" fillId="4" borderId="2" xfId="0" applyFont="1" applyFill="1" applyBorder="1" applyAlignment="1">
      <alignment horizontal="left" vertical="center" wrapText="1"/>
    </xf>
    <xf numFmtId="0" fontId="7" fillId="3" borderId="2" xfId="0" applyFont="1" applyFill="1" applyBorder="1" applyAlignment="1">
      <alignment horizontal="left" vertical="center" wrapText="1"/>
    </xf>
    <xf numFmtId="0" fontId="8" fillId="0" borderId="0" xfId="1"/>
    <xf numFmtId="0" fontId="9" fillId="0" borderId="11" xfId="0" applyFont="1" applyBorder="1" applyAlignment="1">
      <alignment horizontal="left" vertical="center" wrapText="1"/>
    </xf>
    <xf numFmtId="0" fontId="9" fillId="0" borderId="12" xfId="0" applyFont="1" applyBorder="1" applyAlignment="1">
      <alignment horizontal="left" vertical="center" wrapText="1"/>
    </xf>
    <xf numFmtId="0" fontId="9" fillId="0" borderId="13" xfId="0" applyFont="1" applyBorder="1" applyAlignment="1">
      <alignment horizontal="left" vertical="center" wrapText="1"/>
    </xf>
    <xf numFmtId="0" fontId="9" fillId="0" borderId="14" xfId="0" applyFont="1" applyBorder="1" applyAlignment="1">
      <alignment horizontal="left" vertical="center" wrapText="1"/>
    </xf>
    <xf numFmtId="0" fontId="9" fillId="0" borderId="15" xfId="0" applyFont="1" applyBorder="1" applyAlignment="1">
      <alignment horizontal="left" vertical="center" wrapText="1"/>
    </xf>
    <xf numFmtId="0" fontId="9" fillId="0" borderId="16" xfId="0" applyFont="1" applyBorder="1" applyAlignment="1">
      <alignment horizontal="left" vertical="center" wrapText="1"/>
    </xf>
    <xf numFmtId="0" fontId="9" fillId="0" borderId="17" xfId="0" applyFont="1" applyBorder="1" applyAlignment="1">
      <alignment horizontal="left" vertical="center" wrapText="1"/>
    </xf>
    <xf numFmtId="0" fontId="9" fillId="0" borderId="18" xfId="0" applyFont="1" applyBorder="1" applyAlignment="1">
      <alignment horizontal="left" vertical="center" wrapText="1"/>
    </xf>
    <xf numFmtId="0" fontId="9" fillId="0" borderId="19" xfId="0" applyFont="1" applyBorder="1" applyAlignment="1">
      <alignment horizontal="left" vertical="center" wrapText="1"/>
    </xf>
    <xf numFmtId="0" fontId="9" fillId="0" borderId="0" xfId="0" applyFont="1" applyAlignment="1">
      <alignment horizontal="justify" vertical="center" wrapText="1"/>
    </xf>
    <xf numFmtId="0" fontId="0" fillId="7" borderId="1" xfId="0" applyFill="1" applyBorder="1"/>
    <xf numFmtId="0" fontId="0" fillId="7" borderId="1" xfId="0" applyFill="1" applyBorder="1" applyAlignment="1">
      <alignment vertical="top"/>
    </xf>
    <xf numFmtId="0" fontId="0" fillId="7" borderId="1" xfId="0" applyFill="1" applyBorder="1" applyAlignment="1">
      <alignment vertical="top" wrapText="1"/>
    </xf>
    <xf numFmtId="0" fontId="0" fillId="8" borderId="20" xfId="0" applyFill="1" applyBorder="1" applyAlignment="1">
      <alignment horizontal="center"/>
    </xf>
    <xf numFmtId="0" fontId="3" fillId="0" borderId="0" xfId="0" applyFont="1"/>
    <xf numFmtId="0" fontId="3" fillId="0" borderId="0" xfId="0" applyFont="1" applyAlignment="1">
      <alignment horizontal="left"/>
    </xf>
    <xf numFmtId="0" fontId="8" fillId="0" borderId="0" xfId="1" applyBorder="1"/>
    <xf numFmtId="0" fontId="8" fillId="0" borderId="0" xfId="1" applyBorder="1" applyAlignment="1">
      <alignment wrapText="1"/>
    </xf>
    <xf numFmtId="0" fontId="10" fillId="0" borderId="0" xfId="0" applyFont="1"/>
    <xf numFmtId="0" fontId="0" fillId="9" borderId="0" xfId="0" applyFill="1"/>
    <xf numFmtId="0" fontId="0" fillId="4" borderId="0" xfId="0" applyFill="1"/>
    <xf numFmtId="0" fontId="11" fillId="0" borderId="0" xfId="0" applyFont="1"/>
    <xf numFmtId="0" fontId="12" fillId="0" borderId="1" xfId="0" applyFont="1" applyBorder="1"/>
    <xf numFmtId="0" fontId="12" fillId="0" borderId="24" xfId="0" applyFont="1" applyBorder="1"/>
    <xf numFmtId="0" fontId="11" fillId="0" borderId="4" xfId="0" applyFont="1" applyBorder="1"/>
    <xf numFmtId="0" fontId="13" fillId="0" borderId="26" xfId="0" applyFont="1" applyBorder="1"/>
    <xf numFmtId="0" fontId="14" fillId="0" borderId="26" xfId="0" applyFont="1" applyBorder="1"/>
    <xf numFmtId="0" fontId="13" fillId="0" borderId="0" xfId="0" applyFont="1"/>
    <xf numFmtId="0" fontId="12" fillId="0" borderId="0" xfId="0" applyFont="1"/>
    <xf numFmtId="0" fontId="12" fillId="0" borderId="7" xfId="0" applyFont="1" applyBorder="1"/>
    <xf numFmtId="0" fontId="12" fillId="10" borderId="7" xfId="0" applyFont="1" applyFill="1" applyBorder="1"/>
    <xf numFmtId="0" fontId="12" fillId="0" borderId="27" xfId="0" applyFont="1" applyBorder="1"/>
    <xf numFmtId="0" fontId="12" fillId="11" borderId="1" xfId="0" applyFont="1" applyFill="1" applyBorder="1"/>
    <xf numFmtId="0" fontId="12" fillId="0" borderId="28" xfId="0" applyFont="1" applyBorder="1"/>
    <xf numFmtId="0" fontId="12" fillId="0" borderId="23" xfId="0" applyFont="1" applyBorder="1"/>
    <xf numFmtId="0" fontId="11" fillId="0" borderId="23" xfId="0" applyFont="1" applyBorder="1"/>
    <xf numFmtId="0" fontId="11" fillId="0" borderId="23" xfId="0" quotePrefix="1" applyFont="1" applyBorder="1"/>
    <xf numFmtId="0" fontId="11" fillId="10" borderId="23" xfId="0" applyFont="1" applyFill="1" applyBorder="1"/>
    <xf numFmtId="0" fontId="11" fillId="0" borderId="21" xfId="0" applyFont="1" applyBorder="1"/>
    <xf numFmtId="0" fontId="11" fillId="11" borderId="4" xfId="0" applyFont="1" applyFill="1" applyBorder="1"/>
    <xf numFmtId="0" fontId="15" fillId="0" borderId="23" xfId="0" applyFont="1" applyBorder="1"/>
    <xf numFmtId="0" fontId="11" fillId="11" borderId="26" xfId="0" applyFont="1" applyFill="1" applyBorder="1"/>
    <xf numFmtId="0" fontId="15" fillId="10" borderId="23" xfId="0" applyFont="1" applyFill="1" applyBorder="1"/>
    <xf numFmtId="0" fontId="15" fillId="0" borderId="21" xfId="0" applyFont="1" applyBorder="1"/>
    <xf numFmtId="0" fontId="15" fillId="10" borderId="22" xfId="0" applyFont="1" applyFill="1" applyBorder="1"/>
    <xf numFmtId="0" fontId="12" fillId="0" borderId="29" xfId="0" applyFont="1" applyBorder="1"/>
    <xf numFmtId="0" fontId="12" fillId="0" borderId="22" xfId="0" applyFont="1" applyBorder="1"/>
    <xf numFmtId="0" fontId="15" fillId="10" borderId="1" xfId="0" applyFont="1" applyFill="1" applyBorder="1"/>
    <xf numFmtId="0" fontId="12" fillId="0" borderId="4" xfId="0" applyFont="1" applyBorder="1"/>
    <xf numFmtId="0" fontId="12" fillId="0" borderId="26" xfId="0" applyFont="1" applyBorder="1"/>
    <xf numFmtId="0" fontId="11" fillId="0" borderId="26" xfId="0" applyFont="1" applyBorder="1"/>
    <xf numFmtId="0" fontId="11" fillId="0" borderId="36" xfId="0" applyFont="1" applyBorder="1"/>
    <xf numFmtId="0" fontId="11" fillId="0" borderId="37" xfId="0" applyFont="1" applyBorder="1"/>
    <xf numFmtId="0" fontId="13" fillId="0" borderId="37" xfId="0" applyFont="1" applyBorder="1"/>
    <xf numFmtId="0" fontId="11" fillId="0" borderId="39" xfId="0" applyFont="1" applyBorder="1"/>
    <xf numFmtId="0" fontId="13" fillId="0" borderId="39" xfId="0" applyFont="1" applyBorder="1"/>
    <xf numFmtId="0" fontId="11" fillId="0" borderId="1" xfId="0" applyFont="1" applyBorder="1"/>
    <xf numFmtId="0" fontId="11" fillId="0" borderId="24" xfId="0" applyFont="1" applyBorder="1"/>
    <xf numFmtId="0" fontId="17" fillId="0" borderId="0" xfId="0" applyFont="1"/>
    <xf numFmtId="0" fontId="19" fillId="0" borderId="0" xfId="0" applyFont="1"/>
    <xf numFmtId="0" fontId="20" fillId="0" borderId="0" xfId="0" applyFont="1"/>
    <xf numFmtId="0" fontId="18" fillId="15" borderId="0" xfId="0" applyFont="1" applyFill="1"/>
    <xf numFmtId="0" fontId="0" fillId="0" borderId="0" xfId="0" applyAlignment="1">
      <alignment horizontal="center"/>
    </xf>
    <xf numFmtId="0" fontId="0" fillId="0" borderId="0" xfId="0" applyAlignment="1">
      <alignment wrapText="1"/>
    </xf>
    <xf numFmtId="0" fontId="0" fillId="7" borderId="1" xfId="0" applyFill="1" applyBorder="1" applyAlignment="1">
      <alignment horizontal="center" vertical="top" wrapText="1"/>
    </xf>
    <xf numFmtId="0" fontId="2" fillId="0" borderId="0" xfId="0" applyFont="1"/>
    <xf numFmtId="4" fontId="0" fillId="7" borderId="1" xfId="0" applyNumberFormat="1" applyFill="1" applyBorder="1" applyAlignment="1">
      <alignment vertical="top"/>
    </xf>
    <xf numFmtId="4" fontId="0" fillId="0" borderId="0" xfId="0" applyNumberFormat="1"/>
    <xf numFmtId="3" fontId="0" fillId="7" borderId="1" xfId="0" applyNumberFormat="1" applyFill="1" applyBorder="1" applyAlignment="1">
      <alignment vertical="top"/>
    </xf>
    <xf numFmtId="3" fontId="0" fillId="0" borderId="0" xfId="0" applyNumberFormat="1"/>
    <xf numFmtId="0" fontId="0" fillId="8" borderId="1" xfId="0" applyFill="1" applyBorder="1" applyAlignment="1">
      <alignment horizontal="center"/>
    </xf>
    <xf numFmtId="3" fontId="0" fillId="8" borderId="1" xfId="0" applyNumberFormat="1" applyFill="1" applyBorder="1" applyAlignment="1">
      <alignment horizontal="center" wrapText="1"/>
    </xf>
    <xf numFmtId="0" fontId="3" fillId="0" borderId="1" xfId="0" applyFont="1" applyBorder="1"/>
    <xf numFmtId="3" fontId="0" fillId="0" borderId="1" xfId="0" applyNumberFormat="1" applyBorder="1"/>
    <xf numFmtId="0" fontId="0" fillId="0" borderId="1" xfId="0" applyBorder="1"/>
    <xf numFmtId="3" fontId="0" fillId="4" borderId="1" xfId="0" applyNumberFormat="1" applyFill="1" applyBorder="1"/>
    <xf numFmtId="0" fontId="3" fillId="0" borderId="1" xfId="0" applyFont="1" applyBorder="1" applyAlignment="1">
      <alignment horizontal="left"/>
    </xf>
    <xf numFmtId="0" fontId="0" fillId="7" borderId="1" xfId="0" applyFill="1" applyBorder="1" applyAlignment="1">
      <alignment horizontal="center" vertical="top"/>
    </xf>
    <xf numFmtId="165" fontId="0" fillId="0" borderId="1" xfId="0" applyNumberFormat="1" applyBorder="1" applyAlignment="1">
      <alignment horizontal="center"/>
    </xf>
    <xf numFmtId="0" fontId="21" fillId="0" borderId="0" xfId="0" applyFont="1"/>
    <xf numFmtId="4" fontId="0" fillId="7" borderId="1" xfId="0" applyNumberFormat="1" applyFill="1" applyBorder="1" applyAlignment="1">
      <alignment horizontal="center" vertical="top" wrapText="1"/>
    </xf>
    <xf numFmtId="4" fontId="0" fillId="7" borderId="1" xfId="0" applyNumberFormat="1" applyFill="1" applyBorder="1" applyAlignment="1">
      <alignment vertical="top" wrapText="1"/>
    </xf>
    <xf numFmtId="4" fontId="0" fillId="7" borderId="1" xfId="0" applyNumberFormat="1" applyFill="1" applyBorder="1" applyAlignment="1">
      <alignment horizontal="center" vertical="top"/>
    </xf>
    <xf numFmtId="4" fontId="0" fillId="8" borderId="3" xfId="0" applyNumberFormat="1" applyFill="1" applyBorder="1" applyAlignment="1">
      <alignment horizontal="center"/>
    </xf>
    <xf numFmtId="4" fontId="0" fillId="8" borderId="20" xfId="0" applyNumberFormat="1" applyFill="1" applyBorder="1" applyAlignment="1">
      <alignment horizontal="center"/>
    </xf>
    <xf numFmtId="4" fontId="3" fillId="0" borderId="1" xfId="0" applyNumberFormat="1" applyFont="1" applyBorder="1"/>
    <xf numFmtId="4" fontId="3" fillId="0" borderId="1" xfId="0" applyNumberFormat="1" applyFont="1" applyBorder="1" applyAlignment="1">
      <alignment horizontal="center"/>
    </xf>
    <xf numFmtId="4" fontId="0" fillId="0" borderId="0" xfId="0" applyNumberFormat="1" applyAlignment="1">
      <alignment horizontal="center"/>
    </xf>
    <xf numFmtId="4" fontId="3" fillId="0" borderId="0" xfId="0" applyNumberFormat="1" applyFont="1" applyAlignment="1">
      <alignment horizontal="center"/>
    </xf>
    <xf numFmtId="4" fontId="3" fillId="4" borderId="1" xfId="0" applyNumberFormat="1" applyFont="1" applyFill="1" applyBorder="1" applyAlignment="1">
      <alignment horizontal="center"/>
    </xf>
    <xf numFmtId="4" fontId="0" fillId="0" borderId="1" xfId="0" applyNumberFormat="1" applyBorder="1" applyAlignment="1">
      <alignment horizontal="center"/>
    </xf>
    <xf numFmtId="4" fontId="0" fillId="4" borderId="1" xfId="0" applyNumberFormat="1" applyFill="1" applyBorder="1" applyAlignment="1">
      <alignment horizontal="center"/>
    </xf>
    <xf numFmtId="4" fontId="3" fillId="0" borderId="1" xfId="0" applyNumberFormat="1" applyFont="1" applyBorder="1" applyAlignment="1">
      <alignment horizontal="left"/>
    </xf>
    <xf numFmtId="4" fontId="0" fillId="0" borderId="2" xfId="0" applyNumberFormat="1" applyBorder="1" applyAlignment="1">
      <alignment horizontal="center"/>
    </xf>
    <xf numFmtId="0" fontId="0" fillId="16" borderId="1" xfId="0" applyFill="1" applyBorder="1"/>
    <xf numFmtId="0" fontId="0" fillId="17" borderId="1" xfId="0" applyFill="1" applyBorder="1"/>
    <xf numFmtId="0" fontId="0" fillId="0" borderId="0" xfId="0" applyAlignment="1">
      <alignment textRotation="90"/>
    </xf>
    <xf numFmtId="0" fontId="22" fillId="0" borderId="0" xfId="0" applyFont="1"/>
    <xf numFmtId="0" fontId="0" fillId="18" borderId="0" xfId="0" applyFill="1"/>
    <xf numFmtId="0" fontId="1" fillId="12" borderId="3" xfId="0" applyFont="1" applyFill="1" applyBorder="1" applyAlignment="1">
      <alignment horizontal="center" vertical="center"/>
    </xf>
    <xf numFmtId="0" fontId="1" fillId="12" borderId="42" xfId="0" applyFont="1" applyFill="1" applyBorder="1" applyAlignment="1">
      <alignment horizontal="center" vertical="center"/>
    </xf>
    <xf numFmtId="0" fontId="1" fillId="12" borderId="42"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1" fillId="10" borderId="42" xfId="0" applyFont="1" applyFill="1" applyBorder="1" applyAlignment="1">
      <alignment horizontal="center" vertical="center" wrapText="1"/>
    </xf>
    <xf numFmtId="0" fontId="1" fillId="10" borderId="43" xfId="0" applyFont="1" applyFill="1" applyBorder="1" applyAlignment="1">
      <alignment horizontal="center" vertical="center" wrapText="1"/>
    </xf>
    <xf numFmtId="0" fontId="2" fillId="14" borderId="20" xfId="0" applyFont="1" applyFill="1" applyBorder="1" applyAlignment="1">
      <alignment horizontal="center"/>
    </xf>
    <xf numFmtId="0" fontId="2" fillId="14" borderId="41" xfId="0" applyFont="1" applyFill="1" applyBorder="1" applyAlignment="1">
      <alignment horizontal="center"/>
    </xf>
    <xf numFmtId="0" fontId="2" fillId="14" borderId="44" xfId="0" applyFont="1" applyFill="1" applyBorder="1" applyAlignment="1">
      <alignment horizontal="center"/>
    </xf>
    <xf numFmtId="0" fontId="2" fillId="0" borderId="0" xfId="0" applyFont="1" applyAlignment="1">
      <alignment horizontal="right"/>
    </xf>
    <xf numFmtId="0" fontId="2" fillId="0" borderId="7" xfId="0" applyFont="1" applyBorder="1" applyAlignment="1">
      <alignment horizontal="center" vertical="center" wrapText="1"/>
    </xf>
    <xf numFmtId="0" fontId="4" fillId="6" borderId="2"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top" wrapText="1"/>
    </xf>
    <xf numFmtId="0" fontId="3" fillId="0" borderId="0" xfId="0" applyFont="1" applyAlignment="1">
      <alignment horizontal="center"/>
    </xf>
    <xf numFmtId="0" fontId="0" fillId="0" borderId="0" xfId="0" applyAlignment="1">
      <alignment horizontal="center" wrapText="1"/>
    </xf>
    <xf numFmtId="0" fontId="0" fillId="7" borderId="1" xfId="0" applyFill="1" applyBorder="1" applyAlignment="1">
      <alignment horizontal="left" vertical="top"/>
    </xf>
    <xf numFmtId="0" fontId="3" fillId="4" borderId="0" xfId="0" applyFont="1" applyFill="1"/>
    <xf numFmtId="0" fontId="3" fillId="4" borderId="0" xfId="0" applyFont="1" applyFill="1" applyAlignment="1">
      <alignment horizontal="left"/>
    </xf>
    <xf numFmtId="0" fontId="3" fillId="19" borderId="0" xfId="0" applyFont="1" applyFill="1" applyAlignment="1">
      <alignment horizontal="left"/>
    </xf>
    <xf numFmtId="0" fontId="0" fillId="4" borderId="0" xfId="0" applyFill="1" applyAlignment="1">
      <alignment horizontal="center" vertical="center"/>
    </xf>
    <xf numFmtId="0" fontId="24" fillId="4" borderId="0" xfId="0" applyFont="1" applyFill="1" applyAlignment="1">
      <alignment horizontal="center" vertical="center"/>
    </xf>
    <xf numFmtId="0" fontId="6" fillId="0" borderId="0" xfId="0" applyFont="1"/>
    <xf numFmtId="0" fontId="0" fillId="0" borderId="0" xfId="0" applyAlignment="1">
      <alignment horizontal="left" vertical="center" indent="1"/>
    </xf>
    <xf numFmtId="0" fontId="23" fillId="0" borderId="0" xfId="0" applyFont="1" applyAlignment="1">
      <alignment horizontal="left" vertical="center" indent="1"/>
    </xf>
    <xf numFmtId="0" fontId="0" fillId="7" borderId="1" xfId="0" applyFill="1" applyBorder="1" applyAlignment="1">
      <alignment horizontal="center" vertical="center"/>
    </xf>
    <xf numFmtId="165" fontId="0" fillId="0" borderId="0" xfId="0" applyNumberFormat="1" applyAlignment="1">
      <alignment horizontal="center" vertical="center"/>
    </xf>
    <xf numFmtId="165" fontId="0" fillId="0" borderId="0" xfId="0" applyNumberFormat="1"/>
    <xf numFmtId="0" fontId="1" fillId="14" borderId="41" xfId="0" applyFont="1" applyFill="1" applyBorder="1" applyAlignment="1">
      <alignment horizontal="center"/>
    </xf>
    <xf numFmtId="0" fontId="1" fillId="0" borderId="0" xfId="0" applyFont="1"/>
    <xf numFmtId="0" fontId="25" fillId="0" borderId="0" xfId="0" applyFont="1"/>
    <xf numFmtId="0" fontId="26" fillId="15" borderId="0" xfId="0" applyFont="1" applyFill="1"/>
    <xf numFmtId="0" fontId="27" fillId="0" borderId="0" xfId="0" applyFont="1"/>
    <xf numFmtId="0" fontId="28" fillId="0" borderId="0" xfId="0" applyFont="1"/>
    <xf numFmtId="0" fontId="1" fillId="12" borderId="3"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27" fillId="14" borderId="41" xfId="0" applyFont="1" applyFill="1" applyBorder="1" applyAlignment="1">
      <alignment horizontal="center"/>
    </xf>
    <xf numFmtId="0" fontId="2" fillId="0" borderId="0" xfId="0" applyFont="1" applyAlignment="1">
      <alignment horizontal="center"/>
    </xf>
    <xf numFmtId="0" fontId="1" fillId="5" borderId="42" xfId="0" applyFont="1" applyFill="1" applyBorder="1" applyAlignment="1">
      <alignment horizontal="center" vertical="center" wrapText="1"/>
    </xf>
    <xf numFmtId="0" fontId="0" fillId="0" borderId="0" xfId="0" applyAlignment="1">
      <alignment horizontal="right"/>
    </xf>
    <xf numFmtId="0" fontId="1" fillId="0" borderId="0" xfId="0" applyFont="1" applyAlignment="1">
      <alignment horizontal="center"/>
    </xf>
    <xf numFmtId="0" fontId="0" fillId="4" borderId="1" xfId="0" applyFill="1" applyBorder="1" applyAlignment="1">
      <alignment vertical="top"/>
    </xf>
    <xf numFmtId="1" fontId="0" fillId="7" borderId="33" xfId="0" applyNumberFormat="1" applyFill="1" applyBorder="1" applyAlignment="1">
      <alignment horizontal="center" vertical="top"/>
    </xf>
    <xf numFmtId="0" fontId="0" fillId="8" borderId="20" xfId="0" applyFill="1" applyBorder="1" applyAlignment="1">
      <alignment horizontal="center" vertical="center"/>
    </xf>
    <xf numFmtId="1" fontId="0" fillId="8" borderId="20" xfId="0" applyNumberFormat="1" applyFill="1" applyBorder="1" applyAlignment="1">
      <alignment horizontal="center"/>
    </xf>
    <xf numFmtId="1" fontId="0" fillId="0" borderId="0" xfId="0" applyNumberFormat="1" applyAlignment="1">
      <alignment horizontal="center"/>
    </xf>
    <xf numFmtId="16" fontId="0" fillId="0" borderId="0" xfId="0" applyNumberFormat="1" applyAlignment="1">
      <alignment horizontal="center" vertical="center"/>
    </xf>
    <xf numFmtId="16" fontId="0" fillId="0" borderId="0" xfId="0" applyNumberFormat="1" applyAlignment="1">
      <alignment horizontal="center"/>
    </xf>
    <xf numFmtId="0" fontId="0" fillId="0" borderId="0" xfId="0" applyAlignment="1">
      <alignment horizontal="left" vertical="top"/>
    </xf>
    <xf numFmtId="0" fontId="5" fillId="0" borderId="0" xfId="0" applyFont="1" applyAlignment="1">
      <alignment horizontal="center" vertical="center"/>
    </xf>
    <xf numFmtId="0" fontId="2" fillId="0" borderId="2" xfId="0" applyFont="1" applyBorder="1"/>
    <xf numFmtId="0" fontId="2" fillId="21" borderId="1" xfId="0" applyFont="1" applyFill="1" applyBorder="1" applyAlignment="1">
      <alignment horizontal="center" vertical="center" wrapText="1"/>
    </xf>
    <xf numFmtId="0" fontId="2" fillId="21" borderId="45"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2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26" xfId="0" applyFont="1" applyBorder="1" applyAlignment="1">
      <alignment horizontal="center" vertical="center" wrapText="1"/>
    </xf>
    <xf numFmtId="164" fontId="2" fillId="0" borderId="26" xfId="0" applyNumberFormat="1" applyFont="1" applyBorder="1" applyAlignment="1">
      <alignment horizontal="center" vertical="center" wrapText="1"/>
    </xf>
    <xf numFmtId="0" fontId="2" fillId="0" borderId="26" xfId="0"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4" xfId="0" applyFont="1" applyBorder="1" applyAlignment="1">
      <alignment horizontal="center" vertical="center"/>
    </xf>
    <xf numFmtId="0" fontId="29" fillId="0" borderId="26" xfId="0" applyFont="1" applyBorder="1" applyAlignment="1">
      <alignment horizontal="center" vertical="center"/>
    </xf>
    <xf numFmtId="0" fontId="30" fillId="22" borderId="1" xfId="0" applyFont="1" applyFill="1" applyBorder="1" applyAlignment="1">
      <alignment horizontal="center" vertical="center"/>
    </xf>
    <xf numFmtId="0" fontId="2" fillId="21" borderId="24" xfId="0" applyFont="1" applyFill="1" applyBorder="1" applyAlignment="1">
      <alignment horizontal="center" vertical="center" wrapText="1"/>
    </xf>
    <xf numFmtId="0" fontId="2" fillId="21" borderId="46" xfId="0" applyFont="1" applyFill="1" applyBorder="1" applyAlignment="1">
      <alignment horizontal="center" vertical="center"/>
    </xf>
    <xf numFmtId="0" fontId="2" fillId="21" borderId="46" xfId="0" applyFont="1" applyFill="1" applyBorder="1" applyAlignment="1">
      <alignment horizontal="center" vertical="center" wrapText="1"/>
    </xf>
    <xf numFmtId="0" fontId="6" fillId="20" borderId="0" xfId="0" applyFont="1" applyFill="1" applyAlignment="1">
      <alignment horizontal="center" vertical="center"/>
    </xf>
    <xf numFmtId="4" fontId="0" fillId="23" borderId="0" xfId="0" applyNumberFormat="1" applyFill="1"/>
    <xf numFmtId="0" fontId="8" fillId="0" borderId="0" xfId="1" applyAlignment="1">
      <alignment wrapText="1"/>
    </xf>
    <xf numFmtId="0" fontId="2" fillId="0" borderId="0" xfId="0" applyFont="1" applyAlignment="1">
      <alignment vertical="center" wrapText="1"/>
    </xf>
    <xf numFmtId="1" fontId="2" fillId="0" borderId="0" xfId="0" applyNumberFormat="1" applyFont="1" applyAlignment="1">
      <alignment horizontal="center" vertical="center" wrapText="1"/>
    </xf>
    <xf numFmtId="1" fontId="2" fillId="0" borderId="0" xfId="0" applyNumberFormat="1" applyFont="1"/>
    <xf numFmtId="0" fontId="6"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xf>
    <xf numFmtId="0" fontId="0" fillId="0" borderId="1" xfId="0" applyBorder="1" applyAlignment="1">
      <alignment horizontal="center" vertical="center" wrapText="1"/>
    </xf>
    <xf numFmtId="165" fontId="2" fillId="0" borderId="0" xfId="0" applyNumberFormat="1" applyFont="1" applyAlignment="1">
      <alignment horizontal="center" vertical="center"/>
    </xf>
    <xf numFmtId="1" fontId="2" fillId="0" borderId="0" xfId="0" applyNumberFormat="1" applyFont="1" applyAlignment="1">
      <alignment horizontal="center" vertical="center"/>
    </xf>
    <xf numFmtId="49" fontId="0" fillId="7" borderId="1" xfId="0" applyNumberFormat="1" applyFill="1" applyBorder="1" applyAlignment="1">
      <alignment horizontal="center" vertical="center"/>
    </xf>
    <xf numFmtId="0" fontId="0" fillId="24" borderId="1" xfId="0" applyFill="1" applyBorder="1" applyAlignment="1">
      <alignment horizontal="center" vertical="center" wrapText="1"/>
    </xf>
    <xf numFmtId="0" fontId="0" fillId="24" borderId="24" xfId="0" applyFill="1" applyBorder="1" applyAlignment="1">
      <alignment horizontal="center" vertical="center" wrapText="1"/>
    </xf>
    <xf numFmtId="0" fontId="0" fillId="8" borderId="46" xfId="0" applyFill="1" applyBorder="1" applyAlignment="1">
      <alignment horizontal="center" vertical="center"/>
    </xf>
    <xf numFmtId="0" fontId="31" fillId="0" borderId="0" xfId="0" applyFont="1" applyAlignment="1">
      <alignment horizontal="center" vertical="center"/>
    </xf>
    <xf numFmtId="0" fontId="2" fillId="0" borderId="2" xfId="0" applyFont="1" applyBorder="1" applyAlignment="1">
      <alignment horizontal="center" vertical="center"/>
    </xf>
    <xf numFmtId="0" fontId="0" fillId="0" borderId="1" xfId="0" applyBorder="1" applyAlignment="1">
      <alignment horizontal="center"/>
    </xf>
    <xf numFmtId="0" fontId="0" fillId="7" borderId="33" xfId="0" applyFill="1" applyBorder="1" applyAlignment="1">
      <alignment horizontal="center" vertical="center"/>
    </xf>
    <xf numFmtId="16" fontId="0" fillId="8" borderId="20" xfId="0" applyNumberFormat="1" applyFill="1" applyBorder="1" applyAlignment="1">
      <alignment horizontal="center"/>
    </xf>
    <xf numFmtId="1" fontId="5" fillId="0" borderId="0" xfId="0" applyNumberFormat="1" applyFont="1" applyAlignment="1">
      <alignment horizontal="center"/>
    </xf>
    <xf numFmtId="166" fontId="0" fillId="0" borderId="0" xfId="0" applyNumberFormat="1" applyAlignment="1">
      <alignment horizontal="center" vertical="center"/>
    </xf>
    <xf numFmtId="167" fontId="5" fillId="0" borderId="0" xfId="0" applyNumberFormat="1" applyFont="1" applyAlignment="1">
      <alignment horizontal="center"/>
    </xf>
    <xf numFmtId="1" fontId="0" fillId="8" borderId="0" xfId="0" applyNumberFormat="1" applyFill="1" applyAlignment="1">
      <alignment horizontal="center"/>
    </xf>
    <xf numFmtId="168" fontId="0" fillId="0" borderId="0" xfId="0" applyNumberFormat="1" applyAlignment="1">
      <alignment horizontal="center" vertical="center"/>
    </xf>
    <xf numFmtId="2" fontId="0" fillId="0" borderId="0" xfId="0" applyNumberFormat="1"/>
    <xf numFmtId="1" fontId="24" fillId="0" borderId="0" xfId="0" applyNumberFormat="1" applyFont="1" applyAlignment="1">
      <alignment horizontal="center"/>
    </xf>
    <xf numFmtId="0" fontId="24" fillId="0" borderId="0" xfId="0" applyFont="1" applyAlignment="1">
      <alignment horizontal="center" vertical="center"/>
    </xf>
    <xf numFmtId="1" fontId="0" fillId="0" borderId="0" xfId="0" applyNumberFormat="1"/>
    <xf numFmtId="4" fontId="0" fillId="8" borderId="47" xfId="0" applyNumberFormat="1" applyFill="1" applyBorder="1" applyAlignment="1">
      <alignment horizontal="center"/>
    </xf>
    <xf numFmtId="4" fontId="0" fillId="0" borderId="0" xfId="0" applyNumberFormat="1" applyAlignment="1">
      <alignment wrapText="1"/>
    </xf>
    <xf numFmtId="4" fontId="0" fillId="25" borderId="0" xfId="0" applyNumberFormat="1" applyFill="1"/>
    <xf numFmtId="4" fontId="0" fillId="4" borderId="0" xfId="0" applyNumberFormat="1" applyFill="1"/>
    <xf numFmtId="4" fontId="3" fillId="25" borderId="1" xfId="0" applyNumberFormat="1" applyFont="1" applyFill="1" applyBorder="1"/>
    <xf numFmtId="4" fontId="3" fillId="25" borderId="1" xfId="0" applyNumberFormat="1" applyFont="1" applyFill="1" applyBorder="1" applyAlignment="1">
      <alignment horizontal="center"/>
    </xf>
    <xf numFmtId="4" fontId="0" fillId="25" borderId="0" xfId="0" applyNumberFormat="1" applyFill="1" applyAlignment="1">
      <alignment horizontal="center"/>
    </xf>
    <xf numFmtId="4" fontId="3" fillId="25" borderId="0" xfId="0" applyNumberFormat="1" applyFont="1" applyFill="1" applyAlignment="1">
      <alignment horizontal="center"/>
    </xf>
    <xf numFmtId="1" fontId="0" fillId="25" borderId="0" xfId="0" applyNumberFormat="1" applyFill="1"/>
    <xf numFmtId="0" fontId="0" fillId="25" borderId="0" xfId="0" applyFill="1"/>
    <xf numFmtId="4" fontId="0" fillId="25" borderId="1" xfId="0" applyNumberFormat="1" applyFill="1" applyBorder="1" applyAlignment="1">
      <alignment horizontal="center"/>
    </xf>
    <xf numFmtId="4" fontId="3" fillId="4" borderId="1" xfId="0" applyNumberFormat="1" applyFont="1" applyFill="1" applyBorder="1"/>
    <xf numFmtId="4" fontId="0" fillId="4" borderId="0" xfId="0" applyNumberFormat="1" applyFill="1" applyAlignment="1">
      <alignment horizontal="center"/>
    </xf>
    <xf numFmtId="1" fontId="0" fillId="4" borderId="0" xfId="0" applyNumberFormat="1" applyFill="1"/>
    <xf numFmtId="4" fontId="3" fillId="4" borderId="0" xfId="0" applyNumberFormat="1" applyFont="1" applyFill="1" applyAlignment="1">
      <alignment horizontal="center"/>
    </xf>
    <xf numFmtId="49" fontId="0" fillId="8" borderId="20" xfId="0" applyNumberFormat="1" applyFill="1" applyBorder="1" applyAlignment="1">
      <alignment horizontal="center" vertical="center"/>
    </xf>
    <xf numFmtId="49" fontId="0" fillId="0" borderId="0" xfId="0" applyNumberFormat="1" applyAlignment="1">
      <alignment horizontal="center" vertical="center" wrapText="1"/>
    </xf>
    <xf numFmtId="49" fontId="3" fillId="0" borderId="0" xfId="0" applyNumberFormat="1" applyFont="1" applyAlignment="1">
      <alignment horizontal="center" vertical="center"/>
    </xf>
    <xf numFmtId="49" fontId="0" fillId="0" borderId="0" xfId="0" applyNumberFormat="1" applyAlignment="1">
      <alignment horizontal="center" vertical="center"/>
    </xf>
    <xf numFmtId="0" fontId="32" fillId="0" borderId="0" xfId="0" applyFont="1" applyAlignment="1">
      <alignment vertical="center"/>
    </xf>
    <xf numFmtId="0" fontId="33" fillId="0" borderId="0" xfId="0" applyFont="1"/>
    <xf numFmtId="0" fontId="6" fillId="0" borderId="0" xfId="0" applyFont="1" applyAlignment="1">
      <alignment horizontal="left" vertical="center" indent="1"/>
    </xf>
    <xf numFmtId="0" fontId="0" fillId="0" borderId="0" xfId="0" applyAlignment="1">
      <alignment horizontal="left" vertical="center" indent="2"/>
    </xf>
    <xf numFmtId="0" fontId="0" fillId="26" borderId="0" xfId="0" applyFill="1" applyAlignment="1">
      <alignment horizontal="left"/>
    </xf>
    <xf numFmtId="0" fontId="6" fillId="0" borderId="0" xfId="0" applyFont="1" applyAlignment="1">
      <alignment vertical="center"/>
    </xf>
    <xf numFmtId="0" fontId="5" fillId="0" borderId="0" xfId="0" applyFont="1"/>
    <xf numFmtId="0" fontId="5" fillId="0" borderId="0" xfId="0" applyFont="1" applyAlignment="1">
      <alignment horizontal="center"/>
    </xf>
    <xf numFmtId="0" fontId="5" fillId="0" borderId="0" xfId="0" applyFont="1" applyAlignment="1">
      <alignment horizontal="left"/>
    </xf>
    <xf numFmtId="0" fontId="0" fillId="26" borderId="0" xfId="0" applyFill="1"/>
    <xf numFmtId="0" fontId="0" fillId="4" borderId="0" xfId="0" applyFill="1" applyAlignment="1">
      <alignment horizontal="center"/>
    </xf>
    <xf numFmtId="0" fontId="34" fillId="0" borderId="0" xfId="0" applyFont="1" applyAlignment="1">
      <alignment vertical="center"/>
    </xf>
    <xf numFmtId="165" fontId="2" fillId="0" borderId="0" xfId="0" applyNumberFormat="1" applyFont="1"/>
    <xf numFmtId="0" fontId="35" fillId="0" borderId="0" xfId="0" applyFont="1" applyAlignment="1">
      <alignment horizontal="center" vertical="center"/>
    </xf>
    <xf numFmtId="9" fontId="0" fillId="0" borderId="0" xfId="2" applyFont="1"/>
    <xf numFmtId="10" fontId="17" fillId="0" borderId="0" xfId="0" applyNumberFormat="1" applyFont="1"/>
    <xf numFmtId="9" fontId="2" fillId="0" borderId="0" xfId="0" applyNumberFormat="1" applyFont="1"/>
    <xf numFmtId="10" fontId="2" fillId="0" borderId="0" xfId="0" applyNumberFormat="1" applyFont="1"/>
    <xf numFmtId="10" fontId="18" fillId="15" borderId="0" xfId="0" applyNumberFormat="1" applyFont="1" applyFill="1"/>
    <xf numFmtId="9" fontId="0" fillId="0" borderId="0" xfId="0" applyNumberFormat="1"/>
    <xf numFmtId="0" fontId="0" fillId="16" borderId="2" xfId="0" applyFill="1" applyBorder="1" applyAlignment="1">
      <alignment wrapText="1"/>
    </xf>
    <xf numFmtId="0" fontId="0" fillId="16" borderId="2" xfId="0" applyFill="1" applyBorder="1"/>
    <xf numFmtId="0" fontId="3" fillId="0" borderId="2" xfId="0" applyFont="1" applyBorder="1" applyAlignment="1">
      <alignment horizontal="left"/>
    </xf>
    <xf numFmtId="0" fontId="0" fillId="0" borderId="2" xfId="0" applyBorder="1"/>
    <xf numFmtId="0" fontId="3" fillId="0" borderId="2" xfId="0" applyFont="1" applyBorder="1"/>
    <xf numFmtId="0" fontId="3" fillId="0" borderId="28" xfId="0" applyFont="1" applyBorder="1" applyAlignment="1">
      <alignment horizontal="left"/>
    </xf>
    <xf numFmtId="0" fontId="0" fillId="0" borderId="28" xfId="0" applyBorder="1"/>
    <xf numFmtId="0" fontId="0" fillId="16" borderId="50" xfId="0" applyFill="1" applyBorder="1" applyAlignment="1">
      <alignment wrapText="1"/>
    </xf>
    <xf numFmtId="0" fontId="0" fillId="16" borderId="50" xfId="0" applyFill="1" applyBorder="1"/>
    <xf numFmtId="165" fontId="0" fillId="0" borderId="0" xfId="0" applyNumberFormat="1" applyAlignment="1">
      <alignment horizontal="right" vertical="center"/>
    </xf>
    <xf numFmtId="165" fontId="0" fillId="0" borderId="0" xfId="0" applyNumberFormat="1" applyAlignment="1">
      <alignment horizontal="right" vertical="center" wrapText="1"/>
    </xf>
    <xf numFmtId="0" fontId="0" fillId="0" borderId="0" xfId="0" applyAlignment="1">
      <alignment horizontal="right" vertical="center"/>
    </xf>
    <xf numFmtId="0" fontId="2" fillId="0" borderId="0" xfId="0" applyFont="1" applyAlignment="1">
      <alignment horizontal="right" vertical="center"/>
    </xf>
    <xf numFmtId="0" fontId="0" fillId="0" borderId="0" xfId="0" applyAlignment="1">
      <alignment horizontal="center"/>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top" wrapText="1"/>
    </xf>
    <xf numFmtId="0" fontId="0" fillId="0" borderId="0" xfId="0" applyAlignment="1">
      <alignment horizontal="center" vertical="top"/>
    </xf>
    <xf numFmtId="0" fontId="0" fillId="7" borderId="48" xfId="0" applyFill="1" applyBorder="1" applyAlignment="1">
      <alignment horizontal="center" vertical="top"/>
    </xf>
    <xf numFmtId="0" fontId="0" fillId="7" borderId="49" xfId="0" applyFill="1" applyBorder="1" applyAlignment="1">
      <alignment horizontal="center" vertical="top"/>
    </xf>
    <xf numFmtId="0" fontId="0" fillId="7" borderId="26" xfId="0" applyFill="1" applyBorder="1" applyAlignment="1">
      <alignment horizontal="center" vertical="top"/>
    </xf>
    <xf numFmtId="0" fontId="2" fillId="0" borderId="2" xfId="0" applyFont="1" applyBorder="1" applyAlignment="1">
      <alignment horizontal="center" vertical="center" wrapText="1"/>
    </xf>
    <xf numFmtId="0" fontId="0" fillId="0" borderId="6" xfId="0" applyBorder="1" applyAlignment="1">
      <alignment horizontal="center" vertical="center"/>
    </xf>
    <xf numFmtId="0" fontId="6" fillId="5" borderId="8" xfId="0" applyFont="1" applyFill="1" applyBorder="1" applyAlignment="1">
      <alignment horizontal="center" vertical="center"/>
    </xf>
    <xf numFmtId="0" fontId="6" fillId="5" borderId="9" xfId="0" applyFont="1" applyFill="1" applyBorder="1" applyAlignment="1">
      <alignment horizontal="center" vertical="center"/>
    </xf>
    <xf numFmtId="0" fontId="6" fillId="5" borderId="10" xfId="0" applyFont="1" applyFill="1" applyBorder="1" applyAlignment="1">
      <alignment horizontal="center" vertical="center"/>
    </xf>
    <xf numFmtId="0" fontId="6" fillId="6" borderId="2" xfId="0" applyFont="1" applyFill="1" applyBorder="1" applyAlignment="1">
      <alignment horizontal="center" vertical="center"/>
    </xf>
    <xf numFmtId="0" fontId="12" fillId="0" borderId="25" xfId="0" applyFont="1" applyBorder="1"/>
    <xf numFmtId="0" fontId="12" fillId="0" borderId="24" xfId="0" applyFont="1" applyBorder="1"/>
    <xf numFmtId="0" fontId="12" fillId="0" borderId="6" xfId="0" applyFont="1" applyBorder="1"/>
    <xf numFmtId="0" fontId="12" fillId="0" borderId="7" xfId="0" applyFont="1" applyBorder="1"/>
    <xf numFmtId="0" fontId="11" fillId="0" borderId="29" xfId="0" applyFont="1" applyBorder="1"/>
    <xf numFmtId="0" fontId="11" fillId="0" borderId="28" xfId="0" applyFont="1" applyBorder="1"/>
    <xf numFmtId="0" fontId="11" fillId="0" borderId="31" xfId="0" applyFont="1" applyBorder="1"/>
    <xf numFmtId="0" fontId="11" fillId="0" borderId="30" xfId="0" applyFont="1" applyBorder="1"/>
    <xf numFmtId="0" fontId="15" fillId="0" borderId="0" xfId="0" applyFont="1"/>
    <xf numFmtId="0" fontId="15" fillId="0" borderId="21" xfId="0" applyFont="1" applyBorder="1"/>
    <xf numFmtId="0" fontId="15" fillId="0" borderId="33" xfId="0" applyFont="1" applyBorder="1"/>
    <xf numFmtId="0" fontId="15" fillId="0" borderId="32" xfId="0" applyFont="1" applyBorder="1"/>
    <xf numFmtId="0" fontId="12" fillId="0" borderId="3" xfId="0" applyFont="1" applyBorder="1"/>
    <xf numFmtId="0" fontId="12" fillId="0" borderId="34" xfId="0" applyFont="1" applyBorder="1"/>
    <xf numFmtId="0" fontId="16" fillId="0" borderId="3" xfId="0" applyFont="1" applyBorder="1"/>
    <xf numFmtId="0" fontId="16" fillId="0" borderId="34" xfId="0" applyFont="1" applyBorder="1"/>
    <xf numFmtId="0" fontId="12" fillId="0" borderId="38" xfId="0" applyFont="1" applyBorder="1"/>
    <xf numFmtId="0" fontId="12" fillId="0" borderId="36" xfId="0" applyFont="1" applyBorder="1"/>
    <xf numFmtId="0" fontId="12" fillId="0" borderId="35" xfId="0" applyFont="1" applyBorder="1"/>
    <xf numFmtId="0" fontId="12" fillId="0" borderId="40" xfId="0" applyFont="1" applyBorder="1"/>
  </cellXfs>
  <cellStyles count="3">
    <cellStyle name="Lien hypertexte" xfId="1" builtinId="8"/>
    <cellStyle name="Normal" xfId="0" builtinId="0"/>
    <cellStyle name="Pourcentage" xfId="2"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15240</xdr:colOff>
      <xdr:row>7</xdr:row>
      <xdr:rowOff>121920</xdr:rowOff>
    </xdr:from>
    <xdr:to>
      <xdr:col>6</xdr:col>
      <xdr:colOff>229031</xdr:colOff>
      <xdr:row>16</xdr:row>
      <xdr:rowOff>91580</xdr:rowOff>
    </xdr:to>
    <xdr:pic>
      <xdr:nvPicPr>
        <xdr:cNvPr id="2" name="Image 1">
          <a:extLst>
            <a:ext uri="{FF2B5EF4-FFF2-40B4-BE49-F238E27FC236}">
              <a16:creationId xmlns:a16="http://schemas.microsoft.com/office/drawing/2014/main" id="{DF2968B6-BE7B-E2EE-CB77-6755D4AAAF95}"/>
            </a:ext>
          </a:extLst>
        </xdr:cNvPr>
        <xdr:cNvPicPr>
          <a:picLocks noChangeAspect="1"/>
        </xdr:cNvPicPr>
      </xdr:nvPicPr>
      <xdr:blipFill>
        <a:blip xmlns:r="http://schemas.openxmlformats.org/officeDocument/2006/relationships" r:embed="rId1"/>
        <a:stretch>
          <a:fillRect/>
        </a:stretch>
      </xdr:blipFill>
      <xdr:spPr>
        <a:xfrm>
          <a:off x="15240" y="1402080"/>
          <a:ext cx="4968671" cy="16155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371475</xdr:colOff>
      <xdr:row>3</xdr:row>
      <xdr:rowOff>28575</xdr:rowOff>
    </xdr:from>
    <xdr:to>
      <xdr:col>21</xdr:col>
      <xdr:colOff>28575</xdr:colOff>
      <xdr:row>14</xdr:row>
      <xdr:rowOff>19050</xdr:rowOff>
    </xdr:to>
    <xdr:pic>
      <xdr:nvPicPr>
        <xdr:cNvPr id="2" name="Picture 1">
          <a:extLst>
            <a:ext uri="{FF2B5EF4-FFF2-40B4-BE49-F238E27FC236}">
              <a16:creationId xmlns:a16="http://schemas.microsoft.com/office/drawing/2014/main" id="{CA3B4106-EF0A-AB9F-6883-9DA125BC51E4}"/>
            </a:ext>
          </a:extLst>
        </xdr:cNvPr>
        <xdr:cNvPicPr>
          <a:picLocks noChangeAspect="1"/>
        </xdr:cNvPicPr>
      </xdr:nvPicPr>
      <xdr:blipFill>
        <a:blip xmlns:r="http://schemas.openxmlformats.org/officeDocument/2006/relationships" r:embed="rId1"/>
        <a:stretch>
          <a:fillRect/>
        </a:stretch>
      </xdr:blipFill>
      <xdr:spPr>
        <a:xfrm>
          <a:off x="18583275" y="781050"/>
          <a:ext cx="5753100" cy="2085975"/>
        </a:xfrm>
        <a:prstGeom prst="rect">
          <a:avLst/>
        </a:prstGeom>
      </xdr:spPr>
    </xdr:pic>
    <xdr:clientData/>
  </xdr:twoCellAnchor>
  <xdr:twoCellAnchor editAs="oneCell">
    <xdr:from>
      <xdr:col>11</xdr:col>
      <xdr:colOff>390525</xdr:colOff>
      <xdr:row>15</xdr:row>
      <xdr:rowOff>9525</xdr:rowOff>
    </xdr:from>
    <xdr:to>
      <xdr:col>15</xdr:col>
      <xdr:colOff>0</xdr:colOff>
      <xdr:row>18</xdr:row>
      <xdr:rowOff>57150</xdr:rowOff>
    </xdr:to>
    <xdr:pic>
      <xdr:nvPicPr>
        <xdr:cNvPr id="3" name="Picture 2">
          <a:extLst>
            <a:ext uri="{FF2B5EF4-FFF2-40B4-BE49-F238E27FC236}">
              <a16:creationId xmlns:a16="http://schemas.microsoft.com/office/drawing/2014/main" id="{1A01F01A-5EC6-890A-94D8-445BD931D55A}"/>
            </a:ext>
            <a:ext uri="{147F2762-F138-4A5C-976F-8EAC2B608ADB}">
              <a16:predDERef xmlns:a16="http://schemas.microsoft.com/office/drawing/2014/main" pred="{CA3B4106-EF0A-AB9F-6883-9DA125BC51E4}"/>
            </a:ext>
          </a:extLst>
        </xdr:cNvPr>
        <xdr:cNvPicPr>
          <a:picLocks noChangeAspect="1"/>
        </xdr:cNvPicPr>
      </xdr:nvPicPr>
      <xdr:blipFill>
        <a:blip xmlns:r="http://schemas.openxmlformats.org/officeDocument/2006/relationships" r:embed="rId2"/>
        <a:stretch>
          <a:fillRect/>
        </a:stretch>
      </xdr:blipFill>
      <xdr:spPr>
        <a:xfrm>
          <a:off x="18602325" y="3048000"/>
          <a:ext cx="2038350" cy="619125"/>
        </a:xfrm>
        <a:prstGeom prst="rect">
          <a:avLst/>
        </a:prstGeom>
      </xdr:spPr>
    </xdr:pic>
    <xdr:clientData/>
  </xdr:twoCellAnchor>
  <xdr:twoCellAnchor editAs="oneCell">
    <xdr:from>
      <xdr:col>11</xdr:col>
      <xdr:colOff>409575</xdr:colOff>
      <xdr:row>19</xdr:row>
      <xdr:rowOff>28575</xdr:rowOff>
    </xdr:from>
    <xdr:to>
      <xdr:col>22</xdr:col>
      <xdr:colOff>0</xdr:colOff>
      <xdr:row>42</xdr:row>
      <xdr:rowOff>85725</xdr:rowOff>
    </xdr:to>
    <xdr:pic>
      <xdr:nvPicPr>
        <xdr:cNvPr id="4" name="Picture 3">
          <a:extLst>
            <a:ext uri="{FF2B5EF4-FFF2-40B4-BE49-F238E27FC236}">
              <a16:creationId xmlns:a16="http://schemas.microsoft.com/office/drawing/2014/main" id="{5DCFBB77-7FB7-F8C9-10BA-9E8E06DE2968}"/>
            </a:ext>
            <a:ext uri="{147F2762-F138-4A5C-976F-8EAC2B608ADB}">
              <a16:predDERef xmlns:a16="http://schemas.microsoft.com/office/drawing/2014/main" pred="{1A01F01A-5EC6-890A-94D8-445BD931D55A}"/>
            </a:ext>
          </a:extLst>
        </xdr:cNvPr>
        <xdr:cNvPicPr>
          <a:picLocks noChangeAspect="1"/>
        </xdr:cNvPicPr>
      </xdr:nvPicPr>
      <xdr:blipFill>
        <a:blip xmlns:r="http://schemas.openxmlformats.org/officeDocument/2006/relationships" r:embed="rId3"/>
        <a:stretch>
          <a:fillRect/>
        </a:stretch>
      </xdr:blipFill>
      <xdr:spPr>
        <a:xfrm>
          <a:off x="18621375" y="3829050"/>
          <a:ext cx="6286500" cy="443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277956</xdr:colOff>
      <xdr:row>22</xdr:row>
      <xdr:rowOff>134216</xdr:rowOff>
    </xdr:from>
    <xdr:to>
      <xdr:col>27</xdr:col>
      <xdr:colOff>230331</xdr:colOff>
      <xdr:row>29</xdr:row>
      <xdr:rowOff>109509</xdr:rowOff>
    </xdr:to>
    <xdr:pic>
      <xdr:nvPicPr>
        <xdr:cNvPr id="3" name="Picture 2">
          <a:extLst>
            <a:ext uri="{FF2B5EF4-FFF2-40B4-BE49-F238E27FC236}">
              <a16:creationId xmlns:a16="http://schemas.microsoft.com/office/drawing/2014/main" id="{B234101D-48BE-7B57-B7C8-F715D2C6B4C1}"/>
            </a:ext>
            <a:ext uri="{147F2762-F138-4A5C-976F-8EAC2B608ADB}">
              <a16:predDERef xmlns:a16="http://schemas.microsoft.com/office/drawing/2014/main" pred="{6BAAE250-8AD7-D5B9-F697-98C880F205B3}"/>
            </a:ext>
          </a:extLst>
        </xdr:cNvPr>
        <xdr:cNvPicPr>
          <a:picLocks noChangeAspect="1"/>
        </xdr:cNvPicPr>
      </xdr:nvPicPr>
      <xdr:blipFill>
        <a:blip xmlns:r="http://schemas.openxmlformats.org/officeDocument/2006/relationships" r:embed="rId1"/>
        <a:stretch>
          <a:fillRect/>
        </a:stretch>
      </xdr:blipFill>
      <xdr:spPr>
        <a:xfrm>
          <a:off x="12508056" y="4658591"/>
          <a:ext cx="7629525" cy="1307523"/>
        </a:xfrm>
        <a:prstGeom prst="rect">
          <a:avLst/>
        </a:prstGeom>
      </xdr:spPr>
    </xdr:pic>
    <xdr:clientData/>
  </xdr:twoCellAnchor>
  <xdr:twoCellAnchor editAs="oneCell">
    <xdr:from>
      <xdr:col>14</xdr:col>
      <xdr:colOff>329911</xdr:colOff>
      <xdr:row>11</xdr:row>
      <xdr:rowOff>179244</xdr:rowOff>
    </xdr:from>
    <xdr:to>
      <xdr:col>22</xdr:col>
      <xdr:colOff>42891</xdr:colOff>
      <xdr:row>20</xdr:row>
      <xdr:rowOff>52879</xdr:rowOff>
    </xdr:to>
    <xdr:pic>
      <xdr:nvPicPr>
        <xdr:cNvPr id="4" name="Picture 3">
          <a:extLst>
            <a:ext uri="{FF2B5EF4-FFF2-40B4-BE49-F238E27FC236}">
              <a16:creationId xmlns:a16="http://schemas.microsoft.com/office/drawing/2014/main" id="{E290B2B2-3191-46C9-83BB-3EE90DBDFE9A}"/>
            </a:ext>
            <a:ext uri="{147F2762-F138-4A5C-976F-8EAC2B608ADB}">
              <a16:predDERef xmlns:a16="http://schemas.microsoft.com/office/drawing/2014/main" pred="{B234101D-48BE-7B57-B7C8-F715D2C6B4C1}"/>
            </a:ext>
          </a:extLst>
        </xdr:cNvPr>
        <xdr:cNvPicPr>
          <a:picLocks noChangeAspect="1"/>
        </xdr:cNvPicPr>
      </xdr:nvPicPr>
      <xdr:blipFill>
        <a:blip xmlns:r="http://schemas.openxmlformats.org/officeDocument/2006/relationships" r:embed="rId2"/>
        <a:stretch>
          <a:fillRect/>
        </a:stretch>
      </xdr:blipFill>
      <xdr:spPr>
        <a:xfrm>
          <a:off x="12560011" y="2598594"/>
          <a:ext cx="4438650" cy="1590675"/>
        </a:xfrm>
        <a:prstGeom prst="rect">
          <a:avLst/>
        </a:prstGeom>
      </xdr:spPr>
    </xdr:pic>
    <xdr:clientData/>
  </xdr:twoCellAnchor>
  <xdr:twoCellAnchor editAs="oneCell">
    <xdr:from>
      <xdr:col>14</xdr:col>
      <xdr:colOff>333375</xdr:colOff>
      <xdr:row>30</xdr:row>
      <xdr:rowOff>130753</xdr:rowOff>
    </xdr:from>
    <xdr:to>
      <xdr:col>22</xdr:col>
      <xdr:colOff>46355</xdr:colOff>
      <xdr:row>42</xdr:row>
      <xdr:rowOff>77932</xdr:rowOff>
    </xdr:to>
    <xdr:pic>
      <xdr:nvPicPr>
        <xdr:cNvPr id="5" name="Picture 4">
          <a:extLst>
            <a:ext uri="{FF2B5EF4-FFF2-40B4-BE49-F238E27FC236}">
              <a16:creationId xmlns:a16="http://schemas.microsoft.com/office/drawing/2014/main" id="{EE796608-AD3C-EE8A-F636-2065D8A0F09A}"/>
            </a:ext>
            <a:ext uri="{147F2762-F138-4A5C-976F-8EAC2B608ADB}">
              <a16:predDERef xmlns:a16="http://schemas.microsoft.com/office/drawing/2014/main" pred="{E290B2B2-3191-46C9-83BB-3EE90DBDFE9A}"/>
            </a:ext>
          </a:extLst>
        </xdr:cNvPr>
        <xdr:cNvPicPr>
          <a:picLocks noChangeAspect="1"/>
        </xdr:cNvPicPr>
      </xdr:nvPicPr>
      <xdr:blipFill>
        <a:blip xmlns:r="http://schemas.openxmlformats.org/officeDocument/2006/relationships" r:embed="rId3"/>
        <a:stretch>
          <a:fillRect/>
        </a:stretch>
      </xdr:blipFill>
      <xdr:spPr>
        <a:xfrm>
          <a:off x="12563475" y="6179128"/>
          <a:ext cx="4438650" cy="2233179"/>
        </a:xfrm>
        <a:prstGeom prst="rect">
          <a:avLst/>
        </a:prstGeom>
      </xdr:spPr>
    </xdr:pic>
    <xdr:clientData/>
  </xdr:twoCellAnchor>
  <xdr:twoCellAnchor editAs="oneCell">
    <xdr:from>
      <xdr:col>14</xdr:col>
      <xdr:colOff>276225</xdr:colOff>
      <xdr:row>1</xdr:row>
      <xdr:rowOff>76200</xdr:rowOff>
    </xdr:from>
    <xdr:to>
      <xdr:col>22</xdr:col>
      <xdr:colOff>122555</xdr:colOff>
      <xdr:row>10</xdr:row>
      <xdr:rowOff>84455</xdr:rowOff>
    </xdr:to>
    <xdr:pic>
      <xdr:nvPicPr>
        <xdr:cNvPr id="2" name="Picture 1">
          <a:extLst>
            <a:ext uri="{FF2B5EF4-FFF2-40B4-BE49-F238E27FC236}">
              <a16:creationId xmlns:a16="http://schemas.microsoft.com/office/drawing/2014/main" id="{9892F916-E201-41F7-C590-1CE7520BB4D5}"/>
            </a:ext>
            <a:ext uri="{147F2762-F138-4A5C-976F-8EAC2B608ADB}">
              <a16:predDERef xmlns:a16="http://schemas.microsoft.com/office/drawing/2014/main" pred="{EE796608-AD3C-EE8A-F636-2065D8A0F09A}"/>
            </a:ext>
          </a:extLst>
        </xdr:cNvPr>
        <xdr:cNvPicPr>
          <a:picLocks noChangeAspect="1"/>
        </xdr:cNvPicPr>
      </xdr:nvPicPr>
      <xdr:blipFill>
        <a:blip xmlns:r="http://schemas.openxmlformats.org/officeDocument/2006/relationships" r:embed="rId4"/>
        <a:stretch>
          <a:fillRect/>
        </a:stretch>
      </xdr:blipFill>
      <xdr:spPr>
        <a:xfrm>
          <a:off x="12506325" y="600075"/>
          <a:ext cx="4572000" cy="1733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452269</xdr:colOff>
      <xdr:row>0</xdr:row>
      <xdr:rowOff>160020</xdr:rowOff>
    </xdr:from>
    <xdr:to>
      <xdr:col>16</xdr:col>
      <xdr:colOff>276965</xdr:colOff>
      <xdr:row>28</xdr:row>
      <xdr:rowOff>168480</xdr:rowOff>
    </xdr:to>
    <xdr:pic>
      <xdr:nvPicPr>
        <xdr:cNvPr id="2" name="Image 1">
          <a:extLst>
            <a:ext uri="{FF2B5EF4-FFF2-40B4-BE49-F238E27FC236}">
              <a16:creationId xmlns:a16="http://schemas.microsoft.com/office/drawing/2014/main" id="{DCD0B85F-765B-9351-BB63-9C4868AD0C58}"/>
            </a:ext>
          </a:extLst>
        </xdr:cNvPr>
        <xdr:cNvPicPr>
          <a:picLocks noChangeAspect="1"/>
        </xdr:cNvPicPr>
      </xdr:nvPicPr>
      <xdr:blipFill>
        <a:blip xmlns:r="http://schemas.openxmlformats.org/officeDocument/2006/relationships" r:embed="rId1"/>
        <a:stretch>
          <a:fillRect/>
        </a:stretch>
      </xdr:blipFill>
      <xdr:spPr>
        <a:xfrm>
          <a:off x="8300869" y="160020"/>
          <a:ext cx="4533856" cy="51443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492521</xdr:colOff>
      <xdr:row>0</xdr:row>
      <xdr:rowOff>0</xdr:rowOff>
    </xdr:from>
    <xdr:to>
      <xdr:col>19</xdr:col>
      <xdr:colOff>637220</xdr:colOff>
      <xdr:row>28</xdr:row>
      <xdr:rowOff>110220</xdr:rowOff>
    </xdr:to>
    <xdr:pic>
      <xdr:nvPicPr>
        <xdr:cNvPr id="3" name="Picture 2">
          <a:extLst>
            <a:ext uri="{FF2B5EF4-FFF2-40B4-BE49-F238E27FC236}">
              <a16:creationId xmlns:a16="http://schemas.microsoft.com/office/drawing/2014/main" id="{AB324A0D-6080-4653-8078-B6D150FADB8D}"/>
            </a:ext>
          </a:extLst>
        </xdr:cNvPr>
        <xdr:cNvPicPr>
          <a:picLocks noChangeAspect="1"/>
        </xdr:cNvPicPr>
      </xdr:nvPicPr>
      <xdr:blipFill>
        <a:blip xmlns:r="http://schemas.openxmlformats.org/officeDocument/2006/relationships" r:embed="rId1"/>
        <a:stretch>
          <a:fillRect/>
        </a:stretch>
      </xdr:blipFill>
      <xdr:spPr>
        <a:xfrm>
          <a:off x="20413378" y="0"/>
          <a:ext cx="4810005" cy="5335363"/>
        </a:xfrm>
        <a:prstGeom prst="rect">
          <a:avLst/>
        </a:prstGeom>
      </xdr:spPr>
    </xdr:pic>
    <xdr:clientData/>
  </xdr:twoCellAnchor>
  <xdr:twoCellAnchor editAs="oneCell">
    <xdr:from>
      <xdr:col>11</xdr:col>
      <xdr:colOff>165474</xdr:colOff>
      <xdr:row>21</xdr:row>
      <xdr:rowOff>73067</xdr:rowOff>
    </xdr:from>
    <xdr:to>
      <xdr:col>13</xdr:col>
      <xdr:colOff>564027</xdr:colOff>
      <xdr:row>42</xdr:row>
      <xdr:rowOff>160361</xdr:rowOff>
    </xdr:to>
    <xdr:pic>
      <xdr:nvPicPr>
        <xdr:cNvPr id="4" name="Picture 3">
          <a:extLst>
            <a:ext uri="{FF2B5EF4-FFF2-40B4-BE49-F238E27FC236}">
              <a16:creationId xmlns:a16="http://schemas.microsoft.com/office/drawing/2014/main" id="{9C930DD6-71D0-4E34-9114-4CB07FC0D51F}"/>
            </a:ext>
          </a:extLst>
        </xdr:cNvPr>
        <xdr:cNvPicPr>
          <a:picLocks noChangeAspect="1"/>
        </xdr:cNvPicPr>
      </xdr:nvPicPr>
      <xdr:blipFill>
        <a:blip xmlns:r="http://schemas.openxmlformats.org/officeDocument/2006/relationships" r:embed="rId2"/>
        <a:stretch>
          <a:fillRect/>
        </a:stretch>
      </xdr:blipFill>
      <xdr:spPr>
        <a:xfrm>
          <a:off x="18119447" y="3830875"/>
          <a:ext cx="4293330" cy="382140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542925</xdr:colOff>
      <xdr:row>4</xdr:row>
      <xdr:rowOff>95250</xdr:rowOff>
    </xdr:from>
    <xdr:to>
      <xdr:col>17</xdr:col>
      <xdr:colOff>371475</xdr:colOff>
      <xdr:row>8</xdr:row>
      <xdr:rowOff>133350</xdr:rowOff>
    </xdr:to>
    <xdr:pic>
      <xdr:nvPicPr>
        <xdr:cNvPr id="2" name="Picture 1">
          <a:extLst>
            <a:ext uri="{FF2B5EF4-FFF2-40B4-BE49-F238E27FC236}">
              <a16:creationId xmlns:a16="http://schemas.microsoft.com/office/drawing/2014/main" id="{05C0B40F-2A94-0724-FBFC-88BAC4A9CCA6}"/>
            </a:ext>
          </a:extLst>
        </xdr:cNvPr>
        <xdr:cNvPicPr>
          <a:picLocks noChangeAspect="1"/>
        </xdr:cNvPicPr>
      </xdr:nvPicPr>
      <xdr:blipFill>
        <a:blip xmlns:r="http://schemas.openxmlformats.org/officeDocument/2006/relationships" r:embed="rId1"/>
        <a:stretch>
          <a:fillRect/>
        </a:stretch>
      </xdr:blipFill>
      <xdr:spPr>
        <a:xfrm>
          <a:off x="16906875" y="857250"/>
          <a:ext cx="3038475" cy="800100"/>
        </a:xfrm>
        <a:prstGeom prst="rect">
          <a:avLst/>
        </a:prstGeom>
      </xdr:spPr>
    </xdr:pic>
    <xdr:clientData/>
  </xdr:twoCellAnchor>
  <xdr:twoCellAnchor editAs="oneCell">
    <xdr:from>
      <xdr:col>14</xdr:col>
      <xdr:colOff>9525</xdr:colOff>
      <xdr:row>8</xdr:row>
      <xdr:rowOff>57150</xdr:rowOff>
    </xdr:from>
    <xdr:to>
      <xdr:col>20</xdr:col>
      <xdr:colOff>323850</xdr:colOff>
      <xdr:row>19</xdr:row>
      <xdr:rowOff>9525</xdr:rowOff>
    </xdr:to>
    <xdr:pic>
      <xdr:nvPicPr>
        <xdr:cNvPr id="3" name="Picture 2">
          <a:extLst>
            <a:ext uri="{FF2B5EF4-FFF2-40B4-BE49-F238E27FC236}">
              <a16:creationId xmlns:a16="http://schemas.microsoft.com/office/drawing/2014/main" id="{5F6D6100-70C8-B140-4B51-D7021B29F94B}"/>
            </a:ext>
            <a:ext uri="{147F2762-F138-4A5C-976F-8EAC2B608ADB}">
              <a16:predDERef xmlns:a16="http://schemas.microsoft.com/office/drawing/2014/main" pred="{05C0B40F-2A94-0724-FBFC-88BAC4A9CCA6}"/>
            </a:ext>
          </a:extLst>
        </xdr:cNvPr>
        <xdr:cNvPicPr>
          <a:picLocks noChangeAspect="1"/>
        </xdr:cNvPicPr>
      </xdr:nvPicPr>
      <xdr:blipFill>
        <a:blip xmlns:r="http://schemas.openxmlformats.org/officeDocument/2006/relationships" r:embed="rId2"/>
        <a:stretch>
          <a:fillRect/>
        </a:stretch>
      </xdr:blipFill>
      <xdr:spPr>
        <a:xfrm>
          <a:off x="16983075" y="1581150"/>
          <a:ext cx="4572000" cy="2047875"/>
        </a:xfrm>
        <a:prstGeom prst="rect">
          <a:avLst/>
        </a:prstGeom>
      </xdr:spPr>
    </xdr:pic>
    <xdr:clientData/>
  </xdr:twoCellAnchor>
  <xdr:twoCellAnchor editAs="oneCell">
    <xdr:from>
      <xdr:col>20</xdr:col>
      <xdr:colOff>495300</xdr:colOff>
      <xdr:row>0</xdr:row>
      <xdr:rowOff>38100</xdr:rowOff>
    </xdr:from>
    <xdr:to>
      <xdr:col>28</xdr:col>
      <xdr:colOff>190500</xdr:colOff>
      <xdr:row>19</xdr:row>
      <xdr:rowOff>104775</xdr:rowOff>
    </xdr:to>
    <xdr:pic>
      <xdr:nvPicPr>
        <xdr:cNvPr id="4" name="Picture 3">
          <a:extLst>
            <a:ext uri="{FF2B5EF4-FFF2-40B4-BE49-F238E27FC236}">
              <a16:creationId xmlns:a16="http://schemas.microsoft.com/office/drawing/2014/main" id="{AC1B06C4-1529-4E17-9D47-D7042B85668C}"/>
            </a:ext>
            <a:ext uri="{147F2762-F138-4A5C-976F-8EAC2B608ADB}">
              <a16:predDERef xmlns:a16="http://schemas.microsoft.com/office/drawing/2014/main" pred="{5F6D6100-70C8-B140-4B51-D7021B29F94B}"/>
            </a:ext>
          </a:extLst>
        </xdr:cNvPr>
        <xdr:cNvPicPr>
          <a:picLocks noChangeAspect="1"/>
        </xdr:cNvPicPr>
      </xdr:nvPicPr>
      <xdr:blipFill>
        <a:blip xmlns:r="http://schemas.openxmlformats.org/officeDocument/2006/relationships" r:embed="rId3"/>
        <a:stretch>
          <a:fillRect/>
        </a:stretch>
      </xdr:blipFill>
      <xdr:spPr>
        <a:xfrm>
          <a:off x="21726525" y="38100"/>
          <a:ext cx="4572000" cy="3686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117" Type="http://schemas.openxmlformats.org/officeDocument/2006/relationships/hyperlink" Target="https://aris.iaea.org/Publications/SMR_booklet_2022.pdf" TargetMode="External"/><Relationship Id="rId21" Type="http://schemas.openxmlformats.org/officeDocument/2006/relationships/hyperlink" Target="https://aris.iaea.org/Publications/SMR_booklet_2022.pdf" TargetMode="External"/><Relationship Id="rId42" Type="http://schemas.openxmlformats.org/officeDocument/2006/relationships/hyperlink" Target="https://aris.iaea.org/Publications/SMR_booklet_2022.pdf" TargetMode="External"/><Relationship Id="rId63" Type="http://schemas.openxmlformats.org/officeDocument/2006/relationships/hyperlink" Target="https://aris.iaea.org/Publications/SMR_booklet_2022.pdf" TargetMode="External"/><Relationship Id="rId84" Type="http://schemas.openxmlformats.org/officeDocument/2006/relationships/hyperlink" Target="https://aris.iaea.org/Publications/SMR_booklet_2022.pdf" TargetMode="External"/><Relationship Id="rId16" Type="http://schemas.openxmlformats.org/officeDocument/2006/relationships/hyperlink" Target="https://aris.iaea.org/Publications/SMR_booklet_2022.pdf" TargetMode="External"/><Relationship Id="rId107" Type="http://schemas.openxmlformats.org/officeDocument/2006/relationships/hyperlink" Target="https://aris.iaea.org/Publications/SMR_booklet_2022.pdf" TargetMode="External"/><Relationship Id="rId11" Type="http://schemas.openxmlformats.org/officeDocument/2006/relationships/hyperlink" Target="https://aris.iaea.org/Publications/SMR_booklet_2022.pdf" TargetMode="External"/><Relationship Id="rId32" Type="http://schemas.openxmlformats.org/officeDocument/2006/relationships/hyperlink" Target="https://aris.iaea.org/Publications/SMR_booklet_2022.pdf" TargetMode="External"/><Relationship Id="rId37" Type="http://schemas.openxmlformats.org/officeDocument/2006/relationships/hyperlink" Target="https://aris.iaea.org/Publications/SMR_booklet_2022.pdf" TargetMode="External"/><Relationship Id="rId53" Type="http://schemas.openxmlformats.org/officeDocument/2006/relationships/hyperlink" Target="https://aris.iaea.org/Publications/SMR_booklet_2022.pdf" TargetMode="External"/><Relationship Id="rId58" Type="http://schemas.openxmlformats.org/officeDocument/2006/relationships/hyperlink" Target="https://aris.iaea.org/Publications/SMR_booklet_2022.pdf" TargetMode="External"/><Relationship Id="rId74" Type="http://schemas.openxmlformats.org/officeDocument/2006/relationships/hyperlink" Target="https://aris.iaea.org/Publications/SMR_booklet_2022.pdf" TargetMode="External"/><Relationship Id="rId79" Type="http://schemas.openxmlformats.org/officeDocument/2006/relationships/hyperlink" Target="https://aris.iaea.org/Publications/SMR_booklet_2022.pdf" TargetMode="External"/><Relationship Id="rId102" Type="http://schemas.openxmlformats.org/officeDocument/2006/relationships/hyperlink" Target="https://aris.iaea.org/Publications/SMR_booklet_2022.pdf" TargetMode="External"/><Relationship Id="rId123" Type="http://schemas.openxmlformats.org/officeDocument/2006/relationships/hyperlink" Target="https://aris.iaea.org/Publications/SMR_booklet_2022.pdf" TargetMode="External"/><Relationship Id="rId128" Type="http://schemas.openxmlformats.org/officeDocument/2006/relationships/hyperlink" Target="https://aris.iaea.org/Publications/SMR_booklet_2022.pdf" TargetMode="External"/><Relationship Id="rId5" Type="http://schemas.openxmlformats.org/officeDocument/2006/relationships/hyperlink" Target="https://aris.iaea.org/Publications/SMR_booklet_2022.pdf" TargetMode="External"/><Relationship Id="rId90" Type="http://schemas.openxmlformats.org/officeDocument/2006/relationships/hyperlink" Target="https://aris.iaea.org/Publications/SMR_booklet_2022.pdf" TargetMode="External"/><Relationship Id="rId95" Type="http://schemas.openxmlformats.org/officeDocument/2006/relationships/hyperlink" Target="https://aris.iaea.org/Publications/SMR_booklet_2022.pdf" TargetMode="External"/><Relationship Id="rId22" Type="http://schemas.openxmlformats.org/officeDocument/2006/relationships/hyperlink" Target="https://aris.iaea.org/Publications/SMR_booklet_2022.pdf" TargetMode="External"/><Relationship Id="rId27" Type="http://schemas.openxmlformats.org/officeDocument/2006/relationships/hyperlink" Target="https://aris.iaea.org/Publications/SMR_booklet_2022.pdf" TargetMode="External"/><Relationship Id="rId43" Type="http://schemas.openxmlformats.org/officeDocument/2006/relationships/hyperlink" Target="https://aris.iaea.org/Publications/SMR_booklet_2022.pdf" TargetMode="External"/><Relationship Id="rId48" Type="http://schemas.openxmlformats.org/officeDocument/2006/relationships/hyperlink" Target="https://aris.iaea.org/Publications/SMR_booklet_2022.pdf" TargetMode="External"/><Relationship Id="rId64" Type="http://schemas.openxmlformats.org/officeDocument/2006/relationships/hyperlink" Target="https://aris.iaea.org/Publications/SMR_booklet_2022.pdf" TargetMode="External"/><Relationship Id="rId69" Type="http://schemas.openxmlformats.org/officeDocument/2006/relationships/hyperlink" Target="https://aris.iaea.org/Publications/SMR_booklet_2022.pdf" TargetMode="External"/><Relationship Id="rId113" Type="http://schemas.openxmlformats.org/officeDocument/2006/relationships/hyperlink" Target="https://aris.iaea.org/Publications/SMR_booklet_2022.pdf" TargetMode="External"/><Relationship Id="rId118" Type="http://schemas.openxmlformats.org/officeDocument/2006/relationships/hyperlink" Target="https://aris.iaea.org/Publications/SMR_booklet_2022.pdf" TargetMode="External"/><Relationship Id="rId134" Type="http://schemas.openxmlformats.org/officeDocument/2006/relationships/hyperlink" Target="https://aris.iaea.org/Publications/SMR_booklet_2022.pdf" TargetMode="External"/><Relationship Id="rId80" Type="http://schemas.openxmlformats.org/officeDocument/2006/relationships/hyperlink" Target="https://aris.iaea.org/Publications/SMR_booklet_2022.pdf" TargetMode="External"/><Relationship Id="rId85" Type="http://schemas.openxmlformats.org/officeDocument/2006/relationships/hyperlink" Target="https://aris.iaea.org/Publications/SMR_booklet_2022.pdf" TargetMode="External"/><Relationship Id="rId12" Type="http://schemas.openxmlformats.org/officeDocument/2006/relationships/hyperlink" Target="https://aris.iaea.org/Publications/SMR_booklet_2022.pdf" TargetMode="External"/><Relationship Id="rId17" Type="http://schemas.openxmlformats.org/officeDocument/2006/relationships/hyperlink" Target="https://aris.iaea.org/Publications/SMR_booklet_2022.pdf" TargetMode="External"/><Relationship Id="rId33" Type="http://schemas.openxmlformats.org/officeDocument/2006/relationships/hyperlink" Target="https://aris.iaea.org/Publications/SMR_booklet_2022.pdf" TargetMode="External"/><Relationship Id="rId38" Type="http://schemas.openxmlformats.org/officeDocument/2006/relationships/hyperlink" Target="https://aris.iaea.org/Publications/SMR_booklet_2022.pdf" TargetMode="External"/><Relationship Id="rId59" Type="http://schemas.openxmlformats.org/officeDocument/2006/relationships/hyperlink" Target="https://aris.iaea.org/Publications/SMR_booklet_2022.pdf" TargetMode="External"/><Relationship Id="rId103" Type="http://schemas.openxmlformats.org/officeDocument/2006/relationships/hyperlink" Target="https://aris.iaea.org/Publications/SMR_booklet_2022.pdf" TargetMode="External"/><Relationship Id="rId108" Type="http://schemas.openxmlformats.org/officeDocument/2006/relationships/hyperlink" Target="https://aris.iaea.org/Publications/SMR_booklet_2022.pdf" TargetMode="External"/><Relationship Id="rId124" Type="http://schemas.openxmlformats.org/officeDocument/2006/relationships/hyperlink" Target="https://aris.iaea.org/Publications/SMR_booklet_2022.pdf" TargetMode="External"/><Relationship Id="rId129" Type="http://schemas.openxmlformats.org/officeDocument/2006/relationships/hyperlink" Target="https://aris.iaea.org/Publications/SMR_booklet_2022.pdf" TargetMode="External"/><Relationship Id="rId54" Type="http://schemas.openxmlformats.org/officeDocument/2006/relationships/hyperlink" Target="https://aris.iaea.org/Publications/SMR_booklet_2022.pdf" TargetMode="External"/><Relationship Id="rId70" Type="http://schemas.openxmlformats.org/officeDocument/2006/relationships/hyperlink" Target="https://aris.iaea.org/Publications/SMR_booklet_2022.pdf" TargetMode="External"/><Relationship Id="rId75" Type="http://schemas.openxmlformats.org/officeDocument/2006/relationships/hyperlink" Target="https://aris.iaea.org/Publications/SMR_booklet_2022.pdf" TargetMode="External"/><Relationship Id="rId91" Type="http://schemas.openxmlformats.org/officeDocument/2006/relationships/hyperlink" Target="https://aris.iaea.org/Publications/SMR_booklet_2022.pdf" TargetMode="External"/><Relationship Id="rId96" Type="http://schemas.openxmlformats.org/officeDocument/2006/relationships/hyperlink" Target="https://aris.iaea.org/Publications/SMR_booklet_2022.pdf" TargetMode="External"/><Relationship Id="rId1" Type="http://schemas.openxmlformats.org/officeDocument/2006/relationships/hyperlink" Target="https://www.iaea.org/newscenter/news/what-are-small-modular-reactors-smrs" TargetMode="External"/><Relationship Id="rId6" Type="http://schemas.openxmlformats.org/officeDocument/2006/relationships/hyperlink" Target="https://aris.iaea.org/Publications/SMR_booklet_2022.pdf" TargetMode="External"/><Relationship Id="rId23" Type="http://schemas.openxmlformats.org/officeDocument/2006/relationships/hyperlink" Target="https://aris.iaea.org/Publications/SMR_booklet_2022.pdf" TargetMode="External"/><Relationship Id="rId28" Type="http://schemas.openxmlformats.org/officeDocument/2006/relationships/hyperlink" Target="https://aris.iaea.org/Publications/SMR_booklet_2022.pdf" TargetMode="External"/><Relationship Id="rId49" Type="http://schemas.openxmlformats.org/officeDocument/2006/relationships/hyperlink" Target="https://aris.iaea.org/Publications/SMR_booklet_2022.pdf" TargetMode="External"/><Relationship Id="rId114" Type="http://schemas.openxmlformats.org/officeDocument/2006/relationships/hyperlink" Target="https://aris.iaea.org/Publications/SMR_booklet_2022.pdf" TargetMode="External"/><Relationship Id="rId119" Type="http://schemas.openxmlformats.org/officeDocument/2006/relationships/hyperlink" Target="https://aris.iaea.org/Publications/SMR_booklet_2022.pdf" TargetMode="External"/><Relationship Id="rId44" Type="http://schemas.openxmlformats.org/officeDocument/2006/relationships/hyperlink" Target="https://aris.iaea.org/Publications/SMR_booklet_2022.pdf" TargetMode="External"/><Relationship Id="rId60" Type="http://schemas.openxmlformats.org/officeDocument/2006/relationships/hyperlink" Target="https://aris.iaea.org/Publications/SMR_booklet_2022.pdf" TargetMode="External"/><Relationship Id="rId65" Type="http://schemas.openxmlformats.org/officeDocument/2006/relationships/hyperlink" Target="https://aris.iaea.org/Publications/SMR_booklet_2022.pdf" TargetMode="External"/><Relationship Id="rId81" Type="http://schemas.openxmlformats.org/officeDocument/2006/relationships/hyperlink" Target="https://aris.iaea.org/Publications/SMR_booklet_2022.pdf" TargetMode="External"/><Relationship Id="rId86" Type="http://schemas.openxmlformats.org/officeDocument/2006/relationships/hyperlink" Target="https://aris.iaea.org/Publications/SMR_booklet_2022.pdf" TargetMode="External"/><Relationship Id="rId130" Type="http://schemas.openxmlformats.org/officeDocument/2006/relationships/hyperlink" Target="https://aris.iaea.org/Publications/SMR_booklet_2022.pdf" TargetMode="External"/><Relationship Id="rId135" Type="http://schemas.openxmlformats.org/officeDocument/2006/relationships/hyperlink" Target="https://aris.iaea.org/Publications/SMR_booklet_2022.pdf" TargetMode="External"/><Relationship Id="rId13" Type="http://schemas.openxmlformats.org/officeDocument/2006/relationships/hyperlink" Target="https://aris.iaea.org/Publications/SMR_booklet_2022.pdf" TargetMode="External"/><Relationship Id="rId18" Type="http://schemas.openxmlformats.org/officeDocument/2006/relationships/hyperlink" Target="https://aris.iaea.org/Publications/SMR_booklet_2022.pdf" TargetMode="External"/><Relationship Id="rId39" Type="http://schemas.openxmlformats.org/officeDocument/2006/relationships/hyperlink" Target="https://aris.iaea.org/Publications/SMR_booklet_2022.pdf" TargetMode="External"/><Relationship Id="rId109" Type="http://schemas.openxmlformats.org/officeDocument/2006/relationships/hyperlink" Target="https://aris.iaea.org/Publications/SMR_booklet_2022.pdf" TargetMode="External"/><Relationship Id="rId34" Type="http://schemas.openxmlformats.org/officeDocument/2006/relationships/hyperlink" Target="https://aris.iaea.org/Publications/SMR_booklet_2022.pdf" TargetMode="External"/><Relationship Id="rId50" Type="http://schemas.openxmlformats.org/officeDocument/2006/relationships/hyperlink" Target="https://aris.iaea.org/Publications/SMR_booklet_2022.pdf" TargetMode="External"/><Relationship Id="rId55" Type="http://schemas.openxmlformats.org/officeDocument/2006/relationships/hyperlink" Target="https://aris.iaea.org/Publications/SMR_booklet_2022.pdf" TargetMode="External"/><Relationship Id="rId76" Type="http://schemas.openxmlformats.org/officeDocument/2006/relationships/hyperlink" Target="https://aris.iaea.org/Publications/SMR_booklet_2022.pdf" TargetMode="External"/><Relationship Id="rId97" Type="http://schemas.openxmlformats.org/officeDocument/2006/relationships/hyperlink" Target="https://aris.iaea.org/Publications/SMR_booklet_2022.pdf" TargetMode="External"/><Relationship Id="rId104" Type="http://schemas.openxmlformats.org/officeDocument/2006/relationships/hyperlink" Target="https://aris.iaea.org/Publications/SMR_booklet_2022.pdf" TargetMode="External"/><Relationship Id="rId120" Type="http://schemas.openxmlformats.org/officeDocument/2006/relationships/hyperlink" Target="https://aris.iaea.org/Publications/SMR_booklet_2022.pdf" TargetMode="External"/><Relationship Id="rId125" Type="http://schemas.openxmlformats.org/officeDocument/2006/relationships/hyperlink" Target="https://aris.iaea.org/Publications/SMR_booklet_2022.pdf" TargetMode="External"/><Relationship Id="rId7" Type="http://schemas.openxmlformats.org/officeDocument/2006/relationships/hyperlink" Target="https://aris.iaea.org/Publications/SMR_booklet_2022.pdf" TargetMode="External"/><Relationship Id="rId71" Type="http://schemas.openxmlformats.org/officeDocument/2006/relationships/hyperlink" Target="https://aris.iaea.org/Publications/SMR_booklet_2022.pdf" TargetMode="External"/><Relationship Id="rId92" Type="http://schemas.openxmlformats.org/officeDocument/2006/relationships/hyperlink" Target="https://aris.iaea.org/Publications/SMR_booklet_2022.pdf" TargetMode="External"/><Relationship Id="rId2" Type="http://schemas.openxmlformats.org/officeDocument/2006/relationships/hyperlink" Target="https://aris.iaea.org/Publications/SMR_booklet_2022.pdf" TargetMode="External"/><Relationship Id="rId29" Type="http://schemas.openxmlformats.org/officeDocument/2006/relationships/hyperlink" Target="https://aris.iaea.org/Publications/SMR_booklet_2022.pdf" TargetMode="External"/><Relationship Id="rId24" Type="http://schemas.openxmlformats.org/officeDocument/2006/relationships/hyperlink" Target="https://aris.iaea.org/Publications/SMR_booklet_2022.pdf" TargetMode="External"/><Relationship Id="rId40" Type="http://schemas.openxmlformats.org/officeDocument/2006/relationships/hyperlink" Target="https://aris.iaea.org/Publications/SMR_booklet_2022.pdf" TargetMode="External"/><Relationship Id="rId45" Type="http://schemas.openxmlformats.org/officeDocument/2006/relationships/hyperlink" Target="https://aris.iaea.org/Publications/SMR_booklet_2022.pdf" TargetMode="External"/><Relationship Id="rId66" Type="http://schemas.openxmlformats.org/officeDocument/2006/relationships/hyperlink" Target="https://aris.iaea.org/Publications/SMR_booklet_2022.pdf" TargetMode="External"/><Relationship Id="rId87" Type="http://schemas.openxmlformats.org/officeDocument/2006/relationships/hyperlink" Target="https://aris.iaea.org/Publications/SMR_booklet_2022.pdf" TargetMode="External"/><Relationship Id="rId110" Type="http://schemas.openxmlformats.org/officeDocument/2006/relationships/hyperlink" Target="https://aris.iaea.org/Publications/SMR_booklet_2022.pdf" TargetMode="External"/><Relationship Id="rId115" Type="http://schemas.openxmlformats.org/officeDocument/2006/relationships/hyperlink" Target="https://aris.iaea.org/Publications/SMR_booklet_2022.pdf" TargetMode="External"/><Relationship Id="rId131" Type="http://schemas.openxmlformats.org/officeDocument/2006/relationships/hyperlink" Target="https://aris.iaea.org/Publications/SMR_booklet_2022.pdf" TargetMode="External"/><Relationship Id="rId136" Type="http://schemas.openxmlformats.org/officeDocument/2006/relationships/hyperlink" Target="https://aris.iaea.org/Publications/SMR_booklet_2022.pdf" TargetMode="External"/><Relationship Id="rId61" Type="http://schemas.openxmlformats.org/officeDocument/2006/relationships/hyperlink" Target="https://aris.iaea.org/Publications/SMR_booklet_2022.pdf" TargetMode="External"/><Relationship Id="rId82" Type="http://schemas.openxmlformats.org/officeDocument/2006/relationships/hyperlink" Target="https://aris.iaea.org/Publications/SMR_booklet_2022.pdf" TargetMode="External"/><Relationship Id="rId19" Type="http://schemas.openxmlformats.org/officeDocument/2006/relationships/hyperlink" Target="https://aris.iaea.org/Publications/SMR_booklet_2022.pdf" TargetMode="External"/><Relationship Id="rId14" Type="http://schemas.openxmlformats.org/officeDocument/2006/relationships/hyperlink" Target="https://aris.iaea.org/Publications/SMR_booklet_2022.pdf" TargetMode="External"/><Relationship Id="rId30" Type="http://schemas.openxmlformats.org/officeDocument/2006/relationships/hyperlink" Target="https://aris.iaea.org/Publications/SMR_booklet_2022.pdf" TargetMode="External"/><Relationship Id="rId35" Type="http://schemas.openxmlformats.org/officeDocument/2006/relationships/hyperlink" Target="https://aris.iaea.org/Publications/SMR_booklet_2022.pdf" TargetMode="External"/><Relationship Id="rId56" Type="http://schemas.openxmlformats.org/officeDocument/2006/relationships/hyperlink" Target="https://aris.iaea.org/Publications/SMR_booklet_2022.pdf" TargetMode="External"/><Relationship Id="rId77" Type="http://schemas.openxmlformats.org/officeDocument/2006/relationships/hyperlink" Target="https://aris.iaea.org/Publications/SMR_booklet_2022.pdf" TargetMode="External"/><Relationship Id="rId100" Type="http://schemas.openxmlformats.org/officeDocument/2006/relationships/hyperlink" Target="https://aris.iaea.org/Publications/SMR_booklet_2022.pdf" TargetMode="External"/><Relationship Id="rId105" Type="http://schemas.openxmlformats.org/officeDocument/2006/relationships/hyperlink" Target="https://aris.iaea.org/Publications/SMR_booklet_2022.pdf" TargetMode="External"/><Relationship Id="rId126" Type="http://schemas.openxmlformats.org/officeDocument/2006/relationships/hyperlink" Target="https://aris.iaea.org/Publications/SMR_booklet_2022.pdf" TargetMode="External"/><Relationship Id="rId8" Type="http://schemas.openxmlformats.org/officeDocument/2006/relationships/hyperlink" Target="https://aris.iaea.org/Publications/SMR_booklet_2022.pdf" TargetMode="External"/><Relationship Id="rId51" Type="http://schemas.openxmlformats.org/officeDocument/2006/relationships/hyperlink" Target="https://aris.iaea.org/Publications/SMR_booklet_2022.pdf" TargetMode="External"/><Relationship Id="rId72" Type="http://schemas.openxmlformats.org/officeDocument/2006/relationships/hyperlink" Target="https://aris.iaea.org/Publications/SMR_booklet_2022.pdf" TargetMode="External"/><Relationship Id="rId93" Type="http://schemas.openxmlformats.org/officeDocument/2006/relationships/hyperlink" Target="https://aris.iaea.org/Publications/SMR_booklet_2022.pdf" TargetMode="External"/><Relationship Id="rId98" Type="http://schemas.openxmlformats.org/officeDocument/2006/relationships/hyperlink" Target="https://aris.iaea.org/Publications/SMR_booklet_2022.pdf" TargetMode="External"/><Relationship Id="rId121" Type="http://schemas.openxmlformats.org/officeDocument/2006/relationships/hyperlink" Target="https://aris.iaea.org/Publications/SMR_booklet_2022.pdf" TargetMode="External"/><Relationship Id="rId3" Type="http://schemas.openxmlformats.org/officeDocument/2006/relationships/hyperlink" Target="https://www.iaea.org/newscenter/news/what-are-small-modular-reactors-smrs" TargetMode="External"/><Relationship Id="rId25" Type="http://schemas.openxmlformats.org/officeDocument/2006/relationships/hyperlink" Target="https://aris.iaea.org/Publications/SMR_booklet_2022.pdf" TargetMode="External"/><Relationship Id="rId46" Type="http://schemas.openxmlformats.org/officeDocument/2006/relationships/hyperlink" Target="https://aris.iaea.org/Publications/SMR_booklet_2022.pdf" TargetMode="External"/><Relationship Id="rId67" Type="http://schemas.openxmlformats.org/officeDocument/2006/relationships/hyperlink" Target="https://aris.iaea.org/Publications/SMR_booklet_2022.pdf" TargetMode="External"/><Relationship Id="rId116" Type="http://schemas.openxmlformats.org/officeDocument/2006/relationships/hyperlink" Target="https://aris.iaea.org/Publications/SMR_booklet_2022.pdf" TargetMode="External"/><Relationship Id="rId137" Type="http://schemas.openxmlformats.org/officeDocument/2006/relationships/hyperlink" Target="https://www.iaea.org/newscenter/news/what-are-small-modular-reactors-smrs" TargetMode="External"/><Relationship Id="rId20" Type="http://schemas.openxmlformats.org/officeDocument/2006/relationships/hyperlink" Target="https://aris.iaea.org/Publications/SMR_booklet_2022.pdf" TargetMode="External"/><Relationship Id="rId41" Type="http://schemas.openxmlformats.org/officeDocument/2006/relationships/hyperlink" Target="https://aris.iaea.org/Publications/SMR_booklet_2022.pdf" TargetMode="External"/><Relationship Id="rId62" Type="http://schemas.openxmlformats.org/officeDocument/2006/relationships/hyperlink" Target="https://aris.iaea.org/Publications/SMR_booklet_2022.pdf" TargetMode="External"/><Relationship Id="rId83" Type="http://schemas.openxmlformats.org/officeDocument/2006/relationships/hyperlink" Target="https://aris.iaea.org/Publications/SMR_booklet_2022.pdf" TargetMode="External"/><Relationship Id="rId88" Type="http://schemas.openxmlformats.org/officeDocument/2006/relationships/hyperlink" Target="https://aris.iaea.org/Publications/SMR_booklet_2022.pdf" TargetMode="External"/><Relationship Id="rId111" Type="http://schemas.openxmlformats.org/officeDocument/2006/relationships/hyperlink" Target="https://aris.iaea.org/Publications/SMR_booklet_2022.pdf" TargetMode="External"/><Relationship Id="rId132" Type="http://schemas.openxmlformats.org/officeDocument/2006/relationships/hyperlink" Target="https://aris.iaea.org/Publications/SMR_booklet_2022.pdf" TargetMode="External"/><Relationship Id="rId15" Type="http://schemas.openxmlformats.org/officeDocument/2006/relationships/hyperlink" Target="https://aris.iaea.org/Publications/SMR_booklet_2022.pdf" TargetMode="External"/><Relationship Id="rId36" Type="http://schemas.openxmlformats.org/officeDocument/2006/relationships/hyperlink" Target="https://aris.iaea.org/Publications/SMR_booklet_2022.pdf" TargetMode="External"/><Relationship Id="rId57" Type="http://schemas.openxmlformats.org/officeDocument/2006/relationships/hyperlink" Target="https://aris.iaea.org/Publications/SMR_booklet_2022.pdf" TargetMode="External"/><Relationship Id="rId106" Type="http://schemas.openxmlformats.org/officeDocument/2006/relationships/hyperlink" Target="https://aris.iaea.org/Publications/SMR_booklet_2022.pdf" TargetMode="External"/><Relationship Id="rId127" Type="http://schemas.openxmlformats.org/officeDocument/2006/relationships/hyperlink" Target="https://aris.iaea.org/Publications/SMR_booklet_2022.pdf" TargetMode="External"/><Relationship Id="rId10" Type="http://schemas.openxmlformats.org/officeDocument/2006/relationships/hyperlink" Target="https://aris.iaea.org/Publications/SMR_booklet_2022.pdf" TargetMode="External"/><Relationship Id="rId31" Type="http://schemas.openxmlformats.org/officeDocument/2006/relationships/hyperlink" Target="https://aris.iaea.org/Publications/SMR_booklet_2022.pdf" TargetMode="External"/><Relationship Id="rId52" Type="http://schemas.openxmlformats.org/officeDocument/2006/relationships/hyperlink" Target="https://aris.iaea.org/Publications/SMR_booklet_2022.pdf" TargetMode="External"/><Relationship Id="rId73" Type="http://schemas.openxmlformats.org/officeDocument/2006/relationships/hyperlink" Target="https://aris.iaea.org/Publications/SMR_booklet_2022.pdf" TargetMode="External"/><Relationship Id="rId78" Type="http://schemas.openxmlformats.org/officeDocument/2006/relationships/hyperlink" Target="https://aris.iaea.org/Publications/SMR_booklet_2022.pdf" TargetMode="External"/><Relationship Id="rId94" Type="http://schemas.openxmlformats.org/officeDocument/2006/relationships/hyperlink" Target="https://aris.iaea.org/Publications/SMR_booklet_2022.pdf" TargetMode="External"/><Relationship Id="rId99" Type="http://schemas.openxmlformats.org/officeDocument/2006/relationships/hyperlink" Target="https://aris.iaea.org/Publications/SMR_booklet_2022.pdf" TargetMode="External"/><Relationship Id="rId101" Type="http://schemas.openxmlformats.org/officeDocument/2006/relationships/hyperlink" Target="https://aris.iaea.org/Publications/SMR_booklet_2022.pdf" TargetMode="External"/><Relationship Id="rId122" Type="http://schemas.openxmlformats.org/officeDocument/2006/relationships/hyperlink" Target="https://aris.iaea.org/Publications/SMR_booklet_2022.pdf" TargetMode="External"/><Relationship Id="rId4" Type="http://schemas.openxmlformats.org/officeDocument/2006/relationships/hyperlink" Target="https://aris.iaea.org/Publications/SMR_booklet_2022.pdf" TargetMode="External"/><Relationship Id="rId9" Type="http://schemas.openxmlformats.org/officeDocument/2006/relationships/hyperlink" Target="https://aris.iaea.org/Publications/SMR_booklet_2022.pdf" TargetMode="External"/><Relationship Id="rId26" Type="http://schemas.openxmlformats.org/officeDocument/2006/relationships/hyperlink" Target="https://aris.iaea.org/Publications/SMR_booklet_2022.pdf" TargetMode="External"/><Relationship Id="rId47" Type="http://schemas.openxmlformats.org/officeDocument/2006/relationships/hyperlink" Target="https://aris.iaea.org/Publications/SMR_booklet_2022.pdf" TargetMode="External"/><Relationship Id="rId68" Type="http://schemas.openxmlformats.org/officeDocument/2006/relationships/hyperlink" Target="https://aris.iaea.org/Publications/SMR_booklet_2022.pdf" TargetMode="External"/><Relationship Id="rId89" Type="http://schemas.openxmlformats.org/officeDocument/2006/relationships/hyperlink" Target="https://aris.iaea.org/Publications/SMR_booklet_2022.pdf" TargetMode="External"/><Relationship Id="rId112" Type="http://schemas.openxmlformats.org/officeDocument/2006/relationships/hyperlink" Target="https://aris.iaea.org/Publications/SMR_booklet_2022.pdf" TargetMode="External"/><Relationship Id="rId133" Type="http://schemas.openxmlformats.org/officeDocument/2006/relationships/hyperlink" Target="https://aris.iaea.org/Publications/SMR_booklet_2022.pdf"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8671875"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413E2-FC68-4B55-BA60-8D4B13F8BACB}">
  <dimension ref="A1:A18"/>
  <sheetViews>
    <sheetView workbookViewId="0">
      <selection activeCell="E20" sqref="E20"/>
    </sheetView>
  </sheetViews>
  <sheetFormatPr baseColWidth="10" defaultColWidth="11.44140625" defaultRowHeight="14.4" x14ac:dyDescent="0.3"/>
  <sheetData>
    <row r="1" spans="1:1" x14ac:dyDescent="0.3">
      <c r="A1" t="s">
        <v>0</v>
      </c>
    </row>
    <row r="2" spans="1:1" x14ac:dyDescent="0.3">
      <c r="A2" t="s">
        <v>1</v>
      </c>
    </row>
    <row r="3" spans="1:1" x14ac:dyDescent="0.3">
      <c r="A3" t="s">
        <v>2</v>
      </c>
    </row>
    <row r="5" spans="1:1" x14ac:dyDescent="0.3">
      <c r="A5" t="s">
        <v>3</v>
      </c>
    </row>
    <row r="6" spans="1:1" x14ac:dyDescent="0.3">
      <c r="A6" t="s">
        <v>4</v>
      </c>
    </row>
    <row r="7" spans="1:1" x14ac:dyDescent="0.3">
      <c r="A7" t="s">
        <v>5</v>
      </c>
    </row>
    <row r="18" spans="1:1" x14ac:dyDescent="0.3">
      <c r="A18" t="s">
        <v>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EC1F7-9FFB-4D7D-AC15-834B44100353}">
  <dimension ref="A1:Y65"/>
  <sheetViews>
    <sheetView zoomScale="64" workbookViewId="0">
      <selection activeCell="A4" sqref="A4"/>
    </sheetView>
  </sheetViews>
  <sheetFormatPr baseColWidth="10" defaultColWidth="8.88671875" defaultRowHeight="14.4" x14ac:dyDescent="0.3"/>
  <cols>
    <col min="1" max="1" width="18.44140625" customWidth="1"/>
    <col min="2" max="2" width="19.44140625" customWidth="1"/>
    <col min="3" max="3" width="17" customWidth="1"/>
    <col min="4" max="4" width="17.44140625" customWidth="1"/>
    <col min="5" max="5" width="13.109375" style="143" customWidth="1"/>
    <col min="6" max="6" width="16.88671875" style="176" bestFit="1" customWidth="1"/>
    <col min="7" max="7" width="8.5546875" style="143" customWidth="1"/>
    <col min="8" max="8" width="19.5546875" style="143" bestFit="1" customWidth="1"/>
    <col min="9" max="9" width="24.109375" customWidth="1"/>
    <col min="10" max="10" width="18.44140625" bestFit="1" customWidth="1"/>
    <col min="11" max="11" width="11.44140625" customWidth="1"/>
    <col min="12" max="12" width="11.33203125" customWidth="1"/>
    <col min="13" max="13" width="9.5546875" customWidth="1"/>
    <col min="18" max="18" width="8.6640625" customWidth="1"/>
    <col min="24" max="25" width="0" hidden="1" customWidth="1"/>
  </cols>
  <sheetData>
    <row r="1" spans="1:25" x14ac:dyDescent="0.3">
      <c r="A1" s="43" t="s">
        <v>7</v>
      </c>
      <c r="B1" s="43" t="s">
        <v>8</v>
      </c>
      <c r="C1" s="43" t="s">
        <v>9</v>
      </c>
      <c r="D1" s="43" t="s">
        <v>14</v>
      </c>
      <c r="E1" s="156" t="s">
        <v>497</v>
      </c>
      <c r="F1" s="173" t="s">
        <v>498</v>
      </c>
      <c r="G1" s="218" t="s">
        <v>499</v>
      </c>
      <c r="H1" s="156" t="s">
        <v>500</v>
      </c>
      <c r="I1" s="156" t="s">
        <v>501</v>
      </c>
      <c r="J1" s="156" t="s">
        <v>502</v>
      </c>
      <c r="K1" s="156" t="s">
        <v>503</v>
      </c>
      <c r="L1" s="156" t="s">
        <v>504</v>
      </c>
      <c r="M1" s="156" t="s">
        <v>505</v>
      </c>
      <c r="X1" t="s">
        <v>504</v>
      </c>
    </row>
    <row r="2" spans="1:25" ht="15" thickBot="1" x14ac:dyDescent="0.35">
      <c r="A2" s="45" t="s">
        <v>39</v>
      </c>
      <c r="B2" s="45">
        <v>0</v>
      </c>
      <c r="C2" s="45">
        <v>0</v>
      </c>
      <c r="D2" s="45">
        <v>0</v>
      </c>
      <c r="E2" s="174" t="s">
        <v>506</v>
      </c>
      <c r="F2" s="175" t="s">
        <v>507</v>
      </c>
      <c r="G2" s="174" t="s">
        <v>508</v>
      </c>
      <c r="H2" s="45" t="s">
        <v>508</v>
      </c>
      <c r="I2" s="45" t="s">
        <v>509</v>
      </c>
      <c r="J2" s="45" t="s">
        <v>509</v>
      </c>
      <c r="K2" s="45" t="s">
        <v>509</v>
      </c>
      <c r="L2" s="45" t="s">
        <v>509</v>
      </c>
      <c r="M2" s="219"/>
      <c r="P2" t="s">
        <v>510</v>
      </c>
      <c r="X2">
        <v>5872.9999985600007</v>
      </c>
      <c r="Y2">
        <v>1</v>
      </c>
    </row>
    <row r="3" spans="1:25" ht="15" thickTop="1" x14ac:dyDescent="0.3">
      <c r="A3" s="46" t="s">
        <v>56</v>
      </c>
      <c r="B3" t="s">
        <v>57</v>
      </c>
      <c r="C3" s="46" t="s">
        <v>58</v>
      </c>
      <c r="D3" s="46" t="s">
        <v>63</v>
      </c>
      <c r="E3" s="143">
        <v>24</v>
      </c>
      <c r="F3" s="220">
        <v>15</v>
      </c>
      <c r="G3" s="180">
        <f>10^-9</f>
        <v>1.0000000000000001E-9</v>
      </c>
      <c r="H3" s="221">
        <f>12/E3</f>
        <v>0.5</v>
      </c>
      <c r="I3" s="143">
        <f>H3*F3*24</f>
        <v>180</v>
      </c>
      <c r="J3" s="220">
        <v>7</v>
      </c>
      <c r="K3" s="222">
        <f>G3*1440</f>
        <v>1.4400000000000002E-6</v>
      </c>
      <c r="L3" s="223">
        <f>$S$4-(SUM(I3:K3))</f>
        <v>8572.9999985600007</v>
      </c>
      <c r="M3" s="223">
        <f>VLOOKUP(L3,X:Y,2)</f>
        <v>6</v>
      </c>
      <c r="X3">
        <v>8321.1284571428569</v>
      </c>
      <c r="Y3">
        <v>2</v>
      </c>
    </row>
    <row r="4" spans="1:25" x14ac:dyDescent="0.3">
      <c r="A4" s="46" t="s">
        <v>100</v>
      </c>
      <c r="B4" t="s">
        <v>57</v>
      </c>
      <c r="C4" s="46" t="s">
        <v>58</v>
      </c>
      <c r="D4" s="46" t="s">
        <v>63</v>
      </c>
      <c r="E4" s="143">
        <v>14</v>
      </c>
      <c r="F4" s="220">
        <v>15</v>
      </c>
      <c r="G4" s="180">
        <f>10^-9</f>
        <v>1.0000000000000001E-9</v>
      </c>
      <c r="H4" s="221">
        <f>12/E4</f>
        <v>0.8571428571428571</v>
      </c>
      <c r="I4" s="224">
        <f>H4*F4*24</f>
        <v>308.57142857142856</v>
      </c>
      <c r="J4" s="220">
        <v>7</v>
      </c>
      <c r="K4" s="222">
        <f t="shared" ref="K4:K65" si="0">G4*1440</f>
        <v>1.4400000000000002E-6</v>
      </c>
      <c r="L4" s="223">
        <f t="shared" ref="L4:L65" si="1">$S$4-(SUM(I4:K4))</f>
        <v>8444.4285699885713</v>
      </c>
      <c r="M4" s="223">
        <f t="shared" ref="M4:M65" si="2">VLOOKUP(L4,X:Y,2)</f>
        <v>4</v>
      </c>
      <c r="P4" t="s">
        <v>511</v>
      </c>
      <c r="S4">
        <v>8760</v>
      </c>
      <c r="T4" t="s">
        <v>509</v>
      </c>
      <c r="X4">
        <v>8327.9999985600007</v>
      </c>
      <c r="Y4">
        <v>2</v>
      </c>
    </row>
    <row r="5" spans="1:25" x14ac:dyDescent="0.3">
      <c r="A5" s="46" t="s">
        <v>256</v>
      </c>
      <c r="B5" t="s">
        <v>57</v>
      </c>
      <c r="C5" s="46" t="s">
        <v>96</v>
      </c>
      <c r="D5" s="46" t="s">
        <v>63</v>
      </c>
      <c r="E5" s="143">
        <v>24</v>
      </c>
      <c r="F5" s="176">
        <v>10</v>
      </c>
      <c r="G5" s="143">
        <f>10^-7</f>
        <v>9.9999999999999995E-8</v>
      </c>
      <c r="H5" s="221">
        <f t="shared" ref="H5:H64" si="3">12/E5</f>
        <v>0.5</v>
      </c>
      <c r="I5" s="143">
        <f t="shared" ref="I5:I65" si="4">H5*F5*24</f>
        <v>120</v>
      </c>
      <c r="J5" s="220">
        <v>7</v>
      </c>
      <c r="K5" s="222">
        <f t="shared" si="0"/>
        <v>1.44E-4</v>
      </c>
      <c r="L5" s="223">
        <f t="shared" si="1"/>
        <v>8632.9998560000004</v>
      </c>
      <c r="M5" s="223">
        <f t="shared" si="2"/>
        <v>7</v>
      </c>
      <c r="X5">
        <v>8392.9998560000004</v>
      </c>
      <c r="Y5">
        <v>3</v>
      </c>
    </row>
    <row r="6" spans="1:25" x14ac:dyDescent="0.3">
      <c r="A6" s="46" t="s">
        <v>305</v>
      </c>
      <c r="B6" t="s">
        <v>57</v>
      </c>
      <c r="C6" s="46" t="s">
        <v>58</v>
      </c>
      <c r="D6" s="46" t="s">
        <v>63</v>
      </c>
      <c r="E6" s="143">
        <v>18</v>
      </c>
      <c r="F6" s="176">
        <v>10</v>
      </c>
      <c r="G6" s="180">
        <f t="shared" ref="G6:G8" si="5">10^-9</f>
        <v>1.0000000000000001E-9</v>
      </c>
      <c r="H6" s="221">
        <f>12/E6</f>
        <v>0.66666666666666663</v>
      </c>
      <c r="I6" s="143">
        <f t="shared" si="4"/>
        <v>160</v>
      </c>
      <c r="J6" s="220">
        <v>7</v>
      </c>
      <c r="K6" s="222">
        <f t="shared" si="0"/>
        <v>1.4400000000000002E-6</v>
      </c>
      <c r="L6" s="223">
        <f t="shared" si="1"/>
        <v>8592.9999985600007</v>
      </c>
      <c r="M6" s="223">
        <f t="shared" si="2"/>
        <v>6</v>
      </c>
      <c r="X6">
        <v>8399.9999985600007</v>
      </c>
      <c r="Y6">
        <v>3</v>
      </c>
    </row>
    <row r="7" spans="1:25" x14ac:dyDescent="0.3">
      <c r="A7" s="46" t="s">
        <v>231</v>
      </c>
      <c r="B7" t="s">
        <v>57</v>
      </c>
      <c r="C7" s="46" t="s">
        <v>58</v>
      </c>
      <c r="D7" s="46" t="s">
        <v>235</v>
      </c>
      <c r="E7" s="143" t="s">
        <v>512</v>
      </c>
      <c r="F7" s="220">
        <v>15</v>
      </c>
      <c r="G7" s="180">
        <f t="shared" si="5"/>
        <v>1.0000000000000001E-9</v>
      </c>
      <c r="H7" s="221">
        <f>12/((60+72)/2)</f>
        <v>0.18181818181818182</v>
      </c>
      <c r="I7" s="224">
        <f t="shared" si="4"/>
        <v>65.454545454545467</v>
      </c>
      <c r="J7" s="220">
        <v>7</v>
      </c>
      <c r="K7" s="222">
        <f t="shared" si="0"/>
        <v>1.4400000000000002E-6</v>
      </c>
      <c r="L7" s="223">
        <f t="shared" si="1"/>
        <v>8687.5454531054547</v>
      </c>
      <c r="M7" s="223">
        <f t="shared" si="2"/>
        <v>8</v>
      </c>
      <c r="X7">
        <v>8444.4285699885713</v>
      </c>
      <c r="Y7">
        <v>4</v>
      </c>
    </row>
    <row r="8" spans="1:25" x14ac:dyDescent="0.3">
      <c r="A8" s="46" t="s">
        <v>143</v>
      </c>
      <c r="B8" t="s">
        <v>57</v>
      </c>
      <c r="C8" s="46" t="s">
        <v>96</v>
      </c>
      <c r="D8" s="46" t="s">
        <v>63</v>
      </c>
      <c r="E8" s="143">
        <v>18</v>
      </c>
      <c r="F8" s="176">
        <f>30*6</f>
        <v>180</v>
      </c>
      <c r="G8" s="180">
        <f t="shared" si="5"/>
        <v>1.0000000000000001E-9</v>
      </c>
      <c r="H8" s="221">
        <f t="shared" si="3"/>
        <v>0.66666666666666663</v>
      </c>
      <c r="I8" s="143">
        <f>H8*F8*24</f>
        <v>2880</v>
      </c>
      <c r="J8" s="220">
        <v>7</v>
      </c>
      <c r="K8" s="222">
        <f t="shared" si="0"/>
        <v>1.4400000000000002E-6</v>
      </c>
      <c r="L8" s="223">
        <f t="shared" si="1"/>
        <v>5872.9999985600007</v>
      </c>
      <c r="M8" s="223">
        <f t="shared" si="2"/>
        <v>1</v>
      </c>
      <c r="X8">
        <v>8464.9999985600007</v>
      </c>
      <c r="Y8">
        <v>4</v>
      </c>
    </row>
    <row r="9" spans="1:25" x14ac:dyDescent="0.3">
      <c r="A9" s="46" t="s">
        <v>83</v>
      </c>
      <c r="B9" t="s">
        <v>57</v>
      </c>
      <c r="C9" s="46" t="s">
        <v>84</v>
      </c>
      <c r="D9" s="46" t="s">
        <v>63</v>
      </c>
      <c r="E9" s="177" t="s">
        <v>513</v>
      </c>
      <c r="F9" s="178" t="s">
        <v>514</v>
      </c>
      <c r="G9" s="143">
        <f>10^-7</f>
        <v>9.9999999999999995E-8</v>
      </c>
      <c r="H9" s="221">
        <f>12/((12+24)/2)</f>
        <v>0.66666666666666663</v>
      </c>
      <c r="I9" s="143">
        <f>H9*((10+20)/2)*24</f>
        <v>240</v>
      </c>
      <c r="J9" s="220">
        <v>7</v>
      </c>
      <c r="K9" s="222">
        <f t="shared" si="0"/>
        <v>1.44E-4</v>
      </c>
      <c r="L9" s="223">
        <f t="shared" si="1"/>
        <v>8512.9998560000004</v>
      </c>
      <c r="M9" s="223">
        <f t="shared" si="2"/>
        <v>5</v>
      </c>
      <c r="P9" t="s">
        <v>515</v>
      </c>
      <c r="X9">
        <v>8471.9999985600007</v>
      </c>
      <c r="Y9">
        <v>5</v>
      </c>
    </row>
    <row r="10" spans="1:25" x14ac:dyDescent="0.3">
      <c r="A10" s="46" t="s">
        <v>236</v>
      </c>
      <c r="B10" t="s">
        <v>57</v>
      </c>
      <c r="C10" s="46" t="s">
        <v>96</v>
      </c>
      <c r="D10" s="46" t="s">
        <v>63</v>
      </c>
      <c r="E10" s="143">
        <v>18</v>
      </c>
      <c r="F10" s="220">
        <v>15</v>
      </c>
      <c r="G10" s="180">
        <f t="shared" ref="G10:G11" si="6">10^-9</f>
        <v>1.0000000000000001E-9</v>
      </c>
      <c r="H10" s="221">
        <f t="shared" si="3"/>
        <v>0.66666666666666663</v>
      </c>
      <c r="I10" s="143">
        <f t="shared" si="4"/>
        <v>240</v>
      </c>
      <c r="J10" s="220">
        <v>7</v>
      </c>
      <c r="K10" s="222">
        <f t="shared" si="0"/>
        <v>1.4400000000000002E-6</v>
      </c>
      <c r="L10" s="223">
        <f t="shared" si="1"/>
        <v>8512.9999985600007</v>
      </c>
      <c r="M10" s="223">
        <f t="shared" si="2"/>
        <v>5</v>
      </c>
      <c r="P10" t="s">
        <v>516</v>
      </c>
      <c r="X10">
        <v>8482.9999985600007</v>
      </c>
      <c r="Y10">
        <v>5</v>
      </c>
    </row>
    <row r="11" spans="1:25" x14ac:dyDescent="0.3">
      <c r="A11" s="46" t="s">
        <v>302</v>
      </c>
      <c r="B11" t="s">
        <v>57</v>
      </c>
      <c r="C11" s="46" t="s">
        <v>84</v>
      </c>
      <c r="D11" s="46" t="s">
        <v>63</v>
      </c>
      <c r="E11" s="143">
        <v>72</v>
      </c>
      <c r="F11" s="220">
        <v>15</v>
      </c>
      <c r="G11" s="180">
        <f t="shared" si="6"/>
        <v>1.0000000000000001E-9</v>
      </c>
      <c r="H11" s="221">
        <f t="shared" si="3"/>
        <v>0.16666666666666666</v>
      </c>
      <c r="I11" s="143">
        <f t="shared" si="4"/>
        <v>60</v>
      </c>
      <c r="J11" s="220">
        <v>7</v>
      </c>
      <c r="K11" s="222">
        <f t="shared" si="0"/>
        <v>1.4400000000000002E-6</v>
      </c>
      <c r="L11" s="223">
        <f t="shared" si="1"/>
        <v>8692.9999985600007</v>
      </c>
      <c r="M11" s="223">
        <f t="shared" si="2"/>
        <v>8</v>
      </c>
      <c r="P11" t="s">
        <v>517</v>
      </c>
      <c r="X11">
        <v>8512.9998560000004</v>
      </c>
      <c r="Y11">
        <v>5</v>
      </c>
    </row>
    <row r="12" spans="1:25" x14ac:dyDescent="0.3">
      <c r="A12" s="46" t="s">
        <v>252</v>
      </c>
      <c r="B12" t="s">
        <v>57</v>
      </c>
      <c r="C12" s="46" t="s">
        <v>58</v>
      </c>
      <c r="D12" s="46" t="s">
        <v>63</v>
      </c>
      <c r="E12" s="143">
        <v>30</v>
      </c>
      <c r="F12" s="220">
        <v>15</v>
      </c>
      <c r="G12" s="143">
        <f>2*10^-7</f>
        <v>1.9999999999999999E-7</v>
      </c>
      <c r="H12" s="221">
        <f t="shared" si="3"/>
        <v>0.4</v>
      </c>
      <c r="I12" s="143">
        <f t="shared" si="4"/>
        <v>144</v>
      </c>
      <c r="J12" s="220">
        <v>7</v>
      </c>
      <c r="K12" s="222">
        <f t="shared" si="0"/>
        <v>2.8800000000000001E-4</v>
      </c>
      <c r="L12" s="223">
        <f t="shared" si="1"/>
        <v>8608.9997120000007</v>
      </c>
      <c r="M12" s="223">
        <f t="shared" si="2"/>
        <v>6</v>
      </c>
      <c r="X12">
        <v>8512.9999985600007</v>
      </c>
      <c r="Y12">
        <v>5</v>
      </c>
    </row>
    <row r="13" spans="1:25" x14ac:dyDescent="0.3">
      <c r="A13" s="46" t="s">
        <v>221</v>
      </c>
      <c r="B13" t="s">
        <v>57</v>
      </c>
      <c r="C13" s="46" t="s">
        <v>96</v>
      </c>
      <c r="D13" s="46" t="s">
        <v>63</v>
      </c>
      <c r="E13" s="143">
        <v>72</v>
      </c>
      <c r="F13" s="176">
        <f>3*30</f>
        <v>90</v>
      </c>
      <c r="G13" s="143">
        <f>10^-7</f>
        <v>9.9999999999999995E-8</v>
      </c>
      <c r="H13" s="221">
        <f t="shared" si="3"/>
        <v>0.16666666666666666</v>
      </c>
      <c r="I13" s="143">
        <f t="shared" si="4"/>
        <v>360</v>
      </c>
      <c r="J13" s="220">
        <v>7</v>
      </c>
      <c r="K13" s="222">
        <f t="shared" si="0"/>
        <v>1.44E-4</v>
      </c>
      <c r="L13" s="223">
        <f t="shared" si="1"/>
        <v>8392.9998560000004</v>
      </c>
      <c r="M13" s="223">
        <f t="shared" si="2"/>
        <v>3</v>
      </c>
      <c r="X13">
        <v>8512.9999985600007</v>
      </c>
      <c r="Y13">
        <v>5</v>
      </c>
    </row>
    <row r="14" spans="1:25" x14ac:dyDescent="0.3">
      <c r="A14" s="46" t="s">
        <v>313</v>
      </c>
      <c r="B14" t="s">
        <v>57</v>
      </c>
      <c r="C14" s="46" t="s">
        <v>58</v>
      </c>
      <c r="D14" s="46" t="s">
        <v>63</v>
      </c>
      <c r="E14" s="143">
        <v>24</v>
      </c>
      <c r="F14" s="220">
        <v>15</v>
      </c>
      <c r="G14" s="143">
        <f>5*10^-8</f>
        <v>4.9999999999999998E-8</v>
      </c>
      <c r="H14" s="221">
        <f t="shared" si="3"/>
        <v>0.5</v>
      </c>
      <c r="I14" s="143">
        <f t="shared" si="4"/>
        <v>180</v>
      </c>
      <c r="J14" s="220">
        <v>7</v>
      </c>
      <c r="K14" s="222">
        <f t="shared" si="0"/>
        <v>7.2000000000000002E-5</v>
      </c>
      <c r="L14" s="223">
        <f t="shared" si="1"/>
        <v>8572.9999279999993</v>
      </c>
      <c r="M14" s="223">
        <f t="shared" si="2"/>
        <v>6</v>
      </c>
      <c r="X14">
        <v>8572.9999279999993</v>
      </c>
      <c r="Y14">
        <v>6</v>
      </c>
    </row>
    <row r="15" spans="1:25" x14ac:dyDescent="0.3">
      <c r="A15" s="46" t="s">
        <v>158</v>
      </c>
      <c r="B15" t="s">
        <v>57</v>
      </c>
      <c r="C15" s="46" t="s">
        <v>96</v>
      </c>
      <c r="D15" s="46" t="s">
        <v>63</v>
      </c>
      <c r="E15" s="143">
        <v>26</v>
      </c>
      <c r="F15" s="220">
        <v>15</v>
      </c>
      <c r="G15" s="180">
        <f t="shared" ref="G15:G21" si="7">10^-9</f>
        <v>1.0000000000000001E-9</v>
      </c>
      <c r="H15" s="221">
        <f t="shared" si="3"/>
        <v>0.46153846153846156</v>
      </c>
      <c r="I15" s="224">
        <f t="shared" si="4"/>
        <v>166.15384615384616</v>
      </c>
      <c r="J15" s="220">
        <v>7</v>
      </c>
      <c r="K15" s="222">
        <f t="shared" si="0"/>
        <v>1.4400000000000002E-6</v>
      </c>
      <c r="L15" s="223">
        <f t="shared" si="1"/>
        <v>8586.8461524061531</v>
      </c>
      <c r="M15" s="223">
        <f t="shared" si="2"/>
        <v>6</v>
      </c>
      <c r="X15">
        <v>8572.9999855999995</v>
      </c>
      <c r="Y15">
        <v>6</v>
      </c>
    </row>
    <row r="16" spans="1:25" x14ac:dyDescent="0.3">
      <c r="A16" s="46" t="s">
        <v>287</v>
      </c>
      <c r="B16" t="s">
        <v>57</v>
      </c>
      <c r="C16" s="46" t="s">
        <v>288</v>
      </c>
      <c r="D16" s="46" t="s">
        <v>94</v>
      </c>
      <c r="E16" s="143">
        <v>10</v>
      </c>
      <c r="F16" s="220">
        <v>15</v>
      </c>
      <c r="G16" s="180">
        <f t="shared" si="7"/>
        <v>1.0000000000000001E-9</v>
      </c>
      <c r="H16" s="221">
        <f t="shared" si="3"/>
        <v>1.2</v>
      </c>
      <c r="I16" s="143">
        <f t="shared" si="4"/>
        <v>432</v>
      </c>
      <c r="J16" s="220"/>
      <c r="K16" s="222">
        <f t="shared" si="0"/>
        <v>1.4400000000000002E-6</v>
      </c>
      <c r="L16" s="223">
        <f t="shared" si="1"/>
        <v>8327.9999985600007</v>
      </c>
      <c r="M16" s="223">
        <f t="shared" si="2"/>
        <v>2</v>
      </c>
      <c r="N16" s="179"/>
      <c r="O16" s="179"/>
      <c r="P16" s="179" t="s">
        <v>518</v>
      </c>
      <c r="X16">
        <v>8572.9999985600007</v>
      </c>
      <c r="Y16">
        <v>6</v>
      </c>
    </row>
    <row r="17" spans="1:25" x14ac:dyDescent="0.3">
      <c r="A17" s="46" t="s">
        <v>240</v>
      </c>
      <c r="B17" t="s">
        <v>57</v>
      </c>
      <c r="C17" s="46" t="s">
        <v>118</v>
      </c>
      <c r="D17" s="46" t="s">
        <v>63</v>
      </c>
      <c r="E17" s="143">
        <v>36</v>
      </c>
      <c r="F17" s="220">
        <v>15</v>
      </c>
      <c r="G17" s="180">
        <f t="shared" si="7"/>
        <v>1.0000000000000001E-9</v>
      </c>
      <c r="H17" s="221">
        <f t="shared" si="3"/>
        <v>0.33333333333333331</v>
      </c>
      <c r="I17" s="143">
        <f t="shared" si="4"/>
        <v>120</v>
      </c>
      <c r="J17" s="220">
        <v>7</v>
      </c>
      <c r="K17" s="222">
        <f t="shared" si="0"/>
        <v>1.4400000000000002E-6</v>
      </c>
      <c r="L17" s="223">
        <f t="shared" si="1"/>
        <v>8632.9999985600007</v>
      </c>
      <c r="M17" s="223">
        <f t="shared" si="2"/>
        <v>7</v>
      </c>
      <c r="P17" t="s">
        <v>519</v>
      </c>
      <c r="X17">
        <v>8572.9999985600007</v>
      </c>
      <c r="Y17">
        <v>6</v>
      </c>
    </row>
    <row r="18" spans="1:25" x14ac:dyDescent="0.3">
      <c r="A18" s="46" t="s">
        <v>177</v>
      </c>
      <c r="B18" t="s">
        <v>57</v>
      </c>
      <c r="C18" s="46" t="s">
        <v>84</v>
      </c>
      <c r="D18" s="46" t="s">
        <v>63</v>
      </c>
      <c r="E18" s="143">
        <v>84</v>
      </c>
      <c r="F18" s="220">
        <v>15</v>
      </c>
      <c r="G18" s="180">
        <f t="shared" si="7"/>
        <v>1.0000000000000001E-9</v>
      </c>
      <c r="H18" s="221">
        <f t="shared" si="3"/>
        <v>0.14285714285714285</v>
      </c>
      <c r="I18" s="224">
        <f t="shared" si="4"/>
        <v>51.428571428571431</v>
      </c>
      <c r="J18" s="220">
        <v>7</v>
      </c>
      <c r="K18" s="222">
        <f t="shared" si="0"/>
        <v>1.4400000000000002E-6</v>
      </c>
      <c r="L18" s="223">
        <f t="shared" si="1"/>
        <v>8701.5714271314282</v>
      </c>
      <c r="M18" s="223">
        <f t="shared" si="2"/>
        <v>8</v>
      </c>
      <c r="X18">
        <v>8572.9999985600007</v>
      </c>
      <c r="Y18">
        <v>6</v>
      </c>
    </row>
    <row r="19" spans="1:25" x14ac:dyDescent="0.3">
      <c r="A19" s="46" t="s">
        <v>218</v>
      </c>
      <c r="B19" t="s">
        <v>57</v>
      </c>
      <c r="C19" s="46" t="s">
        <v>58</v>
      </c>
      <c r="D19" s="46" t="s">
        <v>63</v>
      </c>
      <c r="E19" s="143">
        <v>24</v>
      </c>
      <c r="F19" s="176">
        <v>20</v>
      </c>
      <c r="G19" s="180">
        <f t="shared" si="7"/>
        <v>1.0000000000000001E-9</v>
      </c>
      <c r="H19" s="221">
        <f t="shared" si="3"/>
        <v>0.5</v>
      </c>
      <c r="I19" s="143">
        <f t="shared" si="4"/>
        <v>240</v>
      </c>
      <c r="J19" s="220">
        <v>7</v>
      </c>
      <c r="K19" s="222">
        <f t="shared" si="0"/>
        <v>1.4400000000000002E-6</v>
      </c>
      <c r="L19" s="223">
        <f t="shared" si="1"/>
        <v>8512.9999985600007</v>
      </c>
      <c r="M19" s="223">
        <f t="shared" si="2"/>
        <v>5</v>
      </c>
      <c r="X19">
        <v>8572.9999985600007</v>
      </c>
      <c r="Y19">
        <v>6</v>
      </c>
    </row>
    <row r="20" spans="1:25" x14ac:dyDescent="0.3">
      <c r="A20" s="46" t="s">
        <v>89</v>
      </c>
      <c r="B20" t="s">
        <v>57</v>
      </c>
      <c r="C20" s="46" t="s">
        <v>90</v>
      </c>
      <c r="D20" s="46" t="s">
        <v>94</v>
      </c>
      <c r="E20" s="143" t="s">
        <v>520</v>
      </c>
      <c r="F20" s="176">
        <v>0</v>
      </c>
      <c r="G20" s="180">
        <f t="shared" si="7"/>
        <v>1.0000000000000001E-9</v>
      </c>
      <c r="H20" s="221">
        <v>0</v>
      </c>
      <c r="I20" s="143">
        <f t="shared" si="4"/>
        <v>0</v>
      </c>
      <c r="J20" s="220"/>
      <c r="K20" s="222">
        <f t="shared" si="0"/>
        <v>1.4400000000000002E-6</v>
      </c>
      <c r="L20" s="223">
        <f t="shared" si="1"/>
        <v>8759.9999985600007</v>
      </c>
      <c r="M20" s="223">
        <f t="shared" si="2"/>
        <v>10</v>
      </c>
      <c r="P20" s="6" t="s">
        <v>521</v>
      </c>
      <c r="Q20" s="6" t="s">
        <v>522</v>
      </c>
      <c r="X20">
        <v>8586.8461524061531</v>
      </c>
      <c r="Y20">
        <v>6</v>
      </c>
    </row>
    <row r="21" spans="1:25" x14ac:dyDescent="0.3">
      <c r="A21" s="46" t="s">
        <v>213</v>
      </c>
      <c r="B21" t="s">
        <v>57</v>
      </c>
      <c r="C21" s="46" t="s">
        <v>58</v>
      </c>
      <c r="D21" s="46" t="s">
        <v>63</v>
      </c>
      <c r="E21" s="143">
        <v>24</v>
      </c>
      <c r="F21" s="220">
        <v>15</v>
      </c>
      <c r="G21" s="180">
        <f t="shared" si="7"/>
        <v>1.0000000000000001E-9</v>
      </c>
      <c r="H21" s="221">
        <f t="shared" si="3"/>
        <v>0.5</v>
      </c>
      <c r="I21" s="143">
        <f t="shared" si="4"/>
        <v>180</v>
      </c>
      <c r="J21" s="220">
        <v>7</v>
      </c>
      <c r="K21" s="222">
        <f t="shared" si="0"/>
        <v>1.4400000000000002E-6</v>
      </c>
      <c r="L21" s="223">
        <f t="shared" si="1"/>
        <v>8572.9999985600007</v>
      </c>
      <c r="M21" s="223">
        <f t="shared" si="2"/>
        <v>6</v>
      </c>
      <c r="P21" s="6">
        <v>5873</v>
      </c>
      <c r="Q21" s="6">
        <v>1</v>
      </c>
      <c r="X21">
        <v>8587.1999985599996</v>
      </c>
      <c r="Y21">
        <v>6</v>
      </c>
    </row>
    <row r="22" spans="1:25" x14ac:dyDescent="0.3">
      <c r="A22" s="46" t="s">
        <v>166</v>
      </c>
      <c r="B22" t="s">
        <v>57</v>
      </c>
      <c r="C22" s="46" t="s">
        <v>58</v>
      </c>
      <c r="D22" s="46" t="s">
        <v>63</v>
      </c>
      <c r="E22" s="143">
        <v>24</v>
      </c>
      <c r="F22" s="220">
        <v>15</v>
      </c>
      <c r="G22" s="143">
        <f>10^-9</f>
        <v>1.0000000000000001E-9</v>
      </c>
      <c r="H22" s="221">
        <f t="shared" si="3"/>
        <v>0.5</v>
      </c>
      <c r="I22" s="143">
        <f t="shared" si="4"/>
        <v>180</v>
      </c>
      <c r="J22" s="220">
        <v>7</v>
      </c>
      <c r="K22" s="222">
        <f t="shared" si="0"/>
        <v>1.4400000000000002E-6</v>
      </c>
      <c r="L22" s="223">
        <f t="shared" si="1"/>
        <v>8572.9999985600007</v>
      </c>
      <c r="M22" s="223">
        <f t="shared" si="2"/>
        <v>6</v>
      </c>
      <c r="P22" s="6">
        <v>8369.891961904761</v>
      </c>
      <c r="Q22" s="6">
        <v>2</v>
      </c>
      <c r="X22">
        <v>8592.9999985600007</v>
      </c>
      <c r="Y22">
        <v>6</v>
      </c>
    </row>
    <row r="23" spans="1:25" x14ac:dyDescent="0.3">
      <c r="A23" s="46" t="s">
        <v>174</v>
      </c>
      <c r="B23" t="s">
        <v>57</v>
      </c>
      <c r="C23" s="46" t="s">
        <v>84</v>
      </c>
      <c r="D23" s="46" t="s">
        <v>63</v>
      </c>
      <c r="E23" s="143">
        <v>90</v>
      </c>
      <c r="F23" s="220">
        <v>15</v>
      </c>
      <c r="G23" s="180">
        <f t="shared" ref="G23:G24" si="8">10^-9</f>
        <v>1.0000000000000001E-9</v>
      </c>
      <c r="H23" s="221">
        <f t="shared" si="3"/>
        <v>0.13333333333333333</v>
      </c>
      <c r="I23" s="143">
        <f t="shared" si="4"/>
        <v>48</v>
      </c>
      <c r="J23" s="220">
        <v>7</v>
      </c>
      <c r="K23" s="222">
        <f t="shared" si="0"/>
        <v>1.4400000000000002E-6</v>
      </c>
      <c r="L23" s="223">
        <f t="shared" si="1"/>
        <v>8704.9999985600007</v>
      </c>
      <c r="M23" s="223">
        <f t="shared" si="2"/>
        <v>8</v>
      </c>
      <c r="P23" s="6">
        <v>8418.6554666666671</v>
      </c>
      <c r="Q23" s="6">
        <v>3</v>
      </c>
      <c r="R23" s="225"/>
      <c r="X23">
        <v>8608.9997120000007</v>
      </c>
      <c r="Y23">
        <v>6</v>
      </c>
    </row>
    <row r="24" spans="1:25" x14ac:dyDescent="0.3">
      <c r="A24" s="46" t="s">
        <v>117</v>
      </c>
      <c r="B24" t="s">
        <v>57</v>
      </c>
      <c r="C24" s="46" t="s">
        <v>118</v>
      </c>
      <c r="D24" s="46" t="s">
        <v>63</v>
      </c>
      <c r="E24" s="143">
        <v>15</v>
      </c>
      <c r="F24" s="220">
        <v>15</v>
      </c>
      <c r="G24" s="180">
        <f t="shared" si="8"/>
        <v>1.0000000000000001E-9</v>
      </c>
      <c r="H24" s="221">
        <f t="shared" si="3"/>
        <v>0.8</v>
      </c>
      <c r="I24" s="143">
        <f t="shared" si="4"/>
        <v>288</v>
      </c>
      <c r="J24" s="220">
        <v>7</v>
      </c>
      <c r="K24" s="222">
        <f t="shared" si="0"/>
        <v>1.4400000000000002E-6</v>
      </c>
      <c r="L24" s="223">
        <f t="shared" si="1"/>
        <v>8464.9999985600007</v>
      </c>
      <c r="M24" s="223">
        <f t="shared" si="2"/>
        <v>4</v>
      </c>
      <c r="P24" s="6">
        <v>8467.4189714285712</v>
      </c>
      <c r="Q24" s="6">
        <v>4</v>
      </c>
      <c r="X24">
        <v>8615.9999985600007</v>
      </c>
      <c r="Y24">
        <v>7</v>
      </c>
    </row>
    <row r="25" spans="1:25" x14ac:dyDescent="0.3">
      <c r="A25" s="46" t="s">
        <v>215</v>
      </c>
      <c r="B25" t="s">
        <v>57</v>
      </c>
      <c r="C25" s="46" t="s">
        <v>58</v>
      </c>
      <c r="D25" s="46" t="s">
        <v>63</v>
      </c>
      <c r="E25" s="143">
        <v>24</v>
      </c>
      <c r="F25" s="220">
        <v>15</v>
      </c>
      <c r="G25" s="143">
        <f>10^-8</f>
        <v>1E-8</v>
      </c>
      <c r="H25" s="221">
        <f t="shared" si="3"/>
        <v>0.5</v>
      </c>
      <c r="I25" s="143">
        <f t="shared" si="4"/>
        <v>180</v>
      </c>
      <c r="J25" s="220">
        <v>7</v>
      </c>
      <c r="K25" s="222">
        <f t="shared" si="0"/>
        <v>1.4400000000000001E-5</v>
      </c>
      <c r="L25" s="223">
        <f t="shared" si="1"/>
        <v>8572.9999855999995</v>
      </c>
      <c r="M25" s="223">
        <f t="shared" si="2"/>
        <v>6</v>
      </c>
      <c r="P25" s="6">
        <v>8516.1824761904754</v>
      </c>
      <c r="Q25" s="6">
        <v>5</v>
      </c>
      <c r="X25">
        <v>8632.9998560000004</v>
      </c>
      <c r="Y25">
        <v>7</v>
      </c>
    </row>
    <row r="26" spans="1:25" x14ac:dyDescent="0.3">
      <c r="A26" s="46" t="s">
        <v>95</v>
      </c>
      <c r="B26" t="s">
        <v>57</v>
      </c>
      <c r="C26" s="46" t="s">
        <v>96</v>
      </c>
      <c r="D26" s="46" t="s">
        <v>63</v>
      </c>
      <c r="E26" s="143">
        <v>24</v>
      </c>
      <c r="F26" s="220">
        <v>15</v>
      </c>
      <c r="G26" s="180">
        <f t="shared" ref="G26:G39" si="9">10^-9</f>
        <v>1.0000000000000001E-9</v>
      </c>
      <c r="H26" s="221">
        <f t="shared" si="3"/>
        <v>0.5</v>
      </c>
      <c r="I26" s="143">
        <f t="shared" si="4"/>
        <v>180</v>
      </c>
      <c r="J26" s="220">
        <v>7</v>
      </c>
      <c r="K26" s="222">
        <f t="shared" si="0"/>
        <v>1.4400000000000002E-6</v>
      </c>
      <c r="L26" s="223">
        <f t="shared" si="1"/>
        <v>8572.9999985600007</v>
      </c>
      <c r="M26" s="223">
        <f t="shared" si="2"/>
        <v>6</v>
      </c>
      <c r="P26" s="6">
        <v>8564.9459809523814</v>
      </c>
      <c r="Q26" s="6">
        <v>6</v>
      </c>
      <c r="X26">
        <v>8632.9999985600007</v>
      </c>
      <c r="Y26">
        <v>7</v>
      </c>
    </row>
    <row r="27" spans="1:25" x14ac:dyDescent="0.3">
      <c r="A27" s="46" t="s">
        <v>274</v>
      </c>
      <c r="B27" t="s">
        <v>57</v>
      </c>
      <c r="C27" s="46" t="s">
        <v>275</v>
      </c>
      <c r="D27" s="46" t="s">
        <v>63</v>
      </c>
      <c r="E27" s="143">
        <v>120</v>
      </c>
      <c r="F27" s="220">
        <v>15</v>
      </c>
      <c r="G27" s="180">
        <f t="shared" si="9"/>
        <v>1.0000000000000001E-9</v>
      </c>
      <c r="H27" s="221">
        <f t="shared" si="3"/>
        <v>0.1</v>
      </c>
      <c r="I27" s="143">
        <f t="shared" si="4"/>
        <v>36</v>
      </c>
      <c r="J27" s="220">
        <v>7</v>
      </c>
      <c r="K27" s="222">
        <f t="shared" si="0"/>
        <v>1.4400000000000002E-6</v>
      </c>
      <c r="L27" s="223">
        <f t="shared" si="1"/>
        <v>8716.9999985600007</v>
      </c>
      <c r="M27" s="223">
        <f t="shared" si="2"/>
        <v>9</v>
      </c>
      <c r="P27" s="6">
        <v>8613.7094857142856</v>
      </c>
      <c r="Q27" s="6">
        <v>7</v>
      </c>
      <c r="X27">
        <v>8669.9999985600007</v>
      </c>
      <c r="Y27">
        <v>8</v>
      </c>
    </row>
    <row r="28" spans="1:25" x14ac:dyDescent="0.3">
      <c r="A28" s="46" t="s">
        <v>279</v>
      </c>
      <c r="B28" t="s">
        <v>65</v>
      </c>
      <c r="C28" t="s">
        <v>136</v>
      </c>
      <c r="D28" t="s">
        <v>71</v>
      </c>
      <c r="E28" s="143">
        <v>60</v>
      </c>
      <c r="F28" s="220">
        <v>15</v>
      </c>
      <c r="G28" s="180">
        <f t="shared" si="9"/>
        <v>1.0000000000000001E-9</v>
      </c>
      <c r="H28" s="221">
        <f t="shared" si="3"/>
        <v>0.2</v>
      </c>
      <c r="I28" s="143">
        <f t="shared" si="4"/>
        <v>72</v>
      </c>
      <c r="K28" s="222">
        <f t="shared" si="0"/>
        <v>1.4400000000000002E-6</v>
      </c>
      <c r="L28" s="223">
        <f t="shared" si="1"/>
        <v>8687.9999985600007</v>
      </c>
      <c r="M28" s="223">
        <f t="shared" si="2"/>
        <v>8</v>
      </c>
      <c r="P28" s="6">
        <v>8662.4729904761898</v>
      </c>
      <c r="Q28" s="6">
        <v>8</v>
      </c>
      <c r="X28">
        <v>8677.2105248757889</v>
      </c>
      <c r="Y28">
        <v>8</v>
      </c>
    </row>
    <row r="29" spans="1:25" x14ac:dyDescent="0.3">
      <c r="A29" s="46" t="s">
        <v>153</v>
      </c>
      <c r="B29" t="s">
        <v>65</v>
      </c>
      <c r="C29" s="46" t="s">
        <v>66</v>
      </c>
      <c r="D29" s="46" t="s">
        <v>71</v>
      </c>
      <c r="E29" s="143" t="s">
        <v>520</v>
      </c>
      <c r="F29" s="176">
        <v>0</v>
      </c>
      <c r="G29" s="180">
        <f t="shared" si="9"/>
        <v>1.0000000000000001E-9</v>
      </c>
      <c r="H29" s="221">
        <v>0</v>
      </c>
      <c r="I29" s="143">
        <f t="shared" si="4"/>
        <v>0</v>
      </c>
      <c r="K29" s="222">
        <f t="shared" si="0"/>
        <v>1.4400000000000002E-6</v>
      </c>
      <c r="L29" s="223">
        <f t="shared" si="1"/>
        <v>8759.9999985600007</v>
      </c>
      <c r="M29" s="223">
        <f t="shared" si="2"/>
        <v>10</v>
      </c>
      <c r="P29" s="6">
        <v>8711.2364952380958</v>
      </c>
      <c r="Q29" s="6">
        <v>9</v>
      </c>
      <c r="X29">
        <v>8681.4545440145448</v>
      </c>
      <c r="Y29">
        <v>8</v>
      </c>
    </row>
    <row r="30" spans="1:25" x14ac:dyDescent="0.3">
      <c r="A30" s="46" t="s">
        <v>191</v>
      </c>
      <c r="B30" t="s">
        <v>105</v>
      </c>
      <c r="C30" t="s">
        <v>192</v>
      </c>
      <c r="D30" t="s">
        <v>195</v>
      </c>
      <c r="E30" s="177" t="s">
        <v>523</v>
      </c>
      <c r="F30" s="220">
        <v>15</v>
      </c>
      <c r="G30" s="180">
        <f t="shared" si="9"/>
        <v>1.0000000000000001E-9</v>
      </c>
      <c r="H30" s="221">
        <f>12/((480+720)/2)</f>
        <v>0.02</v>
      </c>
      <c r="I30" s="143">
        <f t="shared" si="4"/>
        <v>7.1999999999999993</v>
      </c>
      <c r="K30" s="222">
        <f t="shared" si="0"/>
        <v>1.4400000000000002E-6</v>
      </c>
      <c r="L30" s="223">
        <f t="shared" si="1"/>
        <v>8752.7999985599999</v>
      </c>
      <c r="M30" s="223">
        <f t="shared" si="2"/>
        <v>9</v>
      </c>
      <c r="P30" s="6">
        <v>8760</v>
      </c>
      <c r="Q30" s="6">
        <v>10</v>
      </c>
      <c r="X30">
        <v>8687.5454531054547</v>
      </c>
      <c r="Y30">
        <v>8</v>
      </c>
    </row>
    <row r="31" spans="1:25" x14ac:dyDescent="0.3">
      <c r="A31" s="46" t="s">
        <v>297</v>
      </c>
      <c r="B31" t="s">
        <v>105</v>
      </c>
      <c r="C31" t="s">
        <v>106</v>
      </c>
      <c r="D31" t="s">
        <v>301</v>
      </c>
      <c r="E31" s="177" t="s">
        <v>524</v>
      </c>
      <c r="F31" s="220">
        <v>15</v>
      </c>
      <c r="G31" s="180">
        <f t="shared" si="9"/>
        <v>1.0000000000000001E-9</v>
      </c>
      <c r="H31" s="221">
        <f>12/((120+240)/2)</f>
        <v>6.6666666666666666E-2</v>
      </c>
      <c r="I31" s="143">
        <f t="shared" si="4"/>
        <v>24</v>
      </c>
      <c r="K31" s="222">
        <f t="shared" si="0"/>
        <v>1.4400000000000002E-6</v>
      </c>
      <c r="L31" s="223">
        <f t="shared" si="1"/>
        <v>8735.9999985600007</v>
      </c>
      <c r="M31" s="223">
        <f t="shared" si="2"/>
        <v>9</v>
      </c>
      <c r="X31">
        <v>8687.9999985600007</v>
      </c>
      <c r="Y31">
        <v>8</v>
      </c>
    </row>
    <row r="32" spans="1:25" x14ac:dyDescent="0.3">
      <c r="A32" s="46" t="s">
        <v>170</v>
      </c>
      <c r="B32" t="s">
        <v>65</v>
      </c>
      <c r="C32" t="s">
        <v>136</v>
      </c>
      <c r="D32" t="s">
        <v>71</v>
      </c>
      <c r="E32" s="143" t="s">
        <v>525</v>
      </c>
      <c r="F32" s="176">
        <v>0</v>
      </c>
      <c r="G32" s="180">
        <f t="shared" si="9"/>
        <v>1.0000000000000001E-9</v>
      </c>
      <c r="H32" s="221">
        <v>0</v>
      </c>
      <c r="I32" s="143">
        <f t="shared" si="4"/>
        <v>0</v>
      </c>
      <c r="K32" s="222">
        <f t="shared" si="0"/>
        <v>1.4400000000000002E-6</v>
      </c>
      <c r="L32" s="223">
        <f t="shared" si="1"/>
        <v>8759.9999985600007</v>
      </c>
      <c r="M32" s="223">
        <f t="shared" si="2"/>
        <v>10</v>
      </c>
      <c r="X32">
        <v>8692.9999985600007</v>
      </c>
      <c r="Y32">
        <v>8</v>
      </c>
    </row>
    <row r="33" spans="1:25" x14ac:dyDescent="0.3">
      <c r="A33" s="46" t="s">
        <v>135</v>
      </c>
      <c r="B33" t="s">
        <v>65</v>
      </c>
      <c r="C33" t="s">
        <v>136</v>
      </c>
      <c r="D33" t="s">
        <v>71</v>
      </c>
      <c r="E33" s="143">
        <v>48</v>
      </c>
      <c r="F33" s="220">
        <v>15</v>
      </c>
      <c r="G33" s="180">
        <f t="shared" si="9"/>
        <v>1.0000000000000001E-9</v>
      </c>
      <c r="H33" s="221">
        <f t="shared" si="3"/>
        <v>0.25</v>
      </c>
      <c r="I33" s="143">
        <f t="shared" si="4"/>
        <v>90</v>
      </c>
      <c r="K33" s="222">
        <f t="shared" si="0"/>
        <v>1.4400000000000002E-6</v>
      </c>
      <c r="L33" s="223">
        <f t="shared" si="1"/>
        <v>8669.9999985600007</v>
      </c>
      <c r="M33" s="223">
        <f t="shared" si="2"/>
        <v>8</v>
      </c>
      <c r="T33" s="225"/>
      <c r="X33">
        <v>8701.5714271314282</v>
      </c>
      <c r="Y33">
        <v>8</v>
      </c>
    </row>
    <row r="34" spans="1:25" x14ac:dyDescent="0.3">
      <c r="A34" s="46" t="s">
        <v>200</v>
      </c>
      <c r="B34" t="s">
        <v>65</v>
      </c>
      <c r="C34" t="s">
        <v>197</v>
      </c>
      <c r="D34" t="s">
        <v>71</v>
      </c>
      <c r="E34" s="143">
        <v>30</v>
      </c>
      <c r="F34" s="220">
        <v>15</v>
      </c>
      <c r="G34" s="180">
        <f t="shared" si="9"/>
        <v>1.0000000000000001E-9</v>
      </c>
      <c r="H34" s="221">
        <f t="shared" si="3"/>
        <v>0.4</v>
      </c>
      <c r="I34" s="143">
        <f t="shared" si="4"/>
        <v>144</v>
      </c>
      <c r="K34" s="222">
        <f t="shared" si="0"/>
        <v>1.4400000000000002E-6</v>
      </c>
      <c r="L34" s="223">
        <f t="shared" si="1"/>
        <v>8615.9999985600007</v>
      </c>
      <c r="M34" s="223">
        <f t="shared" si="2"/>
        <v>7</v>
      </c>
      <c r="X34">
        <v>8704.9999985600007</v>
      </c>
      <c r="Y34">
        <v>8</v>
      </c>
    </row>
    <row r="35" spans="1:25" x14ac:dyDescent="0.3">
      <c r="A35" s="46" t="s">
        <v>243</v>
      </c>
      <c r="B35" t="s">
        <v>65</v>
      </c>
      <c r="C35" t="s">
        <v>136</v>
      </c>
      <c r="D35" t="s">
        <v>71</v>
      </c>
      <c r="E35" s="143">
        <v>18</v>
      </c>
      <c r="F35" s="176">
        <v>18</v>
      </c>
      <c r="G35" s="180">
        <f t="shared" si="9"/>
        <v>1.0000000000000001E-9</v>
      </c>
      <c r="H35" s="221">
        <f t="shared" si="3"/>
        <v>0.66666666666666663</v>
      </c>
      <c r="I35" s="143">
        <f t="shared" si="4"/>
        <v>288</v>
      </c>
      <c r="K35" s="222">
        <f t="shared" si="0"/>
        <v>1.4400000000000002E-6</v>
      </c>
      <c r="L35" s="223">
        <f t="shared" si="1"/>
        <v>8471.9999985600007</v>
      </c>
      <c r="M35" s="223">
        <f t="shared" si="2"/>
        <v>5</v>
      </c>
      <c r="X35">
        <v>8704.9999985600007</v>
      </c>
      <c r="Y35">
        <v>8</v>
      </c>
    </row>
    <row r="36" spans="1:25" x14ac:dyDescent="0.3">
      <c r="A36" s="46" t="s">
        <v>139</v>
      </c>
      <c r="B36" t="s">
        <v>65</v>
      </c>
      <c r="C36" t="s">
        <v>136</v>
      </c>
      <c r="D36" t="s">
        <v>71</v>
      </c>
      <c r="E36" s="143">
        <v>25</v>
      </c>
      <c r="F36" s="220">
        <v>15</v>
      </c>
      <c r="G36" s="180">
        <f t="shared" si="9"/>
        <v>1.0000000000000001E-9</v>
      </c>
      <c r="H36" s="221">
        <f t="shared" si="3"/>
        <v>0.48</v>
      </c>
      <c r="I36" s="143">
        <f t="shared" si="4"/>
        <v>172.79999999999998</v>
      </c>
      <c r="K36" s="222">
        <f t="shared" si="0"/>
        <v>1.4400000000000002E-6</v>
      </c>
      <c r="L36" s="223">
        <f t="shared" si="1"/>
        <v>8587.1999985599996</v>
      </c>
      <c r="M36" s="223">
        <f t="shared" si="2"/>
        <v>6</v>
      </c>
      <c r="X36">
        <v>8714.9999985600007</v>
      </c>
      <c r="Y36">
        <v>9</v>
      </c>
    </row>
    <row r="37" spans="1:25" x14ac:dyDescent="0.3">
      <c r="A37" s="46" t="s">
        <v>292</v>
      </c>
      <c r="B37" t="s">
        <v>105</v>
      </c>
      <c r="C37" t="s">
        <v>106</v>
      </c>
      <c r="D37" t="s">
        <v>296</v>
      </c>
      <c r="E37" s="143">
        <v>12</v>
      </c>
      <c r="F37" s="220">
        <v>15</v>
      </c>
      <c r="G37" s="180">
        <f t="shared" si="9"/>
        <v>1.0000000000000001E-9</v>
      </c>
      <c r="H37" s="221">
        <f t="shared" si="3"/>
        <v>1</v>
      </c>
      <c r="I37" s="143">
        <f t="shared" si="4"/>
        <v>360</v>
      </c>
      <c r="K37" s="222">
        <f t="shared" si="0"/>
        <v>1.4400000000000002E-6</v>
      </c>
      <c r="L37" s="223">
        <f t="shared" si="1"/>
        <v>8399.9999985600007</v>
      </c>
      <c r="M37" s="223">
        <f t="shared" si="2"/>
        <v>3</v>
      </c>
      <c r="X37">
        <v>8716.9999985600007</v>
      </c>
      <c r="Y37">
        <v>9</v>
      </c>
    </row>
    <row r="38" spans="1:25" x14ac:dyDescent="0.3">
      <c r="A38" s="46" t="s">
        <v>121</v>
      </c>
      <c r="B38" t="s">
        <v>65</v>
      </c>
      <c r="C38" t="s">
        <v>122</v>
      </c>
      <c r="D38" t="s">
        <v>126</v>
      </c>
      <c r="E38" s="143">
        <v>360</v>
      </c>
      <c r="F38" s="220">
        <v>15</v>
      </c>
      <c r="G38" s="180">
        <f t="shared" si="9"/>
        <v>1.0000000000000001E-9</v>
      </c>
      <c r="H38" s="221">
        <f t="shared" si="3"/>
        <v>3.3333333333333333E-2</v>
      </c>
      <c r="I38" s="143">
        <f t="shared" si="4"/>
        <v>12</v>
      </c>
      <c r="K38" s="222">
        <f t="shared" si="0"/>
        <v>1.4400000000000002E-6</v>
      </c>
      <c r="L38" s="223">
        <f t="shared" si="1"/>
        <v>8747.9999985600007</v>
      </c>
      <c r="M38" s="223">
        <f t="shared" si="2"/>
        <v>9</v>
      </c>
      <c r="X38">
        <v>8721.6956507339128</v>
      </c>
      <c r="Y38">
        <v>9</v>
      </c>
    </row>
    <row r="39" spans="1:25" x14ac:dyDescent="0.3">
      <c r="A39" s="46" t="s">
        <v>130</v>
      </c>
      <c r="B39" t="s">
        <v>105</v>
      </c>
      <c r="C39" t="s">
        <v>106</v>
      </c>
      <c r="D39" t="s">
        <v>134</v>
      </c>
      <c r="E39" s="143" t="s">
        <v>526</v>
      </c>
      <c r="F39" s="176">
        <v>0</v>
      </c>
      <c r="G39" s="180">
        <f t="shared" si="9"/>
        <v>1.0000000000000001E-9</v>
      </c>
      <c r="H39" s="221">
        <v>0</v>
      </c>
      <c r="I39" s="143">
        <f t="shared" si="4"/>
        <v>0</v>
      </c>
      <c r="K39" s="222">
        <f t="shared" si="0"/>
        <v>1.4400000000000002E-6</v>
      </c>
      <c r="L39" s="223">
        <f t="shared" si="1"/>
        <v>8759.9999985600007</v>
      </c>
      <c r="M39" s="223">
        <f t="shared" si="2"/>
        <v>10</v>
      </c>
      <c r="X39">
        <v>8723.9999985600007</v>
      </c>
      <c r="Y39">
        <v>9</v>
      </c>
    </row>
    <row r="40" spans="1:25" x14ac:dyDescent="0.3">
      <c r="A40" s="46" t="s">
        <v>161</v>
      </c>
      <c r="B40" t="s">
        <v>105</v>
      </c>
      <c r="C40" t="s">
        <v>106</v>
      </c>
      <c r="D40" t="s">
        <v>165</v>
      </c>
      <c r="E40" s="143">
        <v>84</v>
      </c>
      <c r="F40" s="226">
        <v>128</v>
      </c>
      <c r="G40" s="143">
        <f>10^-5</f>
        <v>1.0000000000000001E-5</v>
      </c>
      <c r="H40" s="221">
        <f t="shared" si="3"/>
        <v>0.14285714285714285</v>
      </c>
      <c r="I40" s="224">
        <f>H40*F40*24</f>
        <v>438.85714285714283</v>
      </c>
      <c r="K40" s="222">
        <f t="shared" si="0"/>
        <v>1.4400000000000001E-2</v>
      </c>
      <c r="L40" s="223">
        <f t="shared" si="1"/>
        <v>8321.1284571428569</v>
      </c>
      <c r="M40" s="223">
        <f t="shared" si="2"/>
        <v>2</v>
      </c>
      <c r="X40">
        <v>8734.9999985600007</v>
      </c>
      <c r="Y40">
        <v>9</v>
      </c>
    </row>
    <row r="41" spans="1:25" x14ac:dyDescent="0.3">
      <c r="A41" s="46" t="s">
        <v>224</v>
      </c>
      <c r="B41" t="s">
        <v>65</v>
      </c>
      <c r="C41" t="s">
        <v>66</v>
      </c>
      <c r="D41" t="s">
        <v>71</v>
      </c>
      <c r="E41" s="143" t="s">
        <v>520</v>
      </c>
      <c r="F41" s="176">
        <v>0</v>
      </c>
      <c r="G41" s="180">
        <f t="shared" ref="G41:G65" si="10">10^-9</f>
        <v>1.0000000000000001E-9</v>
      </c>
      <c r="H41" s="221">
        <v>0</v>
      </c>
      <c r="I41" s="143">
        <f t="shared" si="4"/>
        <v>0</v>
      </c>
      <c r="K41" s="222">
        <f t="shared" si="0"/>
        <v>1.4400000000000002E-6</v>
      </c>
      <c r="L41" s="223">
        <f t="shared" si="1"/>
        <v>8759.9999985600007</v>
      </c>
      <c r="M41" s="223">
        <f t="shared" si="2"/>
        <v>10</v>
      </c>
      <c r="X41">
        <v>8735.9999985600007</v>
      </c>
      <c r="Y41">
        <v>9</v>
      </c>
    </row>
    <row r="42" spans="1:25" x14ac:dyDescent="0.3">
      <c r="A42" s="46" t="s">
        <v>259</v>
      </c>
      <c r="B42" t="s">
        <v>105</v>
      </c>
      <c r="C42" t="s">
        <v>106</v>
      </c>
      <c r="D42" t="s">
        <v>262</v>
      </c>
      <c r="E42" s="143">
        <v>120</v>
      </c>
      <c r="F42" s="220">
        <v>15</v>
      </c>
      <c r="G42" s="180">
        <f t="shared" si="10"/>
        <v>1.0000000000000001E-9</v>
      </c>
      <c r="H42" s="221">
        <f t="shared" si="3"/>
        <v>0.1</v>
      </c>
      <c r="I42" s="143">
        <f t="shared" si="4"/>
        <v>36</v>
      </c>
      <c r="K42" s="222">
        <f t="shared" si="0"/>
        <v>1.4400000000000002E-6</v>
      </c>
      <c r="L42" s="223">
        <f t="shared" si="1"/>
        <v>8723.9999985600007</v>
      </c>
      <c r="M42" s="223">
        <f t="shared" si="2"/>
        <v>9</v>
      </c>
      <c r="X42">
        <v>8735.9999985600007</v>
      </c>
      <c r="Y42">
        <v>9</v>
      </c>
    </row>
    <row r="43" spans="1:25" x14ac:dyDescent="0.3">
      <c r="A43" s="46" t="s">
        <v>208</v>
      </c>
      <c r="B43" t="s">
        <v>105</v>
      </c>
      <c r="C43" t="s">
        <v>209</v>
      </c>
      <c r="D43" t="s">
        <v>183</v>
      </c>
      <c r="E43" s="143" t="s">
        <v>527</v>
      </c>
      <c r="F43" s="176">
        <v>0</v>
      </c>
      <c r="G43" s="180">
        <f t="shared" si="10"/>
        <v>1.0000000000000001E-9</v>
      </c>
      <c r="H43" s="221">
        <v>0</v>
      </c>
      <c r="I43" s="143">
        <f t="shared" si="4"/>
        <v>0</v>
      </c>
      <c r="K43" s="222">
        <f t="shared" si="0"/>
        <v>1.4400000000000002E-6</v>
      </c>
      <c r="L43" s="223">
        <f t="shared" si="1"/>
        <v>8759.9999985600007</v>
      </c>
      <c r="M43" s="223">
        <f t="shared" si="2"/>
        <v>10</v>
      </c>
      <c r="X43">
        <v>8738.5999985599992</v>
      </c>
      <c r="Y43">
        <v>9</v>
      </c>
    </row>
    <row r="44" spans="1:25" x14ac:dyDescent="0.3">
      <c r="A44" s="46" t="s">
        <v>196</v>
      </c>
      <c r="B44" t="s">
        <v>65</v>
      </c>
      <c r="C44" t="s">
        <v>197</v>
      </c>
      <c r="D44" t="s">
        <v>71</v>
      </c>
      <c r="E44" s="227" t="s">
        <v>525</v>
      </c>
      <c r="F44" s="176">
        <v>0</v>
      </c>
      <c r="G44" s="180">
        <f t="shared" si="10"/>
        <v>1.0000000000000001E-9</v>
      </c>
      <c r="H44" s="221">
        <v>0</v>
      </c>
      <c r="I44" s="143">
        <f t="shared" si="4"/>
        <v>0</v>
      </c>
      <c r="K44" s="222">
        <f t="shared" si="0"/>
        <v>1.4400000000000002E-6</v>
      </c>
      <c r="L44" s="223">
        <f t="shared" si="1"/>
        <v>8759.9999985600007</v>
      </c>
      <c r="M44" s="223">
        <f t="shared" si="2"/>
        <v>10</v>
      </c>
      <c r="X44">
        <v>8741.9999985600007</v>
      </c>
      <c r="Y44">
        <v>9</v>
      </c>
    </row>
    <row r="45" spans="1:25" x14ac:dyDescent="0.3">
      <c r="A45" s="47" t="s">
        <v>309</v>
      </c>
      <c r="B45" t="s">
        <v>48</v>
      </c>
      <c r="C45" s="47" t="s">
        <v>49</v>
      </c>
      <c r="D45" s="47" t="s">
        <v>312</v>
      </c>
      <c r="E45" s="143" t="s">
        <v>528</v>
      </c>
      <c r="F45" s="220">
        <v>15</v>
      </c>
      <c r="G45" s="180">
        <f t="shared" si="10"/>
        <v>1.0000000000000001E-9</v>
      </c>
      <c r="H45" s="221">
        <f>12/((96+180)/2)</f>
        <v>8.6956521739130432E-2</v>
      </c>
      <c r="I45" s="224">
        <f t="shared" si="4"/>
        <v>31.304347826086957</v>
      </c>
      <c r="J45" s="220">
        <v>7</v>
      </c>
      <c r="K45" s="222">
        <f t="shared" si="0"/>
        <v>1.4400000000000002E-6</v>
      </c>
      <c r="L45" s="223">
        <f t="shared" si="1"/>
        <v>8721.6956507339128</v>
      </c>
      <c r="M45" s="223">
        <f t="shared" si="2"/>
        <v>9</v>
      </c>
      <c r="X45">
        <v>8747.9999985600007</v>
      </c>
      <c r="Y45">
        <v>9</v>
      </c>
    </row>
    <row r="46" spans="1:25" x14ac:dyDescent="0.3">
      <c r="A46" s="47" t="s">
        <v>72</v>
      </c>
      <c r="B46" t="s">
        <v>48</v>
      </c>
      <c r="C46" s="47" t="s">
        <v>49</v>
      </c>
      <c r="D46" s="47" t="s">
        <v>54</v>
      </c>
      <c r="E46" s="143">
        <v>240</v>
      </c>
      <c r="F46" s="220">
        <v>15</v>
      </c>
      <c r="G46" s="180">
        <f t="shared" si="10"/>
        <v>1.0000000000000001E-9</v>
      </c>
      <c r="H46" s="221">
        <f t="shared" si="3"/>
        <v>0.05</v>
      </c>
      <c r="I46" s="143">
        <f t="shared" si="4"/>
        <v>18</v>
      </c>
      <c r="J46" s="220">
        <v>7</v>
      </c>
      <c r="K46" s="222">
        <f t="shared" si="0"/>
        <v>1.4400000000000002E-6</v>
      </c>
      <c r="L46" s="223">
        <f t="shared" si="1"/>
        <v>8734.9999985600007</v>
      </c>
      <c r="M46" s="223">
        <f t="shared" si="2"/>
        <v>9</v>
      </c>
      <c r="X46">
        <v>8752.7999985599999</v>
      </c>
      <c r="Y46">
        <v>9</v>
      </c>
    </row>
    <row r="47" spans="1:25" x14ac:dyDescent="0.3">
      <c r="A47" s="47" t="s">
        <v>47</v>
      </c>
      <c r="B47" t="s">
        <v>48</v>
      </c>
      <c r="C47" s="47" t="s">
        <v>49</v>
      </c>
      <c r="D47" s="47" t="s">
        <v>54</v>
      </c>
      <c r="E47" s="227" t="s">
        <v>525</v>
      </c>
      <c r="F47" s="220">
        <v>15</v>
      </c>
      <c r="G47" s="180">
        <f t="shared" si="10"/>
        <v>1.0000000000000001E-9</v>
      </c>
      <c r="H47" s="221">
        <v>0</v>
      </c>
      <c r="I47" s="143">
        <f>H47*F47*24</f>
        <v>0</v>
      </c>
      <c r="J47" s="220">
        <v>7</v>
      </c>
      <c r="K47" s="222">
        <f t="shared" si="0"/>
        <v>1.4400000000000002E-6</v>
      </c>
      <c r="L47" s="223">
        <f t="shared" si="1"/>
        <v>8752.9999985600007</v>
      </c>
      <c r="M47" s="223">
        <f t="shared" si="2"/>
        <v>9</v>
      </c>
      <c r="X47">
        <v>8752.9999985600007</v>
      </c>
      <c r="Y47">
        <v>9</v>
      </c>
    </row>
    <row r="48" spans="1:25" x14ac:dyDescent="0.3">
      <c r="A48" s="47" t="s">
        <v>203</v>
      </c>
      <c r="B48" t="s">
        <v>48</v>
      </c>
      <c r="C48" s="47" t="s">
        <v>204</v>
      </c>
      <c r="D48" s="47" t="s">
        <v>207</v>
      </c>
      <c r="E48" s="143" t="s">
        <v>525</v>
      </c>
      <c r="F48" s="176">
        <v>0</v>
      </c>
      <c r="G48" s="180">
        <f t="shared" si="10"/>
        <v>1.0000000000000001E-9</v>
      </c>
      <c r="H48" s="221">
        <v>0</v>
      </c>
      <c r="I48" s="143">
        <f t="shared" si="4"/>
        <v>0</v>
      </c>
      <c r="J48" s="220">
        <v>7</v>
      </c>
      <c r="K48" s="222">
        <f t="shared" si="0"/>
        <v>1.4400000000000002E-6</v>
      </c>
      <c r="L48" s="223">
        <f t="shared" si="1"/>
        <v>8752.9999985600007</v>
      </c>
      <c r="M48" s="223">
        <f t="shared" si="2"/>
        <v>9</v>
      </c>
      <c r="X48">
        <v>8752.9999985600007</v>
      </c>
      <c r="Y48">
        <v>9</v>
      </c>
    </row>
    <row r="49" spans="1:25" x14ac:dyDescent="0.3">
      <c r="A49" s="47" t="s">
        <v>77</v>
      </c>
      <c r="B49" t="s">
        <v>48</v>
      </c>
      <c r="C49" s="47" t="s">
        <v>49</v>
      </c>
      <c r="D49" s="47" t="s">
        <v>82</v>
      </c>
      <c r="E49" s="143" t="s">
        <v>529</v>
      </c>
      <c r="F49" s="220">
        <v>15</v>
      </c>
      <c r="G49" s="180">
        <f t="shared" si="10"/>
        <v>1.0000000000000001E-9</v>
      </c>
      <c r="H49" s="221">
        <f>12/((36+78)/2)</f>
        <v>0.21052631578947367</v>
      </c>
      <c r="I49" s="224">
        <f t="shared" si="4"/>
        <v>75.78947368421052</v>
      </c>
      <c r="J49" s="220">
        <v>7</v>
      </c>
      <c r="K49" s="222">
        <f t="shared" si="0"/>
        <v>1.4400000000000002E-6</v>
      </c>
      <c r="L49" s="223">
        <f t="shared" si="1"/>
        <v>8677.2105248757889</v>
      </c>
      <c r="M49" s="223">
        <f t="shared" si="2"/>
        <v>8</v>
      </c>
      <c r="X49">
        <v>8759.9999985600007</v>
      </c>
      <c r="Y49">
        <v>10</v>
      </c>
    </row>
    <row r="50" spans="1:25" x14ac:dyDescent="0.3">
      <c r="A50" s="47" t="s">
        <v>184</v>
      </c>
      <c r="B50" t="s">
        <v>48</v>
      </c>
      <c r="C50" s="47" t="s">
        <v>49</v>
      </c>
      <c r="D50" s="47" t="s">
        <v>82</v>
      </c>
      <c r="E50" s="143">
        <v>16</v>
      </c>
      <c r="F50" s="220">
        <v>15</v>
      </c>
      <c r="G50" s="180">
        <f t="shared" si="10"/>
        <v>1.0000000000000001E-9</v>
      </c>
      <c r="H50" s="221">
        <f t="shared" si="3"/>
        <v>0.75</v>
      </c>
      <c r="I50" s="143">
        <f t="shared" si="4"/>
        <v>270</v>
      </c>
      <c r="J50" s="220">
        <v>7</v>
      </c>
      <c r="K50" s="222">
        <f t="shared" si="0"/>
        <v>1.4400000000000002E-6</v>
      </c>
      <c r="L50" s="223">
        <f t="shared" si="1"/>
        <v>8482.9999985600007</v>
      </c>
      <c r="M50" s="223">
        <f t="shared" si="2"/>
        <v>5</v>
      </c>
      <c r="X50">
        <v>8759.9999985600007</v>
      </c>
      <c r="Y50">
        <v>10</v>
      </c>
    </row>
    <row r="51" spans="1:25" x14ac:dyDescent="0.3">
      <c r="A51" s="47" t="s">
        <v>283</v>
      </c>
      <c r="B51" t="s">
        <v>48</v>
      </c>
      <c r="C51" s="47" t="s">
        <v>248</v>
      </c>
      <c r="D51" s="47" t="s">
        <v>286</v>
      </c>
      <c r="E51" s="143" t="s">
        <v>530</v>
      </c>
      <c r="F51" s="220">
        <v>15</v>
      </c>
      <c r="G51" s="180">
        <f t="shared" si="10"/>
        <v>1.0000000000000001E-9</v>
      </c>
      <c r="H51" s="221">
        <f>12/((84+96)/2)</f>
        <v>0.13333333333333333</v>
      </c>
      <c r="I51" s="143">
        <f t="shared" si="4"/>
        <v>48</v>
      </c>
      <c r="J51" s="220">
        <v>7</v>
      </c>
      <c r="K51" s="222">
        <f t="shared" si="0"/>
        <v>1.4400000000000002E-6</v>
      </c>
      <c r="L51" s="223">
        <f t="shared" si="1"/>
        <v>8704.9999985600007</v>
      </c>
      <c r="M51" s="223">
        <f t="shared" si="2"/>
        <v>8</v>
      </c>
      <c r="X51">
        <v>8759.9999985600007</v>
      </c>
      <c r="Y51">
        <v>10</v>
      </c>
    </row>
    <row r="52" spans="1:25" x14ac:dyDescent="0.3">
      <c r="A52" s="47" t="s">
        <v>247</v>
      </c>
      <c r="B52" t="s">
        <v>48</v>
      </c>
      <c r="C52" s="47" t="s">
        <v>248</v>
      </c>
      <c r="D52" s="47" t="s">
        <v>82</v>
      </c>
      <c r="E52" s="143">
        <v>300</v>
      </c>
      <c r="F52" s="220">
        <v>15</v>
      </c>
      <c r="G52" s="180">
        <f t="shared" si="10"/>
        <v>1.0000000000000001E-9</v>
      </c>
      <c r="H52" s="221">
        <f t="shared" si="3"/>
        <v>0.04</v>
      </c>
      <c r="I52" s="143">
        <f t="shared" si="4"/>
        <v>14.399999999999999</v>
      </c>
      <c r="J52" s="220">
        <v>7</v>
      </c>
      <c r="K52" s="222">
        <f t="shared" si="0"/>
        <v>1.4400000000000002E-6</v>
      </c>
      <c r="L52" s="223">
        <f t="shared" si="1"/>
        <v>8738.5999985599992</v>
      </c>
      <c r="M52" s="223">
        <f t="shared" si="2"/>
        <v>9</v>
      </c>
      <c r="X52">
        <v>8759.9999985600007</v>
      </c>
      <c r="Y52">
        <v>10</v>
      </c>
    </row>
    <row r="53" spans="1:25" x14ac:dyDescent="0.3">
      <c r="A53" s="46" t="s">
        <v>316</v>
      </c>
      <c r="B53" t="s">
        <v>65</v>
      </c>
      <c r="C53" t="s">
        <v>66</v>
      </c>
      <c r="D53" t="s">
        <v>71</v>
      </c>
      <c r="E53" s="143" t="s">
        <v>531</v>
      </c>
      <c r="F53" s="176">
        <v>0</v>
      </c>
      <c r="G53" s="180">
        <f t="shared" si="10"/>
        <v>1.0000000000000001E-9</v>
      </c>
      <c r="H53" s="221">
        <v>0</v>
      </c>
      <c r="I53" s="143">
        <f t="shared" si="4"/>
        <v>0</v>
      </c>
      <c r="K53" s="222">
        <f t="shared" si="0"/>
        <v>1.4400000000000002E-6</v>
      </c>
      <c r="L53" s="223">
        <f t="shared" si="1"/>
        <v>8759.9999985600007</v>
      </c>
      <c r="M53" s="223">
        <f t="shared" si="2"/>
        <v>10</v>
      </c>
      <c r="X53">
        <v>8759.9999985600007</v>
      </c>
      <c r="Y53">
        <v>10</v>
      </c>
    </row>
    <row r="54" spans="1:25" x14ac:dyDescent="0.3">
      <c r="A54" s="46" t="s">
        <v>64</v>
      </c>
      <c r="B54" t="s">
        <v>65</v>
      </c>
      <c r="C54" t="s">
        <v>66</v>
      </c>
      <c r="D54" t="s">
        <v>71</v>
      </c>
      <c r="E54" s="143" t="s">
        <v>531</v>
      </c>
      <c r="F54" s="176">
        <v>0</v>
      </c>
      <c r="G54" s="180">
        <f t="shared" si="10"/>
        <v>1.0000000000000001E-9</v>
      </c>
      <c r="H54" s="221">
        <v>0</v>
      </c>
      <c r="I54" s="143">
        <f t="shared" si="4"/>
        <v>0</v>
      </c>
      <c r="K54" s="222">
        <f t="shared" si="0"/>
        <v>1.4400000000000002E-6</v>
      </c>
      <c r="L54" s="223">
        <f t="shared" si="1"/>
        <v>8759.9999985600007</v>
      </c>
      <c r="M54" s="223">
        <f t="shared" si="2"/>
        <v>10</v>
      </c>
      <c r="X54">
        <v>8759.9999985600007</v>
      </c>
      <c r="Y54">
        <v>10</v>
      </c>
    </row>
    <row r="55" spans="1:25" x14ac:dyDescent="0.3">
      <c r="A55" s="46" t="s">
        <v>146</v>
      </c>
      <c r="B55" t="s">
        <v>65</v>
      </c>
      <c r="C55" t="s">
        <v>66</v>
      </c>
      <c r="D55" t="s">
        <v>71</v>
      </c>
      <c r="E55" s="143" t="s">
        <v>531</v>
      </c>
      <c r="F55" s="176">
        <v>0</v>
      </c>
      <c r="G55" s="180">
        <f t="shared" si="10"/>
        <v>1.0000000000000001E-9</v>
      </c>
      <c r="H55" s="221">
        <v>0</v>
      </c>
      <c r="I55" s="143">
        <f t="shared" si="4"/>
        <v>0</v>
      </c>
      <c r="K55" s="222">
        <f t="shared" si="0"/>
        <v>1.4400000000000002E-6</v>
      </c>
      <c r="L55" s="223">
        <f t="shared" si="1"/>
        <v>8759.9999985600007</v>
      </c>
      <c r="M55" s="223">
        <f t="shared" si="2"/>
        <v>10</v>
      </c>
      <c r="X55">
        <v>8759.9999985600007</v>
      </c>
      <c r="Y55">
        <v>10</v>
      </c>
    </row>
    <row r="56" spans="1:25" x14ac:dyDescent="0.3">
      <c r="A56" s="46" t="s">
        <v>127</v>
      </c>
      <c r="B56" t="s">
        <v>65</v>
      </c>
      <c r="C56" t="s">
        <v>122</v>
      </c>
      <c r="D56" t="s">
        <v>126</v>
      </c>
      <c r="E56" s="143">
        <v>96</v>
      </c>
      <c r="F56" s="220">
        <v>15</v>
      </c>
      <c r="G56" s="180">
        <f t="shared" si="10"/>
        <v>1.0000000000000001E-9</v>
      </c>
      <c r="H56" s="221">
        <f t="shared" si="3"/>
        <v>0.125</v>
      </c>
      <c r="I56" s="143">
        <f t="shared" si="4"/>
        <v>45</v>
      </c>
      <c r="K56" s="222">
        <f t="shared" si="0"/>
        <v>1.4400000000000002E-6</v>
      </c>
      <c r="L56" s="223">
        <f t="shared" si="1"/>
        <v>8714.9999985600007</v>
      </c>
      <c r="M56" s="223">
        <f t="shared" si="2"/>
        <v>9</v>
      </c>
      <c r="X56">
        <v>8759.9999985600007</v>
      </c>
      <c r="Y56">
        <v>10</v>
      </c>
    </row>
    <row r="57" spans="1:25" x14ac:dyDescent="0.3">
      <c r="A57" s="46" t="s">
        <v>269</v>
      </c>
      <c r="B57" t="s">
        <v>105</v>
      </c>
      <c r="C57" t="s">
        <v>270</v>
      </c>
      <c r="D57" t="s">
        <v>273</v>
      </c>
      <c r="E57" s="143" t="s">
        <v>532</v>
      </c>
      <c r="F57" s="176">
        <v>10</v>
      </c>
      <c r="G57" s="180">
        <f t="shared" si="10"/>
        <v>1.0000000000000001E-9</v>
      </c>
      <c r="H57" s="221">
        <v>0</v>
      </c>
      <c r="I57" s="143">
        <f t="shared" si="4"/>
        <v>0</v>
      </c>
      <c r="K57" s="222">
        <f t="shared" si="0"/>
        <v>1.4400000000000002E-6</v>
      </c>
      <c r="L57" s="223">
        <f t="shared" si="1"/>
        <v>8759.9999985600007</v>
      </c>
      <c r="M57" s="223">
        <f t="shared" si="2"/>
        <v>10</v>
      </c>
      <c r="X57">
        <v>8759.9999985600007</v>
      </c>
      <c r="Y57">
        <v>10</v>
      </c>
    </row>
    <row r="58" spans="1:25" x14ac:dyDescent="0.3">
      <c r="A58" s="46" t="s">
        <v>188</v>
      </c>
      <c r="B58" t="s">
        <v>105</v>
      </c>
      <c r="C58" t="s">
        <v>106</v>
      </c>
      <c r="D58" t="s">
        <v>190</v>
      </c>
      <c r="E58" s="143" t="s">
        <v>533</v>
      </c>
      <c r="F58" s="176">
        <v>0</v>
      </c>
      <c r="G58" s="180">
        <f t="shared" si="10"/>
        <v>1.0000000000000001E-9</v>
      </c>
      <c r="H58" s="221">
        <v>0</v>
      </c>
      <c r="I58" s="143">
        <f t="shared" si="4"/>
        <v>0</v>
      </c>
      <c r="K58" s="222">
        <f t="shared" si="0"/>
        <v>1.4400000000000002E-6</v>
      </c>
      <c r="L58" s="223">
        <f t="shared" si="1"/>
        <v>8759.9999985600007</v>
      </c>
      <c r="M58" s="223">
        <f t="shared" si="2"/>
        <v>10</v>
      </c>
      <c r="X58">
        <v>8759.9999985600007</v>
      </c>
      <c r="Y58">
        <v>10</v>
      </c>
    </row>
    <row r="59" spans="1:25" x14ac:dyDescent="0.3">
      <c r="A59" s="46" t="s">
        <v>112</v>
      </c>
      <c r="B59" t="s">
        <v>105</v>
      </c>
      <c r="C59" t="s">
        <v>113</v>
      </c>
      <c r="D59" t="s">
        <v>116</v>
      </c>
      <c r="E59" s="227" t="s">
        <v>525</v>
      </c>
      <c r="F59" s="176">
        <v>0</v>
      </c>
      <c r="G59" s="180">
        <f t="shared" si="10"/>
        <v>1.0000000000000001E-9</v>
      </c>
      <c r="H59" s="221">
        <v>0</v>
      </c>
      <c r="I59" s="143">
        <f t="shared" si="4"/>
        <v>0</v>
      </c>
      <c r="K59" s="222">
        <f t="shared" si="0"/>
        <v>1.4400000000000002E-6</v>
      </c>
      <c r="L59" s="223">
        <f t="shared" si="1"/>
        <v>8759.9999985600007</v>
      </c>
      <c r="M59" s="223">
        <f t="shared" si="2"/>
        <v>10</v>
      </c>
      <c r="X59">
        <v>8759.9999985600007</v>
      </c>
      <c r="Y59">
        <v>10</v>
      </c>
    </row>
    <row r="60" spans="1:25" x14ac:dyDescent="0.3">
      <c r="A60" s="46" t="s">
        <v>227</v>
      </c>
      <c r="B60" t="s">
        <v>65</v>
      </c>
      <c r="C60" t="s">
        <v>66</v>
      </c>
      <c r="D60" t="s">
        <v>71</v>
      </c>
      <c r="E60" s="143" t="s">
        <v>531</v>
      </c>
      <c r="F60" s="176">
        <v>0</v>
      </c>
      <c r="G60" s="180">
        <f t="shared" si="10"/>
        <v>1.0000000000000001E-9</v>
      </c>
      <c r="H60" s="221">
        <v>0</v>
      </c>
      <c r="I60" s="143">
        <f t="shared" si="4"/>
        <v>0</v>
      </c>
      <c r="K60" s="222">
        <f t="shared" si="0"/>
        <v>1.4400000000000002E-6</v>
      </c>
      <c r="L60" s="223">
        <f t="shared" si="1"/>
        <v>8759.9999985600007</v>
      </c>
      <c r="M60" s="223">
        <f t="shared" si="2"/>
        <v>10</v>
      </c>
      <c r="X60">
        <v>8759.9999985600007</v>
      </c>
      <c r="Y60">
        <v>10</v>
      </c>
    </row>
    <row r="61" spans="1:25" x14ac:dyDescent="0.3">
      <c r="A61" s="46" t="s">
        <v>263</v>
      </c>
      <c r="B61" t="s">
        <v>105</v>
      </c>
      <c r="C61" t="s">
        <v>264</v>
      </c>
      <c r="D61" s="50" t="s">
        <v>268</v>
      </c>
      <c r="E61" s="143">
        <v>240</v>
      </c>
      <c r="F61" s="220">
        <v>15</v>
      </c>
      <c r="G61" s="180">
        <f t="shared" si="10"/>
        <v>1.0000000000000001E-9</v>
      </c>
      <c r="H61" s="221">
        <f t="shared" si="3"/>
        <v>0.05</v>
      </c>
      <c r="I61" s="143">
        <f t="shared" si="4"/>
        <v>18</v>
      </c>
      <c r="K61" s="222">
        <f t="shared" si="0"/>
        <v>1.4400000000000002E-6</v>
      </c>
      <c r="L61" s="223">
        <f t="shared" si="1"/>
        <v>8741.9999985600007</v>
      </c>
      <c r="M61" s="223">
        <f t="shared" si="2"/>
        <v>9</v>
      </c>
      <c r="X61">
        <v>8759.9999985600007</v>
      </c>
      <c r="Y61">
        <v>10</v>
      </c>
    </row>
    <row r="62" spans="1:25" x14ac:dyDescent="0.3">
      <c r="A62" s="46" t="s">
        <v>179</v>
      </c>
      <c r="B62" t="s">
        <v>105</v>
      </c>
      <c r="C62" t="s">
        <v>180</v>
      </c>
      <c r="D62" t="s">
        <v>183</v>
      </c>
      <c r="E62" s="143" t="s">
        <v>531</v>
      </c>
      <c r="F62" s="176">
        <v>0</v>
      </c>
      <c r="G62" s="180">
        <f t="shared" si="10"/>
        <v>1.0000000000000001E-9</v>
      </c>
      <c r="H62" s="221">
        <v>0</v>
      </c>
      <c r="I62" s="143">
        <f t="shared" si="4"/>
        <v>0</v>
      </c>
      <c r="K62" s="222">
        <f t="shared" si="0"/>
        <v>1.4400000000000002E-6</v>
      </c>
      <c r="L62" s="223">
        <f t="shared" si="1"/>
        <v>8759.9999985600007</v>
      </c>
      <c r="M62" s="223">
        <f t="shared" si="2"/>
        <v>10</v>
      </c>
      <c r="X62">
        <v>8759.9999985600007</v>
      </c>
      <c r="Y62">
        <v>10</v>
      </c>
    </row>
    <row r="63" spans="1:25" x14ac:dyDescent="0.3">
      <c r="A63" s="46" t="s">
        <v>104</v>
      </c>
      <c r="B63" t="s">
        <v>105</v>
      </c>
      <c r="C63" t="s">
        <v>106</v>
      </c>
      <c r="D63" t="s">
        <v>111</v>
      </c>
      <c r="E63" s="143">
        <v>144</v>
      </c>
      <c r="F63" s="176">
        <v>12</v>
      </c>
      <c r="G63" s="180">
        <f t="shared" si="10"/>
        <v>1.0000000000000001E-9</v>
      </c>
      <c r="H63" s="221">
        <f t="shared" si="3"/>
        <v>8.3333333333333329E-2</v>
      </c>
      <c r="I63" s="143">
        <f t="shared" si="4"/>
        <v>24</v>
      </c>
      <c r="K63" s="222">
        <f t="shared" si="0"/>
        <v>1.4400000000000002E-6</v>
      </c>
      <c r="L63" s="223">
        <f t="shared" si="1"/>
        <v>8735.9999985600007</v>
      </c>
      <c r="M63" s="223">
        <f t="shared" si="2"/>
        <v>9</v>
      </c>
      <c r="X63">
        <v>8759.9999985600007</v>
      </c>
      <c r="Y63">
        <v>10</v>
      </c>
    </row>
    <row r="64" spans="1:25" x14ac:dyDescent="0.3">
      <c r="A64" s="46" t="s">
        <v>155</v>
      </c>
      <c r="B64" t="s">
        <v>65</v>
      </c>
      <c r="C64" t="s">
        <v>136</v>
      </c>
      <c r="D64" t="s">
        <v>71</v>
      </c>
      <c r="E64" s="143">
        <f>660/12</f>
        <v>55</v>
      </c>
      <c r="F64" s="220">
        <v>15</v>
      </c>
      <c r="G64" s="180">
        <f t="shared" si="10"/>
        <v>1.0000000000000001E-9</v>
      </c>
      <c r="H64" s="221">
        <f t="shared" si="3"/>
        <v>0.21818181818181817</v>
      </c>
      <c r="I64" s="224">
        <f t="shared" si="4"/>
        <v>78.545454545454533</v>
      </c>
      <c r="K64" s="222">
        <f t="shared" si="0"/>
        <v>1.4400000000000002E-6</v>
      </c>
      <c r="L64" s="223">
        <f t="shared" si="1"/>
        <v>8681.4545440145448</v>
      </c>
      <c r="M64" s="223">
        <f t="shared" si="2"/>
        <v>8</v>
      </c>
      <c r="X64">
        <v>8759.9999985600007</v>
      </c>
      <c r="Y64">
        <v>10</v>
      </c>
    </row>
    <row r="65" spans="1:25" x14ac:dyDescent="0.3">
      <c r="A65" s="46" t="s">
        <v>149</v>
      </c>
      <c r="B65" t="s">
        <v>65</v>
      </c>
      <c r="C65" t="s">
        <v>66</v>
      </c>
      <c r="D65" t="s">
        <v>71</v>
      </c>
      <c r="E65" s="143" t="s">
        <v>531</v>
      </c>
      <c r="F65" s="176">
        <v>0</v>
      </c>
      <c r="G65" s="180">
        <f t="shared" si="10"/>
        <v>1.0000000000000001E-9</v>
      </c>
      <c r="H65" s="221">
        <v>0</v>
      </c>
      <c r="I65" s="143">
        <f t="shared" si="4"/>
        <v>0</v>
      </c>
      <c r="K65" s="222">
        <f t="shared" si="0"/>
        <v>1.4400000000000002E-6</v>
      </c>
      <c r="L65" s="223">
        <f t="shared" si="1"/>
        <v>8759.9999985600007</v>
      </c>
      <c r="M65" s="223">
        <f t="shared" si="2"/>
        <v>10</v>
      </c>
      <c r="X65">
        <v>8760</v>
      </c>
      <c r="Y65">
        <v>10</v>
      </c>
    </row>
  </sheetData>
  <dataValidations count="1">
    <dataValidation allowBlank="1" showInputMessage="1" showErrorMessage="1" sqref="B3:B65" xr:uid="{7077FE54-BACC-4F74-B666-B8EFC864377C}"/>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F640B-5EF1-49D4-AF1E-498E5DBF4C83}">
  <sheetPr>
    <tabColor theme="9" tint="0.79998168889431442"/>
  </sheetPr>
  <dimension ref="A1:AF66"/>
  <sheetViews>
    <sheetView topLeftCell="A43" zoomScale="55" zoomScaleNormal="55" workbookViewId="0">
      <pane xSplit="1" topLeftCell="K1" activePane="topRight" state="frozen"/>
      <selection pane="topRight" activeCell="Z72" sqref="Z72"/>
    </sheetView>
  </sheetViews>
  <sheetFormatPr baseColWidth="10" defaultColWidth="11.5546875" defaultRowHeight="15" customHeight="1" x14ac:dyDescent="0.3"/>
  <cols>
    <col min="1" max="1" width="16" customWidth="1"/>
    <col min="2" max="2" width="22.88671875" bestFit="1" customWidth="1"/>
    <col min="3" max="3" width="19.109375" bestFit="1" customWidth="1"/>
    <col min="4" max="4" width="213" bestFit="1" customWidth="1"/>
    <col min="5" max="5" width="18.6640625" bestFit="1" customWidth="1"/>
    <col min="6" max="6" width="15.88671875" bestFit="1" customWidth="1"/>
    <col min="7" max="7" width="50.44140625" customWidth="1"/>
    <col min="8" max="8" width="56.44140625" bestFit="1" customWidth="1"/>
    <col min="9" max="9" width="8.44140625" bestFit="1" customWidth="1"/>
    <col min="10" max="10" width="12.109375" bestFit="1" customWidth="1"/>
    <col min="11" max="11" width="24.33203125" bestFit="1" customWidth="1"/>
    <col min="12" max="12" width="16.88671875" bestFit="1" customWidth="1"/>
    <col min="13" max="13" width="18.6640625" bestFit="1" customWidth="1"/>
    <col min="14" max="14" width="11.6640625" bestFit="1" customWidth="1"/>
    <col min="15" max="15" width="15.88671875" bestFit="1" customWidth="1"/>
    <col min="16" max="16" width="15.88671875" style="94" customWidth="1"/>
    <col min="17" max="17" width="12.33203125" bestFit="1" customWidth="1"/>
    <col min="18" max="18" width="8.88671875" bestFit="1" customWidth="1"/>
    <col min="19" max="19" width="8.6640625" bestFit="1" customWidth="1"/>
    <col min="20" max="20" width="10.6640625" bestFit="1" customWidth="1"/>
    <col min="21" max="21" width="8" bestFit="1" customWidth="1"/>
    <col min="22" max="22" width="12.33203125" bestFit="1" customWidth="1"/>
    <col min="23" max="23" width="14" bestFit="1" customWidth="1"/>
    <col min="24" max="24" width="12.44140625" bestFit="1" customWidth="1"/>
    <col min="25" max="25" width="12.88671875" bestFit="1" customWidth="1"/>
    <col min="26" max="26" width="15.6640625" bestFit="1" customWidth="1"/>
    <col min="27" max="27" width="13" bestFit="1" customWidth="1"/>
    <col min="28" max="28" width="13.33203125" bestFit="1" customWidth="1"/>
    <col min="29" max="29" width="13.88671875" bestFit="1" customWidth="1"/>
    <col min="30" max="30" width="12" bestFit="1" customWidth="1"/>
    <col min="31" max="31" width="12.6640625" bestFit="1" customWidth="1"/>
    <col min="32" max="32" width="17" bestFit="1" customWidth="1"/>
  </cols>
  <sheetData>
    <row r="1" spans="1:32" s="42" customFormat="1" ht="28.95" customHeight="1" x14ac:dyDescent="0.3">
      <c r="A1" s="43" t="s">
        <v>7</v>
      </c>
      <c r="B1" s="43" t="s">
        <v>8</v>
      </c>
      <c r="C1" s="43" t="s">
        <v>9</v>
      </c>
      <c r="D1" s="43" t="s">
        <v>10</v>
      </c>
      <c r="E1" s="44" t="s">
        <v>11</v>
      </c>
      <c r="F1" s="43" t="s">
        <v>12</v>
      </c>
      <c r="G1" s="43" t="s">
        <v>13</v>
      </c>
      <c r="H1" s="43" t="s">
        <v>14</v>
      </c>
      <c r="I1" s="172" t="s">
        <v>15</v>
      </c>
      <c r="J1" s="43" t="s">
        <v>16</v>
      </c>
      <c r="K1" s="43" t="s">
        <v>17</v>
      </c>
      <c r="L1" s="44" t="s">
        <v>18</v>
      </c>
      <c r="M1" s="44" t="s">
        <v>19</v>
      </c>
      <c r="N1" s="44" t="s">
        <v>20</v>
      </c>
      <c r="O1" s="44" t="s">
        <v>21</v>
      </c>
      <c r="P1" s="44" t="s">
        <v>22</v>
      </c>
      <c r="Q1" s="44" t="s">
        <v>23</v>
      </c>
      <c r="R1" s="44" t="s">
        <v>24</v>
      </c>
      <c r="S1" s="44" t="s">
        <v>25</v>
      </c>
      <c r="T1" s="44" t="s">
        <v>26</v>
      </c>
      <c r="U1" s="44" t="s">
        <v>27</v>
      </c>
      <c r="V1" s="44" t="s">
        <v>28</v>
      </c>
      <c r="W1" s="44" t="s">
        <v>29</v>
      </c>
      <c r="X1" s="44" t="s">
        <v>30</v>
      </c>
      <c r="Y1" s="44" t="s">
        <v>31</v>
      </c>
      <c r="Z1" s="44" t="s">
        <v>32</v>
      </c>
      <c r="AA1" s="44" t="s">
        <v>33</v>
      </c>
      <c r="AB1" s="44" t="s">
        <v>34</v>
      </c>
      <c r="AC1" s="44" t="s">
        <v>35</v>
      </c>
      <c r="AD1" s="44" t="s">
        <v>36</v>
      </c>
      <c r="AE1" s="44" t="s">
        <v>37</v>
      </c>
      <c r="AF1" s="44" t="s">
        <v>38</v>
      </c>
    </row>
    <row r="2" spans="1:32" s="45" customFormat="1" thickBot="1" x14ac:dyDescent="0.35">
      <c r="A2" s="45" t="s">
        <v>39</v>
      </c>
      <c r="B2" s="45">
        <v>0</v>
      </c>
      <c r="C2" s="45">
        <v>0</v>
      </c>
      <c r="D2" s="45">
        <v>0</v>
      </c>
      <c r="E2" s="45">
        <v>0</v>
      </c>
      <c r="F2" s="45">
        <v>0</v>
      </c>
      <c r="G2" s="45">
        <v>0</v>
      </c>
      <c r="H2" s="45">
        <v>0</v>
      </c>
      <c r="I2" s="45">
        <v>0</v>
      </c>
      <c r="J2" s="45">
        <v>0</v>
      </c>
      <c r="K2" s="45" t="s">
        <v>40</v>
      </c>
      <c r="L2" s="45" t="s">
        <v>41</v>
      </c>
      <c r="M2" s="45" t="s">
        <v>42</v>
      </c>
      <c r="N2" s="45" t="s">
        <v>43</v>
      </c>
      <c r="O2" s="45" t="s">
        <v>43</v>
      </c>
      <c r="P2" s="45" t="s">
        <v>44</v>
      </c>
      <c r="Q2" s="45" t="s">
        <v>45</v>
      </c>
      <c r="R2" s="45" t="s">
        <v>46</v>
      </c>
      <c r="S2" s="45" t="s">
        <v>46</v>
      </c>
      <c r="T2" s="45" t="s">
        <v>46</v>
      </c>
      <c r="U2" s="45" t="s">
        <v>46</v>
      </c>
      <c r="V2" s="45" t="s">
        <v>46</v>
      </c>
      <c r="W2" s="45" t="s">
        <v>46</v>
      </c>
      <c r="X2" s="45" t="s">
        <v>46</v>
      </c>
      <c r="Y2" s="45" t="s">
        <v>46</v>
      </c>
      <c r="Z2" s="45">
        <v>10</v>
      </c>
      <c r="AA2" s="45" t="s">
        <v>46</v>
      </c>
      <c r="AB2" s="45" t="s">
        <v>46</v>
      </c>
      <c r="AC2" s="45" t="s">
        <v>46</v>
      </c>
      <c r="AD2" s="45" t="s">
        <v>46</v>
      </c>
      <c r="AE2" s="45" t="s">
        <v>46</v>
      </c>
      <c r="AF2" s="45" t="s">
        <v>46</v>
      </c>
    </row>
    <row r="3" spans="1:32" ht="14.4" x14ac:dyDescent="0.3">
      <c r="A3" s="47" t="s">
        <v>47</v>
      </c>
      <c r="B3" t="s">
        <v>48</v>
      </c>
      <c r="C3" s="47" t="s">
        <v>49</v>
      </c>
      <c r="D3" s="47" t="s">
        <v>50</v>
      </c>
      <c r="E3" s="47" t="s">
        <v>51</v>
      </c>
      <c r="F3" s="47" t="s">
        <v>52</v>
      </c>
      <c r="G3" s="47" t="s">
        <v>53</v>
      </c>
      <c r="H3" s="47" t="s">
        <v>54</v>
      </c>
      <c r="I3" s="163" t="s">
        <v>55</v>
      </c>
      <c r="K3">
        <v>10</v>
      </c>
      <c r="L3">
        <v>30</v>
      </c>
      <c r="M3">
        <v>0.101325</v>
      </c>
      <c r="N3">
        <v>355</v>
      </c>
      <c r="O3">
        <v>510</v>
      </c>
      <c r="P3" s="97">
        <v>0.33300000000000002</v>
      </c>
      <c r="Q3">
        <v>60</v>
      </c>
      <c r="R3" s="278">
        <f>VLOOKUP('SMR (Main)'!A3,CAPEX!A3:I65,9,FALSE)</f>
        <v>5.4166666666666661</v>
      </c>
      <c r="S3" s="279">
        <v>5</v>
      </c>
      <c r="T3" s="277">
        <f>VLOOKUP('SMR (Main)'!A3,Rentability!$A$3:$O$65,15,FALSE)</f>
        <v>2.3811286100614373</v>
      </c>
      <c r="U3" s="277">
        <f>VLOOKUP('SMR (Main)'!A3,OPEX!$A$3:$M$65,13,FALSE)</f>
        <v>5.1111111111111107</v>
      </c>
      <c r="V3" s="280">
        <f>VLOOKUP('SMR (Main)'!A3,'Ecological Impact '!$A$3:$I$65,9,FALSE)</f>
        <v>4</v>
      </c>
      <c r="W3" s="279">
        <v>5</v>
      </c>
      <c r="X3" s="279">
        <f>VLOOKUP('SMR (Main)'!A3,Scalability!$A$3:$C$66,3,FALSE)</f>
        <v>4.5</v>
      </c>
      <c r="Y3" s="279">
        <f>VLOOKUP('SMR (Main)'!A3,'Availability '!$A$3:$M$65,13,FALSE)</f>
        <v>9</v>
      </c>
      <c r="Z3" s="277">
        <f>VLOOKUP('SMR (Main)'!A3,Footprint!$A$3:$E$65,5,FALSE)</f>
        <v>5</v>
      </c>
      <c r="AA3" s="277">
        <f>VLOOKUP(A3,'Technology Readiness'!$A$2:$H$64,8,FALSE)</f>
        <v>6.666666666666667</v>
      </c>
      <c r="AB3" s="279">
        <v>5</v>
      </c>
      <c r="AC3" s="277">
        <f>VLOOKUP('SMR (Main)'!A3,'Geopolitical Barriers'!$A$3:$C$65,3,FALSE)</f>
        <v>7.6970000000000001</v>
      </c>
      <c r="AD3" s="279">
        <f>VLOOKUP('SMR (Main)'!A3,'Economic Lifetime'!$A$3:$F$66,6,FALSE)</f>
        <v>7.5</v>
      </c>
      <c r="AE3" s="280">
        <f>VLOOKUP('SMR (Main)'!A3,'Production Efficiency'!$A$3:$F$65,6,FALSE)</f>
        <v>1</v>
      </c>
      <c r="AF3" s="279">
        <f>VLOOKUP(A3,'Waste management and decomissio'!A3:Q65,17)</f>
        <v>5</v>
      </c>
    </row>
    <row r="4" spans="1:32" ht="14.4" x14ac:dyDescent="0.3">
      <c r="A4" s="46" t="s">
        <v>56</v>
      </c>
      <c r="B4" t="s">
        <v>57</v>
      </c>
      <c r="C4" s="46" t="s">
        <v>58</v>
      </c>
      <c r="D4" t="s">
        <v>59</v>
      </c>
      <c r="E4" s="46" t="s">
        <v>60</v>
      </c>
      <c r="F4" s="46" t="s">
        <v>61</v>
      </c>
      <c r="G4" s="46" t="s">
        <v>62</v>
      </c>
      <c r="H4" s="46" t="s">
        <v>63</v>
      </c>
      <c r="I4" s="163" t="s">
        <v>55</v>
      </c>
      <c r="K4" s="46">
        <v>125</v>
      </c>
      <c r="L4" s="46">
        <v>385</v>
      </c>
      <c r="M4" s="46">
        <v>15</v>
      </c>
      <c r="N4" s="46">
        <v>286.5</v>
      </c>
      <c r="O4" s="46">
        <v>319.5</v>
      </c>
      <c r="P4" s="97">
        <v>0.32500000000000001</v>
      </c>
      <c r="Q4" s="46">
        <v>60</v>
      </c>
      <c r="R4" s="278">
        <f>VLOOKUP('SMR (Main)'!A4,CAPEX!A4:I66,9,FALSE)</f>
        <v>5.8333333333333339</v>
      </c>
      <c r="S4" s="279">
        <v>5</v>
      </c>
      <c r="T4" s="277">
        <f>VLOOKUP('SMR (Main)'!A4,Rentability!$A$3:$O$65,15,FALSE)</f>
        <v>6.8605409524109415</v>
      </c>
      <c r="U4" s="277">
        <f>VLOOKUP('SMR (Main)'!A4,OPEX!$A$3:$M$65,13,FALSE)</f>
        <v>5.5555555555555562</v>
      </c>
      <c r="V4" s="280">
        <f>VLOOKUP('SMR (Main)'!A4,'Ecological Impact '!$A$3:$I$65,9,FALSE)</f>
        <v>8</v>
      </c>
      <c r="W4" s="279">
        <v>5</v>
      </c>
      <c r="X4" s="279">
        <f>VLOOKUP('SMR (Main)'!A4,Scalability!$A$3:$C$66,3,FALSE)</f>
        <v>4.5</v>
      </c>
      <c r="Y4" s="279">
        <f>VLOOKUP('SMR (Main)'!A4,'Availability '!$A$3:$M$65,13,FALSE)</f>
        <v>6</v>
      </c>
      <c r="Z4" s="277">
        <f>VLOOKUP('SMR (Main)'!A4,Footprint!$A$3:$E$65,5,FALSE)</f>
        <v>5</v>
      </c>
      <c r="AA4" s="277">
        <f>VLOOKUP(A4,'Technology Readiness'!$A$2:$H$64,8,FALSE)</f>
        <v>8.8888888888888893</v>
      </c>
      <c r="AB4" s="279">
        <v>5</v>
      </c>
      <c r="AC4" s="277">
        <f>VLOOKUP('SMR (Main)'!A4,'Geopolitical Barriers'!$A$3:$C$65,3,FALSE)</f>
        <v>3.4459999999999997</v>
      </c>
      <c r="AD4" s="279">
        <f>VLOOKUP('SMR (Main)'!A4,'Economic Lifetime'!$A$3:$F$66,6,FALSE)</f>
        <v>7.5</v>
      </c>
      <c r="AE4" s="280">
        <f>VLOOKUP('SMR (Main)'!A4,'Production Efficiency'!$A$3:$F$65,6,FALSE)</f>
        <v>1</v>
      </c>
      <c r="AF4" s="279">
        <f>VLOOKUP(A4,'Waste management and decomissio'!A4:Q66,17)</f>
        <v>2</v>
      </c>
    </row>
    <row r="5" spans="1:32" ht="14.4" x14ac:dyDescent="0.3">
      <c r="A5" s="46" t="s">
        <v>64</v>
      </c>
      <c r="B5" t="s">
        <v>65</v>
      </c>
      <c r="C5" t="s">
        <v>66</v>
      </c>
      <c r="D5" t="s">
        <v>67</v>
      </c>
      <c r="E5" t="s">
        <v>68</v>
      </c>
      <c r="F5" t="s">
        <v>69</v>
      </c>
      <c r="G5" t="s">
        <v>70</v>
      </c>
      <c r="H5" t="s">
        <v>71</v>
      </c>
      <c r="I5" s="163" t="s">
        <v>55</v>
      </c>
      <c r="K5">
        <v>50</v>
      </c>
      <c r="L5">
        <v>100</v>
      </c>
      <c r="M5">
        <v>9</v>
      </c>
      <c r="N5">
        <v>406</v>
      </c>
      <c r="O5">
        <v>1200</v>
      </c>
      <c r="P5" s="90">
        <v>0.5</v>
      </c>
      <c r="Q5">
        <v>40</v>
      </c>
      <c r="R5" s="278">
        <f>VLOOKUP('SMR (Main)'!A5,CAPEX!A5:I67,9,FALSE)</f>
        <v>6.25</v>
      </c>
      <c r="S5" s="279">
        <v>5</v>
      </c>
      <c r="T5" s="277">
        <f>VLOOKUP('SMR (Main)'!A5,Rentability!$A$3:$O$65,15,FALSE)</f>
        <v>4.9125225693346311</v>
      </c>
      <c r="U5" s="277">
        <f>VLOOKUP('SMR (Main)'!A5,OPEX!$A$3:$M$65,13,FALSE)</f>
        <v>5.5555555555555562</v>
      </c>
      <c r="V5" s="280">
        <f>VLOOKUP('SMR (Main)'!A5,'Ecological Impact '!$A$3:$I$65,9,FALSE)</f>
        <v>6</v>
      </c>
      <c r="W5" s="279">
        <v>5</v>
      </c>
      <c r="X5" s="279">
        <f>VLOOKUP('SMR (Main)'!A5,Scalability!$A$3:$C$66,3,FALSE)</f>
        <v>4.5</v>
      </c>
      <c r="Y5" s="279">
        <f>VLOOKUP('SMR (Main)'!A5,'Availability '!$A$3:$M$65,13,FALSE)</f>
        <v>10</v>
      </c>
      <c r="Z5" s="277">
        <f>VLOOKUP('SMR (Main)'!A5,Footprint!$A$3:$E$65,5,FALSE)</f>
        <v>5</v>
      </c>
      <c r="AA5" s="277">
        <f>VLOOKUP(A5,'Technology Readiness'!$A$2:$H$64,8,FALSE)</f>
        <v>3.3333333333333335</v>
      </c>
      <c r="AB5" s="279">
        <v>5</v>
      </c>
      <c r="AC5" s="277">
        <f>VLOOKUP('SMR (Main)'!A5,'Geopolitical Barriers'!$A$3:$C$65,3,FALSE)</f>
        <v>1.9360000000000004</v>
      </c>
      <c r="AD5" s="279">
        <f>VLOOKUP('SMR (Main)'!A5,'Economic Lifetime'!$A$3:$F$66,6,FALSE)</f>
        <v>5</v>
      </c>
      <c r="AE5" s="280">
        <f>VLOOKUP('SMR (Main)'!A5,'Production Efficiency'!$A$3:$F$65,6,FALSE)</f>
        <v>10</v>
      </c>
      <c r="AF5" s="279">
        <f>VLOOKUP(A5,'Waste management and decomissio'!A5:Q67,17)</f>
        <v>4</v>
      </c>
    </row>
    <row r="6" spans="1:32" ht="14.4" x14ac:dyDescent="0.3">
      <c r="A6" s="47" t="s">
        <v>72</v>
      </c>
      <c r="B6" t="s">
        <v>48</v>
      </c>
      <c r="C6" s="47" t="s">
        <v>49</v>
      </c>
      <c r="D6" s="47" t="s">
        <v>73</v>
      </c>
      <c r="E6" s="47" t="s">
        <v>74</v>
      </c>
      <c r="F6" s="47" t="s">
        <v>75</v>
      </c>
      <c r="G6" s="47" t="s">
        <v>76</v>
      </c>
      <c r="H6" s="47" t="s">
        <v>54</v>
      </c>
      <c r="I6" s="163" t="s">
        <v>55</v>
      </c>
      <c r="K6">
        <v>100</v>
      </c>
      <c r="L6">
        <v>286</v>
      </c>
      <c r="M6">
        <v>0.101325</v>
      </c>
      <c r="N6">
        <v>355</v>
      </c>
      <c r="O6">
        <v>510</v>
      </c>
      <c r="P6" s="97">
        <v>0.35</v>
      </c>
      <c r="Q6">
        <v>60</v>
      </c>
      <c r="R6" s="278">
        <f>VLOOKUP('SMR (Main)'!A6,CAPEX!A6:I68,9,FALSE)</f>
        <v>4.583333333333333</v>
      </c>
      <c r="S6" s="279">
        <v>5</v>
      </c>
      <c r="T6" s="277">
        <f>VLOOKUP('SMR (Main)'!A6,Rentability!$A$3:$O$65,15,FALSE)</f>
        <v>6.3383372981368558</v>
      </c>
      <c r="U6" s="277">
        <f>VLOOKUP('SMR (Main)'!A6,OPEX!$A$3:$M$65,13,FALSE)</f>
        <v>4.4444444444444446</v>
      </c>
      <c r="V6" s="280">
        <f>VLOOKUP('SMR (Main)'!A6,'Ecological Impact '!$A$3:$I$65,9,FALSE)</f>
        <v>4</v>
      </c>
      <c r="W6" s="279">
        <v>5</v>
      </c>
      <c r="X6" s="279">
        <f>VLOOKUP('SMR (Main)'!A6,Scalability!$A$3:$C$66,3,FALSE)</f>
        <v>4.5</v>
      </c>
      <c r="Y6" s="279">
        <f>VLOOKUP('SMR (Main)'!A6,'Availability '!$A$3:$M$65,13,FALSE)</f>
        <v>9</v>
      </c>
      <c r="Z6" s="277">
        <f>VLOOKUP('SMR (Main)'!A6,Footprint!$A$3:$E$65,5,FALSE)</f>
        <v>5</v>
      </c>
      <c r="AA6" s="277">
        <f>VLOOKUP(A6,'Technology Readiness'!$A$2:$H$64,8,FALSE)</f>
        <v>5.5555555555555554</v>
      </c>
      <c r="AB6" s="279">
        <v>5</v>
      </c>
      <c r="AC6" s="277">
        <f>VLOOKUP('SMR (Main)'!A6,'Geopolitical Barriers'!$A$3:$C$65,3,FALSE)</f>
        <v>8.44</v>
      </c>
      <c r="AD6" s="279">
        <f>VLOOKUP('SMR (Main)'!A6,'Economic Lifetime'!$A$3:$F$66,6,FALSE)</f>
        <v>7.5</v>
      </c>
      <c r="AE6" s="280">
        <f>VLOOKUP('SMR (Main)'!A6,'Production Efficiency'!$A$3:$F$65,6,FALSE)</f>
        <v>3</v>
      </c>
      <c r="AF6" s="279">
        <f>VLOOKUP(A6,'Waste management and decomissio'!A6:Q68,17)</f>
        <v>8</v>
      </c>
    </row>
    <row r="7" spans="1:32" ht="14.4" x14ac:dyDescent="0.3">
      <c r="A7" s="47" t="s">
        <v>77</v>
      </c>
      <c r="B7" t="s">
        <v>48</v>
      </c>
      <c r="C7" s="47" t="s">
        <v>49</v>
      </c>
      <c r="D7" s="47" t="s">
        <v>78</v>
      </c>
      <c r="E7" s="47" t="s">
        <v>79</v>
      </c>
      <c r="F7" s="47" t="s">
        <v>80</v>
      </c>
      <c r="G7" s="47" t="s">
        <v>81</v>
      </c>
      <c r="H7" s="47" t="s">
        <v>82</v>
      </c>
      <c r="I7" s="163" t="s">
        <v>55</v>
      </c>
      <c r="K7">
        <v>300</v>
      </c>
      <c r="L7">
        <v>700</v>
      </c>
      <c r="M7">
        <v>18.5</v>
      </c>
      <c r="N7">
        <v>420</v>
      </c>
      <c r="O7">
        <v>535</v>
      </c>
      <c r="P7" s="97">
        <v>0.42899999999999999</v>
      </c>
      <c r="Q7">
        <v>30</v>
      </c>
      <c r="R7" s="278">
        <f>VLOOKUP('SMR (Main)'!A7,CAPEX!A7:I69,9,FALSE)</f>
        <v>5</v>
      </c>
      <c r="S7" s="279">
        <v>5</v>
      </c>
      <c r="T7" s="277">
        <f>VLOOKUP('SMR (Main)'!A7,Rentability!$A$3:$O$65,15,FALSE)</f>
        <v>7.1889195434417115</v>
      </c>
      <c r="U7" s="277">
        <f>VLOOKUP('SMR (Main)'!A7,OPEX!$A$3:$M$65,13,FALSE)</f>
        <v>4.666666666666667</v>
      </c>
      <c r="V7" s="280">
        <f>VLOOKUP('SMR (Main)'!A7,'Ecological Impact '!$A$3:$I$65,9,FALSE)</f>
        <v>2</v>
      </c>
      <c r="W7" s="279">
        <v>5</v>
      </c>
      <c r="X7" s="279">
        <f>VLOOKUP('SMR (Main)'!A7,Scalability!$A$3:$C$66,3,FALSE)</f>
        <v>4.5</v>
      </c>
      <c r="Y7" s="279">
        <f>VLOOKUP('SMR (Main)'!A7,'Availability '!$A$3:$M$65,13,FALSE)</f>
        <v>8</v>
      </c>
      <c r="Z7" s="277">
        <f>VLOOKUP('SMR (Main)'!A7,Footprint!$A$3:$E$65,5,FALSE)</f>
        <v>5</v>
      </c>
      <c r="AA7" s="277">
        <f>VLOOKUP(A7,'Technology Readiness'!$A$2:$H$64,8,FALSE)</f>
        <v>8.8888888888888893</v>
      </c>
      <c r="AB7" s="279">
        <v>5</v>
      </c>
      <c r="AC7" s="277">
        <f>VLOOKUP('SMR (Main)'!A7,'Geopolitical Barriers'!$A$3:$C$65,3,FALSE)</f>
        <v>8.7000000000000188E-2</v>
      </c>
      <c r="AD7" s="279">
        <f>VLOOKUP('SMR (Main)'!A7,'Economic Lifetime'!$A$3:$F$66,6,FALSE)</f>
        <v>3.75</v>
      </c>
      <c r="AE7" s="280">
        <f>VLOOKUP('SMR (Main)'!A7,'Production Efficiency'!$A$3:$F$65,6,FALSE)</f>
        <v>9</v>
      </c>
      <c r="AF7" s="279">
        <f>VLOOKUP(A7,'Waste management and decomissio'!A7:Q69,17)</f>
        <v>4</v>
      </c>
    </row>
    <row r="8" spans="1:32" ht="14.4" x14ac:dyDescent="0.3">
      <c r="A8" s="46" t="s">
        <v>83</v>
      </c>
      <c r="B8" t="s">
        <v>57</v>
      </c>
      <c r="C8" s="46" t="s">
        <v>84</v>
      </c>
      <c r="D8" t="s">
        <v>85</v>
      </c>
      <c r="E8" s="46" t="s">
        <v>86</v>
      </c>
      <c r="F8" s="46" t="s">
        <v>87</v>
      </c>
      <c r="G8" s="46" t="s">
        <v>88</v>
      </c>
      <c r="H8" s="46" t="s">
        <v>63</v>
      </c>
      <c r="I8" s="163" t="s">
        <v>55</v>
      </c>
      <c r="K8" s="46">
        <v>280</v>
      </c>
      <c r="L8" s="46">
        <v>870</v>
      </c>
      <c r="M8" s="46">
        <v>7.2</v>
      </c>
      <c r="N8" s="46">
        <v>270</v>
      </c>
      <c r="O8" s="46">
        <v>288</v>
      </c>
      <c r="P8" s="97">
        <v>0.32200000000000001</v>
      </c>
      <c r="Q8" s="46">
        <v>60</v>
      </c>
      <c r="R8" s="278">
        <f>VLOOKUP('SMR (Main)'!A8,CAPEX!A8:I70,9,FALSE)</f>
        <v>2.916666666666667</v>
      </c>
      <c r="S8" s="279">
        <v>5</v>
      </c>
      <c r="T8" s="277">
        <f>VLOOKUP('SMR (Main)'!A8,Rentability!$A$3:$O$65,15,FALSE)</f>
        <v>7.2257837113526913</v>
      </c>
      <c r="U8" s="277">
        <f>VLOOKUP('SMR (Main)'!A8,OPEX!$A$3:$M$65,13,FALSE)</f>
        <v>4.8888888888888893</v>
      </c>
      <c r="V8" s="280">
        <f>VLOOKUP('SMR (Main)'!A8,'Ecological Impact '!$A$3:$I$65,9,FALSE)</f>
        <v>8</v>
      </c>
      <c r="W8" s="279">
        <v>5</v>
      </c>
      <c r="X8" s="279">
        <f>VLOOKUP('SMR (Main)'!A8,Scalability!$A$3:$C$66,3,FALSE)</f>
        <v>4.5</v>
      </c>
      <c r="Y8" s="279">
        <f>VLOOKUP('SMR (Main)'!A8,'Availability '!$A$3:$M$65,13,FALSE)</f>
        <v>5</v>
      </c>
      <c r="Z8" s="277">
        <f>VLOOKUP('SMR (Main)'!A8,Footprint!$A$3:$E$65,5,FALSE)</f>
        <v>5</v>
      </c>
      <c r="AA8" s="277">
        <f>VLOOKUP(A8,'Technology Readiness'!$A$2:$H$64,8,FALSE)</f>
        <v>7.7777777777777786</v>
      </c>
      <c r="AB8" s="279">
        <v>5</v>
      </c>
      <c r="AC8" s="277">
        <f>VLOOKUP('SMR (Main)'!A8,'Geopolitical Barriers'!$A$3:$C$65,3,FALSE)</f>
        <v>7.8260000000000005</v>
      </c>
      <c r="AD8" s="279">
        <f>VLOOKUP('SMR (Main)'!A8,'Economic Lifetime'!$A$3:$F$66,6,FALSE)</f>
        <v>7.5</v>
      </c>
      <c r="AE8" s="280">
        <f>VLOOKUP('SMR (Main)'!A8,'Production Efficiency'!$A$3:$F$65,6,FALSE)</f>
        <v>1</v>
      </c>
      <c r="AF8" s="279">
        <f>VLOOKUP(A8,'Waste management and decomissio'!A8:Q70,17)</f>
        <v>4</v>
      </c>
    </row>
    <row r="9" spans="1:32" ht="14.4" x14ac:dyDescent="0.3">
      <c r="A9" s="46" t="s">
        <v>89</v>
      </c>
      <c r="B9" t="s">
        <v>57</v>
      </c>
      <c r="C9" s="46" t="s">
        <v>90</v>
      </c>
      <c r="D9" t="s">
        <v>91</v>
      </c>
      <c r="E9" s="46" t="s">
        <v>74</v>
      </c>
      <c r="F9" s="46" t="s">
        <v>92</v>
      </c>
      <c r="G9" s="46" t="s">
        <v>93</v>
      </c>
      <c r="H9" s="46" t="s">
        <v>94</v>
      </c>
      <c r="I9" s="163" t="s">
        <v>55</v>
      </c>
      <c r="K9" s="46">
        <v>300</v>
      </c>
      <c r="L9" s="46">
        <v>960</v>
      </c>
      <c r="M9" s="46">
        <v>9.9</v>
      </c>
      <c r="N9" s="51"/>
      <c r="O9" s="46">
        <v>310</v>
      </c>
      <c r="P9" s="97">
        <v>0.313</v>
      </c>
      <c r="Q9" s="46">
        <v>70</v>
      </c>
      <c r="R9" s="278">
        <f>VLOOKUP('SMR (Main)'!A9,CAPEX!A9:I71,9,FALSE)</f>
        <v>5.4166666666666661</v>
      </c>
      <c r="S9" s="279">
        <v>5</v>
      </c>
      <c r="T9" s="277">
        <f>VLOOKUP('SMR (Main)'!A9,Rentability!$A$3:$O$65,15,FALSE)</f>
        <v>7.4709159513607375</v>
      </c>
      <c r="U9" s="277">
        <f>VLOOKUP('SMR (Main)'!A9,OPEX!$A$3:$M$65,13,FALSE)</f>
        <v>3.7777777777777781</v>
      </c>
      <c r="V9" s="280">
        <f>VLOOKUP('SMR (Main)'!A9,'Ecological Impact '!$A$3:$I$65,9,FALSE)</f>
        <v>7</v>
      </c>
      <c r="W9" s="279">
        <v>5</v>
      </c>
      <c r="X9" s="279">
        <f>VLOOKUP('SMR (Main)'!A9,Scalability!$A$3:$C$66,3,FALSE)</f>
        <v>4.5</v>
      </c>
      <c r="Y9" s="279">
        <f>VLOOKUP('SMR (Main)'!A9,'Availability '!$A$3:$M$65,13,FALSE)</f>
        <v>10</v>
      </c>
      <c r="Z9" s="277">
        <f>VLOOKUP('SMR (Main)'!A9,Footprint!$A$3:$E$65,5,FALSE)</f>
        <v>5</v>
      </c>
      <c r="AA9" s="277">
        <f>VLOOKUP(A9,'Technology Readiness'!$A$2:$H$64,8,FALSE)</f>
        <v>3.3333333333333335</v>
      </c>
      <c r="AB9" s="279">
        <v>5</v>
      </c>
      <c r="AC9" s="277">
        <f>VLOOKUP('SMR (Main)'!A9,'Geopolitical Barriers'!$A$3:$C$65,3,FALSE)</f>
        <v>8.44</v>
      </c>
      <c r="AD9" s="279">
        <f>VLOOKUP('SMR (Main)'!A9,'Economic Lifetime'!$A$3:$F$66,6,FALSE)</f>
        <v>8.75</v>
      </c>
      <c r="AE9" s="280">
        <f>VLOOKUP('SMR (Main)'!A9,'Production Efficiency'!$A$3:$F$65,6,FALSE)</f>
        <v>1</v>
      </c>
      <c r="AF9" s="279">
        <f>VLOOKUP(A9,'Waste management and decomissio'!A9:Q71,17)</f>
        <v>8</v>
      </c>
    </row>
    <row r="10" spans="1:32" ht="14.4" x14ac:dyDescent="0.3">
      <c r="A10" s="46" t="s">
        <v>95</v>
      </c>
      <c r="B10" t="s">
        <v>57</v>
      </c>
      <c r="C10" s="46" t="s">
        <v>96</v>
      </c>
      <c r="D10" t="s">
        <v>97</v>
      </c>
      <c r="E10" s="46" t="s">
        <v>60</v>
      </c>
      <c r="F10" s="46" t="s">
        <v>98</v>
      </c>
      <c r="G10" s="46" t="s">
        <v>99</v>
      </c>
      <c r="H10" s="46" t="s">
        <v>63</v>
      </c>
      <c r="I10" s="163" t="s">
        <v>55</v>
      </c>
      <c r="K10" s="46">
        <v>200</v>
      </c>
      <c r="L10" s="46">
        <v>660</v>
      </c>
      <c r="M10" s="46">
        <v>15.5</v>
      </c>
      <c r="N10" s="46">
        <v>289</v>
      </c>
      <c r="O10" s="46">
        <v>313</v>
      </c>
      <c r="P10" s="97">
        <v>0.30299999999999999</v>
      </c>
      <c r="Q10" s="46">
        <v>60</v>
      </c>
      <c r="R10" s="278">
        <f>VLOOKUP('SMR (Main)'!A10,CAPEX!A10:I72,9,FALSE)</f>
        <v>5.8333333333333339</v>
      </c>
      <c r="S10" s="279">
        <v>5</v>
      </c>
      <c r="T10" s="277">
        <f>VLOOKUP('SMR (Main)'!A10,Rentability!$A$3:$O$65,15,FALSE)</f>
        <v>7.2156251831635183</v>
      </c>
      <c r="U10" s="277">
        <f>VLOOKUP('SMR (Main)'!A10,OPEX!$A$3:$M$65,13,FALSE)</f>
        <v>5.1111111111111107</v>
      </c>
      <c r="V10" s="280">
        <f>VLOOKUP('SMR (Main)'!A10,'Ecological Impact '!$A$3:$I$65,9,FALSE)</f>
        <v>8</v>
      </c>
      <c r="W10" s="279">
        <v>5</v>
      </c>
      <c r="X10" s="279">
        <f>VLOOKUP('SMR (Main)'!A10,Scalability!$A$3:$C$66,3,FALSE)</f>
        <v>4.5</v>
      </c>
      <c r="Y10" s="279">
        <f>VLOOKUP('SMR (Main)'!A10,'Availability '!$A$3:$M$65,13,FALSE)</f>
        <v>6</v>
      </c>
      <c r="Z10" s="277">
        <f>VLOOKUP('SMR (Main)'!A10,Footprint!$A$3:$E$65,5,FALSE)</f>
        <v>5</v>
      </c>
      <c r="AA10" s="277">
        <f>VLOOKUP(A10,'Technology Readiness'!$A$2:$H$64,8,FALSE)</f>
        <v>4.4444444444444446</v>
      </c>
      <c r="AB10" s="279">
        <v>5</v>
      </c>
      <c r="AC10" s="277">
        <f>VLOOKUP('SMR (Main)'!A10,'Geopolitical Barriers'!$A$3:$C$65,3,FALSE)</f>
        <v>3.4459999999999997</v>
      </c>
      <c r="AD10" s="279">
        <f>VLOOKUP('SMR (Main)'!A10,'Economic Lifetime'!$A$3:$F$66,6,FALSE)</f>
        <v>7.5</v>
      </c>
      <c r="AE10" s="280">
        <f>VLOOKUP('SMR (Main)'!A10,'Production Efficiency'!$A$3:$F$65,6,FALSE)</f>
        <v>1</v>
      </c>
      <c r="AF10" s="279">
        <f>VLOOKUP(A10,'Waste management and decomissio'!A10:Q72,17)</f>
        <v>4</v>
      </c>
    </row>
    <row r="11" spans="1:32" ht="14.4" x14ac:dyDescent="0.3">
      <c r="A11" s="46" t="s">
        <v>100</v>
      </c>
      <c r="B11" t="s">
        <v>57</v>
      </c>
      <c r="C11" s="46" t="s">
        <v>58</v>
      </c>
      <c r="D11" t="s">
        <v>101</v>
      </c>
      <c r="E11" s="46" t="s">
        <v>102</v>
      </c>
      <c r="F11" s="46" t="s">
        <v>61</v>
      </c>
      <c r="G11" s="46" t="s">
        <v>103</v>
      </c>
      <c r="H11" s="46" t="s">
        <v>63</v>
      </c>
      <c r="I11" s="163" t="s">
        <v>55</v>
      </c>
      <c r="K11" s="46">
        <v>30</v>
      </c>
      <c r="L11" s="46">
        <v>100</v>
      </c>
      <c r="M11" s="46">
        <v>12.5</v>
      </c>
      <c r="N11" s="46">
        <v>286</v>
      </c>
      <c r="O11" s="46">
        <v>326</v>
      </c>
      <c r="P11" s="97">
        <v>0.3</v>
      </c>
      <c r="Q11" s="46">
        <v>40</v>
      </c>
      <c r="R11" s="278">
        <f>VLOOKUP('SMR (Main)'!A11,CAPEX!A11:I73,9,FALSE)</f>
        <v>10</v>
      </c>
      <c r="S11" s="279">
        <v>5</v>
      </c>
      <c r="T11" s="277">
        <f>VLOOKUP('SMR (Main)'!A11,Rentability!$A$3:$O$65,15,FALSE)</f>
        <v>6.2515477105990565</v>
      </c>
      <c r="U11" s="277">
        <f>VLOOKUP('SMR (Main)'!A11,OPEX!$A$3:$M$65,13,FALSE)</f>
        <v>8</v>
      </c>
      <c r="V11" s="280">
        <f>VLOOKUP('SMR (Main)'!A11,'Ecological Impact '!$A$3:$I$65,9,FALSE)</f>
        <v>8</v>
      </c>
      <c r="W11" s="279">
        <v>5</v>
      </c>
      <c r="X11" s="279">
        <f>VLOOKUP('SMR (Main)'!A11,Scalability!$A$3:$C$66,3,FALSE)</f>
        <v>4.5</v>
      </c>
      <c r="Y11" s="279">
        <f>VLOOKUP('SMR (Main)'!A11,'Availability '!$A$3:$M$65,13,FALSE)</f>
        <v>4</v>
      </c>
      <c r="Z11" s="277">
        <f>VLOOKUP('SMR (Main)'!A11,Footprint!$A$3:$E$65,5,FALSE)</f>
        <v>5</v>
      </c>
      <c r="AA11" s="277">
        <f>VLOOKUP(A11,'Technology Readiness'!$A$2:$H$64,8,FALSE)</f>
        <v>8.8888888888888893</v>
      </c>
      <c r="AB11" s="279">
        <v>5</v>
      </c>
      <c r="AC11" s="277">
        <f>VLOOKUP('SMR (Main)'!A11,'Geopolitical Barriers'!$A$3:$C$65,3,FALSE)</f>
        <v>2.9550000000000001</v>
      </c>
      <c r="AD11" s="279">
        <f>VLOOKUP('SMR (Main)'!A11,'Economic Lifetime'!$A$3:$F$66,6,FALSE)</f>
        <v>5</v>
      </c>
      <c r="AE11" s="280">
        <f>VLOOKUP('SMR (Main)'!A11,'Production Efficiency'!$A$3:$F$65,6,FALSE)</f>
        <v>1</v>
      </c>
      <c r="AF11" s="279">
        <f>VLOOKUP(A11,'Waste management and decomissio'!A11:Q73,17)</f>
        <v>4</v>
      </c>
    </row>
    <row r="12" spans="1:32" ht="14.4" x14ac:dyDescent="0.3">
      <c r="A12" s="46" t="s">
        <v>104</v>
      </c>
      <c r="B12" t="s">
        <v>105</v>
      </c>
      <c r="C12" t="s">
        <v>106</v>
      </c>
      <c r="D12" s="50" t="s">
        <v>107</v>
      </c>
      <c r="E12" t="s">
        <v>108</v>
      </c>
      <c r="F12" t="s">
        <v>109</v>
      </c>
      <c r="G12" t="s">
        <v>110</v>
      </c>
      <c r="H12" t="s">
        <v>111</v>
      </c>
      <c r="I12" s="163" t="s">
        <v>55</v>
      </c>
      <c r="K12">
        <v>100</v>
      </c>
      <c r="L12">
        <v>250</v>
      </c>
      <c r="M12">
        <v>18</v>
      </c>
      <c r="N12">
        <v>600</v>
      </c>
      <c r="O12">
        <v>670</v>
      </c>
      <c r="P12" s="97">
        <v>0.4</v>
      </c>
      <c r="Q12">
        <v>12</v>
      </c>
      <c r="R12" s="278">
        <f>VLOOKUP('SMR (Main)'!A12,CAPEX!A12:I74,9,FALSE)</f>
        <v>4.583333333333333</v>
      </c>
      <c r="S12" s="279">
        <v>5</v>
      </c>
      <c r="T12" s="277">
        <f>VLOOKUP('SMR (Main)'!A12,Rentability!$A$3:$O$65,15,FALSE)</f>
        <v>5.1593287054711725</v>
      </c>
      <c r="U12" s="277">
        <f>VLOOKUP('SMR (Main)'!A12,OPEX!$A$3:$M$65,13,FALSE)</f>
        <v>4.2222222222222223</v>
      </c>
      <c r="V12" s="280">
        <f>VLOOKUP('SMR (Main)'!A12,'Ecological Impact '!$A$3:$I$65,9,FALSE)</f>
        <v>3</v>
      </c>
      <c r="W12" s="279">
        <v>5</v>
      </c>
      <c r="X12" s="279">
        <f>VLOOKUP('SMR (Main)'!A12,Scalability!$A$3:$C$66,3,FALSE)</f>
        <v>4.5</v>
      </c>
      <c r="Y12" s="279">
        <f>VLOOKUP('SMR (Main)'!A12,'Availability '!$A$3:$M$65,13,FALSE)</f>
        <v>9</v>
      </c>
      <c r="Z12" s="277">
        <f>VLOOKUP('SMR (Main)'!A12,Footprint!$A$3:$E$65,5,FALSE)</f>
        <v>5</v>
      </c>
      <c r="AA12" s="277">
        <f>VLOOKUP(A12,'Technology Readiness'!$A$2:$H$64,8,FALSE)</f>
        <v>3.3333333333333335</v>
      </c>
      <c r="AB12" s="279">
        <v>5</v>
      </c>
      <c r="AC12" s="277">
        <f>VLOOKUP('SMR (Main)'!A12,'Geopolitical Barriers'!$A$3:$C$65,3,FALSE)</f>
        <v>4.6139999999999999</v>
      </c>
      <c r="AD12" s="279">
        <f>VLOOKUP('SMR (Main)'!A12,'Economic Lifetime'!$A$3:$F$66,6,FALSE)</f>
        <v>1.5</v>
      </c>
      <c r="AE12" s="280">
        <f>VLOOKUP('SMR (Main)'!A12,'Production Efficiency'!$A$3:$F$65,6,FALSE)</f>
        <v>9</v>
      </c>
      <c r="AF12" s="279">
        <f>VLOOKUP(A12,'Waste management and decomissio'!A12:Q74,17)</f>
        <v>6</v>
      </c>
    </row>
    <row r="13" spans="1:32" ht="14.4" x14ac:dyDescent="0.3">
      <c r="A13" s="46" t="s">
        <v>112</v>
      </c>
      <c r="B13" t="s">
        <v>105</v>
      </c>
      <c r="C13" t="s">
        <v>113</v>
      </c>
      <c r="D13" t="s">
        <v>114</v>
      </c>
      <c r="E13" t="s">
        <v>108</v>
      </c>
      <c r="F13" t="s">
        <v>52</v>
      </c>
      <c r="G13" t="s">
        <v>115</v>
      </c>
      <c r="H13" t="s">
        <v>116</v>
      </c>
      <c r="I13" s="163" t="s">
        <v>55</v>
      </c>
      <c r="K13">
        <v>0</v>
      </c>
      <c r="L13">
        <v>100</v>
      </c>
      <c r="M13">
        <v>0.25</v>
      </c>
      <c r="N13">
        <v>600</v>
      </c>
      <c r="O13">
        <v>700</v>
      </c>
      <c r="P13" s="97">
        <v>0</v>
      </c>
      <c r="Q13">
        <v>5</v>
      </c>
      <c r="R13" s="278">
        <f>VLOOKUP('SMR (Main)'!A13,CAPEX!A13:I75,9,FALSE)</f>
        <v>5</v>
      </c>
      <c r="S13" s="279">
        <v>5</v>
      </c>
      <c r="T13" s="277">
        <f>VLOOKUP('SMR (Main)'!A13,Rentability!$A$3:$O$65,15,FALSE)</f>
        <v>0</v>
      </c>
      <c r="U13" s="277">
        <f>VLOOKUP('SMR (Main)'!A13,OPEX!$A$3:$M$65,13,FALSE)</f>
        <v>5.333333333333333</v>
      </c>
      <c r="V13" s="280">
        <f>VLOOKUP('SMR (Main)'!A13,'Ecological Impact '!$A$3:$I$65,9,FALSE)</f>
        <v>5</v>
      </c>
      <c r="W13" s="279">
        <v>5</v>
      </c>
      <c r="X13" s="279">
        <f>VLOOKUP('SMR (Main)'!A13,Scalability!$A$3:$C$66,3,FALSE)</f>
        <v>4.5</v>
      </c>
      <c r="Y13" s="279">
        <f>VLOOKUP('SMR (Main)'!A13,'Availability '!$A$3:$M$65,13,FALSE)</f>
        <v>10</v>
      </c>
      <c r="Z13" s="277">
        <f>VLOOKUP('SMR (Main)'!A13,Footprint!$A$3:$E$65,5,FALSE)</f>
        <v>5</v>
      </c>
      <c r="AA13" s="277">
        <f>VLOOKUP(A13,'Technology Readiness'!$A$2:$H$64,8,FALSE)</f>
        <v>7.7777777777777786</v>
      </c>
      <c r="AB13" s="279">
        <v>5</v>
      </c>
      <c r="AC13" s="277">
        <f>VLOOKUP('SMR (Main)'!A13,'Geopolitical Barriers'!$A$3:$C$65,3,FALSE)</f>
        <v>4.6139999999999999</v>
      </c>
      <c r="AD13" s="279">
        <f>VLOOKUP('SMR (Main)'!A13,'Economic Lifetime'!$A$3:$F$66,6,FALSE)</f>
        <v>0.625</v>
      </c>
      <c r="AE13" s="280">
        <f>VLOOKUP('SMR (Main)'!A13,'Production Efficiency'!$A$3:$F$65,6,FALSE)</f>
        <v>0</v>
      </c>
      <c r="AF13" s="279">
        <f>VLOOKUP(A13,'Waste management and decomissio'!A13:Q75,17)</f>
        <v>5</v>
      </c>
    </row>
    <row r="14" spans="1:32" ht="14.4" x14ac:dyDescent="0.3">
      <c r="A14" s="46" t="s">
        <v>117</v>
      </c>
      <c r="B14" t="s">
        <v>57</v>
      </c>
      <c r="C14" s="46" t="s">
        <v>118</v>
      </c>
      <c r="D14" t="s">
        <v>119</v>
      </c>
      <c r="E14" s="46" t="s">
        <v>60</v>
      </c>
      <c r="F14" s="46" t="s">
        <v>98</v>
      </c>
      <c r="G14" s="46" t="s">
        <v>120</v>
      </c>
      <c r="H14" s="46" t="s">
        <v>63</v>
      </c>
      <c r="I14" s="163" t="s">
        <v>55</v>
      </c>
      <c r="K14" s="46">
        <v>0</v>
      </c>
      <c r="L14" s="46">
        <v>400</v>
      </c>
      <c r="M14" s="46">
        <v>0.3</v>
      </c>
      <c r="N14" s="46">
        <v>68</v>
      </c>
      <c r="O14" s="46">
        <v>98</v>
      </c>
      <c r="P14" s="97">
        <v>0</v>
      </c>
      <c r="Q14" s="46">
        <v>60</v>
      </c>
      <c r="R14" s="278">
        <f>VLOOKUP('SMR (Main)'!A14,CAPEX!A14:I76,9,FALSE)</f>
        <v>6.25</v>
      </c>
      <c r="S14" s="279">
        <v>5</v>
      </c>
      <c r="T14" s="277">
        <f>VLOOKUP('SMR (Main)'!A14,Rentability!$A$3:$O$65,15,FALSE)</f>
        <v>0</v>
      </c>
      <c r="U14" s="277">
        <f>VLOOKUP('SMR (Main)'!A14,OPEX!$A$3:$M$65,13,FALSE)</f>
        <v>6</v>
      </c>
      <c r="V14" s="280">
        <f>VLOOKUP('SMR (Main)'!A14,'Ecological Impact '!$A$3:$I$65,9,FALSE)</f>
        <v>8</v>
      </c>
      <c r="W14" s="279">
        <v>5</v>
      </c>
      <c r="X14" s="279">
        <f>VLOOKUP('SMR (Main)'!A14,Scalability!$A$3:$C$66,3,FALSE)</f>
        <v>4.5</v>
      </c>
      <c r="Y14" s="279">
        <f>VLOOKUP('SMR (Main)'!A14,'Availability '!$A$3:$M$65,13,FALSE)</f>
        <v>4</v>
      </c>
      <c r="Z14" s="277">
        <f>VLOOKUP('SMR (Main)'!A14,Footprint!$A$3:$E$65,5,FALSE)</f>
        <v>5</v>
      </c>
      <c r="AA14" s="277">
        <f>VLOOKUP(A14,'Technology Readiness'!$A$2:$H$64,8,FALSE)</f>
        <v>5.5555555555555554</v>
      </c>
      <c r="AB14" s="279">
        <v>5</v>
      </c>
      <c r="AC14" s="277">
        <f>VLOOKUP('SMR (Main)'!A14,'Geopolitical Barriers'!$A$3:$C$65,3,FALSE)</f>
        <v>3.4459999999999997</v>
      </c>
      <c r="AD14" s="279">
        <f>VLOOKUP('SMR (Main)'!A14,'Economic Lifetime'!$A$3:$F$66,6,FALSE)</f>
        <v>7.5</v>
      </c>
      <c r="AE14" s="280">
        <f>VLOOKUP('SMR (Main)'!A14,'Production Efficiency'!$A$3:$F$65,6,FALSE)</f>
        <v>0</v>
      </c>
      <c r="AF14" s="279">
        <f>VLOOKUP(A14,'Waste management and decomissio'!A14:Q76,17)</f>
        <v>2</v>
      </c>
    </row>
    <row r="15" spans="1:32" ht="14.4" x14ac:dyDescent="0.3">
      <c r="A15" s="46" t="s">
        <v>121</v>
      </c>
      <c r="B15" t="s">
        <v>65</v>
      </c>
      <c r="C15" t="s">
        <v>122</v>
      </c>
      <c r="D15" t="s">
        <v>123</v>
      </c>
      <c r="E15" t="s">
        <v>124</v>
      </c>
      <c r="F15" t="s">
        <v>92</v>
      </c>
      <c r="G15" t="s">
        <v>125</v>
      </c>
      <c r="H15" t="s">
        <v>126</v>
      </c>
      <c r="I15" s="163" t="s">
        <v>55</v>
      </c>
      <c r="K15">
        <v>265</v>
      </c>
      <c r="L15">
        <v>500</v>
      </c>
      <c r="M15">
        <v>13.3</v>
      </c>
      <c r="N15">
        <v>550</v>
      </c>
      <c r="O15">
        <v>850</v>
      </c>
      <c r="P15" s="90">
        <v>0.53</v>
      </c>
      <c r="Q15">
        <v>60</v>
      </c>
      <c r="R15" s="278">
        <f>VLOOKUP('SMR (Main)'!A15,CAPEX!A15:I77,9,FALSE)</f>
        <v>5.4166666666666661</v>
      </c>
      <c r="S15" s="279">
        <v>5</v>
      </c>
      <c r="T15" s="277">
        <f>VLOOKUP('SMR (Main)'!A15,Rentability!$A$3:$O$65,15,FALSE)</f>
        <v>6.7610059637671105</v>
      </c>
      <c r="U15" s="277">
        <f>VLOOKUP('SMR (Main)'!A15,OPEX!$A$3:$M$65,13,FALSE)</f>
        <v>5.1111111111111107</v>
      </c>
      <c r="V15" s="280">
        <f>VLOOKUP('SMR (Main)'!A15,'Ecological Impact '!$A$3:$I$65,9,FALSE)</f>
        <v>9</v>
      </c>
      <c r="W15" s="279">
        <v>5</v>
      </c>
      <c r="X15" s="279">
        <f>VLOOKUP('SMR (Main)'!A15,Scalability!$A$3:$C$66,3,FALSE)</f>
        <v>4.5</v>
      </c>
      <c r="Y15" s="279">
        <f>VLOOKUP('SMR (Main)'!A15,'Availability '!$A$3:$M$65,13,FALSE)</f>
        <v>9</v>
      </c>
      <c r="Z15" s="277">
        <f>VLOOKUP('SMR (Main)'!A15,Footprint!$A$3:$E$65,5,FALSE)</f>
        <v>5</v>
      </c>
      <c r="AA15" s="277">
        <f>VLOOKUP(A15,'Technology Readiness'!$A$2:$H$64,8,FALSE)</f>
        <v>3.3333333333333335</v>
      </c>
      <c r="AB15" s="279">
        <v>5</v>
      </c>
      <c r="AC15" s="277">
        <f>VLOOKUP('SMR (Main)'!A15,'Geopolitical Barriers'!$A$3:$C$65,3,FALSE)</f>
        <v>6.6229999999999993</v>
      </c>
      <c r="AD15" s="279">
        <f>VLOOKUP('SMR (Main)'!A15,'Economic Lifetime'!$A$3:$F$66,6,FALSE)</f>
        <v>7.5</v>
      </c>
      <c r="AE15" s="280">
        <f>VLOOKUP('SMR (Main)'!A15,'Production Efficiency'!$A$3:$F$65,6,FALSE)</f>
        <v>10</v>
      </c>
      <c r="AF15" s="279">
        <f>VLOOKUP(A15,'Waste management and decomissio'!A15:Q77,17)</f>
        <v>6</v>
      </c>
    </row>
    <row r="16" spans="1:32" ht="14.4" x14ac:dyDescent="0.3">
      <c r="A16" s="46" t="s">
        <v>127</v>
      </c>
      <c r="B16" t="s">
        <v>65</v>
      </c>
      <c r="C16" t="s">
        <v>122</v>
      </c>
      <c r="D16" t="s">
        <v>128</v>
      </c>
      <c r="E16" t="s">
        <v>124</v>
      </c>
      <c r="F16" t="s">
        <v>92</v>
      </c>
      <c r="G16" t="s">
        <v>129</v>
      </c>
      <c r="H16" t="s">
        <v>126</v>
      </c>
      <c r="I16" s="163" t="s">
        <v>55</v>
      </c>
      <c r="K16">
        <v>50</v>
      </c>
      <c r="L16">
        <v>100</v>
      </c>
      <c r="M16">
        <v>7</v>
      </c>
      <c r="N16">
        <v>509</v>
      </c>
      <c r="O16">
        <v>800</v>
      </c>
      <c r="P16" s="90">
        <v>0.5</v>
      </c>
      <c r="Q16">
        <v>60</v>
      </c>
      <c r="R16" s="278">
        <f>VLOOKUP('SMR (Main)'!A16,CAPEX!A16:I78,9,FALSE)</f>
        <v>2.5</v>
      </c>
      <c r="S16" s="279">
        <v>5</v>
      </c>
      <c r="T16" s="277">
        <f>VLOOKUP('SMR (Main)'!A16,Rentability!$A$3:$O$65,15,FALSE)</f>
        <v>4.4757698845017462</v>
      </c>
      <c r="U16" s="277">
        <f>VLOOKUP('SMR (Main)'!A16,OPEX!$A$3:$M$65,13,FALSE)</f>
        <v>5.5555555555555562</v>
      </c>
      <c r="V16" s="280">
        <f>VLOOKUP('SMR (Main)'!A16,'Ecological Impact '!$A$3:$I$65,9,FALSE)</f>
        <v>9</v>
      </c>
      <c r="W16" s="279">
        <v>5</v>
      </c>
      <c r="X16" s="279">
        <f>VLOOKUP('SMR (Main)'!A16,Scalability!$A$3:$C$66,3,FALSE)</f>
        <v>4.5</v>
      </c>
      <c r="Y16" s="279">
        <f>VLOOKUP('SMR (Main)'!A16,'Availability '!$A$3:$M$65,13,FALSE)</f>
        <v>9</v>
      </c>
      <c r="Z16" s="277">
        <f>VLOOKUP('SMR (Main)'!A16,Footprint!$A$3:$E$65,5,FALSE)</f>
        <v>5</v>
      </c>
      <c r="AA16" s="277">
        <f>VLOOKUP(A16,'Technology Readiness'!$A$2:$H$64,8,FALSE)</f>
        <v>4.4444444444444446</v>
      </c>
      <c r="AB16" s="279">
        <v>5</v>
      </c>
      <c r="AC16" s="277">
        <f>VLOOKUP('SMR (Main)'!A16,'Geopolitical Barriers'!$A$3:$C$65,3,FALSE)</f>
        <v>6.6229999999999993</v>
      </c>
      <c r="AD16" s="279">
        <f>VLOOKUP('SMR (Main)'!A16,'Economic Lifetime'!$A$3:$F$66,6,FALSE)</f>
        <v>7.5</v>
      </c>
      <c r="AE16" s="280">
        <f>VLOOKUP('SMR (Main)'!A16,'Production Efficiency'!$A$3:$F$65,6,FALSE)</f>
        <v>10</v>
      </c>
      <c r="AF16" s="279">
        <f>VLOOKUP(A16,'Waste management and decomissio'!A16:Q78,17)</f>
        <v>2</v>
      </c>
    </row>
    <row r="17" spans="1:32" ht="14.4" x14ac:dyDescent="0.3">
      <c r="A17" s="46" t="s">
        <v>130</v>
      </c>
      <c r="B17" t="s">
        <v>105</v>
      </c>
      <c r="C17" t="s">
        <v>106</v>
      </c>
      <c r="D17" t="s">
        <v>131</v>
      </c>
      <c r="E17" t="s">
        <v>51</v>
      </c>
      <c r="F17" t="s">
        <v>132</v>
      </c>
      <c r="G17" t="s">
        <v>133</v>
      </c>
      <c r="H17" t="s">
        <v>134</v>
      </c>
      <c r="I17" s="163" t="s">
        <v>55</v>
      </c>
      <c r="K17">
        <v>200</v>
      </c>
      <c r="L17">
        <v>450</v>
      </c>
      <c r="M17">
        <v>0.5</v>
      </c>
      <c r="N17">
        <v>565</v>
      </c>
      <c r="O17">
        <v>704</v>
      </c>
      <c r="P17" s="97">
        <v>0.44400000000000001</v>
      </c>
      <c r="Q17">
        <v>30</v>
      </c>
      <c r="R17" s="278">
        <f>VLOOKUP('SMR (Main)'!A17,CAPEX!A17:I79,9,FALSE)</f>
        <v>2.0833333333333335</v>
      </c>
      <c r="S17" s="279">
        <v>5</v>
      </c>
      <c r="T17" s="277">
        <f>VLOOKUP('SMR (Main)'!A17,Rentability!$A$3:$O$65,15,FALSE)</f>
        <v>5.1593287054711725</v>
      </c>
      <c r="U17" s="277">
        <f>VLOOKUP('SMR (Main)'!A17,OPEX!$A$3:$M$65,13,FALSE)</f>
        <v>5.333333333333333</v>
      </c>
      <c r="V17" s="280">
        <f>VLOOKUP('SMR (Main)'!A17,'Ecological Impact '!$A$3:$I$65,9,FALSE)</f>
        <v>3</v>
      </c>
      <c r="W17" s="279">
        <v>5</v>
      </c>
      <c r="X17" s="279">
        <f>VLOOKUP('SMR (Main)'!A17,Scalability!$A$3:$C$66,3,FALSE)</f>
        <v>4.5</v>
      </c>
      <c r="Y17" s="279">
        <f>VLOOKUP('SMR (Main)'!A17,'Availability '!$A$3:$M$65,13,FALSE)</f>
        <v>10</v>
      </c>
      <c r="Z17" s="277">
        <f>VLOOKUP('SMR (Main)'!A17,Footprint!$A$3:$E$65,5,FALSE)</f>
        <v>5</v>
      </c>
      <c r="AA17" s="277">
        <f>VLOOKUP(A17,'Technology Readiness'!$A$2:$H$64,8,FALSE)</f>
        <v>5.5555555555555554</v>
      </c>
      <c r="AB17" s="279">
        <v>5</v>
      </c>
      <c r="AC17" s="277">
        <f>VLOOKUP('SMR (Main)'!A17,'Geopolitical Barriers'!$A$3:$C$65,3,FALSE)</f>
        <v>7.6970000000000001</v>
      </c>
      <c r="AD17" s="279">
        <f>VLOOKUP('SMR (Main)'!A17,'Economic Lifetime'!$A$3:$F$66,6,FALSE)</f>
        <v>3.75</v>
      </c>
      <c r="AE17" s="280">
        <f>VLOOKUP('SMR (Main)'!A17,'Production Efficiency'!$A$3:$F$65,6,FALSE)</f>
        <v>9</v>
      </c>
      <c r="AF17" s="279">
        <f>VLOOKUP(A17,'Waste management and decomissio'!A17:Q79,17)</f>
        <v>6</v>
      </c>
    </row>
    <row r="18" spans="1:32" ht="14.4" x14ac:dyDescent="0.3">
      <c r="A18" s="46" t="s">
        <v>135</v>
      </c>
      <c r="B18" t="s">
        <v>65</v>
      </c>
      <c r="C18" t="s">
        <v>136</v>
      </c>
      <c r="D18" t="s">
        <v>137</v>
      </c>
      <c r="E18" t="s">
        <v>51</v>
      </c>
      <c r="F18" t="s">
        <v>98</v>
      </c>
      <c r="G18" t="s">
        <v>138</v>
      </c>
      <c r="H18" t="s">
        <v>71</v>
      </c>
      <c r="I18" s="163" t="s">
        <v>55</v>
      </c>
      <c r="K18">
        <v>300</v>
      </c>
      <c r="L18">
        <v>600</v>
      </c>
      <c r="M18">
        <v>7</v>
      </c>
      <c r="N18">
        <v>633</v>
      </c>
      <c r="O18">
        <v>900</v>
      </c>
      <c r="P18" s="90">
        <v>0.5</v>
      </c>
      <c r="Q18">
        <v>60</v>
      </c>
      <c r="R18" s="278">
        <f>VLOOKUP('SMR (Main)'!A18,CAPEX!A18:I80,9,FALSE)</f>
        <v>5.4166666666666661</v>
      </c>
      <c r="S18" s="279">
        <v>5</v>
      </c>
      <c r="T18" s="277">
        <f>VLOOKUP('SMR (Main)'!A18,Rentability!$A$3:$O$65,15,FALSE)</f>
        <v>6.892014637679587</v>
      </c>
      <c r="U18" s="277">
        <f>VLOOKUP('SMR (Main)'!A18,OPEX!$A$3:$M$65,13,FALSE)</f>
        <v>4.666666666666667</v>
      </c>
      <c r="V18" s="280">
        <f>VLOOKUP('SMR (Main)'!A18,'Ecological Impact '!$A$3:$I$65,9,FALSE)</f>
        <v>6</v>
      </c>
      <c r="W18" s="279">
        <v>5</v>
      </c>
      <c r="X18" s="279">
        <f>VLOOKUP('SMR (Main)'!A18,Scalability!$A$3:$C$66,3,FALSE)</f>
        <v>4.5</v>
      </c>
      <c r="Y18" s="279">
        <f>VLOOKUP('SMR (Main)'!A18,'Availability '!$A$3:$M$65,13,FALSE)</f>
        <v>8</v>
      </c>
      <c r="Z18" s="277">
        <f>VLOOKUP('SMR (Main)'!A18,Footprint!$A$3:$E$65,5,FALSE)</f>
        <v>5</v>
      </c>
      <c r="AA18" s="277">
        <f>VLOOKUP(A18,'Technology Readiness'!$A$2:$H$64,8,FALSE)</f>
        <v>5.5555555555555554</v>
      </c>
      <c r="AB18" s="279">
        <v>5</v>
      </c>
      <c r="AC18" s="277">
        <f>VLOOKUP('SMR (Main)'!A18,'Geopolitical Barriers'!$A$3:$C$65,3,FALSE)</f>
        <v>7.6970000000000001</v>
      </c>
      <c r="AD18" s="279">
        <f>VLOOKUP('SMR (Main)'!A18,'Economic Lifetime'!$A$3:$F$66,6,FALSE)</f>
        <v>7.5</v>
      </c>
      <c r="AE18" s="280">
        <f>VLOOKUP('SMR (Main)'!A18,'Production Efficiency'!$A$3:$F$65,6,FALSE)</f>
        <v>10</v>
      </c>
      <c r="AF18" s="279">
        <f>VLOOKUP(A18,'Waste management and decomissio'!A18:Q80,17)</f>
        <v>4</v>
      </c>
    </row>
    <row r="19" spans="1:32" ht="14.4" x14ac:dyDescent="0.3">
      <c r="A19" s="46" t="s">
        <v>139</v>
      </c>
      <c r="B19" t="s">
        <v>65</v>
      </c>
      <c r="C19" t="s">
        <v>136</v>
      </c>
      <c r="D19" t="s">
        <v>140</v>
      </c>
      <c r="E19" t="s">
        <v>79</v>
      </c>
      <c r="F19" t="s">
        <v>141</v>
      </c>
      <c r="G19" t="s">
        <v>142</v>
      </c>
      <c r="H19" t="s">
        <v>71</v>
      </c>
      <c r="I19" s="163" t="s">
        <v>55</v>
      </c>
      <c r="K19">
        <v>288</v>
      </c>
      <c r="L19">
        <v>600</v>
      </c>
      <c r="M19">
        <v>7.2</v>
      </c>
      <c r="N19">
        <v>490</v>
      </c>
      <c r="O19">
        <v>850</v>
      </c>
      <c r="P19" s="97">
        <v>0.48</v>
      </c>
      <c r="Q19">
        <v>60</v>
      </c>
      <c r="R19" s="278">
        <f>VLOOKUP('SMR (Main)'!A19,CAPEX!A19:I81,9,FALSE)</f>
        <v>5.8333333333333339</v>
      </c>
      <c r="S19" s="279">
        <v>5</v>
      </c>
      <c r="T19" s="277">
        <f>VLOOKUP('SMR (Main)'!A19,Rentability!$A$3:$O$65,15,FALSE)</f>
        <v>3.6634517862877169</v>
      </c>
      <c r="U19" s="277">
        <f>VLOOKUP('SMR (Main)'!A19,OPEX!$A$3:$M$65,13,FALSE)</f>
        <v>4.8888888888888893</v>
      </c>
      <c r="V19" s="280">
        <f>VLOOKUP('SMR (Main)'!A19,'Ecological Impact '!$A$3:$I$65,9,FALSE)</f>
        <v>6</v>
      </c>
      <c r="W19" s="279">
        <v>5</v>
      </c>
      <c r="X19" s="279">
        <f>VLOOKUP('SMR (Main)'!A19,Scalability!$A$3:$C$66,3,FALSE)</f>
        <v>5.5</v>
      </c>
      <c r="Y19" s="279">
        <f>VLOOKUP('SMR (Main)'!A19,'Availability '!$A$3:$M$65,13,FALSE)</f>
        <v>6</v>
      </c>
      <c r="Z19" s="277">
        <f>VLOOKUP('SMR (Main)'!A19,Footprint!$A$3:$E$65,5,FALSE)</f>
        <v>5</v>
      </c>
      <c r="AA19" s="277">
        <f>VLOOKUP(A19,'Technology Readiness'!$A$2:$H$64,8,FALSE)</f>
        <v>5.5555555555555554</v>
      </c>
      <c r="AB19" s="279">
        <v>5</v>
      </c>
      <c r="AC19" s="277">
        <f>VLOOKUP('SMR (Main)'!A19,'Geopolitical Barriers'!$A$3:$C$65,3,FALSE)</f>
        <v>8.7000000000000188E-2</v>
      </c>
      <c r="AD19" s="279">
        <f>VLOOKUP('SMR (Main)'!A19,'Economic Lifetime'!$A$3:$F$66,6,FALSE)</f>
        <v>7.5</v>
      </c>
      <c r="AE19" s="280">
        <f>VLOOKUP('SMR (Main)'!A19,'Production Efficiency'!$A$3:$F$65,6,FALSE)</f>
        <v>10</v>
      </c>
      <c r="AF19" s="279">
        <f>VLOOKUP(A19,'Waste management and decomissio'!A19:Q81,17)</f>
        <v>4</v>
      </c>
    </row>
    <row r="20" spans="1:32" ht="14.4" x14ac:dyDescent="0.3">
      <c r="A20" s="46" t="s">
        <v>143</v>
      </c>
      <c r="B20" t="s">
        <v>57</v>
      </c>
      <c r="C20" s="46" t="s">
        <v>96</v>
      </c>
      <c r="D20" t="s">
        <v>144</v>
      </c>
      <c r="E20" s="46" t="s">
        <v>60</v>
      </c>
      <c r="F20" s="46" t="s">
        <v>87</v>
      </c>
      <c r="G20" s="46" t="s">
        <v>145</v>
      </c>
      <c r="H20" s="46" t="s">
        <v>63</v>
      </c>
      <c r="I20" s="163" t="s">
        <v>55</v>
      </c>
      <c r="K20" s="46">
        <v>0</v>
      </c>
      <c r="L20" s="46">
        <v>200</v>
      </c>
      <c r="M20" s="46">
        <v>0.6</v>
      </c>
      <c r="N20" s="46">
        <v>80</v>
      </c>
      <c r="O20" s="46">
        <v>120</v>
      </c>
      <c r="P20" s="97">
        <v>0</v>
      </c>
      <c r="Q20" s="46">
        <v>60</v>
      </c>
      <c r="R20" s="278">
        <f>VLOOKUP('SMR (Main)'!A20,CAPEX!A20:I82,9,FALSE)</f>
        <v>6.25</v>
      </c>
      <c r="S20" s="279">
        <v>5</v>
      </c>
      <c r="T20" s="277">
        <f>VLOOKUP('SMR (Main)'!A20,Rentability!$A$3:$O$65,15,FALSE)</f>
        <v>0</v>
      </c>
      <c r="U20" s="277">
        <f>VLOOKUP('SMR (Main)'!A20,OPEX!$A$3:$M$65,13,FALSE)</f>
        <v>6</v>
      </c>
      <c r="V20" s="280">
        <f>VLOOKUP('SMR (Main)'!A20,'Ecological Impact '!$A$3:$I$65,9,FALSE)</f>
        <v>8</v>
      </c>
      <c r="W20" s="279">
        <v>5</v>
      </c>
      <c r="X20" s="279">
        <f>VLOOKUP('SMR (Main)'!A20,Scalability!$A$3:$C$66,3,FALSE)</f>
        <v>4.5</v>
      </c>
      <c r="Y20" s="279">
        <f>VLOOKUP('SMR (Main)'!A20,'Availability '!$A$3:$M$65,13,FALSE)</f>
        <v>1</v>
      </c>
      <c r="Z20" s="277">
        <f>VLOOKUP('SMR (Main)'!A20,Footprint!$A$3:$E$65,5,FALSE)</f>
        <v>5</v>
      </c>
      <c r="AA20" s="277">
        <f>VLOOKUP(A20,'Technology Readiness'!$A$2:$H$64,8,FALSE)</f>
        <v>6.666666666666667</v>
      </c>
      <c r="AB20" s="279">
        <v>5</v>
      </c>
      <c r="AC20" s="277">
        <f>VLOOKUP('SMR (Main)'!A20,'Geopolitical Barriers'!$A$3:$C$65,3,FALSE)</f>
        <v>3.4459999999999997</v>
      </c>
      <c r="AD20" s="279">
        <f>VLOOKUP('SMR (Main)'!A20,'Economic Lifetime'!$A$3:$F$66,6,FALSE)</f>
        <v>7.5</v>
      </c>
      <c r="AE20" s="280">
        <f>VLOOKUP('SMR (Main)'!A20,'Production Efficiency'!$A$3:$F$65,6,FALSE)</f>
        <v>0</v>
      </c>
      <c r="AF20" s="279">
        <f>VLOOKUP(A20,'Waste management and decomissio'!A20:Q82,17)</f>
        <v>4</v>
      </c>
    </row>
    <row r="21" spans="1:32" ht="14.4" x14ac:dyDescent="0.3">
      <c r="A21" s="46" t="s">
        <v>146</v>
      </c>
      <c r="B21" t="s">
        <v>65</v>
      </c>
      <c r="C21" t="s">
        <v>66</v>
      </c>
      <c r="D21" t="s">
        <v>147</v>
      </c>
      <c r="E21" t="s">
        <v>68</v>
      </c>
      <c r="F21" t="s">
        <v>98</v>
      </c>
      <c r="G21" t="s">
        <v>148</v>
      </c>
      <c r="H21" t="s">
        <v>71</v>
      </c>
      <c r="I21" s="163" t="s">
        <v>55</v>
      </c>
      <c r="K21">
        <v>35</v>
      </c>
      <c r="L21">
        <v>100</v>
      </c>
      <c r="M21">
        <v>16</v>
      </c>
      <c r="N21">
        <v>250</v>
      </c>
      <c r="O21">
        <v>750</v>
      </c>
      <c r="P21" s="97">
        <v>0.35</v>
      </c>
      <c r="Q21">
        <v>40</v>
      </c>
      <c r="R21" s="278">
        <f>VLOOKUP('SMR (Main)'!A21,CAPEX!A21:I83,9,FALSE)</f>
        <v>6.25</v>
      </c>
      <c r="S21" s="279">
        <v>5</v>
      </c>
      <c r="T21" s="277">
        <f>VLOOKUP('SMR (Main)'!A21,Rentability!$A$3:$O$65,15,FALSE)</f>
        <v>3.6316782598026074</v>
      </c>
      <c r="U21" s="277">
        <f>VLOOKUP('SMR (Main)'!A21,OPEX!$A$3:$M$65,13,FALSE)</f>
        <v>5.5555555555555562</v>
      </c>
      <c r="V21" s="280">
        <f>VLOOKUP('SMR (Main)'!A21,'Ecological Impact '!$A$3:$I$65,9,FALSE)</f>
        <v>6</v>
      </c>
      <c r="W21" s="279">
        <v>5</v>
      </c>
      <c r="X21" s="279">
        <f>VLOOKUP('SMR (Main)'!A21,Scalability!$A$3:$C$66,3,FALSE)</f>
        <v>4.5</v>
      </c>
      <c r="Y21" s="279">
        <f>VLOOKUP('SMR (Main)'!A21,'Availability '!$A$3:$M$65,13,FALSE)</f>
        <v>10</v>
      </c>
      <c r="Z21" s="277">
        <f>VLOOKUP('SMR (Main)'!A21,Footprint!$A$3:$E$65,5,FALSE)</f>
        <v>5</v>
      </c>
      <c r="AA21" s="277">
        <f>VLOOKUP(A21,'Technology Readiness'!$A$2:$H$64,8,FALSE)</f>
        <v>4.4444444444444446</v>
      </c>
      <c r="AB21" s="279">
        <v>5</v>
      </c>
      <c r="AC21" s="277">
        <f>VLOOKUP('SMR (Main)'!A21,'Geopolitical Barriers'!$A$3:$C$65,3,FALSE)</f>
        <v>1.9360000000000004</v>
      </c>
      <c r="AD21" s="279">
        <f>VLOOKUP('SMR (Main)'!A21,'Economic Lifetime'!$A$3:$F$66,6,FALSE)</f>
        <v>5</v>
      </c>
      <c r="AE21" s="280">
        <f>VLOOKUP('SMR (Main)'!A21,'Production Efficiency'!$A$3:$F$65,6,FALSE)</f>
        <v>3</v>
      </c>
      <c r="AF21" s="279">
        <f>VLOOKUP(A21,'Waste management and decomissio'!A21:Q83,17)</f>
        <v>4</v>
      </c>
    </row>
    <row r="22" spans="1:32" ht="14.4" x14ac:dyDescent="0.3">
      <c r="A22" s="46" t="s">
        <v>149</v>
      </c>
      <c r="B22" t="s">
        <v>65</v>
      </c>
      <c r="C22" t="s">
        <v>66</v>
      </c>
      <c r="D22" t="s">
        <v>150</v>
      </c>
      <c r="E22" t="s">
        <v>60</v>
      </c>
      <c r="F22" t="s">
        <v>151</v>
      </c>
      <c r="G22" t="s">
        <v>152</v>
      </c>
      <c r="H22" t="s">
        <v>71</v>
      </c>
      <c r="I22" s="163" t="s">
        <v>55</v>
      </c>
      <c r="K22">
        <v>2.5</v>
      </c>
      <c r="L22">
        <v>10</v>
      </c>
      <c r="M22">
        <v>4</v>
      </c>
      <c r="N22">
        <v>250</v>
      </c>
      <c r="O22">
        <v>700</v>
      </c>
      <c r="P22" s="97">
        <v>0.25</v>
      </c>
      <c r="Q22">
        <v>20</v>
      </c>
      <c r="R22" s="278">
        <f>VLOOKUP('SMR (Main)'!A22,CAPEX!A22:I84,9,FALSE)</f>
        <v>5.8333333333333339</v>
      </c>
      <c r="S22" s="279">
        <v>5</v>
      </c>
      <c r="T22" s="277">
        <f>VLOOKUP('SMR (Main)'!A22,Rentability!$A$3:$O$65,15,FALSE)</f>
        <v>7.0186088501087678</v>
      </c>
      <c r="U22" s="277">
        <f>VLOOKUP('SMR (Main)'!A22,OPEX!$A$3:$M$65,13,FALSE)</f>
        <v>5.333333333333333</v>
      </c>
      <c r="V22" s="280">
        <f>VLOOKUP('SMR (Main)'!A22,'Ecological Impact '!$A$3:$I$65,9,FALSE)</f>
        <v>6</v>
      </c>
      <c r="W22" s="279">
        <v>5</v>
      </c>
      <c r="X22" s="279">
        <f>VLOOKUP('SMR (Main)'!A22,Scalability!$A$3:$C$66,3,FALSE)</f>
        <v>4.5</v>
      </c>
      <c r="Y22" s="279">
        <f>VLOOKUP('SMR (Main)'!A22,'Availability '!$A$3:$M$65,13,FALSE)</f>
        <v>10</v>
      </c>
      <c r="Z22" s="277">
        <f>VLOOKUP('SMR (Main)'!A22,Footprint!$A$3:$E$65,5,FALSE)</f>
        <v>5</v>
      </c>
      <c r="AA22" s="277">
        <f>VLOOKUP(A22,'Technology Readiness'!$A$2:$H$64,8,FALSE)</f>
        <v>10</v>
      </c>
      <c r="AB22" s="279">
        <v>5</v>
      </c>
      <c r="AC22" s="277">
        <f>VLOOKUP('SMR (Main)'!A22,'Geopolitical Barriers'!$A$3:$C$65,3,FALSE)</f>
        <v>3.4459999999999997</v>
      </c>
      <c r="AD22" s="279">
        <f>VLOOKUP('SMR (Main)'!A22,'Economic Lifetime'!$A$3:$F$66,6,FALSE)</f>
        <v>2.5</v>
      </c>
      <c r="AE22" s="280">
        <f>VLOOKUP('SMR (Main)'!A22,'Production Efficiency'!$A$3:$F$65,6,FALSE)</f>
        <v>1</v>
      </c>
      <c r="AF22" s="279">
        <f>VLOOKUP(A22,'Waste management and decomissio'!A22:Q84,17)</f>
        <v>1</v>
      </c>
    </row>
    <row r="23" spans="1:32" ht="14.4" x14ac:dyDescent="0.3">
      <c r="A23" s="46" t="s">
        <v>153</v>
      </c>
      <c r="B23" t="s">
        <v>65</v>
      </c>
      <c r="C23" s="46" t="s">
        <v>66</v>
      </c>
      <c r="D23" t="s">
        <v>150</v>
      </c>
      <c r="E23" s="46" t="s">
        <v>60</v>
      </c>
      <c r="F23" s="46" t="s">
        <v>154</v>
      </c>
      <c r="G23" s="46">
        <v>2022</v>
      </c>
      <c r="H23" s="46" t="s">
        <v>71</v>
      </c>
      <c r="I23" s="163" t="s">
        <v>55</v>
      </c>
      <c r="K23" s="46">
        <v>210</v>
      </c>
      <c r="L23" s="46">
        <v>500</v>
      </c>
      <c r="M23" s="46">
        <v>13.25</v>
      </c>
      <c r="N23" s="46">
        <v>250</v>
      </c>
      <c r="O23" s="46">
        <v>750</v>
      </c>
      <c r="P23" s="97">
        <v>0.42</v>
      </c>
      <c r="Q23" s="46">
        <v>40</v>
      </c>
      <c r="R23" s="278">
        <f>VLOOKUP('SMR (Main)'!A23,CAPEX!A23:I85,9,FALSE)</f>
        <v>5</v>
      </c>
      <c r="S23" s="279">
        <v>5</v>
      </c>
      <c r="T23" s="277">
        <f>VLOOKUP('SMR (Main)'!A23,Rentability!$A$3:$O$65,15,FALSE)</f>
        <v>6.8552797099670997</v>
      </c>
      <c r="U23" s="277">
        <f>VLOOKUP('SMR (Main)'!A23,OPEX!$A$3:$M$65,13,FALSE)</f>
        <v>4.8888888888888893</v>
      </c>
      <c r="V23" s="280">
        <f>VLOOKUP('SMR (Main)'!A23,'Ecological Impact '!$A$3:$I$65,9,FALSE)</f>
        <v>6</v>
      </c>
      <c r="W23" s="279">
        <v>5</v>
      </c>
      <c r="X23" s="279">
        <f>VLOOKUP('SMR (Main)'!A23,Scalability!$A$3:$C$66,3,FALSE)</f>
        <v>5.5</v>
      </c>
      <c r="Y23" s="279">
        <f>VLOOKUP('SMR (Main)'!A23,'Availability '!$A$3:$M$65,13,FALSE)</f>
        <v>10</v>
      </c>
      <c r="Z23" s="277">
        <f>VLOOKUP('SMR (Main)'!A23,Footprint!$A$3:$E$65,5,FALSE)</f>
        <v>5</v>
      </c>
      <c r="AA23" s="277">
        <f>VLOOKUP(A23,'Technology Readiness'!$A$2:$H$64,8,FALSE)</f>
        <v>10</v>
      </c>
      <c r="AB23" s="279">
        <v>5</v>
      </c>
      <c r="AC23" s="277">
        <f>VLOOKUP('SMR (Main)'!A23,'Geopolitical Barriers'!$A$3:$C$65,3,FALSE)</f>
        <v>3.4459999999999997</v>
      </c>
      <c r="AD23" s="279">
        <f>VLOOKUP('SMR (Main)'!A23,'Economic Lifetime'!$A$3:$F$66,6,FALSE)</f>
        <v>5</v>
      </c>
      <c r="AE23" s="280">
        <f>VLOOKUP('SMR (Main)'!A23,'Production Efficiency'!$A$3:$F$65,6,FALSE)</f>
        <v>9</v>
      </c>
      <c r="AF23" s="279">
        <f>VLOOKUP(A23,'Waste management and decomissio'!A23:Q85,17)</f>
        <v>6</v>
      </c>
    </row>
    <row r="24" spans="1:32" ht="14.4" x14ac:dyDescent="0.3">
      <c r="A24" s="46" t="s">
        <v>155</v>
      </c>
      <c r="B24" t="s">
        <v>65</v>
      </c>
      <c r="C24" t="s">
        <v>136</v>
      </c>
      <c r="D24" t="s">
        <v>156</v>
      </c>
      <c r="E24" t="s">
        <v>51</v>
      </c>
      <c r="F24" t="s">
        <v>154</v>
      </c>
      <c r="G24" t="s">
        <v>157</v>
      </c>
      <c r="H24" t="s">
        <v>71</v>
      </c>
      <c r="I24" s="163" t="s">
        <v>55</v>
      </c>
      <c r="K24">
        <v>0</v>
      </c>
      <c r="L24">
        <v>30</v>
      </c>
      <c r="M24">
        <v>4</v>
      </c>
      <c r="N24">
        <v>395</v>
      </c>
      <c r="O24">
        <v>850</v>
      </c>
      <c r="P24" s="97">
        <v>0</v>
      </c>
      <c r="Q24">
        <v>20</v>
      </c>
      <c r="R24" s="278">
        <f>VLOOKUP('SMR (Main)'!A24,CAPEX!A24:I86,9,FALSE)</f>
        <v>2.5</v>
      </c>
      <c r="S24" s="279">
        <v>5</v>
      </c>
      <c r="T24" s="277">
        <f>VLOOKUP('SMR (Main)'!A24,Rentability!$A$3:$O$65,15,FALSE)</f>
        <v>0</v>
      </c>
      <c r="U24" s="277">
        <f>VLOOKUP('SMR (Main)'!A24,OPEX!$A$3:$M$65,13,FALSE)</f>
        <v>5.5555555555555562</v>
      </c>
      <c r="V24" s="280">
        <f>VLOOKUP('SMR (Main)'!A24,'Ecological Impact '!$A$3:$I$65,9,FALSE)</f>
        <v>6</v>
      </c>
      <c r="W24" s="279">
        <v>5</v>
      </c>
      <c r="X24" s="279">
        <f>VLOOKUP('SMR (Main)'!A24,Scalability!$A$3:$C$66,3,FALSE)</f>
        <v>4.5</v>
      </c>
      <c r="Y24" s="279">
        <f>VLOOKUP('SMR (Main)'!A24,'Availability '!$A$3:$M$65,13,FALSE)</f>
        <v>8</v>
      </c>
      <c r="Z24" s="277">
        <f>VLOOKUP('SMR (Main)'!A24,Footprint!$A$3:$E$65,5,FALSE)</f>
        <v>5</v>
      </c>
      <c r="AA24" s="277">
        <f>VLOOKUP(A24,'Technology Readiness'!$A$2:$H$64,8,FALSE)</f>
        <v>10</v>
      </c>
      <c r="AB24" s="279">
        <v>5</v>
      </c>
      <c r="AC24" s="277">
        <f>VLOOKUP('SMR (Main)'!A24,'Geopolitical Barriers'!$A$3:$C$65,3,FALSE)</f>
        <v>7.6970000000000001</v>
      </c>
      <c r="AD24" s="279">
        <f>VLOOKUP('SMR (Main)'!A24,'Economic Lifetime'!$A$3:$F$66,6,FALSE)</f>
        <v>2.5</v>
      </c>
      <c r="AE24" s="280">
        <f>VLOOKUP('SMR (Main)'!A24,'Production Efficiency'!$A$3:$F$65,6,FALSE)</f>
        <v>0</v>
      </c>
      <c r="AF24" s="279">
        <f>VLOOKUP(A24,'Waste management and decomissio'!A24:Q86,17)</f>
        <v>1</v>
      </c>
    </row>
    <row r="25" spans="1:32" ht="14.4" x14ac:dyDescent="0.3">
      <c r="A25" s="46" t="s">
        <v>158</v>
      </c>
      <c r="B25" t="s">
        <v>57</v>
      </c>
      <c r="C25" s="46" t="s">
        <v>96</v>
      </c>
      <c r="D25" t="s">
        <v>159</v>
      </c>
      <c r="E25" s="46" t="s">
        <v>51</v>
      </c>
      <c r="F25" s="46" t="s">
        <v>69</v>
      </c>
      <c r="G25" s="46" t="s">
        <v>160</v>
      </c>
      <c r="H25" s="46" t="s">
        <v>63</v>
      </c>
      <c r="I25" s="163" t="s">
        <v>55</v>
      </c>
      <c r="K25" s="46">
        <v>350</v>
      </c>
      <c r="L25" s="46">
        <v>1000</v>
      </c>
      <c r="M25" s="46">
        <v>15.5</v>
      </c>
      <c r="N25" s="46">
        <v>329</v>
      </c>
      <c r="O25" s="46">
        <v>345</v>
      </c>
      <c r="P25" s="97">
        <v>0.35</v>
      </c>
      <c r="Q25" s="46">
        <v>60</v>
      </c>
      <c r="R25" s="278">
        <f>VLOOKUP('SMR (Main)'!A25,CAPEX!A25:I87,9,FALSE)</f>
        <v>2.916666666666667</v>
      </c>
      <c r="S25" s="279">
        <v>5</v>
      </c>
      <c r="T25" s="277">
        <f>VLOOKUP('SMR (Main)'!A25,Rentability!$A$3:$O$65,15,FALSE)</f>
        <v>7.3246077115464265</v>
      </c>
      <c r="U25" s="277">
        <f>VLOOKUP('SMR (Main)'!A25,OPEX!$A$3:$M$65,13,FALSE)</f>
        <v>4.8888888888888893</v>
      </c>
      <c r="V25" s="280">
        <f>VLOOKUP('SMR (Main)'!A25,'Ecological Impact '!$A$3:$I$65,9,FALSE)</f>
        <v>8</v>
      </c>
      <c r="W25" s="279">
        <v>5</v>
      </c>
      <c r="X25" s="279">
        <f>VLOOKUP('SMR (Main)'!A25,Scalability!$A$3:$C$66,3,FALSE)</f>
        <v>4.5</v>
      </c>
      <c r="Y25" s="279">
        <f>VLOOKUP('SMR (Main)'!A25,'Availability '!$A$3:$M$65,13,FALSE)</f>
        <v>6</v>
      </c>
      <c r="Z25" s="277">
        <f>VLOOKUP('SMR (Main)'!A25,Footprint!$A$3:$E$65,5,FALSE)</f>
        <v>5</v>
      </c>
      <c r="AA25" s="277">
        <f>VLOOKUP(A25,'Technology Readiness'!$A$2:$H$64,8,FALSE)</f>
        <v>3.3333333333333335</v>
      </c>
      <c r="AB25" s="279">
        <v>5</v>
      </c>
      <c r="AC25" s="277">
        <f>VLOOKUP('SMR (Main)'!A25,'Geopolitical Barriers'!$A$3:$C$65,3,FALSE)</f>
        <v>7.6970000000000001</v>
      </c>
      <c r="AD25" s="279">
        <f>VLOOKUP('SMR (Main)'!A25,'Economic Lifetime'!$A$3:$F$66,6,FALSE)</f>
        <v>7.5</v>
      </c>
      <c r="AE25" s="280">
        <f>VLOOKUP('SMR (Main)'!A25,'Production Efficiency'!$A$3:$F$65,6,FALSE)</f>
        <v>3</v>
      </c>
      <c r="AF25" s="279">
        <f>VLOOKUP(A25,'Waste management and decomissio'!A25:Q87,17)</f>
        <v>4</v>
      </c>
    </row>
    <row r="26" spans="1:32" ht="14.4" x14ac:dyDescent="0.3">
      <c r="A26" s="46" t="s">
        <v>161</v>
      </c>
      <c r="B26" t="s">
        <v>105</v>
      </c>
      <c r="C26" t="s">
        <v>106</v>
      </c>
      <c r="D26" t="s">
        <v>162</v>
      </c>
      <c r="E26" t="s">
        <v>74</v>
      </c>
      <c r="F26" t="s">
        <v>163</v>
      </c>
      <c r="G26" t="s">
        <v>164</v>
      </c>
      <c r="H26" t="s">
        <v>165</v>
      </c>
      <c r="I26" s="163" t="s">
        <v>55</v>
      </c>
      <c r="K26">
        <v>390</v>
      </c>
      <c r="L26">
        <v>440</v>
      </c>
      <c r="M26">
        <v>0.4</v>
      </c>
      <c r="N26">
        <v>620</v>
      </c>
      <c r="O26">
        <v>700</v>
      </c>
      <c r="P26" s="93">
        <v>0.88600000000000001</v>
      </c>
      <c r="Q26">
        <v>56</v>
      </c>
      <c r="R26" s="278">
        <f>VLOOKUP('SMR (Main)'!A26,CAPEX!A26:I88,9,FALSE)</f>
        <v>4.166666666666667</v>
      </c>
      <c r="S26" s="279">
        <v>5</v>
      </c>
      <c r="T26" s="277">
        <f>VLOOKUP('SMR (Main)'!A26,Rentability!$A$3:$O$65,15,FALSE)</f>
        <v>5.1593287054711725</v>
      </c>
      <c r="U26" s="277">
        <f>VLOOKUP('SMR (Main)'!A26,OPEX!$A$3:$M$65,13,FALSE)</f>
        <v>5.1111111111111107</v>
      </c>
      <c r="V26" s="280">
        <f>VLOOKUP('SMR (Main)'!A26,'Ecological Impact '!$A$3:$I$65,9,FALSE)</f>
        <v>3</v>
      </c>
      <c r="W26" s="279">
        <v>5</v>
      </c>
      <c r="X26" s="279">
        <f>VLOOKUP('SMR (Main)'!A26,Scalability!$A$3:$C$66,3,FALSE)</f>
        <v>4.5</v>
      </c>
      <c r="Y26" s="279">
        <f>VLOOKUP('SMR (Main)'!A26,'Availability '!$A$3:$M$65,13,FALSE)</f>
        <v>2</v>
      </c>
      <c r="Z26" s="277">
        <f>VLOOKUP('SMR (Main)'!A26,Footprint!$A$3:$E$65,5,FALSE)</f>
        <v>5</v>
      </c>
      <c r="AA26" s="277">
        <f>VLOOKUP(A26,'Technology Readiness'!$A$2:$H$64,8,FALSE)</f>
        <v>7.7777777777777786</v>
      </c>
      <c r="AB26" s="279">
        <v>5</v>
      </c>
      <c r="AC26" s="277">
        <f>VLOOKUP('SMR (Main)'!A26,'Geopolitical Barriers'!$A$3:$C$65,3,FALSE)</f>
        <v>8.44</v>
      </c>
      <c r="AD26" s="279">
        <f>VLOOKUP('SMR (Main)'!A26,'Economic Lifetime'!$A$3:$F$66,6,FALSE)</f>
        <v>7</v>
      </c>
      <c r="AE26" s="280">
        <f>VLOOKUP('SMR (Main)'!A26,'Production Efficiency'!$A$3:$F$65,6,FALSE)</f>
        <v>10</v>
      </c>
      <c r="AF26" s="279">
        <f>VLOOKUP(A26,'Waste management and decomissio'!A26:Q88,17)</f>
        <v>6</v>
      </c>
    </row>
    <row r="27" spans="1:32" ht="14.4" x14ac:dyDescent="0.3">
      <c r="A27" s="46" t="s">
        <v>166</v>
      </c>
      <c r="B27" t="s">
        <v>57</v>
      </c>
      <c r="C27" s="46" t="s">
        <v>58</v>
      </c>
      <c r="D27" t="s">
        <v>167</v>
      </c>
      <c r="E27" s="46" t="s">
        <v>168</v>
      </c>
      <c r="F27" s="46" t="s">
        <v>92</v>
      </c>
      <c r="G27" s="46" t="s">
        <v>169</v>
      </c>
      <c r="H27" s="46" t="s">
        <v>63</v>
      </c>
      <c r="I27" s="163" t="s">
        <v>55</v>
      </c>
      <c r="K27" s="46">
        <v>170</v>
      </c>
      <c r="L27" s="46">
        <v>540</v>
      </c>
      <c r="M27" s="46">
        <v>15</v>
      </c>
      <c r="N27" s="46">
        <v>295.5</v>
      </c>
      <c r="O27" s="46">
        <v>320.89999999999998</v>
      </c>
      <c r="P27" s="97">
        <v>0.315</v>
      </c>
      <c r="Q27" s="46">
        <v>80</v>
      </c>
      <c r="R27" s="278">
        <f>VLOOKUP('SMR (Main)'!A27,CAPEX!A27:I89,9,FALSE)</f>
        <v>6.25</v>
      </c>
      <c r="S27" s="279">
        <v>5</v>
      </c>
      <c r="T27" s="277">
        <f>VLOOKUP('SMR (Main)'!A27,Rentability!$A$3:$O$65,15,FALSE)</f>
        <v>6.9393882784145688</v>
      </c>
      <c r="U27" s="277">
        <f>VLOOKUP('SMR (Main)'!A27,OPEX!$A$3:$M$65,13,FALSE)</f>
        <v>5.333333333333333</v>
      </c>
      <c r="V27" s="280">
        <f>VLOOKUP('SMR (Main)'!A27,'Ecological Impact '!$A$3:$I$65,9,FALSE)</f>
        <v>8</v>
      </c>
      <c r="W27" s="279">
        <v>5</v>
      </c>
      <c r="X27" s="279">
        <f>VLOOKUP('SMR (Main)'!A27,Scalability!$A$3:$C$66,3,FALSE)</f>
        <v>4.5</v>
      </c>
      <c r="Y27" s="279">
        <f>VLOOKUP('SMR (Main)'!A27,'Availability '!$A$3:$M$65,13,FALSE)</f>
        <v>6</v>
      </c>
      <c r="Z27" s="277">
        <f>VLOOKUP('SMR (Main)'!A27,Footprint!$A$3:$E$65,5,FALSE)</f>
        <v>5</v>
      </c>
      <c r="AA27" s="277">
        <f>VLOOKUP(A27,'Technology Readiness'!$A$2:$H$64,8,FALSE)</f>
        <v>3.3333333333333335</v>
      </c>
      <c r="AB27" s="279">
        <v>5</v>
      </c>
      <c r="AC27" s="277">
        <f>VLOOKUP('SMR (Main)'!A27,'Geopolitical Barriers'!$A$3:$C$65,3,FALSE)</f>
        <v>8.6829999999999998</v>
      </c>
      <c r="AD27" s="279">
        <f>VLOOKUP('SMR (Main)'!A27,'Economic Lifetime'!$A$3:$F$66,6,FALSE)</f>
        <v>10</v>
      </c>
      <c r="AE27" s="280">
        <f>VLOOKUP('SMR (Main)'!A27,'Production Efficiency'!$A$3:$F$65,6,FALSE)</f>
        <v>1</v>
      </c>
      <c r="AF27" s="279">
        <f>VLOOKUP(A27,'Waste management and decomissio'!A27:Q89,17)</f>
        <v>4</v>
      </c>
    </row>
    <row r="28" spans="1:32" ht="14.4" x14ac:dyDescent="0.3">
      <c r="A28" s="46" t="s">
        <v>170</v>
      </c>
      <c r="B28" t="s">
        <v>65</v>
      </c>
      <c r="C28" t="s">
        <v>136</v>
      </c>
      <c r="D28" t="s">
        <v>171</v>
      </c>
      <c r="E28" t="s">
        <v>172</v>
      </c>
      <c r="F28" t="s">
        <v>87</v>
      </c>
      <c r="G28" t="s">
        <v>173</v>
      </c>
      <c r="H28" t="s">
        <v>71</v>
      </c>
      <c r="I28" s="163" t="s">
        <v>55</v>
      </c>
      <c r="K28">
        <v>0</v>
      </c>
      <c r="L28">
        <v>20</v>
      </c>
      <c r="M28">
        <v>3</v>
      </c>
      <c r="N28">
        <v>300</v>
      </c>
      <c r="O28">
        <v>700</v>
      </c>
      <c r="P28" s="97">
        <v>0</v>
      </c>
      <c r="Q28">
        <v>20</v>
      </c>
      <c r="R28" s="278">
        <f>VLOOKUP('SMR (Main)'!A28,CAPEX!A28:I90,9,FALSE)</f>
        <v>6.6666666666666661</v>
      </c>
      <c r="S28" s="279">
        <v>5</v>
      </c>
      <c r="T28" s="277">
        <f>VLOOKUP('SMR (Main)'!A28,Rentability!$A$3:$O$65,15,FALSE)</f>
        <v>0</v>
      </c>
      <c r="U28" s="277">
        <f>VLOOKUP('SMR (Main)'!A28,OPEX!$A$3:$M$65,13,FALSE)</f>
        <v>5.7777777777777786</v>
      </c>
      <c r="V28" s="280">
        <f>VLOOKUP('SMR (Main)'!A28,'Ecological Impact '!$A$3:$I$65,9,FALSE)</f>
        <v>6</v>
      </c>
      <c r="W28" s="279">
        <v>5</v>
      </c>
      <c r="X28" s="279">
        <f>VLOOKUP('SMR (Main)'!A28,Scalability!$A$3:$C$66,3,FALSE)</f>
        <v>4.5</v>
      </c>
      <c r="Y28" s="279">
        <f>VLOOKUP('SMR (Main)'!A28,'Availability '!$A$3:$M$65,13,FALSE)</f>
        <v>10</v>
      </c>
      <c r="Z28" s="277">
        <f>VLOOKUP('SMR (Main)'!A28,Footprint!$A$3:$E$65,5,FALSE)</f>
        <v>5</v>
      </c>
      <c r="AA28" s="277">
        <f>VLOOKUP(A28,'Technology Readiness'!$A$2:$H$64,8,FALSE)</f>
        <v>7.7777777777777786</v>
      </c>
      <c r="AB28" s="279">
        <v>5</v>
      </c>
      <c r="AC28" s="277">
        <f>VLOOKUP('SMR (Main)'!A28,'Geopolitical Barriers'!$A$3:$C$65,3,FALSE)</f>
        <v>8.4619999999999997</v>
      </c>
      <c r="AD28" s="279">
        <f>VLOOKUP('SMR (Main)'!A28,'Economic Lifetime'!$A$3:$F$66,6,FALSE)</f>
        <v>2.5</v>
      </c>
      <c r="AE28" s="280">
        <f>VLOOKUP('SMR (Main)'!A28,'Production Efficiency'!$A$3:$F$65,6,FALSE)</f>
        <v>0</v>
      </c>
      <c r="AF28" s="279">
        <f>VLOOKUP(A28,'Waste management and decomissio'!A28:Q90,17)</f>
        <v>6</v>
      </c>
    </row>
    <row r="29" spans="1:32" ht="14.4" x14ac:dyDescent="0.3">
      <c r="A29" s="46" t="s">
        <v>174</v>
      </c>
      <c r="B29" t="s">
        <v>57</v>
      </c>
      <c r="C29" s="46" t="s">
        <v>84</v>
      </c>
      <c r="D29" t="s">
        <v>175</v>
      </c>
      <c r="E29" s="46" t="s">
        <v>79</v>
      </c>
      <c r="F29" s="46" t="s">
        <v>92</v>
      </c>
      <c r="G29" s="46" t="s">
        <v>176</v>
      </c>
      <c r="H29" s="46" t="s">
        <v>63</v>
      </c>
      <c r="I29" s="163" t="s">
        <v>55</v>
      </c>
      <c r="K29" s="46">
        <v>100</v>
      </c>
      <c r="L29" s="46">
        <v>360</v>
      </c>
      <c r="M29" s="46">
        <v>7</v>
      </c>
      <c r="N29" s="46">
        <v>104</v>
      </c>
      <c r="O29" s="46">
        <v>286</v>
      </c>
      <c r="P29" s="97">
        <v>0.27800000000000002</v>
      </c>
      <c r="Q29" s="46">
        <v>80</v>
      </c>
      <c r="R29" s="278">
        <f>VLOOKUP('SMR (Main)'!A29,CAPEX!A29:I91,9,FALSE)</f>
        <v>6.6666666666666661</v>
      </c>
      <c r="S29" s="279">
        <v>5</v>
      </c>
      <c r="T29" s="277">
        <f>VLOOKUP('SMR (Main)'!A29,Rentability!$A$3:$O$65,15,FALSE)</f>
        <v>6.8051418756710689</v>
      </c>
      <c r="U29" s="277">
        <f>VLOOKUP('SMR (Main)'!A29,OPEX!$A$3:$M$65,13,FALSE)</f>
        <v>6</v>
      </c>
      <c r="V29" s="280">
        <f>VLOOKUP('SMR (Main)'!A29,'Ecological Impact '!$A$3:$I$65,9,FALSE)</f>
        <v>8</v>
      </c>
      <c r="W29" s="279">
        <v>5</v>
      </c>
      <c r="X29" s="279">
        <f>VLOOKUP('SMR (Main)'!A29,Scalability!$A$3:$C$66,3,FALSE)</f>
        <v>4.5</v>
      </c>
      <c r="Y29" s="279">
        <f>VLOOKUP('SMR (Main)'!A29,'Availability '!$A$3:$M$65,13,FALSE)</f>
        <v>8</v>
      </c>
      <c r="Z29" s="277">
        <f>VLOOKUP('SMR (Main)'!A29,Footprint!$A$3:$E$65,5,FALSE)</f>
        <v>5</v>
      </c>
      <c r="AA29" s="277">
        <f>VLOOKUP(A29,'Technology Readiness'!$A$2:$H$64,8,FALSE)</f>
        <v>2.2222222222222223</v>
      </c>
      <c r="AB29" s="279">
        <v>5</v>
      </c>
      <c r="AC29" s="277">
        <f>VLOOKUP('SMR (Main)'!A29,'Geopolitical Barriers'!$A$3:$C$65,3,FALSE)</f>
        <v>8.7000000000000188E-2</v>
      </c>
      <c r="AD29" s="279">
        <f>VLOOKUP('SMR (Main)'!A29,'Economic Lifetime'!$A$3:$F$66,6,FALSE)</f>
        <v>10</v>
      </c>
      <c r="AE29" s="280">
        <f>VLOOKUP('SMR (Main)'!A29,'Production Efficiency'!$A$3:$F$65,6,FALSE)</f>
        <v>1</v>
      </c>
      <c r="AF29" s="279">
        <f>VLOOKUP(A29,'Waste management and decomissio'!A29:Q91,17)</f>
        <v>1</v>
      </c>
    </row>
    <row r="30" spans="1:32" ht="14.4" x14ac:dyDescent="0.3">
      <c r="A30" s="46" t="s">
        <v>177</v>
      </c>
      <c r="B30" t="s">
        <v>57</v>
      </c>
      <c r="C30" s="46" t="s">
        <v>84</v>
      </c>
      <c r="D30" t="s">
        <v>178</v>
      </c>
      <c r="E30" s="46" t="s">
        <v>79</v>
      </c>
      <c r="F30" s="46" t="s">
        <v>92</v>
      </c>
      <c r="G30" s="46" t="s">
        <v>176</v>
      </c>
      <c r="H30" s="46" t="s">
        <v>63</v>
      </c>
      <c r="I30" s="163" t="s">
        <v>55</v>
      </c>
      <c r="K30" s="46">
        <v>50</v>
      </c>
      <c r="L30" s="46">
        <v>180</v>
      </c>
      <c r="M30" s="46">
        <v>7</v>
      </c>
      <c r="N30" s="46">
        <v>180</v>
      </c>
      <c r="O30" s="46">
        <v>286</v>
      </c>
      <c r="P30" s="97">
        <v>0.27800000000000002</v>
      </c>
      <c r="Q30" s="46">
        <v>80</v>
      </c>
      <c r="R30" s="278">
        <f>VLOOKUP('SMR (Main)'!A30,CAPEX!A30:I92,9,FALSE)</f>
        <v>7.0833333333333339</v>
      </c>
      <c r="S30" s="279">
        <v>5</v>
      </c>
      <c r="T30" s="277">
        <f>VLOOKUP('SMR (Main)'!A30,Rentability!$A$3:$O$65,15,FALSE)</f>
        <v>6.1097361788187312</v>
      </c>
      <c r="U30" s="277">
        <f>VLOOKUP('SMR (Main)'!A30,OPEX!$A$3:$M$65,13,FALSE)</f>
        <v>6</v>
      </c>
      <c r="V30" s="280">
        <f>VLOOKUP('SMR (Main)'!A30,'Ecological Impact '!$A$3:$I$65,9,FALSE)</f>
        <v>8</v>
      </c>
      <c r="W30" s="279">
        <v>5</v>
      </c>
      <c r="X30" s="279">
        <f>VLOOKUP('SMR (Main)'!A30,Scalability!$A$3:$C$66,3,FALSE)</f>
        <v>4.5</v>
      </c>
      <c r="Y30" s="279">
        <f>VLOOKUP('SMR (Main)'!A30,'Availability '!$A$3:$M$65,13,FALSE)</f>
        <v>8</v>
      </c>
      <c r="Z30" s="277">
        <f>VLOOKUP('SMR (Main)'!A30,Footprint!$A$3:$E$65,5,FALSE)</f>
        <v>5</v>
      </c>
      <c r="AA30" s="277">
        <f>VLOOKUP(A30,'Technology Readiness'!$A$2:$H$64,8,FALSE)</f>
        <v>2.2222222222222223</v>
      </c>
      <c r="AB30" s="279">
        <v>5</v>
      </c>
      <c r="AC30" s="277">
        <f>VLOOKUP('SMR (Main)'!A30,'Geopolitical Barriers'!$A$3:$C$65,3,FALSE)</f>
        <v>8.7000000000000188E-2</v>
      </c>
      <c r="AD30" s="279">
        <f>VLOOKUP('SMR (Main)'!A30,'Economic Lifetime'!$A$3:$F$66,6,FALSE)</f>
        <v>10</v>
      </c>
      <c r="AE30" s="280">
        <f>VLOOKUP('SMR (Main)'!A30,'Production Efficiency'!$A$3:$F$65,6,FALSE)</f>
        <v>1</v>
      </c>
      <c r="AF30" s="279">
        <f>VLOOKUP(A30,'Waste management and decomissio'!A30:Q92,17)</f>
        <v>1</v>
      </c>
    </row>
    <row r="31" spans="1:32" ht="14.4" x14ac:dyDescent="0.3">
      <c r="A31" s="46" t="s">
        <v>179</v>
      </c>
      <c r="B31" t="s">
        <v>105</v>
      </c>
      <c r="C31" t="s">
        <v>180</v>
      </c>
      <c r="D31" t="s">
        <v>181</v>
      </c>
      <c r="E31" t="s">
        <v>124</v>
      </c>
      <c r="F31" t="s">
        <v>109</v>
      </c>
      <c r="G31" t="s">
        <v>182</v>
      </c>
      <c r="H31" t="s">
        <v>183</v>
      </c>
      <c r="I31" s="163" t="s">
        <v>55</v>
      </c>
      <c r="K31">
        <v>140</v>
      </c>
      <c r="L31">
        <v>320</v>
      </c>
      <c r="M31">
        <v>0.2</v>
      </c>
      <c r="N31">
        <v>550</v>
      </c>
      <c r="O31">
        <v>650</v>
      </c>
      <c r="P31" s="97">
        <v>0.438</v>
      </c>
      <c r="Q31">
        <v>20</v>
      </c>
      <c r="R31" s="278">
        <f>VLOOKUP('SMR (Main)'!A31,CAPEX!A31:I93,9,FALSE)</f>
        <v>5.4166666666666661</v>
      </c>
      <c r="S31" s="279">
        <v>5</v>
      </c>
      <c r="T31" s="277">
        <f>VLOOKUP('SMR (Main)'!A31,Rentability!$A$3:$O$65,15,FALSE)</f>
        <v>5.1593287054711725</v>
      </c>
      <c r="U31" s="277">
        <f>VLOOKUP('SMR (Main)'!A31,OPEX!$A$3:$M$65,13,FALSE)</f>
        <v>5.333333333333333</v>
      </c>
      <c r="V31" s="280">
        <f>VLOOKUP('SMR (Main)'!A31,'Ecological Impact '!$A$3:$I$65,9,FALSE)</f>
        <v>5</v>
      </c>
      <c r="W31" s="279">
        <v>5</v>
      </c>
      <c r="X31" s="279">
        <f>VLOOKUP('SMR (Main)'!A31,Scalability!$A$3:$C$66,3,FALSE)</f>
        <v>4.5</v>
      </c>
      <c r="Y31" s="279">
        <f>VLOOKUP('SMR (Main)'!A31,'Availability '!$A$3:$M$65,13,FALSE)</f>
        <v>10</v>
      </c>
      <c r="Z31" s="277">
        <f>VLOOKUP('SMR (Main)'!A31,Footprint!$A$3:$E$65,5,FALSE)</f>
        <v>5</v>
      </c>
      <c r="AA31" s="277">
        <f>VLOOKUP(A31,'Technology Readiness'!$A$2:$H$64,8,FALSE)</f>
        <v>4.4444444444444446</v>
      </c>
      <c r="AB31" s="279">
        <v>5</v>
      </c>
      <c r="AC31" s="277">
        <f>VLOOKUP('SMR (Main)'!A31,'Geopolitical Barriers'!$A$3:$C$65,3,FALSE)</f>
        <v>6.6229999999999993</v>
      </c>
      <c r="AD31" s="279">
        <f>VLOOKUP('SMR (Main)'!A31,'Economic Lifetime'!$A$3:$F$66,6,FALSE)</f>
        <v>2.5</v>
      </c>
      <c r="AE31" s="280">
        <f>VLOOKUP('SMR (Main)'!A31,'Production Efficiency'!$A$3:$F$65,6,FALSE)</f>
        <v>9</v>
      </c>
      <c r="AF31" s="279">
        <f>VLOOKUP(A31,'Waste management and decomissio'!A31:Q93,17)</f>
        <v>6</v>
      </c>
    </row>
    <row r="32" spans="1:32" ht="14.4" x14ac:dyDescent="0.3">
      <c r="A32" s="47" t="s">
        <v>184</v>
      </c>
      <c r="B32" t="s">
        <v>48</v>
      </c>
      <c r="C32" s="47" t="s">
        <v>49</v>
      </c>
      <c r="D32" s="46" t="s">
        <v>185</v>
      </c>
      <c r="E32" s="47" t="s">
        <v>186</v>
      </c>
      <c r="F32" s="47" t="s">
        <v>187</v>
      </c>
      <c r="G32" s="47" t="s">
        <v>53</v>
      </c>
      <c r="H32" s="47" t="s">
        <v>82</v>
      </c>
      <c r="I32" s="163" t="s">
        <v>55</v>
      </c>
      <c r="K32">
        <v>200</v>
      </c>
      <c r="L32">
        <v>480</v>
      </c>
      <c r="M32">
        <v>18</v>
      </c>
      <c r="N32">
        <v>420</v>
      </c>
      <c r="O32">
        <v>530</v>
      </c>
      <c r="P32" s="97">
        <v>0.41699999999999998</v>
      </c>
      <c r="Q32">
        <v>60</v>
      </c>
      <c r="R32" s="278">
        <f>VLOOKUP('SMR (Main)'!A32,CAPEX!A32:I94,9,FALSE)</f>
        <v>2.0833333333333335</v>
      </c>
      <c r="S32" s="279">
        <v>5</v>
      </c>
      <c r="T32" s="277">
        <f>VLOOKUP('SMR (Main)'!A32,Rentability!$A$3:$O$65,15,FALSE)</f>
        <v>6.723265193425485</v>
      </c>
      <c r="U32" s="277">
        <f>VLOOKUP('SMR (Main)'!A32,OPEX!$A$3:$M$65,13,FALSE)</f>
        <v>5.1111111111111107</v>
      </c>
      <c r="V32" s="280">
        <f>VLOOKUP('SMR (Main)'!A32,'Ecological Impact '!$A$3:$I$65,9,FALSE)</f>
        <v>2</v>
      </c>
      <c r="W32" s="279">
        <v>5</v>
      </c>
      <c r="X32" s="279">
        <f>VLOOKUP('SMR (Main)'!A32,Scalability!$A$3:$C$66,3,FALSE)</f>
        <v>4.5</v>
      </c>
      <c r="Y32" s="279">
        <f>VLOOKUP('SMR (Main)'!A32,'Availability '!$A$3:$M$65,13,FALSE)</f>
        <v>5</v>
      </c>
      <c r="Z32" s="277">
        <f>VLOOKUP('SMR (Main)'!A32,Footprint!$A$3:$E$65,5,FALSE)</f>
        <v>5</v>
      </c>
      <c r="AA32" s="277">
        <f>VLOOKUP(A32,'Technology Readiness'!$A$2:$H$64,8,FALSE)</f>
        <v>2.2222222222222223</v>
      </c>
      <c r="AB32" s="279">
        <v>5</v>
      </c>
      <c r="AC32" s="277">
        <f>VLOOKUP('SMR (Main)'!A32,'Geopolitical Barriers'!$A$3:$C$65,3,FALSE)</f>
        <v>4.758</v>
      </c>
      <c r="AD32" s="279">
        <f>VLOOKUP('SMR (Main)'!A32,'Economic Lifetime'!$A$3:$F$66,6,FALSE)</f>
        <v>7.5</v>
      </c>
      <c r="AE32" s="280">
        <f>VLOOKUP('SMR (Main)'!A32,'Production Efficiency'!$A$3:$F$65,6,FALSE)</f>
        <v>9</v>
      </c>
      <c r="AF32" s="279">
        <f>VLOOKUP(A32,'Waste management and decomissio'!A32:Q94,17)</f>
        <v>6</v>
      </c>
    </row>
    <row r="33" spans="1:32" ht="14.4" x14ac:dyDescent="0.3">
      <c r="A33" s="46" t="s">
        <v>188</v>
      </c>
      <c r="B33" t="s">
        <v>105</v>
      </c>
      <c r="C33" t="s">
        <v>106</v>
      </c>
      <c r="D33" t="s">
        <v>189</v>
      </c>
      <c r="E33" t="s">
        <v>124</v>
      </c>
      <c r="F33" t="s">
        <v>109</v>
      </c>
      <c r="G33" t="s">
        <v>53</v>
      </c>
      <c r="H33" t="s">
        <v>190</v>
      </c>
      <c r="I33" s="163" t="s">
        <v>55</v>
      </c>
      <c r="K33">
        <v>250</v>
      </c>
      <c r="L33">
        <v>600</v>
      </c>
      <c r="M33" s="51"/>
      <c r="N33">
        <v>500</v>
      </c>
      <c r="O33">
        <v>650</v>
      </c>
      <c r="P33" s="97">
        <v>0.41699999999999998</v>
      </c>
      <c r="Q33" s="52"/>
      <c r="R33" s="278">
        <f>VLOOKUP('SMR (Main)'!A33,CAPEX!A33:I95,9,FALSE)</f>
        <v>5</v>
      </c>
      <c r="S33" s="279">
        <v>5</v>
      </c>
      <c r="T33" s="277">
        <f>VLOOKUP('SMR (Main)'!A33,Rentability!$A$3:$O$65,15,FALSE)</f>
        <v>5.1593287054711725</v>
      </c>
      <c r="U33" s="277">
        <f>VLOOKUP('SMR (Main)'!A33,OPEX!$A$3:$M$65,13,FALSE)</f>
        <v>4.8888888888888893</v>
      </c>
      <c r="V33" s="280">
        <f>VLOOKUP('SMR (Main)'!A33,'Ecological Impact '!$A$3:$I$65,9,FALSE)</f>
        <v>3</v>
      </c>
      <c r="W33" s="279">
        <v>5</v>
      </c>
      <c r="X33" s="279">
        <f>VLOOKUP('SMR (Main)'!A33,Scalability!$A$3:$C$66,3,FALSE)</f>
        <v>4.5</v>
      </c>
      <c r="Y33" s="279">
        <f>VLOOKUP('SMR (Main)'!A33,'Availability '!$A$3:$M$65,13,FALSE)</f>
        <v>10</v>
      </c>
      <c r="Z33" s="277">
        <f>VLOOKUP('SMR (Main)'!A33,Footprint!$A$3:$E$65,5,FALSE)</f>
        <v>5</v>
      </c>
      <c r="AA33" s="277">
        <f>VLOOKUP(A33,'Technology Readiness'!$A$2:$H$64,8,FALSE)</f>
        <v>2.2222222222222223</v>
      </c>
      <c r="AB33" s="279">
        <v>5</v>
      </c>
      <c r="AC33" s="277">
        <f>VLOOKUP('SMR (Main)'!A33,'Geopolitical Barriers'!$A$3:$C$65,3,FALSE)</f>
        <v>6.6229999999999993</v>
      </c>
      <c r="AD33" s="279">
        <f>VLOOKUP('SMR (Main)'!A33,'Economic Lifetime'!$A$3:$F$66,6,FALSE)</f>
        <v>4</v>
      </c>
      <c r="AE33" s="280">
        <f>VLOOKUP('SMR (Main)'!A33,'Production Efficiency'!$A$3:$F$65,6,FALSE)</f>
        <v>9</v>
      </c>
      <c r="AF33" s="279">
        <f>VLOOKUP(A33,'Waste management and decomissio'!A33:Q95,17)</f>
        <v>6</v>
      </c>
    </row>
    <row r="34" spans="1:32" ht="14.4" x14ac:dyDescent="0.3">
      <c r="A34" s="46" t="s">
        <v>191</v>
      </c>
      <c r="B34" t="s">
        <v>105</v>
      </c>
      <c r="C34" t="s">
        <v>192</v>
      </c>
      <c r="D34" t="s">
        <v>193</v>
      </c>
      <c r="E34" t="s">
        <v>124</v>
      </c>
      <c r="F34" t="s">
        <v>109</v>
      </c>
      <c r="G34" t="s">
        <v>194</v>
      </c>
      <c r="H34" t="s">
        <v>195</v>
      </c>
      <c r="I34" s="163" t="s">
        <v>55</v>
      </c>
      <c r="K34">
        <v>1200</v>
      </c>
      <c r="L34">
        <v>3000</v>
      </c>
      <c r="M34" s="51"/>
      <c r="N34">
        <v>650</v>
      </c>
      <c r="O34">
        <v>750</v>
      </c>
      <c r="P34" s="97">
        <v>0.4</v>
      </c>
      <c r="Q34">
        <v>40</v>
      </c>
      <c r="R34" s="278">
        <f>VLOOKUP('SMR (Main)'!A34,CAPEX!A34:I96,9,FALSE)</f>
        <v>2.0833333333333335</v>
      </c>
      <c r="S34" s="279">
        <v>5</v>
      </c>
      <c r="T34" s="277">
        <f>VLOOKUP('SMR (Main)'!A34,Rentability!$A$3:$O$65,15,FALSE)</f>
        <v>6.8726729956759423</v>
      </c>
      <c r="U34" s="277">
        <f>VLOOKUP('SMR (Main)'!A34,OPEX!$A$3:$M$65,13,FALSE)</f>
        <v>1.1111111111111112</v>
      </c>
      <c r="V34" s="280">
        <f>VLOOKUP('SMR (Main)'!A34,'Ecological Impact '!$A$3:$I$65,9,FALSE)</f>
        <v>3</v>
      </c>
      <c r="W34" s="279">
        <v>5</v>
      </c>
      <c r="X34" s="279">
        <f>VLOOKUP('SMR (Main)'!A34,Scalability!$A$3:$C$66,3,FALSE)</f>
        <v>4.5</v>
      </c>
      <c r="Y34" s="279">
        <f>VLOOKUP('SMR (Main)'!A34,'Availability '!$A$3:$M$65,13,FALSE)</f>
        <v>9</v>
      </c>
      <c r="Z34" s="277">
        <f>VLOOKUP('SMR (Main)'!A34,Footprint!$A$3:$E$65,5,FALSE)</f>
        <v>5</v>
      </c>
      <c r="AA34" s="277">
        <f>VLOOKUP(A34,'Technology Readiness'!$A$2:$H$64,8,FALSE)</f>
        <v>2.2222222222222223</v>
      </c>
      <c r="AB34" s="279">
        <v>5</v>
      </c>
      <c r="AC34" s="277">
        <f>VLOOKUP('SMR (Main)'!A34,'Geopolitical Barriers'!$A$3:$C$65,3,FALSE)</f>
        <v>6.6229999999999993</v>
      </c>
      <c r="AD34" s="279">
        <f>VLOOKUP('SMR (Main)'!A34,'Economic Lifetime'!$A$3:$F$66,6,FALSE)</f>
        <v>5</v>
      </c>
      <c r="AE34" s="280">
        <f>VLOOKUP('SMR (Main)'!A34,'Production Efficiency'!$A$3:$F$65,6,FALSE)</f>
        <v>9</v>
      </c>
      <c r="AF34" s="279">
        <f>VLOOKUP(A34,'Waste management and decomissio'!A34:Q96,17)</f>
        <v>2</v>
      </c>
    </row>
    <row r="35" spans="1:32" ht="14.4" x14ac:dyDescent="0.3">
      <c r="A35" s="46" t="s">
        <v>196</v>
      </c>
      <c r="B35" t="s">
        <v>65</v>
      </c>
      <c r="C35" t="s">
        <v>197</v>
      </c>
      <c r="D35" t="s">
        <v>198</v>
      </c>
      <c r="E35" t="s">
        <v>79</v>
      </c>
      <c r="F35" t="s">
        <v>92</v>
      </c>
      <c r="G35" t="s">
        <v>199</v>
      </c>
      <c r="H35" t="s">
        <v>71</v>
      </c>
      <c r="I35" s="163" t="s">
        <v>55</v>
      </c>
      <c r="K35">
        <v>87</v>
      </c>
      <c r="L35">
        <v>215</v>
      </c>
      <c r="M35">
        <v>4.5</v>
      </c>
      <c r="N35">
        <v>533</v>
      </c>
      <c r="O35">
        <v>950</v>
      </c>
      <c r="P35" s="97">
        <v>0.40500000000000003</v>
      </c>
      <c r="Q35">
        <v>60</v>
      </c>
      <c r="R35" s="278">
        <f>VLOOKUP('SMR (Main)'!A35,CAPEX!A35:I97,9,FALSE)</f>
        <v>6.25</v>
      </c>
      <c r="S35" s="279">
        <v>5</v>
      </c>
      <c r="T35" s="277">
        <f>VLOOKUP('SMR (Main)'!A35,Rentability!$A$3:$O$65,15,FALSE)</f>
        <v>5.7090542000767321</v>
      </c>
      <c r="U35" s="277">
        <f>VLOOKUP('SMR (Main)'!A35,OPEX!$A$3:$M$65,13,FALSE)</f>
        <v>5.333333333333333</v>
      </c>
      <c r="V35" s="280">
        <f>VLOOKUP('SMR (Main)'!A35,'Ecological Impact '!$A$3:$I$65,9,FALSE)</f>
        <v>6</v>
      </c>
      <c r="W35" s="279">
        <v>5</v>
      </c>
      <c r="X35" s="279">
        <f>VLOOKUP('SMR (Main)'!A35,Scalability!$A$3:$C$66,3,FALSE)</f>
        <v>4.5</v>
      </c>
      <c r="Y35" s="279">
        <f>VLOOKUP('SMR (Main)'!A35,'Availability '!$A$3:$M$65,13,FALSE)</f>
        <v>10</v>
      </c>
      <c r="Z35" s="277">
        <f>VLOOKUP('SMR (Main)'!A35,Footprint!$A$3:$E$65,5,FALSE)</f>
        <v>5</v>
      </c>
      <c r="AA35" s="277">
        <f>VLOOKUP(A35,'Technology Readiness'!$A$2:$H$64,8,FALSE)</f>
        <v>3.3333333333333335</v>
      </c>
      <c r="AB35" s="279">
        <v>5</v>
      </c>
      <c r="AC35" s="277">
        <f>VLOOKUP('SMR (Main)'!A35,'Geopolitical Barriers'!$A$3:$C$65,3,FALSE)</f>
        <v>8.7000000000000188E-2</v>
      </c>
      <c r="AD35" s="279">
        <f>VLOOKUP('SMR (Main)'!A35,'Economic Lifetime'!$A$3:$F$66,6,FALSE)</f>
        <v>7.5</v>
      </c>
      <c r="AE35" s="280">
        <f>VLOOKUP('SMR (Main)'!A35,'Production Efficiency'!$A$3:$F$65,6,FALSE)</f>
        <v>9</v>
      </c>
      <c r="AF35" s="279">
        <f>VLOOKUP(A35,'Waste management and decomissio'!A35:Q97,17)</f>
        <v>4</v>
      </c>
    </row>
    <row r="36" spans="1:32" ht="14.4" x14ac:dyDescent="0.3">
      <c r="A36" s="46" t="s">
        <v>200</v>
      </c>
      <c r="B36" t="s">
        <v>65</v>
      </c>
      <c r="C36" t="s">
        <v>197</v>
      </c>
      <c r="D36" t="s">
        <v>201</v>
      </c>
      <c r="E36" t="s">
        <v>79</v>
      </c>
      <c r="F36" t="s">
        <v>92</v>
      </c>
      <c r="G36" t="s">
        <v>202</v>
      </c>
      <c r="H36" t="s">
        <v>71</v>
      </c>
      <c r="I36" s="163" t="s">
        <v>55</v>
      </c>
      <c r="K36">
        <v>822</v>
      </c>
      <c r="L36">
        <v>2400</v>
      </c>
      <c r="M36">
        <v>7.5</v>
      </c>
      <c r="N36">
        <v>578</v>
      </c>
      <c r="O36">
        <v>950</v>
      </c>
      <c r="P36" s="97">
        <v>0.34300000000000003</v>
      </c>
      <c r="Q36">
        <v>60</v>
      </c>
      <c r="R36" s="278">
        <f>VLOOKUP('SMR (Main)'!A36,CAPEX!A36:I98,9,FALSE)</f>
        <v>4.166666666666667</v>
      </c>
      <c r="S36" s="279">
        <v>5</v>
      </c>
      <c r="T36" s="277">
        <f>VLOOKUP('SMR (Main)'!A36,Rentability!$A$3:$O$65,15,FALSE)</f>
        <v>7.2674133760876911</v>
      </c>
      <c r="U36" s="277">
        <f>VLOOKUP('SMR (Main)'!A36,OPEX!$A$3:$M$65,13,FALSE)</f>
        <v>2.6666666666666665</v>
      </c>
      <c r="V36" s="280">
        <f>VLOOKUP('SMR (Main)'!A36,'Ecological Impact '!$A$3:$I$65,9,FALSE)</f>
        <v>6</v>
      </c>
      <c r="W36" s="279">
        <v>5</v>
      </c>
      <c r="X36" s="279">
        <f>VLOOKUP('SMR (Main)'!A36,Scalability!$A$3:$C$66,3,FALSE)</f>
        <v>5.5</v>
      </c>
      <c r="Y36" s="279">
        <f>VLOOKUP('SMR (Main)'!A36,'Availability '!$A$3:$M$65,13,FALSE)</f>
        <v>7</v>
      </c>
      <c r="Z36" s="277">
        <f>VLOOKUP('SMR (Main)'!A36,Footprint!$A$3:$E$65,5,FALSE)</f>
        <v>5</v>
      </c>
      <c r="AA36" s="277">
        <f>VLOOKUP(A36,'Technology Readiness'!$A$2:$H$64,8,FALSE)</f>
        <v>3.3333333333333335</v>
      </c>
      <c r="AB36" s="279">
        <v>5</v>
      </c>
      <c r="AC36" s="277">
        <f>VLOOKUP('SMR (Main)'!A36,'Geopolitical Barriers'!$A$3:$C$65,3,FALSE)</f>
        <v>8.7000000000000188E-2</v>
      </c>
      <c r="AD36" s="279">
        <f>VLOOKUP('SMR (Main)'!A36,'Economic Lifetime'!$A$3:$F$66,6,FALSE)</f>
        <v>7.5</v>
      </c>
      <c r="AE36" s="280">
        <f>VLOOKUP('SMR (Main)'!A36,'Production Efficiency'!$A$3:$F$65,6,FALSE)</f>
        <v>3</v>
      </c>
      <c r="AF36" s="279">
        <f>VLOOKUP(A36,'Waste management and decomissio'!A36:Q98,17)</f>
        <v>4</v>
      </c>
    </row>
    <row r="37" spans="1:32" ht="14.4" x14ac:dyDescent="0.3">
      <c r="A37" s="47" t="s">
        <v>203</v>
      </c>
      <c r="B37" t="s">
        <v>48</v>
      </c>
      <c r="C37" s="47" t="s">
        <v>204</v>
      </c>
      <c r="D37" s="47" t="s">
        <v>205</v>
      </c>
      <c r="E37" s="47" t="s">
        <v>168</v>
      </c>
      <c r="F37" s="47" t="s">
        <v>187</v>
      </c>
      <c r="G37" s="47" t="s">
        <v>206</v>
      </c>
      <c r="H37" s="47" t="s">
        <v>207</v>
      </c>
      <c r="I37" s="163" t="s">
        <v>55</v>
      </c>
      <c r="K37">
        <v>20</v>
      </c>
      <c r="L37">
        <v>60</v>
      </c>
      <c r="M37">
        <v>12</v>
      </c>
      <c r="N37">
        <v>250</v>
      </c>
      <c r="O37">
        <v>350</v>
      </c>
      <c r="P37" s="97">
        <v>0.33300000000000002</v>
      </c>
      <c r="Q37">
        <v>40</v>
      </c>
      <c r="R37" s="278">
        <f>VLOOKUP('SMR (Main)'!A37,CAPEX!A37:I99,9,FALSE)</f>
        <v>5.4166666666666661</v>
      </c>
      <c r="S37" s="279">
        <v>5</v>
      </c>
      <c r="T37" s="277">
        <f>VLOOKUP('SMR (Main)'!A37,Rentability!$A$3:$O$65,15,FALSE)</f>
        <v>2.9833487735836215</v>
      </c>
      <c r="U37" s="277">
        <f>VLOOKUP('SMR (Main)'!A37,OPEX!$A$3:$M$65,13,FALSE)</f>
        <v>5.7777777777777786</v>
      </c>
      <c r="V37" s="280">
        <f>VLOOKUP('SMR (Main)'!A37,'Ecological Impact '!$A$3:$I$65,9,FALSE)</f>
        <v>2</v>
      </c>
      <c r="W37" s="279">
        <v>5</v>
      </c>
      <c r="X37" s="279">
        <f>VLOOKUP('SMR (Main)'!A37,Scalability!$A$3:$C$66,3,FALSE)</f>
        <v>4.5</v>
      </c>
      <c r="Y37" s="279">
        <f>VLOOKUP('SMR (Main)'!A37,'Availability '!$A$3:$M$65,13,FALSE)</f>
        <v>9</v>
      </c>
      <c r="Z37" s="277">
        <f>VLOOKUP('SMR (Main)'!A37,Footprint!$A$3:$E$65,5,FALSE)</f>
        <v>5</v>
      </c>
      <c r="AA37" s="277">
        <f>VLOOKUP(A37,'Technology Readiness'!$A$2:$H$64,8,FALSE)</f>
        <v>2.2222222222222223</v>
      </c>
      <c r="AB37" s="279">
        <v>5</v>
      </c>
      <c r="AC37" s="277">
        <f>VLOOKUP('SMR (Main)'!A37,'Geopolitical Barriers'!$A$3:$C$65,3,FALSE)</f>
        <v>8.6829999999999998</v>
      </c>
      <c r="AD37" s="279">
        <f>VLOOKUP('SMR (Main)'!A37,'Economic Lifetime'!$A$3:$F$66,6,FALSE)</f>
        <v>5</v>
      </c>
      <c r="AE37" s="280">
        <f>VLOOKUP('SMR (Main)'!A37,'Production Efficiency'!$A$3:$F$65,6,FALSE)</f>
        <v>1</v>
      </c>
      <c r="AF37" s="279">
        <f>VLOOKUP(A37,'Waste management and decomissio'!A37:Q99,17)</f>
        <v>4</v>
      </c>
    </row>
    <row r="38" spans="1:32" ht="14.4" x14ac:dyDescent="0.3">
      <c r="A38" s="46" t="s">
        <v>208</v>
      </c>
      <c r="B38" t="s">
        <v>105</v>
      </c>
      <c r="C38" t="s">
        <v>209</v>
      </c>
      <c r="D38" t="s">
        <v>210</v>
      </c>
      <c r="E38" t="s">
        <v>124</v>
      </c>
      <c r="F38" t="s">
        <v>211</v>
      </c>
      <c r="G38" t="s">
        <v>212</v>
      </c>
      <c r="H38" t="s">
        <v>183</v>
      </c>
      <c r="I38" s="163" t="s">
        <v>55</v>
      </c>
      <c r="K38">
        <v>100</v>
      </c>
      <c r="L38">
        <v>236</v>
      </c>
      <c r="M38">
        <v>1.85</v>
      </c>
      <c r="N38">
        <v>600</v>
      </c>
      <c r="O38">
        <v>700</v>
      </c>
      <c r="P38" s="97">
        <v>0.42399999999999999</v>
      </c>
      <c r="Q38">
        <v>60</v>
      </c>
      <c r="R38" s="278">
        <f>VLOOKUP('SMR (Main)'!A38,CAPEX!A38:I100,9,FALSE)</f>
        <v>5.4166666666666661</v>
      </c>
      <c r="S38" s="279">
        <v>5</v>
      </c>
      <c r="T38" s="277">
        <f>VLOOKUP('SMR (Main)'!A38,Rentability!$A$3:$O$65,15,FALSE)</f>
        <v>4.7921747818618234</v>
      </c>
      <c r="U38" s="277">
        <f>VLOOKUP('SMR (Main)'!A38,OPEX!$A$3:$M$65,13,FALSE)</f>
        <v>5.333333333333333</v>
      </c>
      <c r="V38" s="280">
        <f>VLOOKUP('SMR (Main)'!A38,'Ecological Impact '!$A$3:$I$65,9,FALSE)</f>
        <v>5</v>
      </c>
      <c r="W38" s="279">
        <v>5</v>
      </c>
      <c r="X38" s="279">
        <f>VLOOKUP('SMR (Main)'!A38,Scalability!$A$3:$C$66,3,FALSE)</f>
        <v>4.5</v>
      </c>
      <c r="Y38" s="279">
        <f>VLOOKUP('SMR (Main)'!A38,'Availability '!$A$3:$M$65,13,FALSE)</f>
        <v>10</v>
      </c>
      <c r="Z38" s="277">
        <f>VLOOKUP('SMR (Main)'!A38,Footprint!$A$3:$E$65,5,FALSE)</f>
        <v>5</v>
      </c>
      <c r="AA38" s="277">
        <f>VLOOKUP(A38,'Technology Readiness'!$A$2:$H$64,8,FALSE)</f>
        <v>1.1111111111111112</v>
      </c>
      <c r="AB38" s="279">
        <v>5</v>
      </c>
      <c r="AC38" s="277">
        <f>VLOOKUP('SMR (Main)'!A38,'Geopolitical Barriers'!$A$3:$C$65,3,FALSE)</f>
        <v>6.6229999999999993</v>
      </c>
      <c r="AD38" s="279">
        <f>VLOOKUP('SMR (Main)'!A38,'Economic Lifetime'!$A$3:$F$66,6,FALSE)</f>
        <v>7.5</v>
      </c>
      <c r="AE38" s="280">
        <f>VLOOKUP('SMR (Main)'!A38,'Production Efficiency'!$A$3:$F$65,6,FALSE)</f>
        <v>9</v>
      </c>
      <c r="AF38" s="279">
        <f>VLOOKUP(A38,'Waste management and decomissio'!A38:Q100,17)</f>
        <v>4</v>
      </c>
    </row>
    <row r="39" spans="1:32" ht="14.4" x14ac:dyDescent="0.3">
      <c r="A39" s="46" t="s">
        <v>213</v>
      </c>
      <c r="B39" t="s">
        <v>57</v>
      </c>
      <c r="C39" s="46" t="s">
        <v>58</v>
      </c>
      <c r="D39" t="s">
        <v>214</v>
      </c>
      <c r="E39" s="46" t="s">
        <v>124</v>
      </c>
      <c r="F39" s="46" t="s">
        <v>92</v>
      </c>
      <c r="G39" s="46" t="s">
        <v>53</v>
      </c>
      <c r="H39" s="46" t="s">
        <v>63</v>
      </c>
      <c r="I39" s="163" t="s">
        <v>55</v>
      </c>
      <c r="K39" s="46">
        <v>195</v>
      </c>
      <c r="L39" s="46">
        <v>575</v>
      </c>
      <c r="M39" s="46">
        <v>14.8</v>
      </c>
      <c r="N39" s="46">
        <v>290.5</v>
      </c>
      <c r="O39" s="46">
        <v>318.89999999999998</v>
      </c>
      <c r="P39" s="97">
        <v>0.33900000000000002</v>
      </c>
      <c r="Q39" s="46">
        <v>60</v>
      </c>
      <c r="R39" s="278">
        <f>VLOOKUP('SMR (Main)'!A39,CAPEX!A39:I101,9,FALSE)</f>
        <v>6.25</v>
      </c>
      <c r="S39" s="279">
        <v>5</v>
      </c>
      <c r="T39" s="277">
        <f>VLOOKUP('SMR (Main)'!A39,Rentability!$A$3:$O$65,15,FALSE)</f>
        <v>7.1846848877765979</v>
      </c>
      <c r="U39" s="277">
        <f>VLOOKUP('SMR (Main)'!A39,OPEX!$A$3:$M$65,13,FALSE)</f>
        <v>5.333333333333333</v>
      </c>
      <c r="V39" s="280">
        <f>VLOOKUP('SMR (Main)'!A39,'Ecological Impact '!$A$3:$I$65,9,FALSE)</f>
        <v>8</v>
      </c>
      <c r="W39" s="279">
        <v>5</v>
      </c>
      <c r="X39" s="279">
        <f>VLOOKUP('SMR (Main)'!A39,Scalability!$A$3:$C$66,3,FALSE)</f>
        <v>4.5</v>
      </c>
      <c r="Y39" s="279">
        <f>VLOOKUP('SMR (Main)'!A39,'Availability '!$A$3:$M$65,13,FALSE)</f>
        <v>6</v>
      </c>
      <c r="Z39" s="277">
        <f>VLOOKUP('SMR (Main)'!A39,Footprint!$A$3:$E$65,5,FALSE)</f>
        <v>5</v>
      </c>
      <c r="AA39" s="277">
        <f>VLOOKUP(A39,'Technology Readiness'!$A$2:$H$64,8,FALSE)</f>
        <v>2.2222222222222223</v>
      </c>
      <c r="AB39" s="279">
        <v>5</v>
      </c>
      <c r="AC39" s="277">
        <f>VLOOKUP('SMR (Main)'!A39,'Geopolitical Barriers'!$A$3:$C$65,3,FALSE)</f>
        <v>6.6229999999999993</v>
      </c>
      <c r="AD39" s="279">
        <f>VLOOKUP('SMR (Main)'!A39,'Economic Lifetime'!$A$3:$F$66,6,FALSE)</f>
        <v>7.5</v>
      </c>
      <c r="AE39" s="280">
        <f>VLOOKUP('SMR (Main)'!A39,'Production Efficiency'!$A$3:$F$65,6,FALSE)</f>
        <v>3</v>
      </c>
      <c r="AF39" s="279">
        <f>VLOOKUP(A39,'Waste management and decomissio'!A39:Q101,17)</f>
        <v>1</v>
      </c>
    </row>
    <row r="40" spans="1:32" ht="14.4" x14ac:dyDescent="0.3">
      <c r="A40" s="46" t="s">
        <v>215</v>
      </c>
      <c r="B40" t="s">
        <v>57</v>
      </c>
      <c r="C40" s="46" t="s">
        <v>58</v>
      </c>
      <c r="D40" t="s">
        <v>216</v>
      </c>
      <c r="E40" s="46" t="s">
        <v>60</v>
      </c>
      <c r="F40" s="46" t="s">
        <v>98</v>
      </c>
      <c r="G40" s="46" t="s">
        <v>217</v>
      </c>
      <c r="H40" s="46" t="s">
        <v>63</v>
      </c>
      <c r="I40" s="163" t="s">
        <v>55</v>
      </c>
      <c r="K40" s="46">
        <v>0</v>
      </c>
      <c r="L40" s="46">
        <v>200</v>
      </c>
      <c r="M40" s="46">
        <v>8</v>
      </c>
      <c r="N40" s="46">
        <v>232</v>
      </c>
      <c r="O40" s="46">
        <v>280</v>
      </c>
      <c r="P40" s="97">
        <v>0</v>
      </c>
      <c r="Q40" s="46">
        <v>60</v>
      </c>
      <c r="R40" s="278">
        <f>VLOOKUP('SMR (Main)'!A40,CAPEX!A40:I102,9,FALSE)</f>
        <v>6.25</v>
      </c>
      <c r="S40" s="279">
        <v>5</v>
      </c>
      <c r="T40" s="277">
        <f>VLOOKUP('SMR (Main)'!A40,Rentability!$A$3:$O$65,15,FALSE)</f>
        <v>0</v>
      </c>
      <c r="U40" s="277">
        <f>VLOOKUP('SMR (Main)'!A40,OPEX!$A$3:$M$65,13,FALSE)</f>
        <v>6</v>
      </c>
      <c r="V40" s="280">
        <f>VLOOKUP('SMR (Main)'!A40,'Ecological Impact '!$A$3:$I$65,9,FALSE)</f>
        <v>8</v>
      </c>
      <c r="W40" s="279">
        <v>5</v>
      </c>
      <c r="X40" s="279">
        <f>VLOOKUP('SMR (Main)'!A40,Scalability!$A$3:$C$66,3,FALSE)</f>
        <v>4.5</v>
      </c>
      <c r="Y40" s="279">
        <f>VLOOKUP('SMR (Main)'!A40,'Availability '!$A$3:$M$65,13,FALSE)</f>
        <v>6</v>
      </c>
      <c r="Z40" s="277">
        <f>VLOOKUP('SMR (Main)'!A40,Footprint!$A$3:$E$65,5,FALSE)</f>
        <v>5</v>
      </c>
      <c r="AA40" s="277">
        <f>VLOOKUP(A40,'Technology Readiness'!$A$2:$H$64,8,FALSE)</f>
        <v>4.4444444444444446</v>
      </c>
      <c r="AB40" s="279">
        <v>5</v>
      </c>
      <c r="AC40" s="277">
        <f>VLOOKUP('SMR (Main)'!A40,'Geopolitical Barriers'!$A$3:$C$65,3,FALSE)</f>
        <v>3.4459999999999997</v>
      </c>
      <c r="AD40" s="279">
        <f>VLOOKUP('SMR (Main)'!A40,'Economic Lifetime'!$A$3:$F$66,6,FALSE)</f>
        <v>7.5</v>
      </c>
      <c r="AE40" s="280">
        <f>VLOOKUP('SMR (Main)'!A40,'Production Efficiency'!$A$3:$F$65,6,FALSE)</f>
        <v>0</v>
      </c>
      <c r="AF40" s="279">
        <f>VLOOKUP(A40,'Waste management and decomissio'!A40:Q102,17)</f>
        <v>2</v>
      </c>
    </row>
    <row r="41" spans="1:32" ht="14.4" x14ac:dyDescent="0.3">
      <c r="A41" s="46" t="s">
        <v>218</v>
      </c>
      <c r="B41" t="s">
        <v>57</v>
      </c>
      <c r="C41" s="46" t="s">
        <v>58</v>
      </c>
      <c r="D41" t="s">
        <v>219</v>
      </c>
      <c r="E41" s="46" t="s">
        <v>172</v>
      </c>
      <c r="F41" s="46" t="s">
        <v>92</v>
      </c>
      <c r="G41" s="46" t="s">
        <v>220</v>
      </c>
      <c r="H41" s="46" t="s">
        <v>63</v>
      </c>
      <c r="I41" s="163" t="s">
        <v>55</v>
      </c>
      <c r="K41" s="46">
        <v>340</v>
      </c>
      <c r="L41" s="46">
        <v>1080</v>
      </c>
      <c r="M41" s="46">
        <v>15</v>
      </c>
      <c r="N41" s="46">
        <v>280</v>
      </c>
      <c r="O41" s="46">
        <v>307</v>
      </c>
      <c r="P41" s="97">
        <v>0</v>
      </c>
      <c r="Q41" s="46">
        <v>60</v>
      </c>
      <c r="R41" s="278">
        <f>VLOOKUP('SMR (Main)'!A41,CAPEX!A41:I103,9,FALSE)</f>
        <v>5.8333333333333339</v>
      </c>
      <c r="S41" s="279">
        <v>5</v>
      </c>
      <c r="T41" s="277">
        <f>VLOOKUP('SMR (Main)'!A41,Rentability!$A$3:$O$65,15,FALSE)</f>
        <v>6.4875870978024759</v>
      </c>
      <c r="U41" s="277">
        <f>VLOOKUP('SMR (Main)'!A41,OPEX!$A$3:$M$65,13,FALSE)</f>
        <v>6.4444444444444446</v>
      </c>
      <c r="V41" s="280">
        <f>VLOOKUP('SMR (Main)'!A41,'Ecological Impact '!$A$3:$I$65,9,FALSE)</f>
        <v>8</v>
      </c>
      <c r="W41" s="279">
        <v>5</v>
      </c>
      <c r="X41" s="279">
        <f>VLOOKUP('SMR (Main)'!A41,Scalability!$A$3:$C$66,3,FALSE)</f>
        <v>5.5</v>
      </c>
      <c r="Y41" s="279">
        <f>VLOOKUP('SMR (Main)'!A41,'Availability '!$A$3:$M$65,13,FALSE)</f>
        <v>5</v>
      </c>
      <c r="Z41" s="277">
        <f>VLOOKUP('SMR (Main)'!A41,Footprint!$A$3:$E$65,5,FALSE)</f>
        <v>5</v>
      </c>
      <c r="AA41" s="277">
        <f>VLOOKUP(A41,'Technology Readiness'!$A$2:$H$64,8,FALSE)</f>
        <v>4.4444444444444446</v>
      </c>
      <c r="AB41" s="279">
        <v>5</v>
      </c>
      <c r="AC41" s="277">
        <f>VLOOKUP('SMR (Main)'!A41,'Geopolitical Barriers'!$A$3:$C$65,3,FALSE)</f>
        <v>8.4619999999999997</v>
      </c>
      <c r="AD41" s="279">
        <f>VLOOKUP('SMR (Main)'!A41,'Economic Lifetime'!$A$3:$F$66,6,FALSE)</f>
        <v>7.5</v>
      </c>
      <c r="AE41" s="280">
        <f>VLOOKUP('SMR (Main)'!A41,'Production Efficiency'!$A$3:$F$65,6,FALSE)</f>
        <v>1</v>
      </c>
      <c r="AF41" s="279">
        <f>VLOOKUP(A41,'Waste management and decomissio'!A41:Q103,17)</f>
        <v>1</v>
      </c>
    </row>
    <row r="42" spans="1:32" ht="14.4" x14ac:dyDescent="0.3">
      <c r="A42" s="46" t="s">
        <v>221</v>
      </c>
      <c r="B42" t="s">
        <v>57</v>
      </c>
      <c r="C42" s="46" t="s">
        <v>96</v>
      </c>
      <c r="D42" t="s">
        <v>222</v>
      </c>
      <c r="E42" s="46" t="s">
        <v>124</v>
      </c>
      <c r="F42" s="46" t="s">
        <v>87</v>
      </c>
      <c r="G42" s="46" t="s">
        <v>223</v>
      </c>
      <c r="H42" s="46" t="s">
        <v>63</v>
      </c>
      <c r="I42" s="163" t="s">
        <v>55</v>
      </c>
      <c r="K42" s="46">
        <v>22</v>
      </c>
      <c r="L42" s="46">
        <v>73</v>
      </c>
      <c r="M42" s="46">
        <v>15.2</v>
      </c>
      <c r="N42" s="46">
        <v>296</v>
      </c>
      <c r="O42" s="46">
        <v>312</v>
      </c>
      <c r="P42" s="97">
        <v>0.30099999999999999</v>
      </c>
      <c r="Q42" s="46">
        <v>40</v>
      </c>
      <c r="R42" s="278">
        <f>VLOOKUP('SMR (Main)'!A42,CAPEX!A42:I104,9,FALSE)</f>
        <v>6.6666666666666661</v>
      </c>
      <c r="S42" s="279">
        <v>5</v>
      </c>
      <c r="T42" s="277">
        <f>VLOOKUP('SMR (Main)'!A42,Rentability!$A$3:$O$65,15,FALSE)</f>
        <v>5.3589165832666934</v>
      </c>
      <c r="U42" s="277">
        <f>VLOOKUP('SMR (Main)'!A42,OPEX!$A$3:$M$65,13,FALSE)</f>
        <v>6.2222222222222223</v>
      </c>
      <c r="V42" s="280">
        <f>VLOOKUP('SMR (Main)'!A42,'Ecological Impact '!$A$3:$I$65,9,FALSE)</f>
        <v>8</v>
      </c>
      <c r="W42" s="279">
        <v>5</v>
      </c>
      <c r="X42" s="279">
        <f>VLOOKUP('SMR (Main)'!A42,Scalability!$A$3:$C$66,3,FALSE)</f>
        <v>4.5</v>
      </c>
      <c r="Y42" s="279">
        <f>VLOOKUP('SMR (Main)'!A42,'Availability '!$A$3:$M$65,13,FALSE)</f>
        <v>3</v>
      </c>
      <c r="Z42" s="277">
        <f>VLOOKUP('SMR (Main)'!A42,Footprint!$A$3:$E$65,5,FALSE)</f>
        <v>5</v>
      </c>
      <c r="AA42" s="277">
        <f>VLOOKUP(A42,'Technology Readiness'!$A$2:$H$64,8,FALSE)</f>
        <v>7.7777777777777786</v>
      </c>
      <c r="AB42" s="279">
        <v>5</v>
      </c>
      <c r="AC42" s="277">
        <f>VLOOKUP('SMR (Main)'!A42,'Geopolitical Barriers'!$A$3:$C$65,3,FALSE)</f>
        <v>6.6229999999999993</v>
      </c>
      <c r="AD42" s="279">
        <f>VLOOKUP('SMR (Main)'!A42,'Economic Lifetime'!$A$3:$F$66,6,FALSE)</f>
        <v>5</v>
      </c>
      <c r="AE42" s="280">
        <f>VLOOKUP('SMR (Main)'!A42,'Production Efficiency'!$A$3:$F$65,6,FALSE)</f>
        <v>1</v>
      </c>
      <c r="AF42" s="279">
        <f>VLOOKUP(A42,'Waste management and decomissio'!A42:Q104,17)</f>
        <v>4</v>
      </c>
    </row>
    <row r="43" spans="1:32" ht="14.4" x14ac:dyDescent="0.3">
      <c r="A43" s="46" t="s">
        <v>224</v>
      </c>
      <c r="B43" t="s">
        <v>65</v>
      </c>
      <c r="C43" t="s">
        <v>66</v>
      </c>
      <c r="D43" t="s">
        <v>225</v>
      </c>
      <c r="E43" t="s">
        <v>68</v>
      </c>
      <c r="F43" t="s">
        <v>141</v>
      </c>
      <c r="G43" t="s">
        <v>226</v>
      </c>
      <c r="H43" t="s">
        <v>71</v>
      </c>
      <c r="I43" s="163" t="s">
        <v>55</v>
      </c>
      <c r="K43">
        <v>165</v>
      </c>
      <c r="L43">
        <v>400</v>
      </c>
      <c r="M43">
        <v>9</v>
      </c>
      <c r="N43">
        <v>500</v>
      </c>
      <c r="O43">
        <v>900</v>
      </c>
      <c r="P43" s="97">
        <v>0.41299999999999998</v>
      </c>
      <c r="Q43">
        <v>40</v>
      </c>
      <c r="R43" s="278">
        <f>VLOOKUP('SMR (Main)'!A43,CAPEX!A43:I105,9,FALSE)</f>
        <v>5.8333333333333339</v>
      </c>
      <c r="S43" s="279">
        <v>5</v>
      </c>
      <c r="T43" s="277">
        <f>VLOOKUP('SMR (Main)'!A43,Rentability!$A$3:$O$65,15,FALSE)</f>
        <v>5.7090542000767321</v>
      </c>
      <c r="U43" s="277">
        <f>VLOOKUP('SMR (Main)'!A43,OPEX!$A$3:$M$65,13,FALSE)</f>
        <v>5.1111111111111107</v>
      </c>
      <c r="V43" s="280">
        <f>VLOOKUP('SMR (Main)'!A43,'Ecological Impact '!$A$3:$I$65,9,FALSE)</f>
        <v>6</v>
      </c>
      <c r="W43" s="279">
        <v>5</v>
      </c>
      <c r="X43" s="279">
        <f>VLOOKUP('SMR (Main)'!A43,Scalability!$A$3:$C$66,3,FALSE)</f>
        <v>4.5</v>
      </c>
      <c r="Y43" s="279">
        <f>VLOOKUP('SMR (Main)'!A43,'Availability '!$A$3:$M$65,13,FALSE)</f>
        <v>10</v>
      </c>
      <c r="Z43" s="277">
        <f>VLOOKUP('SMR (Main)'!A43,Footprint!$A$3:$E$65,5,FALSE)</f>
        <v>5</v>
      </c>
      <c r="AA43" s="277">
        <f>VLOOKUP(A43,'Technology Readiness'!$A$2:$H$64,8,FALSE)</f>
        <v>4.4444444444444446</v>
      </c>
      <c r="AB43" s="279">
        <v>5</v>
      </c>
      <c r="AC43" s="277">
        <f>VLOOKUP('SMR (Main)'!A43,'Geopolitical Barriers'!$A$3:$C$65,3,FALSE)</f>
        <v>1.9360000000000004</v>
      </c>
      <c r="AD43" s="279">
        <f>VLOOKUP('SMR (Main)'!A43,'Economic Lifetime'!$A$3:$F$66,6,FALSE)</f>
        <v>5</v>
      </c>
      <c r="AE43" s="280">
        <f>VLOOKUP('SMR (Main)'!A43,'Production Efficiency'!$A$3:$F$65,6,FALSE)</f>
        <v>9</v>
      </c>
      <c r="AF43" s="279">
        <f>VLOOKUP(A43,'Waste management and decomissio'!A43:Q105,17)</f>
        <v>6</v>
      </c>
    </row>
    <row r="44" spans="1:32" ht="14.4" x14ac:dyDescent="0.3">
      <c r="A44" s="46" t="s">
        <v>227</v>
      </c>
      <c r="B44" t="s">
        <v>65</v>
      </c>
      <c r="C44" t="s">
        <v>66</v>
      </c>
      <c r="D44" s="50" t="s">
        <v>228</v>
      </c>
      <c r="E44" t="s">
        <v>229</v>
      </c>
      <c r="F44" t="s">
        <v>92</v>
      </c>
      <c r="G44" t="s">
        <v>230</v>
      </c>
      <c r="H44" t="s">
        <v>71</v>
      </c>
      <c r="I44" s="163" t="s">
        <v>55</v>
      </c>
      <c r="K44">
        <v>0</v>
      </c>
      <c r="L44">
        <v>40</v>
      </c>
      <c r="M44">
        <v>6</v>
      </c>
      <c r="N44">
        <v>250</v>
      </c>
      <c r="O44">
        <v>750</v>
      </c>
      <c r="P44" s="97">
        <v>0</v>
      </c>
      <c r="Q44">
        <v>40</v>
      </c>
      <c r="R44" s="278">
        <f>VLOOKUP('SMR (Main)'!A44,CAPEX!A44:I106,9,FALSE)</f>
        <v>5.8333333333333339</v>
      </c>
      <c r="S44" s="279">
        <v>5</v>
      </c>
      <c r="T44" s="277">
        <f>VLOOKUP('SMR (Main)'!A44,Rentability!$A$3:$O$65,15,FALSE)</f>
        <v>0</v>
      </c>
      <c r="U44" s="277">
        <f>VLOOKUP('SMR (Main)'!A44,OPEX!$A$3:$M$65,13,FALSE)</f>
        <v>5.333333333333333</v>
      </c>
      <c r="V44" s="280">
        <f>VLOOKUP('SMR (Main)'!A44,'Ecological Impact '!$A$3:$I$65,9,FALSE)</f>
        <v>6</v>
      </c>
      <c r="W44" s="279">
        <v>5</v>
      </c>
      <c r="X44" s="279">
        <f>VLOOKUP('SMR (Main)'!A44,Scalability!$A$3:$C$66,3,FALSE)</f>
        <v>4.5</v>
      </c>
      <c r="Y44" s="279">
        <f>VLOOKUP('SMR (Main)'!A44,'Availability '!$A$3:$M$65,13,FALSE)</f>
        <v>10</v>
      </c>
      <c r="Z44" s="277">
        <f>VLOOKUP('SMR (Main)'!A44,Footprint!$A$3:$E$65,5,FALSE)</f>
        <v>5</v>
      </c>
      <c r="AA44" s="277">
        <f>VLOOKUP(A44,'Technology Readiness'!$A$2:$H$64,8,FALSE)</f>
        <v>2.2222222222222223</v>
      </c>
      <c r="AB44" s="279">
        <v>5</v>
      </c>
      <c r="AC44" s="277">
        <f>VLOOKUP('SMR (Main)'!A44,'Geopolitical Barriers'!$A$3:$C$65,3,FALSE)</f>
        <v>3.7769999999999997</v>
      </c>
      <c r="AD44" s="279">
        <f>VLOOKUP('SMR (Main)'!A44,'Economic Lifetime'!$A$3:$F$66,6,FALSE)</f>
        <v>5</v>
      </c>
      <c r="AE44" s="280">
        <f>VLOOKUP('SMR (Main)'!A44,'Production Efficiency'!$A$3:$F$65,6,FALSE)</f>
        <v>0</v>
      </c>
      <c r="AF44" s="279">
        <f>VLOOKUP(A44,'Waste management and decomissio'!A44:Q106,17)</f>
        <v>4</v>
      </c>
    </row>
    <row r="45" spans="1:32" ht="14.4" x14ac:dyDescent="0.3">
      <c r="A45" s="46" t="s">
        <v>231</v>
      </c>
      <c r="B45" t="s">
        <v>57</v>
      </c>
      <c r="C45" s="46" t="s">
        <v>58</v>
      </c>
      <c r="D45" t="s">
        <v>232</v>
      </c>
      <c r="E45" s="46" t="s">
        <v>79</v>
      </c>
      <c r="F45" s="46" t="s">
        <v>233</v>
      </c>
      <c r="G45" s="46" t="s">
        <v>234</v>
      </c>
      <c r="H45" s="46" t="s">
        <v>235</v>
      </c>
      <c r="I45" s="163" t="s">
        <v>55</v>
      </c>
      <c r="K45" s="46">
        <v>55</v>
      </c>
      <c r="L45" s="46">
        <v>190</v>
      </c>
      <c r="M45" s="46">
        <v>15.7</v>
      </c>
      <c r="N45" s="46">
        <v>283</v>
      </c>
      <c r="O45" s="46">
        <v>321</v>
      </c>
      <c r="P45" s="97">
        <v>0.28899999999999998</v>
      </c>
      <c r="Q45" s="46">
        <v>60</v>
      </c>
      <c r="R45" s="278">
        <f>VLOOKUP('SMR (Main)'!A45,CAPEX!A45:I107,9,FALSE)</f>
        <v>7.0833333333333339</v>
      </c>
      <c r="S45" s="279">
        <v>5</v>
      </c>
      <c r="T45" s="277">
        <f>VLOOKUP('SMR (Main)'!A45,Rentability!$A$3:$O$65,15,FALSE)</f>
        <v>6.4875870978024759</v>
      </c>
      <c r="U45" s="277">
        <f>VLOOKUP('SMR (Main)'!A45,OPEX!$A$3:$M$65,13,FALSE)</f>
        <v>6</v>
      </c>
      <c r="V45" s="280">
        <f>VLOOKUP('SMR (Main)'!A45,'Ecological Impact '!$A$3:$I$65,9,FALSE)</f>
        <v>8</v>
      </c>
      <c r="W45" s="279">
        <v>5</v>
      </c>
      <c r="X45" s="279">
        <f>VLOOKUP('SMR (Main)'!A45,Scalability!$A$3:$C$66,3,FALSE)</f>
        <v>4.5</v>
      </c>
      <c r="Y45" s="279">
        <f>VLOOKUP('SMR (Main)'!A45,'Availability '!$A$3:$M$65,13,FALSE)</f>
        <v>8</v>
      </c>
      <c r="Z45" s="277">
        <f>VLOOKUP('SMR (Main)'!A45,Footprint!$A$3:$E$65,5,FALSE)</f>
        <v>5</v>
      </c>
      <c r="AA45" s="277">
        <f>VLOOKUP(A45,'Technology Readiness'!$A$2:$H$64,8,FALSE)</f>
        <v>7.7777777777777786</v>
      </c>
      <c r="AB45" s="279">
        <v>5</v>
      </c>
      <c r="AC45" s="277">
        <f>VLOOKUP('SMR (Main)'!A45,'Geopolitical Barriers'!$A$3:$C$65,3,FALSE)</f>
        <v>8.7000000000000188E-2</v>
      </c>
      <c r="AD45" s="279">
        <f>VLOOKUP('SMR (Main)'!A45,'Economic Lifetime'!$A$3:$F$66,6,FALSE)</f>
        <v>7.5</v>
      </c>
      <c r="AE45" s="280">
        <f>VLOOKUP('SMR (Main)'!A45,'Production Efficiency'!$A$3:$F$65,6,FALSE)</f>
        <v>1</v>
      </c>
      <c r="AF45" s="279">
        <f>VLOOKUP(A45,'Waste management and decomissio'!A45:Q107,17)</f>
        <v>4</v>
      </c>
    </row>
    <row r="46" spans="1:32" ht="14.4" x14ac:dyDescent="0.3">
      <c r="A46" s="46" t="s">
        <v>236</v>
      </c>
      <c r="B46" t="s">
        <v>57</v>
      </c>
      <c r="C46" s="46" t="s">
        <v>96</v>
      </c>
      <c r="D46" t="s">
        <v>237</v>
      </c>
      <c r="E46" s="46" t="s">
        <v>238</v>
      </c>
      <c r="F46" s="46" t="s">
        <v>87</v>
      </c>
      <c r="G46" s="46" t="s">
        <v>239</v>
      </c>
      <c r="H46" s="46" t="s">
        <v>63</v>
      </c>
      <c r="I46" s="163" t="s">
        <v>55</v>
      </c>
      <c r="K46" s="46">
        <v>470</v>
      </c>
      <c r="L46" s="46">
        <v>1358</v>
      </c>
      <c r="M46" s="46">
        <v>15.5</v>
      </c>
      <c r="N46" s="46">
        <v>295</v>
      </c>
      <c r="O46" s="46">
        <v>325</v>
      </c>
      <c r="P46" s="97">
        <v>0.34599999999999997</v>
      </c>
      <c r="Q46" s="46">
        <v>60</v>
      </c>
      <c r="R46" s="278">
        <f>VLOOKUP('SMR (Main)'!A46,CAPEX!A46:I108,9,FALSE)</f>
        <v>5.4166666666666661</v>
      </c>
      <c r="S46" s="279">
        <v>5</v>
      </c>
      <c r="T46" s="277">
        <f>VLOOKUP('SMR (Main)'!A46,Rentability!$A$3:$O$65,15,FALSE)</f>
        <v>7.302383597626628</v>
      </c>
      <c r="U46" s="277">
        <f>VLOOKUP('SMR (Main)'!A46,OPEX!$A$3:$M$65,13,FALSE)</f>
        <v>4.666666666666667</v>
      </c>
      <c r="V46" s="280">
        <f>VLOOKUP('SMR (Main)'!A46,'Ecological Impact '!$A$3:$I$65,9,FALSE)</f>
        <v>8</v>
      </c>
      <c r="W46" s="279">
        <v>5</v>
      </c>
      <c r="X46" s="279">
        <f>VLOOKUP('SMR (Main)'!A46,Scalability!$A$3:$C$66,3,FALSE)</f>
        <v>4.5</v>
      </c>
      <c r="Y46" s="279">
        <f>VLOOKUP('SMR (Main)'!A46,'Availability '!$A$3:$M$65,13,FALSE)</f>
        <v>5</v>
      </c>
      <c r="Z46" s="277">
        <f>VLOOKUP('SMR (Main)'!A46,Footprint!$A$3:$E$65,5,FALSE)</f>
        <v>5</v>
      </c>
      <c r="AA46" s="277">
        <f>VLOOKUP(A46,'Technology Readiness'!$A$2:$H$64,8,FALSE)</f>
        <v>7.7777777777777786</v>
      </c>
      <c r="AB46" s="279">
        <v>5</v>
      </c>
      <c r="AC46" s="277">
        <f>VLOOKUP('SMR (Main)'!A46,'Geopolitical Barriers'!$A$3:$C$65,3,FALSE)</f>
        <v>4.8420000000000005</v>
      </c>
      <c r="AD46" s="279">
        <f>VLOOKUP('SMR (Main)'!A46,'Economic Lifetime'!$A$3:$F$66,6,FALSE)</f>
        <v>7.5</v>
      </c>
      <c r="AE46" s="280">
        <f>VLOOKUP('SMR (Main)'!A46,'Production Efficiency'!$A$3:$F$65,6,FALSE)</f>
        <v>3</v>
      </c>
      <c r="AF46" s="279">
        <f>VLOOKUP(A46,'Waste management and decomissio'!A46:Q108,17)</f>
        <v>4</v>
      </c>
    </row>
    <row r="47" spans="1:32" ht="14.4" x14ac:dyDescent="0.3">
      <c r="A47" s="46" t="s">
        <v>240</v>
      </c>
      <c r="B47" t="s">
        <v>57</v>
      </c>
      <c r="C47" s="46" t="s">
        <v>118</v>
      </c>
      <c r="D47" t="s">
        <v>241</v>
      </c>
      <c r="E47" s="46" t="s">
        <v>79</v>
      </c>
      <c r="F47" s="46" t="s">
        <v>92</v>
      </c>
      <c r="G47" s="46" t="s">
        <v>242</v>
      </c>
      <c r="H47" s="46" t="s">
        <v>63</v>
      </c>
      <c r="I47" s="163" t="s">
        <v>55</v>
      </c>
      <c r="K47" s="46">
        <v>0</v>
      </c>
      <c r="L47" s="46">
        <v>70</v>
      </c>
      <c r="M47" s="46">
        <v>0.101325</v>
      </c>
      <c r="N47" s="46">
        <v>75</v>
      </c>
      <c r="O47" s="46">
        <v>102</v>
      </c>
      <c r="P47" s="97">
        <v>0</v>
      </c>
      <c r="Q47" s="46">
        <v>60</v>
      </c>
      <c r="R47" s="278">
        <f>VLOOKUP('SMR (Main)'!A47,CAPEX!A47:I109,9,FALSE)</f>
        <v>7.0833333333333339</v>
      </c>
      <c r="S47" s="279">
        <v>5</v>
      </c>
      <c r="T47" s="277">
        <f>VLOOKUP('SMR (Main)'!A47,Rentability!$A$3:$O$65,15,FALSE)</f>
        <v>0</v>
      </c>
      <c r="U47" s="277">
        <f>VLOOKUP('SMR (Main)'!A47,OPEX!$A$3:$M$65,13,FALSE)</f>
        <v>6.4444444444444446</v>
      </c>
      <c r="V47" s="280">
        <f>VLOOKUP('SMR (Main)'!A47,'Ecological Impact '!$A$3:$I$65,9,FALSE)</f>
        <v>8</v>
      </c>
      <c r="W47" s="279">
        <v>5</v>
      </c>
      <c r="X47" s="279">
        <f>VLOOKUP('SMR (Main)'!A47,Scalability!$A$3:$C$66,3,FALSE)</f>
        <v>4.5</v>
      </c>
      <c r="Y47" s="279">
        <f>VLOOKUP('SMR (Main)'!A47,'Availability '!$A$3:$M$65,13,FALSE)</f>
        <v>7</v>
      </c>
      <c r="Z47" s="277">
        <f>VLOOKUP('SMR (Main)'!A47,Footprint!$A$3:$E$65,5,FALSE)</f>
        <v>5</v>
      </c>
      <c r="AA47" s="277">
        <f>VLOOKUP(A47,'Technology Readiness'!$A$2:$H$64,8,FALSE)</f>
        <v>3.3333333333333335</v>
      </c>
      <c r="AB47" s="279">
        <v>5</v>
      </c>
      <c r="AC47" s="277">
        <f>VLOOKUP('SMR (Main)'!A47,'Geopolitical Barriers'!$A$3:$C$65,3,FALSE)</f>
        <v>8.7000000000000188E-2</v>
      </c>
      <c r="AD47" s="279">
        <f>VLOOKUP('SMR (Main)'!A47,'Economic Lifetime'!$A$3:$F$66,6,FALSE)</f>
        <v>7.5</v>
      </c>
      <c r="AE47" s="280">
        <f>VLOOKUP('SMR (Main)'!A47,'Production Efficiency'!$A$3:$F$65,6,FALSE)</f>
        <v>0</v>
      </c>
      <c r="AF47" s="279">
        <f>VLOOKUP(A47,'Waste management and decomissio'!A47:Q109,17)</f>
        <v>4</v>
      </c>
    </row>
    <row r="48" spans="1:32" ht="14.4" x14ac:dyDescent="0.3">
      <c r="A48" s="46" t="s">
        <v>243</v>
      </c>
      <c r="B48" t="s">
        <v>65</v>
      </c>
      <c r="C48" t="s">
        <v>136</v>
      </c>
      <c r="D48" t="s">
        <v>244</v>
      </c>
      <c r="E48" t="s">
        <v>124</v>
      </c>
      <c r="F48" t="s">
        <v>245</v>
      </c>
      <c r="G48" t="s">
        <v>246</v>
      </c>
      <c r="H48" t="s">
        <v>71</v>
      </c>
      <c r="I48" s="163" t="s">
        <v>55</v>
      </c>
      <c r="K48">
        <v>272</v>
      </c>
      <c r="L48">
        <v>625</v>
      </c>
      <c r="M48">
        <v>16</v>
      </c>
      <c r="N48">
        <v>325</v>
      </c>
      <c r="O48">
        <v>750</v>
      </c>
      <c r="P48" s="97">
        <v>0.435</v>
      </c>
      <c r="Q48">
        <v>80</v>
      </c>
      <c r="R48" s="278">
        <f>VLOOKUP('SMR (Main)'!A48,CAPEX!A48:I110,9,FALSE)</f>
        <v>5.4166666666666661</v>
      </c>
      <c r="S48" s="279">
        <v>5</v>
      </c>
      <c r="T48" s="277">
        <f>VLOOKUP('SMR (Main)'!A48,Rentability!$A$3:$O$65,15,FALSE)</f>
        <v>6.5564143605505389</v>
      </c>
      <c r="U48" s="277">
        <f>VLOOKUP('SMR (Main)'!A48,OPEX!$A$3:$M$65,13,FALSE)</f>
        <v>4.666666666666667</v>
      </c>
      <c r="V48" s="280">
        <f>VLOOKUP('SMR (Main)'!A48,'Ecological Impact '!$A$3:$I$65,9,FALSE)</f>
        <v>6</v>
      </c>
      <c r="W48" s="279">
        <v>5</v>
      </c>
      <c r="X48" s="279">
        <f>VLOOKUP('SMR (Main)'!A48,Scalability!$A$3:$C$66,3,FALSE)</f>
        <v>5.5</v>
      </c>
      <c r="Y48" s="279">
        <f>VLOOKUP('SMR (Main)'!A48,'Availability '!$A$3:$M$65,13,FALSE)</f>
        <v>5</v>
      </c>
      <c r="Z48" s="277">
        <f>VLOOKUP('SMR (Main)'!A48,Footprint!$A$3:$E$65,5,FALSE)</f>
        <v>5</v>
      </c>
      <c r="AA48" s="277">
        <f>VLOOKUP(A48,'Technology Readiness'!$A$2:$H$64,8,FALSE)</f>
        <v>5.5555555555555554</v>
      </c>
      <c r="AB48" s="279">
        <v>5</v>
      </c>
      <c r="AC48" s="277">
        <f>VLOOKUP('SMR (Main)'!A48,'Geopolitical Barriers'!$A$3:$C$65,3,FALSE)</f>
        <v>6.6229999999999993</v>
      </c>
      <c r="AD48" s="279">
        <f>VLOOKUP('SMR (Main)'!A48,'Economic Lifetime'!$A$3:$F$66,6,FALSE)</f>
        <v>10</v>
      </c>
      <c r="AE48" s="280">
        <f>VLOOKUP('SMR (Main)'!A48,'Production Efficiency'!$A$3:$F$65,6,FALSE)</f>
        <v>9</v>
      </c>
      <c r="AF48" s="279">
        <f>VLOOKUP(A48,'Waste management and decomissio'!A48:Q110,17)</f>
        <v>6</v>
      </c>
    </row>
    <row r="49" spans="1:32" ht="14.4" x14ac:dyDescent="0.3">
      <c r="A49" s="47" t="s">
        <v>247</v>
      </c>
      <c r="B49" t="s">
        <v>48</v>
      </c>
      <c r="C49" s="47" t="s">
        <v>248</v>
      </c>
      <c r="D49" s="47" t="s">
        <v>249</v>
      </c>
      <c r="E49" s="47" t="s">
        <v>250</v>
      </c>
      <c r="F49" s="47" t="s">
        <v>187</v>
      </c>
      <c r="G49" s="47" t="s">
        <v>251</v>
      </c>
      <c r="H49" s="47" t="s">
        <v>82</v>
      </c>
      <c r="I49" s="163" t="s">
        <v>55</v>
      </c>
      <c r="K49">
        <v>55</v>
      </c>
      <c r="L49">
        <v>140</v>
      </c>
      <c r="M49">
        <v>0.101325</v>
      </c>
      <c r="N49">
        <v>420</v>
      </c>
      <c r="O49">
        <v>550</v>
      </c>
      <c r="P49" s="97">
        <v>0.39300000000000002</v>
      </c>
      <c r="Q49">
        <v>28</v>
      </c>
      <c r="R49" s="278">
        <f>VLOOKUP('SMR (Main)'!A49,CAPEX!A49:I111,9,FALSE)</f>
        <v>5.8333333333333339</v>
      </c>
      <c r="S49" s="279">
        <v>5</v>
      </c>
      <c r="T49" s="277">
        <f>VLOOKUP('SMR (Main)'!A49,Rentability!$A$3:$O$65,15,FALSE)</f>
        <v>6.8548748942587725</v>
      </c>
      <c r="U49" s="277">
        <f>VLOOKUP('SMR (Main)'!A49,OPEX!$A$3:$M$65,13,FALSE)</f>
        <v>5.5555555555555562</v>
      </c>
      <c r="V49" s="280">
        <f>VLOOKUP('SMR (Main)'!A49,'Ecological Impact '!$A$3:$I$65,9,FALSE)</f>
        <v>2</v>
      </c>
      <c r="W49" s="279">
        <v>5</v>
      </c>
      <c r="X49" s="279">
        <f>VLOOKUP('SMR (Main)'!A49,Scalability!$A$3:$C$66,3,FALSE)</f>
        <v>4.5</v>
      </c>
      <c r="Y49" s="279">
        <f>VLOOKUP('SMR (Main)'!A49,'Availability '!$A$3:$M$65,13,FALSE)</f>
        <v>9</v>
      </c>
      <c r="Z49" s="277">
        <f>VLOOKUP('SMR (Main)'!A49,Footprint!$A$3:$E$65,5,FALSE)</f>
        <v>5</v>
      </c>
      <c r="AA49" s="277">
        <f>VLOOKUP(A49,'Technology Readiness'!$A$2:$H$64,8,FALSE)</f>
        <v>3.3333333333333335</v>
      </c>
      <c r="AB49" s="279">
        <v>5</v>
      </c>
      <c r="AC49" s="277">
        <f>VLOOKUP('SMR (Main)'!A49,'Geopolitical Barriers'!$A$3:$C$65,3,FALSE)</f>
        <v>4.4399999999999995</v>
      </c>
      <c r="AD49" s="279">
        <f>VLOOKUP('SMR (Main)'!A49,'Economic Lifetime'!$A$3:$F$66,6,FALSE)</f>
        <v>3.5</v>
      </c>
      <c r="AE49" s="280">
        <f>VLOOKUP('SMR (Main)'!A49,'Production Efficiency'!$A$3:$F$65,6,FALSE)</f>
        <v>9</v>
      </c>
      <c r="AF49" s="279">
        <f>VLOOKUP(A49,'Waste management and decomissio'!A49:Q111,17)</f>
        <v>4</v>
      </c>
    </row>
    <row r="50" spans="1:32" ht="14.4" x14ac:dyDescent="0.3">
      <c r="A50" s="46" t="s">
        <v>252</v>
      </c>
      <c r="B50" t="s">
        <v>57</v>
      </c>
      <c r="C50" s="46" t="s">
        <v>58</v>
      </c>
      <c r="D50" t="s">
        <v>253</v>
      </c>
      <c r="E50" s="46" t="s">
        <v>254</v>
      </c>
      <c r="F50" s="46" t="s">
        <v>87</v>
      </c>
      <c r="G50" s="46" t="s">
        <v>255</v>
      </c>
      <c r="H50" s="46" t="s">
        <v>63</v>
      </c>
      <c r="I50" s="163" t="s">
        <v>55</v>
      </c>
      <c r="K50" s="46">
        <v>107</v>
      </c>
      <c r="L50" s="46">
        <v>365</v>
      </c>
      <c r="M50" s="46">
        <v>15</v>
      </c>
      <c r="N50" s="46">
        <v>296</v>
      </c>
      <c r="O50" s="46">
        <v>322</v>
      </c>
      <c r="P50" s="97">
        <v>0.29299999999999998</v>
      </c>
      <c r="Q50" s="46">
        <v>60</v>
      </c>
      <c r="R50" s="278">
        <f>VLOOKUP('SMR (Main)'!A50,CAPEX!A50:I112,9,FALSE)</f>
        <v>6.25</v>
      </c>
      <c r="S50" s="279">
        <v>5</v>
      </c>
      <c r="T50" s="277">
        <f>VLOOKUP('SMR (Main)'!A50,Rentability!$A$3:$O$65,15,FALSE)</f>
        <v>6.7274803796768872</v>
      </c>
      <c r="U50" s="277">
        <f>VLOOKUP('SMR (Main)'!A50,OPEX!$A$3:$M$65,13,FALSE)</f>
        <v>5.7777777777777786</v>
      </c>
      <c r="V50" s="280">
        <f>VLOOKUP('SMR (Main)'!A50,'Ecological Impact '!$A$3:$I$65,9,FALSE)</f>
        <v>8</v>
      </c>
      <c r="W50" s="279">
        <v>5</v>
      </c>
      <c r="X50" s="279">
        <f>VLOOKUP('SMR (Main)'!A50,Scalability!$A$3:$C$66,3,FALSE)</f>
        <v>4.5</v>
      </c>
      <c r="Y50" s="279">
        <f>VLOOKUP('SMR (Main)'!A50,'Availability '!$A$3:$M$65,13,FALSE)</f>
        <v>6</v>
      </c>
      <c r="Z50" s="277">
        <f>VLOOKUP('SMR (Main)'!A50,Footprint!$A$3:$E$65,5,FALSE)</f>
        <v>5</v>
      </c>
      <c r="AA50" s="277">
        <f>VLOOKUP(A50,'Technology Readiness'!$A$2:$H$64,8,FALSE)</f>
        <v>6.666666666666667</v>
      </c>
      <c r="AB50" s="279">
        <v>5</v>
      </c>
      <c r="AC50" s="277">
        <f>VLOOKUP('SMR (Main)'!A50,'Geopolitical Barriers'!$A$3:$C$65,3,FALSE)</f>
        <v>5.9935</v>
      </c>
      <c r="AD50" s="279">
        <f>VLOOKUP('SMR (Main)'!A50,'Economic Lifetime'!$A$3:$F$66,6,FALSE)</f>
        <v>7.5</v>
      </c>
      <c r="AE50" s="280">
        <f>VLOOKUP('SMR (Main)'!A50,'Production Efficiency'!$A$3:$F$65,6,FALSE)</f>
        <v>1</v>
      </c>
      <c r="AF50" s="279">
        <f>VLOOKUP(A50,'Waste management and decomissio'!A50:Q112,17)</f>
        <v>4</v>
      </c>
    </row>
    <row r="51" spans="1:32" ht="14.4" x14ac:dyDescent="0.3">
      <c r="A51" s="46" t="s">
        <v>256</v>
      </c>
      <c r="B51" t="s">
        <v>57</v>
      </c>
      <c r="C51" s="46" t="s">
        <v>96</v>
      </c>
      <c r="D51" t="s">
        <v>257</v>
      </c>
      <c r="E51" s="46" t="s">
        <v>124</v>
      </c>
      <c r="F51" s="46" t="s">
        <v>141</v>
      </c>
      <c r="G51" s="46" t="s">
        <v>258</v>
      </c>
      <c r="H51" s="46" t="s">
        <v>63</v>
      </c>
      <c r="I51" s="163" t="s">
        <v>55</v>
      </c>
      <c r="K51" s="46">
        <v>160</v>
      </c>
      <c r="L51" s="46">
        <v>525</v>
      </c>
      <c r="M51" s="46">
        <v>15.5</v>
      </c>
      <c r="N51" s="46">
        <v>243</v>
      </c>
      <c r="O51" s="46">
        <v>321</v>
      </c>
      <c r="P51" s="97">
        <v>0.30499999999999999</v>
      </c>
      <c r="Q51" s="46">
        <v>80</v>
      </c>
      <c r="R51" s="278">
        <f>VLOOKUP('SMR (Main)'!A51,CAPEX!A51:I113,9,FALSE)</f>
        <v>6.25</v>
      </c>
      <c r="S51" s="279">
        <v>5</v>
      </c>
      <c r="T51" s="277">
        <f>VLOOKUP('SMR (Main)'!A51,Rentability!$A$3:$O$65,15,FALSE)</f>
        <v>7.0706781155404013</v>
      </c>
      <c r="U51" s="277">
        <f>VLOOKUP('SMR (Main)'!A51,OPEX!$A$3:$M$65,13,FALSE)</f>
        <v>5.333333333333333</v>
      </c>
      <c r="V51" s="280">
        <f>VLOOKUP('SMR (Main)'!A51,'Ecological Impact '!$A$3:$I$65,9,FALSE)</f>
        <v>8</v>
      </c>
      <c r="W51" s="279">
        <v>5</v>
      </c>
      <c r="X51" s="279">
        <f>VLOOKUP('SMR (Main)'!A51,Scalability!$A$3:$C$66,3,FALSE)</f>
        <v>4.5</v>
      </c>
      <c r="Y51" s="279">
        <f>VLOOKUP('SMR (Main)'!A51,'Availability '!$A$3:$M$65,13,FALSE)</f>
        <v>7</v>
      </c>
      <c r="Z51" s="277">
        <f>VLOOKUP('SMR (Main)'!A51,Footprint!$A$3:$E$65,5,FALSE)</f>
        <v>5</v>
      </c>
      <c r="AA51" s="277">
        <f>VLOOKUP(A51,'Technology Readiness'!$A$2:$H$64,8,FALSE)</f>
        <v>5.5555555555555554</v>
      </c>
      <c r="AB51" s="279">
        <v>5</v>
      </c>
      <c r="AC51" s="277">
        <f>VLOOKUP('SMR (Main)'!A51,'Geopolitical Barriers'!$A$3:$C$65,3,FALSE)</f>
        <v>6.6229999999999993</v>
      </c>
      <c r="AD51" s="279">
        <f>VLOOKUP('SMR (Main)'!A51,'Economic Lifetime'!$A$3:$F$66,6,FALSE)</f>
        <v>10</v>
      </c>
      <c r="AE51" s="280">
        <f>VLOOKUP('SMR (Main)'!A51,'Production Efficiency'!$A$3:$F$65,6,FALSE)</f>
        <v>1</v>
      </c>
      <c r="AF51" s="279">
        <f>VLOOKUP(A51,'Waste management and decomissio'!A51:Q113,17)</f>
        <v>6</v>
      </c>
    </row>
    <row r="52" spans="1:32" ht="14.4" x14ac:dyDescent="0.3">
      <c r="A52" s="46" t="s">
        <v>259</v>
      </c>
      <c r="B52" t="s">
        <v>105</v>
      </c>
      <c r="C52" t="s">
        <v>106</v>
      </c>
      <c r="D52" t="s">
        <v>260</v>
      </c>
      <c r="E52" t="s">
        <v>60</v>
      </c>
      <c r="F52" t="s">
        <v>211</v>
      </c>
      <c r="G52" t="s">
        <v>261</v>
      </c>
      <c r="H52" t="s">
        <v>262</v>
      </c>
      <c r="I52" s="163" t="s">
        <v>55</v>
      </c>
      <c r="K52">
        <v>168</v>
      </c>
      <c r="L52">
        <v>400</v>
      </c>
      <c r="M52">
        <v>0.101325</v>
      </c>
      <c r="N52">
        <v>650</v>
      </c>
      <c r="O52">
        <v>700</v>
      </c>
      <c r="P52" s="97">
        <v>0.42</v>
      </c>
      <c r="Q52">
        <v>60</v>
      </c>
      <c r="R52" s="278">
        <f>VLOOKUP('SMR (Main)'!A52,CAPEX!A52:I114,9,FALSE)</f>
        <v>5</v>
      </c>
      <c r="S52" s="279">
        <v>5</v>
      </c>
      <c r="T52" s="277">
        <f>VLOOKUP('SMR (Main)'!A52,Rentability!$A$3:$O$65,15,FALSE)</f>
        <v>4.8025801712268708</v>
      </c>
      <c r="U52" s="277">
        <f>VLOOKUP('SMR (Main)'!A52,OPEX!$A$3:$M$65,13,FALSE)</f>
        <v>5.1111111111111107</v>
      </c>
      <c r="V52" s="280">
        <f>VLOOKUP('SMR (Main)'!A52,'Ecological Impact '!$A$3:$I$65,9,FALSE)</f>
        <v>3</v>
      </c>
      <c r="W52" s="279">
        <v>5</v>
      </c>
      <c r="X52" s="279">
        <f>VLOOKUP('SMR (Main)'!A52,Scalability!$A$3:$C$66,3,FALSE)</f>
        <v>4.5</v>
      </c>
      <c r="Y52" s="279">
        <f>VLOOKUP('SMR (Main)'!A52,'Availability '!$A$3:$M$65,13,FALSE)</f>
        <v>9</v>
      </c>
      <c r="Z52" s="277">
        <f>VLOOKUP('SMR (Main)'!A52,Footprint!$A$3:$E$65,5,FALSE)</f>
        <v>5</v>
      </c>
      <c r="AA52" s="277">
        <f>VLOOKUP(A52,'Technology Readiness'!$A$2:$H$64,8,FALSE)</f>
        <v>1.1111111111111112</v>
      </c>
      <c r="AB52" s="279">
        <v>5</v>
      </c>
      <c r="AC52" s="277">
        <f>VLOOKUP('SMR (Main)'!A52,'Geopolitical Barriers'!$A$3:$C$65,3,FALSE)</f>
        <v>3.4459999999999997</v>
      </c>
      <c r="AD52" s="279">
        <f>VLOOKUP('SMR (Main)'!A52,'Economic Lifetime'!$A$3:$F$66,6,FALSE)</f>
        <v>7.5</v>
      </c>
      <c r="AE52" s="280">
        <f>VLOOKUP('SMR (Main)'!A52,'Production Efficiency'!$A$3:$F$65,6,FALSE)</f>
        <v>9</v>
      </c>
      <c r="AF52" s="279">
        <f>VLOOKUP(A52,'Waste management and decomissio'!A52:Q114,17)</f>
        <v>6</v>
      </c>
    </row>
    <row r="53" spans="1:32" ht="14.4" x14ac:dyDescent="0.3">
      <c r="A53" s="46" t="s">
        <v>263</v>
      </c>
      <c r="B53" t="s">
        <v>105</v>
      </c>
      <c r="C53" t="s">
        <v>264</v>
      </c>
      <c r="D53" t="s">
        <v>265</v>
      </c>
      <c r="E53" t="s">
        <v>238</v>
      </c>
      <c r="F53" t="s">
        <v>266</v>
      </c>
      <c r="G53" t="s">
        <v>267</v>
      </c>
      <c r="H53" s="50" t="s">
        <v>268</v>
      </c>
      <c r="I53" s="163" t="s">
        <v>55</v>
      </c>
      <c r="K53">
        <v>16</v>
      </c>
      <c r="L53">
        <v>40</v>
      </c>
      <c r="M53">
        <v>0.101325</v>
      </c>
      <c r="N53">
        <v>725</v>
      </c>
      <c r="O53">
        <v>795</v>
      </c>
      <c r="P53" s="97">
        <v>0.4</v>
      </c>
      <c r="Q53">
        <v>60</v>
      </c>
      <c r="R53" s="278">
        <f>VLOOKUP('SMR (Main)'!A53,CAPEX!A53:I115,9,FALSE)</f>
        <v>6.25</v>
      </c>
      <c r="S53" s="279">
        <v>5</v>
      </c>
      <c r="T53" s="277">
        <f>VLOOKUP('SMR (Main)'!A53,Rentability!$A$3:$O$65,15,FALSE)</f>
        <v>1.9049288565303697</v>
      </c>
      <c r="U53" s="277">
        <f>VLOOKUP('SMR (Main)'!A53,OPEX!$A$3:$M$65,13,FALSE)</f>
        <v>6</v>
      </c>
      <c r="V53" s="280">
        <f>VLOOKUP('SMR (Main)'!A53,'Ecological Impact '!$A$3:$I$65,9,FALSE)</f>
        <v>3</v>
      </c>
      <c r="W53" s="279">
        <v>5</v>
      </c>
      <c r="X53" s="279">
        <f>VLOOKUP('SMR (Main)'!A53,Scalability!$A$3:$C$66,3,FALSE)</f>
        <v>4.5</v>
      </c>
      <c r="Y53" s="279">
        <f>VLOOKUP('SMR (Main)'!A53,'Availability '!$A$3:$M$65,13,FALSE)</f>
        <v>9</v>
      </c>
      <c r="Z53" s="277">
        <f>VLOOKUP('SMR (Main)'!A53,Footprint!$A$3:$E$65,5,FALSE)</f>
        <v>5</v>
      </c>
      <c r="AA53" s="277">
        <f>VLOOKUP(A53,'Technology Readiness'!$A$2:$H$64,8,FALSE)</f>
        <v>5.5555555555555554</v>
      </c>
      <c r="AB53" s="279">
        <v>5</v>
      </c>
      <c r="AC53" s="277">
        <f>VLOOKUP('SMR (Main)'!A53,'Geopolitical Barriers'!$A$3:$C$65,3,FALSE)</f>
        <v>4.8420000000000005</v>
      </c>
      <c r="AD53" s="279">
        <f>VLOOKUP('SMR (Main)'!A53,'Economic Lifetime'!$A$3:$F$66,6,FALSE)</f>
        <v>7.5</v>
      </c>
      <c r="AE53" s="280">
        <f>VLOOKUP('SMR (Main)'!A53,'Production Efficiency'!$A$3:$F$65,6,FALSE)</f>
        <v>9</v>
      </c>
      <c r="AF53" s="279">
        <f>VLOOKUP(A53,'Waste management and decomissio'!A53:Q115,17)</f>
        <v>9</v>
      </c>
    </row>
    <row r="54" spans="1:32" ht="14.4" x14ac:dyDescent="0.3">
      <c r="A54" s="46" t="s">
        <v>269</v>
      </c>
      <c r="B54" t="s">
        <v>105</v>
      </c>
      <c r="C54" t="s">
        <v>270</v>
      </c>
      <c r="D54" t="s">
        <v>271</v>
      </c>
      <c r="E54" t="s">
        <v>74</v>
      </c>
      <c r="F54" t="s">
        <v>109</v>
      </c>
      <c r="G54" t="s">
        <v>272</v>
      </c>
      <c r="H54" t="s">
        <v>273</v>
      </c>
      <c r="I54" s="163" t="s">
        <v>55</v>
      </c>
      <c r="K54">
        <v>300</v>
      </c>
      <c r="L54">
        <v>750</v>
      </c>
      <c r="M54">
        <v>0.101325</v>
      </c>
      <c r="N54">
        <v>575</v>
      </c>
      <c r="O54">
        <v>625</v>
      </c>
      <c r="P54" s="97">
        <v>0.4</v>
      </c>
      <c r="Q54">
        <v>60</v>
      </c>
      <c r="R54" s="278">
        <f>VLOOKUP('SMR (Main)'!A54,CAPEX!A54:I116,9,FALSE)</f>
        <v>4.583333333333333</v>
      </c>
      <c r="S54" s="279">
        <v>5</v>
      </c>
      <c r="T54" s="277">
        <f>VLOOKUP('SMR (Main)'!A54,Rentability!$A$3:$O$65,15,FALSE)</f>
        <v>6.9985508855299665</v>
      </c>
      <c r="U54" s="277">
        <f>VLOOKUP('SMR (Main)'!A54,OPEX!$A$3:$M$65,13,FALSE)</f>
        <v>4.666666666666667</v>
      </c>
      <c r="V54" s="280">
        <f>VLOOKUP('SMR (Main)'!A54,'Ecological Impact '!$A$3:$I$65,9,FALSE)</f>
        <v>3</v>
      </c>
      <c r="W54" s="279">
        <v>5</v>
      </c>
      <c r="X54" s="279">
        <f>VLOOKUP('SMR (Main)'!A54,Scalability!$A$3:$C$66,3,FALSE)</f>
        <v>4.5</v>
      </c>
      <c r="Y54" s="279">
        <f>VLOOKUP('SMR (Main)'!A54,'Availability '!$A$3:$M$65,13,FALSE)</f>
        <v>10</v>
      </c>
      <c r="Z54" s="277">
        <f>VLOOKUP('SMR (Main)'!A54,Footprint!$A$3:$E$65,5,FALSE)</f>
        <v>5</v>
      </c>
      <c r="AA54" s="277">
        <f>VLOOKUP(A54,'Technology Readiness'!$A$2:$H$64,8,FALSE)</f>
        <v>3.3333333333333335</v>
      </c>
      <c r="AB54" s="279">
        <v>5</v>
      </c>
      <c r="AC54" s="277">
        <f>VLOOKUP('SMR (Main)'!A54,'Geopolitical Barriers'!$A$3:$C$65,3,FALSE)</f>
        <v>8.44</v>
      </c>
      <c r="AD54" s="279">
        <f>VLOOKUP('SMR (Main)'!A54,'Economic Lifetime'!$A$3:$F$66,6,FALSE)</f>
        <v>7.5</v>
      </c>
      <c r="AE54" s="280">
        <f>VLOOKUP('SMR (Main)'!A54,'Production Efficiency'!$A$3:$F$65,6,FALSE)</f>
        <v>9</v>
      </c>
      <c r="AF54" s="279">
        <f>VLOOKUP(A54,'Waste management and decomissio'!A54:Q116,17)</f>
        <v>8</v>
      </c>
    </row>
    <row r="55" spans="1:32" ht="14.4" x14ac:dyDescent="0.3">
      <c r="A55" s="46" t="s">
        <v>274</v>
      </c>
      <c r="B55" t="s">
        <v>57</v>
      </c>
      <c r="C55" s="46" t="s">
        <v>275</v>
      </c>
      <c r="D55" t="s">
        <v>276</v>
      </c>
      <c r="E55" s="46" t="s">
        <v>277</v>
      </c>
      <c r="F55" s="46" t="s">
        <v>98</v>
      </c>
      <c r="G55" s="46" t="s">
        <v>278</v>
      </c>
      <c r="H55" s="46" t="s">
        <v>63</v>
      </c>
      <c r="I55" s="163" t="s">
        <v>55</v>
      </c>
      <c r="K55" s="46">
        <v>10</v>
      </c>
      <c r="L55" s="46">
        <v>30</v>
      </c>
      <c r="M55" s="46">
        <v>12.5</v>
      </c>
      <c r="N55" s="46">
        <v>270</v>
      </c>
      <c r="O55" s="46">
        <v>300</v>
      </c>
      <c r="P55" s="97">
        <v>0.33300000000000002</v>
      </c>
      <c r="Q55" s="46">
        <v>60</v>
      </c>
      <c r="R55" s="278">
        <f>VLOOKUP('SMR (Main)'!A55,CAPEX!A55:I117,9,FALSE)</f>
        <v>6.25</v>
      </c>
      <c r="S55" s="279">
        <v>5</v>
      </c>
      <c r="T55" s="277">
        <f>VLOOKUP('SMR (Main)'!A55,Rentability!$A$3:$O$65,15,FALSE)</f>
        <v>0</v>
      </c>
      <c r="U55" s="277">
        <f>VLOOKUP('SMR (Main)'!A55,OPEX!$A$3:$M$65,13,FALSE)</f>
        <v>6</v>
      </c>
      <c r="V55" s="280">
        <f>VLOOKUP('SMR (Main)'!A55,'Ecological Impact '!$A$3:$I$65,9,FALSE)</f>
        <v>8</v>
      </c>
      <c r="W55" s="279">
        <v>5</v>
      </c>
      <c r="X55" s="279">
        <f>VLOOKUP('SMR (Main)'!A55,Scalability!$A$3:$C$66,3,FALSE)</f>
        <v>4.5</v>
      </c>
      <c r="Y55" s="279">
        <f>VLOOKUP('SMR (Main)'!A55,'Availability '!$A$3:$M$65,13,FALSE)</f>
        <v>9</v>
      </c>
      <c r="Z55" s="277">
        <f>VLOOKUP('SMR (Main)'!A55,Footprint!$A$3:$E$65,5,FALSE)</f>
        <v>5</v>
      </c>
      <c r="AA55" s="277">
        <f>VLOOKUP(A55,'Technology Readiness'!$A$2:$H$64,8,FALSE)</f>
        <v>5.5555555555555554</v>
      </c>
      <c r="AB55" s="279">
        <v>5</v>
      </c>
      <c r="AC55" s="277">
        <f>VLOOKUP('SMR (Main)'!A55,'Geopolitical Barriers'!$A$3:$C$65,3,FALSE)</f>
        <v>4.8369999999999997</v>
      </c>
      <c r="AD55" s="279">
        <f>VLOOKUP('SMR (Main)'!A55,'Economic Lifetime'!$A$3:$F$66,6,FALSE)</f>
        <v>7.5</v>
      </c>
      <c r="AE55" s="280">
        <f>VLOOKUP('SMR (Main)'!A55,'Production Efficiency'!$A$3:$F$65,6,FALSE)</f>
        <v>1</v>
      </c>
      <c r="AF55" s="279">
        <f>VLOOKUP(A55,'Waste management and decomissio'!A55:Q117,17)</f>
        <v>6</v>
      </c>
    </row>
    <row r="56" spans="1:32" ht="14.4" x14ac:dyDescent="0.3">
      <c r="A56" s="46" t="s">
        <v>279</v>
      </c>
      <c r="B56" t="s">
        <v>65</v>
      </c>
      <c r="C56" t="s">
        <v>136</v>
      </c>
      <c r="D56" t="s">
        <v>280</v>
      </c>
      <c r="E56" t="s">
        <v>74</v>
      </c>
      <c r="F56" t="s">
        <v>281</v>
      </c>
      <c r="G56" t="s">
        <v>282</v>
      </c>
      <c r="H56" t="s">
        <v>71</v>
      </c>
      <c r="I56" s="163" t="s">
        <v>55</v>
      </c>
      <c r="K56">
        <v>60</v>
      </c>
      <c r="L56">
        <v>150</v>
      </c>
      <c r="M56">
        <v>7.4</v>
      </c>
      <c r="N56">
        <v>280</v>
      </c>
      <c r="O56">
        <v>750</v>
      </c>
      <c r="P56" s="97">
        <v>0.4</v>
      </c>
      <c r="Q56">
        <v>60</v>
      </c>
      <c r="R56" s="278">
        <f>VLOOKUP('SMR (Main)'!A56,CAPEX!A56:I118,9,FALSE)</f>
        <v>5.8333333333333339</v>
      </c>
      <c r="S56" s="279">
        <v>5</v>
      </c>
      <c r="T56" s="277">
        <f>VLOOKUP('SMR (Main)'!A56,Rentability!$A$3:$O$65,15,FALSE)</f>
        <v>6.9831856896534976</v>
      </c>
      <c r="U56" s="277">
        <f>VLOOKUP('SMR (Main)'!A56,OPEX!$A$3:$M$65,13,FALSE)</f>
        <v>5.333333333333333</v>
      </c>
      <c r="V56" s="280">
        <f>VLOOKUP('SMR (Main)'!A56,'Ecological Impact '!$A$3:$I$65,9,FALSE)</f>
        <v>6</v>
      </c>
      <c r="W56" s="279">
        <v>5</v>
      </c>
      <c r="X56" s="279">
        <f>VLOOKUP('SMR (Main)'!A56,Scalability!$A$3:$C$66,3,FALSE)</f>
        <v>5.5</v>
      </c>
      <c r="Y56" s="279">
        <f>VLOOKUP('SMR (Main)'!A56,'Availability '!$A$3:$M$65,13,FALSE)</f>
        <v>8</v>
      </c>
      <c r="Z56" s="277">
        <f>VLOOKUP('SMR (Main)'!A56,Footprint!$A$3:$E$65,5,FALSE)</f>
        <v>5</v>
      </c>
      <c r="AA56" s="277">
        <f>VLOOKUP(A56,'Technology Readiness'!$A$2:$H$64,8,FALSE)</f>
        <v>2.2222222222222223</v>
      </c>
      <c r="AB56" s="279">
        <v>5</v>
      </c>
      <c r="AC56" s="277">
        <f>VLOOKUP('SMR (Main)'!A56,'Geopolitical Barriers'!$A$3:$C$65,3,FALSE)</f>
        <v>8.44</v>
      </c>
      <c r="AD56" s="279">
        <f>VLOOKUP('SMR (Main)'!A56,'Economic Lifetime'!$A$3:$F$66,6,FALSE)</f>
        <v>7.5</v>
      </c>
      <c r="AE56" s="280">
        <f>VLOOKUP('SMR (Main)'!A56,'Production Efficiency'!$A$3:$F$65,6,FALSE)</f>
        <v>9</v>
      </c>
      <c r="AF56" s="279">
        <f>VLOOKUP(A56,'Waste management and decomissio'!A56:Q118,17)</f>
        <v>5</v>
      </c>
    </row>
    <row r="57" spans="1:32" ht="14.4" x14ac:dyDescent="0.3">
      <c r="A57" s="47" t="s">
        <v>283</v>
      </c>
      <c r="B57" t="s">
        <v>48</v>
      </c>
      <c r="C57" s="47" t="s">
        <v>248</v>
      </c>
      <c r="D57" s="46" t="s">
        <v>284</v>
      </c>
      <c r="E57" s="47" t="s">
        <v>79</v>
      </c>
      <c r="F57" s="47" t="s">
        <v>52</v>
      </c>
      <c r="G57" s="47" t="s">
        <v>285</v>
      </c>
      <c r="H57" s="47" t="s">
        <v>286</v>
      </c>
      <c r="I57" s="163" t="s">
        <v>55</v>
      </c>
      <c r="K57">
        <v>100</v>
      </c>
      <c r="L57">
        <v>280</v>
      </c>
      <c r="M57" s="51"/>
      <c r="N57">
        <v>340</v>
      </c>
      <c r="O57">
        <v>485</v>
      </c>
      <c r="P57" s="97">
        <v>0.35699999999999998</v>
      </c>
      <c r="Q57">
        <v>60</v>
      </c>
      <c r="R57" s="278">
        <f>VLOOKUP('SMR (Main)'!A57,CAPEX!A57:I119,9,FALSE)</f>
        <v>5.4166666666666661</v>
      </c>
      <c r="S57" s="279">
        <v>5</v>
      </c>
      <c r="T57" s="277">
        <f>VLOOKUP('SMR (Main)'!A57,Rentability!$A$3:$O$65,15,FALSE)</f>
        <v>6.5916887263674102</v>
      </c>
      <c r="U57" s="277">
        <f>VLOOKUP('SMR (Main)'!A57,OPEX!$A$3:$M$65,13,FALSE)</f>
        <v>5.5555555555555562</v>
      </c>
      <c r="V57" s="280">
        <f>VLOOKUP('SMR (Main)'!A57,'Ecological Impact '!$A$3:$I$65,9,FALSE)</f>
        <v>2</v>
      </c>
      <c r="W57" s="279">
        <v>5</v>
      </c>
      <c r="X57" s="279">
        <f>VLOOKUP('SMR (Main)'!A57,Scalability!$A$3:$C$66,3,FALSE)</f>
        <v>4.5</v>
      </c>
      <c r="Y57" s="279">
        <f>VLOOKUP('SMR (Main)'!A57,'Availability '!$A$3:$M$65,13,FALSE)</f>
        <v>8</v>
      </c>
      <c r="Z57" s="277">
        <f>VLOOKUP('SMR (Main)'!A57,Footprint!$A$3:$E$65,5,FALSE)</f>
        <v>5</v>
      </c>
      <c r="AA57" s="277">
        <f>VLOOKUP(A57,'Technology Readiness'!$A$2:$H$64,8,FALSE)</f>
        <v>7.7777777777777786</v>
      </c>
      <c r="AB57" s="279">
        <v>5</v>
      </c>
      <c r="AC57" s="277">
        <f>VLOOKUP('SMR (Main)'!A57,'Geopolitical Barriers'!$A$3:$C$65,3,FALSE)</f>
        <v>8.7000000000000188E-2</v>
      </c>
      <c r="AD57" s="279">
        <f>VLOOKUP('SMR (Main)'!A57,'Economic Lifetime'!$A$3:$F$66,6,FALSE)</f>
        <v>7.5</v>
      </c>
      <c r="AE57" s="280">
        <f>VLOOKUP('SMR (Main)'!A57,'Production Efficiency'!$A$3:$F$65,6,FALSE)</f>
        <v>5</v>
      </c>
      <c r="AF57" s="279">
        <f>VLOOKUP(A57,'Waste management and decomissio'!A57:Q119,17)</f>
        <v>4</v>
      </c>
    </row>
    <row r="58" spans="1:32" ht="14.4" x14ac:dyDescent="0.3">
      <c r="A58" s="46" t="s">
        <v>287</v>
      </c>
      <c r="B58" t="s">
        <v>57</v>
      </c>
      <c r="C58" s="46" t="s">
        <v>288</v>
      </c>
      <c r="D58" t="s">
        <v>289</v>
      </c>
      <c r="E58" s="46" t="s">
        <v>290</v>
      </c>
      <c r="F58" s="46" t="s">
        <v>92</v>
      </c>
      <c r="G58" s="46" t="s">
        <v>291</v>
      </c>
      <c r="H58" s="46" t="s">
        <v>94</v>
      </c>
      <c r="I58" s="163" t="s">
        <v>55</v>
      </c>
      <c r="K58" s="46">
        <v>0</v>
      </c>
      <c r="L58" s="46">
        <v>150</v>
      </c>
      <c r="M58" s="46">
        <v>2</v>
      </c>
      <c r="N58" s="46">
        <v>175</v>
      </c>
      <c r="O58" s="46">
        <v>192</v>
      </c>
      <c r="P58" s="97">
        <v>0</v>
      </c>
      <c r="Q58" s="46">
        <v>60</v>
      </c>
      <c r="R58" s="278">
        <f>VLOOKUP('SMR (Main)'!A58,CAPEX!A58:I120,9,FALSE)</f>
        <v>7.5</v>
      </c>
      <c r="S58" s="279">
        <v>5</v>
      </c>
      <c r="T58" s="277">
        <f>VLOOKUP('SMR (Main)'!A58,Rentability!$A$3:$O$65,15,FALSE)</f>
        <v>1</v>
      </c>
      <c r="U58" s="277">
        <f>VLOOKUP('SMR (Main)'!A58,OPEX!$A$3:$M$65,13,FALSE)</f>
        <v>5.7777777777777786</v>
      </c>
      <c r="V58" s="280">
        <f>VLOOKUP('SMR (Main)'!A58,'Ecological Impact '!$A$3:$I$65,9,FALSE)</f>
        <v>7</v>
      </c>
      <c r="W58" s="279">
        <v>5</v>
      </c>
      <c r="X58" s="279">
        <f>VLOOKUP('SMR (Main)'!A58,Scalability!$A$3:$C$66,3,FALSE)</f>
        <v>4.5</v>
      </c>
      <c r="Y58" s="279">
        <f>VLOOKUP('SMR (Main)'!A58,'Availability '!$A$3:$M$65,13,FALSE)</f>
        <v>2</v>
      </c>
      <c r="Z58" s="277">
        <f>VLOOKUP('SMR (Main)'!A58,Footprint!$A$3:$E$65,5,FALSE)</f>
        <v>5</v>
      </c>
      <c r="AA58" s="277">
        <f>VLOOKUP(A58,'Technology Readiness'!$A$2:$H$64,8,FALSE)</f>
        <v>4.4444444444444446</v>
      </c>
      <c r="AB58" s="279">
        <v>5</v>
      </c>
      <c r="AC58" s="277">
        <f>VLOOKUP('SMR (Main)'!A58,'Geopolitical Barriers'!$A$3:$C$65,3,FALSE)</f>
        <v>6.4910000000000005</v>
      </c>
      <c r="AD58" s="279">
        <f>VLOOKUP('SMR (Main)'!A58,'Economic Lifetime'!$A$3:$F$66,6,FALSE)</f>
        <v>7.5</v>
      </c>
      <c r="AE58" s="280">
        <f>VLOOKUP('SMR (Main)'!A58,'Production Efficiency'!$A$3:$F$65,6,FALSE)</f>
        <v>0</v>
      </c>
      <c r="AF58" s="279">
        <f>VLOOKUP(A58,'Waste management and decomissio'!A58:Q120,17)</f>
        <v>4</v>
      </c>
    </row>
    <row r="59" spans="1:32" ht="14.4" x14ac:dyDescent="0.3">
      <c r="A59" s="46" t="s">
        <v>292</v>
      </c>
      <c r="B59" t="s">
        <v>105</v>
      </c>
      <c r="C59" t="s">
        <v>106</v>
      </c>
      <c r="D59" t="s">
        <v>293</v>
      </c>
      <c r="E59" t="s">
        <v>294</v>
      </c>
      <c r="F59" t="s">
        <v>132</v>
      </c>
      <c r="G59" t="s">
        <v>295</v>
      </c>
      <c r="H59" t="s">
        <v>296</v>
      </c>
      <c r="I59" s="163" t="s">
        <v>55</v>
      </c>
      <c r="K59">
        <v>250</v>
      </c>
      <c r="L59">
        <v>557</v>
      </c>
      <c r="M59">
        <v>25.7</v>
      </c>
      <c r="N59">
        <v>560</v>
      </c>
      <c r="O59">
        <v>704</v>
      </c>
      <c r="P59" s="97">
        <v>0.44900000000000001</v>
      </c>
      <c r="Q59">
        <v>80</v>
      </c>
      <c r="R59" s="278">
        <f>VLOOKUP('SMR (Main)'!A59,CAPEX!A59:I121,9,FALSE)</f>
        <v>1.6666666666666665</v>
      </c>
      <c r="S59" s="279">
        <v>5</v>
      </c>
      <c r="T59" s="277">
        <f>VLOOKUP('SMR (Main)'!A59,Rentability!$A$3:$O$65,15,FALSE)</f>
        <v>6.5850645420020655</v>
      </c>
      <c r="U59" s="277">
        <f>VLOOKUP('SMR (Main)'!A59,OPEX!$A$3:$M$65,13,FALSE)</f>
        <v>4.666666666666667</v>
      </c>
      <c r="V59" s="280">
        <f>VLOOKUP('SMR (Main)'!A59,'Ecological Impact '!$A$3:$I$65,9,FALSE)</f>
        <v>3</v>
      </c>
      <c r="W59" s="279">
        <v>5</v>
      </c>
      <c r="X59" s="279">
        <f>VLOOKUP('SMR (Main)'!A59,Scalability!$A$3:$C$66,3,FALSE)</f>
        <v>4.5</v>
      </c>
      <c r="Y59" s="279">
        <f>VLOOKUP('SMR (Main)'!A59,'Availability '!$A$3:$M$65,13,FALSE)</f>
        <v>3</v>
      </c>
      <c r="Z59" s="277">
        <f>VLOOKUP('SMR (Main)'!A59,Footprint!$A$3:$E$65,5,FALSE)</f>
        <v>5</v>
      </c>
      <c r="AA59" s="277">
        <f>VLOOKUP(A59,'Technology Readiness'!$A$2:$H$64,8,FALSE)</f>
        <v>5.5555555555555554</v>
      </c>
      <c r="AB59" s="279">
        <v>5</v>
      </c>
      <c r="AC59" s="277">
        <f>VLOOKUP('SMR (Main)'!A59,'Geopolitical Barriers'!$A$3:$C$65,3,FALSE)</f>
        <v>5.6999999999999993</v>
      </c>
      <c r="AD59" s="279">
        <f>VLOOKUP('SMR (Main)'!A59,'Economic Lifetime'!$A$3:$F$66,6,FALSE)</f>
        <v>10</v>
      </c>
      <c r="AE59" s="280">
        <f>VLOOKUP('SMR (Main)'!A59,'Production Efficiency'!$A$3:$F$65,6,FALSE)</f>
        <v>10</v>
      </c>
      <c r="AF59" s="279">
        <f>VLOOKUP(A59,'Waste management and decomissio'!A59:Q121,17)</f>
        <v>2</v>
      </c>
    </row>
    <row r="60" spans="1:32" ht="14.4" x14ac:dyDescent="0.3">
      <c r="A60" s="46" t="s">
        <v>297</v>
      </c>
      <c r="B60" t="s">
        <v>105</v>
      </c>
      <c r="C60" t="s">
        <v>106</v>
      </c>
      <c r="D60" t="s">
        <v>298</v>
      </c>
      <c r="E60" t="s">
        <v>299</v>
      </c>
      <c r="F60" t="s">
        <v>109</v>
      </c>
      <c r="G60" t="s">
        <v>300</v>
      </c>
      <c r="H60" t="s">
        <v>301</v>
      </c>
      <c r="I60" s="163" t="s">
        <v>55</v>
      </c>
      <c r="K60">
        <v>120</v>
      </c>
      <c r="L60">
        <v>300</v>
      </c>
      <c r="M60">
        <v>8</v>
      </c>
      <c r="N60">
        <v>500</v>
      </c>
      <c r="O60">
        <v>800</v>
      </c>
      <c r="P60" s="97">
        <v>0.4</v>
      </c>
      <c r="Q60">
        <v>60</v>
      </c>
      <c r="R60" s="278">
        <f>VLOOKUP('SMR (Main)'!A60,CAPEX!A60:I122,9,FALSE)</f>
        <v>2.5</v>
      </c>
      <c r="S60" s="279">
        <v>5</v>
      </c>
      <c r="T60" s="277">
        <f>VLOOKUP('SMR (Main)'!A60,Rentability!$A$3:$O$65,15,FALSE)</f>
        <v>6.1593287054711725</v>
      </c>
      <c r="U60" s="277">
        <f>VLOOKUP('SMR (Main)'!A60,OPEX!$A$3:$M$65,13,FALSE)</f>
        <v>5.5555555555555562</v>
      </c>
      <c r="V60" s="280">
        <f>VLOOKUP('SMR (Main)'!A60,'Ecological Impact '!$A$3:$I$65,9,FALSE)</f>
        <v>3</v>
      </c>
      <c r="W60" s="279">
        <v>5</v>
      </c>
      <c r="X60" s="279">
        <f>VLOOKUP('SMR (Main)'!A60,Scalability!$A$3:$C$66,3,FALSE)</f>
        <v>4.5</v>
      </c>
      <c r="Y60" s="279">
        <f>VLOOKUP('SMR (Main)'!A60,'Availability '!$A$3:$M$65,13,FALSE)</f>
        <v>9</v>
      </c>
      <c r="Z60" s="277">
        <f>VLOOKUP('SMR (Main)'!A60,Footprint!$A$3:$E$65,5,FALSE)</f>
        <v>5</v>
      </c>
      <c r="AA60" s="277">
        <f>VLOOKUP(A60,'Technology Readiness'!$A$2:$H$64,8,FALSE)</f>
        <v>3.3333333333333335</v>
      </c>
      <c r="AB60" s="279">
        <v>5</v>
      </c>
      <c r="AC60" s="277">
        <f>VLOOKUP('SMR (Main)'!A60,'Geopolitical Barriers'!$A$3:$C$65,3,FALSE)</f>
        <v>4.2139999999999995</v>
      </c>
      <c r="AD60" s="279">
        <f>VLOOKUP('SMR (Main)'!A60,'Economic Lifetime'!$A$3:$F$66,6,FALSE)</f>
        <v>7.5</v>
      </c>
      <c r="AE60" s="280">
        <f>VLOOKUP('SMR (Main)'!A60,'Production Efficiency'!$A$3:$F$65,6,FALSE)</f>
        <v>9</v>
      </c>
      <c r="AF60" s="279">
        <f>VLOOKUP(A60,'Waste management and decomissio'!A60:Q122,17)</f>
        <v>8</v>
      </c>
    </row>
    <row r="61" spans="1:32" ht="14.4" x14ac:dyDescent="0.3">
      <c r="A61" s="46" t="s">
        <v>302</v>
      </c>
      <c r="B61" t="s">
        <v>57</v>
      </c>
      <c r="C61" s="46" t="s">
        <v>84</v>
      </c>
      <c r="D61" t="s">
        <v>303</v>
      </c>
      <c r="E61" s="46" t="s">
        <v>79</v>
      </c>
      <c r="F61" s="46" t="s">
        <v>87</v>
      </c>
      <c r="G61" s="46" t="s">
        <v>304</v>
      </c>
      <c r="H61" s="46" t="s">
        <v>63</v>
      </c>
      <c r="I61" s="163" t="s">
        <v>55</v>
      </c>
      <c r="K61" s="46">
        <v>250</v>
      </c>
      <c r="L61" s="46">
        <v>750</v>
      </c>
      <c r="M61" s="46">
        <v>6.9</v>
      </c>
      <c r="N61" s="46">
        <v>190</v>
      </c>
      <c r="O61" s="46">
        <v>285</v>
      </c>
      <c r="P61" s="97">
        <v>0.33300000000000002</v>
      </c>
      <c r="Q61" s="46">
        <v>60</v>
      </c>
      <c r="R61" s="278">
        <f>VLOOKUP('SMR (Main)'!A61,CAPEX!A61:I123,9,FALSE)</f>
        <v>6.25</v>
      </c>
      <c r="S61" s="279">
        <v>5</v>
      </c>
      <c r="T61" s="277">
        <f>VLOOKUP('SMR (Main)'!A61,Rentability!$A$3:$O$65,15,FALSE)</f>
        <v>7.2489600253301862</v>
      </c>
      <c r="U61" s="277">
        <f>VLOOKUP('SMR (Main)'!A61,OPEX!$A$3:$M$65,13,FALSE)</f>
        <v>5.5555555555555562</v>
      </c>
      <c r="V61" s="280">
        <f>VLOOKUP('SMR (Main)'!A61,'Ecological Impact '!$A$3:$I$65,9,FALSE)</f>
        <v>8</v>
      </c>
      <c r="W61" s="279">
        <v>5</v>
      </c>
      <c r="X61" s="279">
        <f>VLOOKUP('SMR (Main)'!A61,Scalability!$A$3:$C$66,3,FALSE)</f>
        <v>4.5</v>
      </c>
      <c r="Y61" s="279">
        <f>VLOOKUP('SMR (Main)'!A61,'Availability '!$A$3:$M$65,13,FALSE)</f>
        <v>8</v>
      </c>
      <c r="Z61" s="277">
        <f>VLOOKUP('SMR (Main)'!A61,Footprint!$A$3:$E$65,5,FALSE)</f>
        <v>5</v>
      </c>
      <c r="AA61" s="277">
        <f>VLOOKUP(A61,'Technology Readiness'!$A$2:$H$64,8,FALSE)</f>
        <v>4.4444444444444446</v>
      </c>
      <c r="AB61" s="279">
        <v>5</v>
      </c>
      <c r="AC61" s="277">
        <f>VLOOKUP('SMR (Main)'!A61,'Geopolitical Barriers'!$A$3:$C$65,3,FALSE)</f>
        <v>8.7000000000000188E-2</v>
      </c>
      <c r="AD61" s="279">
        <f>VLOOKUP('SMR (Main)'!A61,'Economic Lifetime'!$A$3:$F$66,6,FALSE)</f>
        <v>7.5</v>
      </c>
      <c r="AE61" s="280">
        <f>VLOOKUP('SMR (Main)'!A61,'Production Efficiency'!$A$3:$F$65,6,FALSE)</f>
        <v>1</v>
      </c>
      <c r="AF61" s="279">
        <f>VLOOKUP(A61,'Waste management and decomissio'!A61:Q123,17)</f>
        <v>4</v>
      </c>
    </row>
    <row r="62" spans="1:32" ht="14.4" x14ac:dyDescent="0.3">
      <c r="A62" s="46" t="s">
        <v>305</v>
      </c>
      <c r="B62" t="s">
        <v>57</v>
      </c>
      <c r="C62" s="46" t="s">
        <v>58</v>
      </c>
      <c r="D62" t="s">
        <v>306</v>
      </c>
      <c r="E62" s="46" t="s">
        <v>124</v>
      </c>
      <c r="F62" s="46" t="s">
        <v>307</v>
      </c>
      <c r="G62" s="46" t="s">
        <v>308</v>
      </c>
      <c r="H62" s="46" t="s">
        <v>63</v>
      </c>
      <c r="I62" s="163" t="s">
        <v>55</v>
      </c>
      <c r="K62" s="46">
        <v>77</v>
      </c>
      <c r="L62" s="46">
        <v>250</v>
      </c>
      <c r="M62" s="46">
        <v>13.8</v>
      </c>
      <c r="N62" s="46">
        <v>249</v>
      </c>
      <c r="O62" s="46">
        <v>316</v>
      </c>
      <c r="P62" s="97">
        <v>0.308</v>
      </c>
      <c r="Q62" s="46">
        <v>60</v>
      </c>
      <c r="R62" s="278">
        <f>VLOOKUP('SMR (Main)'!A62,CAPEX!A62:I124,9,FALSE)</f>
        <v>6.25</v>
      </c>
      <c r="S62" s="279">
        <v>5</v>
      </c>
      <c r="T62" s="277">
        <f>VLOOKUP('SMR (Main)'!A62,Rentability!$A$3:$O$65,15,FALSE)</f>
        <v>6.6037499221290723</v>
      </c>
      <c r="U62" s="277">
        <f>VLOOKUP('SMR (Main)'!A62,OPEX!$A$3:$M$65,13,FALSE)</f>
        <v>5.7777777777777786</v>
      </c>
      <c r="V62" s="280">
        <f>VLOOKUP('SMR (Main)'!A62,'Ecological Impact '!$A$3:$I$65,9,FALSE)</f>
        <v>8</v>
      </c>
      <c r="W62" s="279">
        <v>5</v>
      </c>
      <c r="X62" s="279">
        <f>VLOOKUP('SMR (Main)'!A62,Scalability!$A$3:$C$66,3,FALSE)</f>
        <v>4.5</v>
      </c>
      <c r="Y62" s="279">
        <f>VLOOKUP('SMR (Main)'!A62,'Availability '!$A$3:$M$65,13,FALSE)</f>
        <v>6</v>
      </c>
      <c r="Z62" s="277">
        <f>VLOOKUP('SMR (Main)'!A62,Footprint!$A$3:$E$65,5,FALSE)</f>
        <v>5</v>
      </c>
      <c r="AA62" s="277">
        <f>VLOOKUP(A62,'Technology Readiness'!$A$2:$H$64,8,FALSE)</f>
        <v>8.8888888888888893</v>
      </c>
      <c r="AB62" s="279">
        <v>5</v>
      </c>
      <c r="AC62" s="277">
        <f>VLOOKUP('SMR (Main)'!A62,'Geopolitical Barriers'!$A$3:$C$65,3,FALSE)</f>
        <v>6.6229999999999993</v>
      </c>
      <c r="AD62" s="279">
        <f>VLOOKUP('SMR (Main)'!A62,'Economic Lifetime'!$A$3:$F$66,6,FALSE)</f>
        <v>7.5</v>
      </c>
      <c r="AE62" s="280">
        <f>VLOOKUP('SMR (Main)'!A62,'Production Efficiency'!$A$3:$F$65,6,FALSE)</f>
        <v>1</v>
      </c>
      <c r="AF62" s="279">
        <f>VLOOKUP(A62,'Waste management and decomissio'!A62:Q124,17)</f>
        <v>2</v>
      </c>
    </row>
    <row r="63" spans="1:32" ht="14.4" x14ac:dyDescent="0.3">
      <c r="A63" s="47" t="s">
        <v>309</v>
      </c>
      <c r="B63" t="s">
        <v>48</v>
      </c>
      <c r="C63" s="47" t="s">
        <v>49</v>
      </c>
      <c r="D63" s="46" t="s">
        <v>310</v>
      </c>
      <c r="E63" s="47" t="s">
        <v>124</v>
      </c>
      <c r="F63" s="47" t="s">
        <v>187</v>
      </c>
      <c r="G63" s="47" t="s">
        <v>311</v>
      </c>
      <c r="H63" s="47" t="s">
        <v>312</v>
      </c>
      <c r="I63" s="163" t="s">
        <v>55</v>
      </c>
      <c r="K63">
        <v>450</v>
      </c>
      <c r="L63">
        <v>950</v>
      </c>
      <c r="M63">
        <v>33</v>
      </c>
      <c r="N63">
        <v>390</v>
      </c>
      <c r="O63">
        <v>650</v>
      </c>
      <c r="P63" s="97">
        <v>0.47399999999999998</v>
      </c>
      <c r="Q63">
        <v>80</v>
      </c>
      <c r="R63" s="278">
        <f>VLOOKUP('SMR (Main)'!A63,CAPEX!A63:I125,9,FALSE)</f>
        <v>4.166666666666667</v>
      </c>
      <c r="S63" s="279">
        <v>5</v>
      </c>
      <c r="T63" s="277">
        <f>VLOOKUP('SMR (Main)'!A63,Rentability!$A$3:$O$65,15,FALSE)</f>
        <v>7.1642323986876137</v>
      </c>
      <c r="U63" s="277">
        <f>VLOOKUP('SMR (Main)'!A63,OPEX!$A$3:$M$65,13,FALSE)</f>
        <v>4</v>
      </c>
      <c r="V63" s="280">
        <f>VLOOKUP('SMR (Main)'!A63,'Ecological Impact '!$A$3:$I$65,9,FALSE)</f>
        <v>2</v>
      </c>
      <c r="W63" s="279">
        <v>5</v>
      </c>
      <c r="X63" s="279">
        <f>VLOOKUP('SMR (Main)'!A63,Scalability!$A$3:$C$66,3,FALSE)</f>
        <v>4.5</v>
      </c>
      <c r="Y63" s="279">
        <f>VLOOKUP('SMR (Main)'!A63,'Availability '!$A$3:$M$65,13,FALSE)</f>
        <v>9</v>
      </c>
      <c r="Z63" s="277">
        <f>VLOOKUP('SMR (Main)'!A63,Footprint!$A$3:$E$65,5,FALSE)</f>
        <v>5</v>
      </c>
      <c r="AA63" s="277">
        <f>VLOOKUP(A63,'Technology Readiness'!$A$2:$H$64,8,FALSE)</f>
        <v>3.3333333333333335</v>
      </c>
      <c r="AB63" s="279">
        <v>5</v>
      </c>
      <c r="AC63" s="277">
        <f>VLOOKUP('SMR (Main)'!A63,'Geopolitical Barriers'!$A$3:$C$65,3,FALSE)</f>
        <v>6.6229999999999993</v>
      </c>
      <c r="AD63" s="279">
        <f>VLOOKUP('SMR (Main)'!A63,'Economic Lifetime'!$A$3:$F$66,6,FALSE)</f>
        <v>10</v>
      </c>
      <c r="AE63" s="280">
        <f>VLOOKUP('SMR (Main)'!A63,'Production Efficiency'!$A$3:$F$65,6,FALSE)</f>
        <v>10</v>
      </c>
      <c r="AF63" s="279">
        <f>VLOOKUP(A63,'Waste management and decomissio'!A63:Q125,17)</f>
        <v>1</v>
      </c>
    </row>
    <row r="64" spans="1:32" ht="14.4" x14ac:dyDescent="0.3">
      <c r="A64" s="46" t="s">
        <v>313</v>
      </c>
      <c r="B64" t="s">
        <v>57</v>
      </c>
      <c r="C64" s="46" t="s">
        <v>58</v>
      </c>
      <c r="D64" t="s">
        <v>314</v>
      </c>
      <c r="E64" s="46" t="s">
        <v>124</v>
      </c>
      <c r="F64" s="46" t="s">
        <v>69</v>
      </c>
      <c r="G64" s="46" t="s">
        <v>315</v>
      </c>
      <c r="H64" s="46" t="s">
        <v>63</v>
      </c>
      <c r="I64" s="163" t="s">
        <v>55</v>
      </c>
      <c r="K64" s="46">
        <v>225</v>
      </c>
      <c r="L64" s="46">
        <v>800</v>
      </c>
      <c r="M64" s="46">
        <v>15.5</v>
      </c>
      <c r="N64" s="46">
        <v>294</v>
      </c>
      <c r="O64" s="46">
        <v>324</v>
      </c>
      <c r="P64" s="97">
        <v>0.28100000000000003</v>
      </c>
      <c r="Q64" s="46">
        <v>60</v>
      </c>
      <c r="R64" s="278">
        <f>VLOOKUP('SMR (Main)'!A64,CAPEX!A64:I126,9,FALSE)</f>
        <v>5.8333333333333339</v>
      </c>
      <c r="S64" s="279">
        <v>5</v>
      </c>
      <c r="T64" s="277">
        <f>VLOOKUP('SMR (Main)'!A64,Rentability!$A$3:$O$65,15,FALSE)</f>
        <v>7.0764266957603468</v>
      </c>
      <c r="U64" s="277">
        <f>VLOOKUP('SMR (Main)'!A64,OPEX!$A$3:$M$65,13,FALSE)</f>
        <v>5.333333333333333</v>
      </c>
      <c r="V64" s="280">
        <f>VLOOKUP('SMR (Main)'!A64,'Ecological Impact '!$A$3:$I$65,9,FALSE)</f>
        <v>8</v>
      </c>
      <c r="W64" s="279">
        <v>5</v>
      </c>
      <c r="X64" s="279">
        <f>VLOOKUP('SMR (Main)'!A64,Scalability!$A$3:$C$66,3,FALSE)</f>
        <v>4.5</v>
      </c>
      <c r="Y64" s="279">
        <f>VLOOKUP('SMR (Main)'!A64,'Availability '!$A$3:$M$65,13,FALSE)</f>
        <v>6</v>
      </c>
      <c r="Z64" s="277">
        <f>VLOOKUP('SMR (Main)'!A64,Footprint!$A$3:$E$65,5,FALSE)</f>
        <v>5</v>
      </c>
      <c r="AA64" s="277">
        <f>VLOOKUP(A64,'Technology Readiness'!$A$2:$H$64,8,FALSE)</f>
        <v>3.3333333333333335</v>
      </c>
      <c r="AB64" s="279">
        <v>5</v>
      </c>
      <c r="AC64" s="277">
        <f>VLOOKUP('SMR (Main)'!A64,'Geopolitical Barriers'!$A$3:$C$65,3,FALSE)</f>
        <v>6.6229999999999993</v>
      </c>
      <c r="AD64" s="279">
        <f>VLOOKUP('SMR (Main)'!A64,'Economic Lifetime'!$A$3:$F$66,6,FALSE)</f>
        <v>7.5</v>
      </c>
      <c r="AE64" s="280">
        <f>VLOOKUP('SMR (Main)'!A64,'Production Efficiency'!$A$3:$F$65,6,FALSE)</f>
        <v>1</v>
      </c>
      <c r="AF64" s="279">
        <f>VLOOKUP(A64,'Waste management and decomissio'!A64:Q126,17)</f>
        <v>1</v>
      </c>
    </row>
    <row r="65" spans="1:32" ht="14.4" x14ac:dyDescent="0.3">
      <c r="A65" s="46" t="s">
        <v>316</v>
      </c>
      <c r="B65" t="s">
        <v>65</v>
      </c>
      <c r="C65" t="s">
        <v>66</v>
      </c>
      <c r="D65" t="s">
        <v>317</v>
      </c>
      <c r="E65" t="s">
        <v>124</v>
      </c>
      <c r="F65" t="s">
        <v>98</v>
      </c>
      <c r="G65" t="s">
        <v>318</v>
      </c>
      <c r="H65" t="s">
        <v>71</v>
      </c>
      <c r="I65" s="163" t="s">
        <v>55</v>
      </c>
      <c r="K65">
        <v>82.5</v>
      </c>
      <c r="L65">
        <v>200</v>
      </c>
      <c r="M65">
        <v>16.5</v>
      </c>
      <c r="N65">
        <v>260</v>
      </c>
      <c r="O65">
        <v>750</v>
      </c>
      <c r="P65" s="97">
        <v>0.41299999999999998</v>
      </c>
      <c r="Q65">
        <v>60</v>
      </c>
      <c r="R65" s="278">
        <f>VLOOKUP('SMR (Main)'!A65,CAPEX!A65:I127,9,FALSE)</f>
        <v>5.8333333333333339</v>
      </c>
      <c r="S65" s="279">
        <v>5</v>
      </c>
      <c r="T65" s="277">
        <f>VLOOKUP('SMR (Main)'!A65,Rentability!$A$3:$O$65,15,FALSE)</f>
        <v>4.4913053131798044</v>
      </c>
      <c r="U65" s="277">
        <f>VLOOKUP('SMR (Main)'!A65,OPEX!$A$3:$M$65,13,FALSE)</f>
        <v>5.1111111111111107</v>
      </c>
      <c r="V65" s="280">
        <f>VLOOKUP('SMR (Main)'!A65,'Ecological Impact '!$A$3:$I$65,9,FALSE)</f>
        <v>6</v>
      </c>
      <c r="W65" s="279">
        <v>5</v>
      </c>
      <c r="X65" s="279">
        <f>VLOOKUP('SMR (Main)'!A65,Scalability!$A$3:$C$66,3,FALSE)</f>
        <v>4.5</v>
      </c>
      <c r="Y65" s="279">
        <f>VLOOKUP('SMR (Main)'!A65,'Availability '!$A$3:$M$65,13,FALSE)</f>
        <v>10</v>
      </c>
      <c r="Z65" s="277">
        <f>VLOOKUP('SMR (Main)'!A65,Footprint!$A$3:$E$65,5,FALSE)</f>
        <v>5</v>
      </c>
      <c r="AA65" s="277">
        <f>VLOOKUP(A65,'Technology Readiness'!$A$2:$H$64,8,FALSE)</f>
        <v>5.5555555555555554</v>
      </c>
      <c r="AB65" s="279">
        <v>5</v>
      </c>
      <c r="AC65" s="277">
        <f>VLOOKUP('SMR (Main)'!A65,'Geopolitical Barriers'!$A$3:$C$65,3,FALSE)</f>
        <v>6.6229999999999993</v>
      </c>
      <c r="AD65" s="279">
        <f>VLOOKUP('SMR (Main)'!A65,'Economic Lifetime'!$A$3:$F$66,6,FALSE)</f>
        <v>7.5</v>
      </c>
      <c r="AE65" s="280">
        <f>VLOOKUP('SMR (Main)'!A65,'Production Efficiency'!$A$3:$F$65,6,FALSE)</f>
        <v>9</v>
      </c>
      <c r="AF65" s="279">
        <f>VLOOKUP(A65,'Waste management and decomissio'!A65:Q127,17)</f>
        <v>2</v>
      </c>
    </row>
    <row r="66" spans="1:32" ht="15" customHeight="1" x14ac:dyDescent="0.3">
      <c r="R66" s="158"/>
      <c r="S66" s="158"/>
      <c r="T66" s="158"/>
      <c r="U66" s="158"/>
      <c r="V66" s="158"/>
      <c r="W66" s="158"/>
      <c r="X66" s="158"/>
      <c r="Y66" s="158"/>
      <c r="Z66" s="158"/>
      <c r="AA66" s="158"/>
      <c r="AB66" s="158"/>
      <c r="AC66" s="158"/>
      <c r="AD66" s="158"/>
      <c r="AE66" s="158"/>
    </row>
  </sheetData>
  <autoFilter ref="A2:AF64" xr:uid="{9C9F640B-5EF1-49D4-AF1E-498E5DBF4C83}"/>
  <dataValidations disablePrompts="1" count="1">
    <dataValidation allowBlank="1" showInputMessage="1" showErrorMessage="1" sqref="B3:B65" xr:uid="{51D888AB-8CD7-42F5-B7F4-A0395698D900}"/>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796B6-72DF-48DD-B28F-83805C41DE83}">
  <dimension ref="A1:AA70"/>
  <sheetViews>
    <sheetView topLeftCell="A15" zoomScale="40" zoomScaleNormal="40" workbookViewId="0">
      <pane xSplit="1" topLeftCell="B1" activePane="topRight" state="frozen"/>
      <selection pane="topRight" activeCell="A28" sqref="A28"/>
    </sheetView>
  </sheetViews>
  <sheetFormatPr baseColWidth="10" defaultColWidth="11.44140625" defaultRowHeight="15" customHeight="1" x14ac:dyDescent="0.3"/>
  <cols>
    <col min="1" max="1" width="30.109375" style="99" bestFit="1" customWidth="1"/>
    <col min="2" max="2" width="17.5546875" style="119" customWidth="1"/>
    <col min="3" max="3" width="14.6640625" style="99" bestFit="1" customWidth="1"/>
    <col min="5" max="5" width="17.44140625" style="99" bestFit="1" customWidth="1"/>
    <col min="6" max="6" width="14.5546875" style="119" bestFit="1" customWidth="1"/>
    <col min="7" max="7" width="12.6640625" bestFit="1" customWidth="1"/>
    <col min="9" max="9" width="14.44140625" style="119" bestFit="1" customWidth="1"/>
    <col min="10" max="10" width="16.33203125" style="119" bestFit="1" customWidth="1"/>
    <col min="11" max="11" width="16.6640625" style="99" bestFit="1" customWidth="1"/>
    <col min="12" max="13" width="16.6640625" style="99" customWidth="1"/>
    <col min="14" max="14" width="12.88671875" style="99" bestFit="1" customWidth="1"/>
    <col min="15" max="15" width="11.44140625" style="99"/>
    <col min="16" max="16" width="24.88671875" bestFit="1" customWidth="1"/>
    <col min="17" max="17" width="21.44140625" customWidth="1"/>
    <col min="18" max="18" width="16" style="99" bestFit="1" customWidth="1"/>
    <col min="19" max="19" width="21.44140625" style="99" customWidth="1"/>
    <col min="20" max="20" width="19.88671875" style="99" customWidth="1"/>
    <col min="21" max="16384" width="11.44140625" style="99"/>
  </cols>
  <sheetData>
    <row r="1" spans="1:27" ht="28.8" x14ac:dyDescent="0.3">
      <c r="A1" s="98" t="s">
        <v>7</v>
      </c>
      <c r="B1" s="112" t="s">
        <v>557</v>
      </c>
      <c r="C1" s="113" t="s">
        <v>558</v>
      </c>
      <c r="D1" s="113" t="s">
        <v>559</v>
      </c>
      <c r="E1" s="113" t="s">
        <v>560</v>
      </c>
      <c r="F1" s="112" t="s">
        <v>17</v>
      </c>
      <c r="G1" t="s">
        <v>504</v>
      </c>
      <c r="H1" t="s">
        <v>504</v>
      </c>
      <c r="I1" s="114" t="s">
        <v>561</v>
      </c>
      <c r="J1" s="112" t="s">
        <v>562</v>
      </c>
      <c r="K1" s="113" t="s">
        <v>563</v>
      </c>
      <c r="L1" s="113" t="s">
        <v>795</v>
      </c>
      <c r="M1" s="113" t="s">
        <v>564</v>
      </c>
      <c r="N1" s="113" t="s">
        <v>787</v>
      </c>
      <c r="O1" s="230" t="s">
        <v>788</v>
      </c>
      <c r="P1" s="43" t="s">
        <v>8</v>
      </c>
      <c r="Q1" s="43" t="s">
        <v>7</v>
      </c>
    </row>
    <row r="2" spans="1:27" ht="14.4" customHeight="1" thickBot="1" x14ac:dyDescent="0.35">
      <c r="A2" s="115" t="s">
        <v>39</v>
      </c>
      <c r="B2" s="115"/>
      <c r="C2" s="116" t="s">
        <v>565</v>
      </c>
      <c r="D2" s="116" t="s">
        <v>566</v>
      </c>
      <c r="E2" s="116" t="s">
        <v>567</v>
      </c>
      <c r="F2" s="116" t="s">
        <v>40</v>
      </c>
      <c r="G2" t="s">
        <v>785</v>
      </c>
      <c r="H2" s="229" t="s">
        <v>786</v>
      </c>
      <c r="I2" s="116" t="s">
        <v>565</v>
      </c>
      <c r="J2" s="116" t="s">
        <v>567</v>
      </c>
      <c r="K2" s="116" t="s">
        <v>567</v>
      </c>
      <c r="L2" s="116" t="s">
        <v>567</v>
      </c>
      <c r="M2" s="116" t="s">
        <v>568</v>
      </c>
      <c r="N2" s="116" t="s">
        <v>46</v>
      </c>
      <c r="O2" s="99" t="s">
        <v>46</v>
      </c>
      <c r="P2" s="229" t="s">
        <v>538</v>
      </c>
    </row>
    <row r="3" spans="1:27" ht="14.4" customHeight="1" thickTop="1" x14ac:dyDescent="0.3">
      <c r="A3" s="117" t="s">
        <v>56</v>
      </c>
      <c r="B3" s="118">
        <v>52</v>
      </c>
      <c r="C3" s="119">
        <f>(B3*24)*1000</f>
        <v>1248000</v>
      </c>
      <c r="D3" s="99">
        <f>J3/C3</f>
        <v>48.515074110440707</v>
      </c>
      <c r="E3" s="99">
        <f t="shared" ref="E3:E34" si="0">B3*99274.88987</f>
        <v>5162294.27324</v>
      </c>
      <c r="F3" s="120">
        <v>125</v>
      </c>
      <c r="G3" s="228">
        <v>8572.9999985600007</v>
      </c>
      <c r="H3" s="228">
        <f>G3/24</f>
        <v>357.20833327333338</v>
      </c>
      <c r="I3" s="119">
        <f>F3*G3</f>
        <v>1071624.99982</v>
      </c>
      <c r="J3" s="119">
        <f>I3*56.5</f>
        <v>60546812.489830002</v>
      </c>
      <c r="K3" s="99">
        <f>J3-E3</f>
        <v>55384518.216590002</v>
      </c>
      <c r="L3" s="99">
        <f>K3/I3</f>
        <v>51.682741841495762</v>
      </c>
      <c r="M3" s="99">
        <v>0</v>
      </c>
      <c r="N3" s="99">
        <f>(L3/$W$17)*7.5</f>
        <v>6.8605409524109415</v>
      </c>
      <c r="O3" s="99">
        <f>M3+N3</f>
        <v>6.8605409524109415</v>
      </c>
      <c r="P3" t="s">
        <v>57</v>
      </c>
      <c r="Q3" s="46"/>
    </row>
    <row r="4" spans="1:27" ht="14.4" x14ac:dyDescent="0.3">
      <c r="A4" s="117" t="s">
        <v>100</v>
      </c>
      <c r="B4" s="118">
        <v>24</v>
      </c>
      <c r="C4" s="119">
        <f t="shared" ref="C4:C65" si="1">(B4*24)*1000</f>
        <v>576000</v>
      </c>
      <c r="D4" s="99">
        <f t="shared" ref="D4:D65" si="2">J4/C4</f>
        <v>24.849490323143453</v>
      </c>
      <c r="E4" s="99">
        <f t="shared" si="0"/>
        <v>2382597.3568799999</v>
      </c>
      <c r="F4" s="120">
        <v>30</v>
      </c>
      <c r="G4" s="228">
        <v>8444.4285699885713</v>
      </c>
      <c r="H4" s="228">
        <f t="shared" ref="H4:H65" si="3">G4/24</f>
        <v>351.85119041619049</v>
      </c>
      <c r="I4" s="119">
        <f t="shared" ref="I4:I65" si="4">F4*G4</f>
        <v>253332.85709965715</v>
      </c>
      <c r="J4" s="119">
        <f t="shared" ref="J4:J65" si="5">I4*56.5</f>
        <v>14313306.426130628</v>
      </c>
      <c r="K4" s="99">
        <f t="shared" ref="K4:K65" si="6">J4-E4</f>
        <v>11930709.069250628</v>
      </c>
      <c r="L4" s="99">
        <f t="shared" ref="L4:L65" si="7">K4/I4</f>
        <v>47.094992753179568</v>
      </c>
      <c r="M4" s="99">
        <v>0</v>
      </c>
      <c r="N4" s="99">
        <f>(L4/$W$17)*7.5</f>
        <v>6.2515477105990565</v>
      </c>
      <c r="O4" s="99">
        <f t="shared" ref="O4:O65" si="8">M4+N4</f>
        <v>6.2515477105990565</v>
      </c>
      <c r="P4" t="s">
        <v>57</v>
      </c>
      <c r="Q4" s="46"/>
      <c r="U4" s="99" t="s">
        <v>789</v>
      </c>
      <c r="W4" s="99" t="s">
        <v>569</v>
      </c>
      <c r="AA4" s="99" t="s">
        <v>570</v>
      </c>
    </row>
    <row r="5" spans="1:27" ht="14.4" x14ac:dyDescent="0.3">
      <c r="A5" s="117" t="s">
        <v>256</v>
      </c>
      <c r="B5" s="118">
        <v>45</v>
      </c>
      <c r="C5" s="119">
        <f t="shared" si="1"/>
        <v>1080000</v>
      </c>
      <c r="D5" s="99">
        <f t="shared" si="2"/>
        <v>72.261406202074085</v>
      </c>
      <c r="E5" s="99">
        <f t="shared" si="0"/>
        <v>4467370.0441499995</v>
      </c>
      <c r="F5" s="120">
        <v>160</v>
      </c>
      <c r="G5" s="228">
        <v>8632.9998560000004</v>
      </c>
      <c r="H5" s="228">
        <f t="shared" si="3"/>
        <v>359.70832733333333</v>
      </c>
      <c r="I5" s="119">
        <f t="shared" si="4"/>
        <v>1381279.9769600001</v>
      </c>
      <c r="J5" s="119">
        <f t="shared" si="5"/>
        <v>78042318.698240012</v>
      </c>
      <c r="K5" s="99">
        <f t="shared" si="6"/>
        <v>73574948.654090017</v>
      </c>
      <c r="L5" s="99">
        <f t="shared" si="7"/>
        <v>53.265775137071032</v>
      </c>
      <c r="M5" s="99">
        <v>0</v>
      </c>
      <c r="N5" s="99">
        <f>(L5/$W$17)*7.5</f>
        <v>7.0706781155404013</v>
      </c>
      <c r="O5" s="99">
        <f t="shared" si="8"/>
        <v>7.0706781155404013</v>
      </c>
      <c r="P5" t="s">
        <v>57</v>
      </c>
      <c r="Q5" s="148"/>
      <c r="U5" s="99" t="s">
        <v>790</v>
      </c>
      <c r="V5" s="99">
        <f>(N3+N4+N5+N6+N9+N10+N11+N12+N13+N14+N15+N18+N20+N21+N22+N23+N26+N27)/18</f>
        <v>6.4875870978024759</v>
      </c>
      <c r="W5" s="99" t="s">
        <v>571</v>
      </c>
      <c r="AA5" s="99" t="s">
        <v>572</v>
      </c>
    </row>
    <row r="6" spans="1:27" ht="14.4" x14ac:dyDescent="0.3">
      <c r="A6" s="117" t="s">
        <v>305</v>
      </c>
      <c r="B6" s="118">
        <v>45</v>
      </c>
      <c r="C6" s="119">
        <f t="shared" si="1"/>
        <v>1080000</v>
      </c>
      <c r="D6" s="99">
        <f t="shared" si="2"/>
        <v>34.614672679384512</v>
      </c>
      <c r="E6" s="99">
        <f t="shared" si="0"/>
        <v>4467370.0441499995</v>
      </c>
      <c r="F6" s="120">
        <v>77</v>
      </c>
      <c r="G6" s="228">
        <v>8592.9999985600007</v>
      </c>
      <c r="H6" s="228">
        <f t="shared" si="3"/>
        <v>358.04166660666669</v>
      </c>
      <c r="I6" s="119">
        <f t="shared" si="4"/>
        <v>661660.99988911999</v>
      </c>
      <c r="J6" s="119">
        <f t="shared" si="5"/>
        <v>37383846.493735276</v>
      </c>
      <c r="K6" s="99">
        <f t="shared" si="6"/>
        <v>32916476.449585278</v>
      </c>
      <c r="L6" s="99">
        <f t="shared" si="7"/>
        <v>49.748249413372349</v>
      </c>
      <c r="M6" s="99">
        <v>0</v>
      </c>
      <c r="N6" s="99">
        <f>(L6/$W$17)*7.5</f>
        <v>6.6037499221290723</v>
      </c>
      <c r="O6" s="99">
        <f t="shared" si="8"/>
        <v>6.6037499221290723</v>
      </c>
      <c r="P6" t="s">
        <v>57</v>
      </c>
      <c r="Q6" s="46"/>
      <c r="U6" s="99" t="s">
        <v>791</v>
      </c>
      <c r="V6" s="99">
        <f>(N28+N29+N33+N34+N35+N36+N38+N53+N54+N55+N56+N65)/12</f>
        <v>5.7090542000767321</v>
      </c>
      <c r="W6" s="99" t="s">
        <v>573</v>
      </c>
    </row>
    <row r="7" spans="1:27" ht="14.4" x14ac:dyDescent="0.3">
      <c r="A7" s="240" t="s">
        <v>231</v>
      </c>
      <c r="B7" s="121"/>
      <c r="C7" s="241">
        <f t="shared" si="1"/>
        <v>0</v>
      </c>
      <c r="D7" s="232" t="e">
        <f t="shared" si="2"/>
        <v>#DIV/0!</v>
      </c>
      <c r="E7" s="232">
        <f t="shared" si="0"/>
        <v>0</v>
      </c>
      <c r="F7" s="243">
        <v>55</v>
      </c>
      <c r="G7" s="242">
        <v>8687.5454531054547</v>
      </c>
      <c r="H7" s="242">
        <f t="shared" si="3"/>
        <v>361.98106054606063</v>
      </c>
      <c r="I7" s="241">
        <f t="shared" si="4"/>
        <v>477814.99992080004</v>
      </c>
      <c r="J7" s="241">
        <f t="shared" si="5"/>
        <v>26996547.495525204</v>
      </c>
      <c r="K7" s="232">
        <f t="shared" si="6"/>
        <v>26996547.495525204</v>
      </c>
      <c r="L7" s="232">
        <f t="shared" si="7"/>
        <v>56.5</v>
      </c>
      <c r="M7" s="232">
        <v>0</v>
      </c>
      <c r="N7" s="232">
        <f>$V$5</f>
        <v>6.4875870978024759</v>
      </c>
      <c r="O7" s="232">
        <f t="shared" si="8"/>
        <v>6.4875870978024759</v>
      </c>
      <c r="P7" s="52" t="s">
        <v>57</v>
      </c>
      <c r="Q7" s="46"/>
      <c r="U7" s="99" t="s">
        <v>398</v>
      </c>
      <c r="V7" s="99">
        <f>(N30+N37+N42+N43+N57+N61)/6</f>
        <v>5.1593287054711725</v>
      </c>
      <c r="W7" s="99" t="s">
        <v>574</v>
      </c>
    </row>
    <row r="8" spans="1:27" ht="14.4" x14ac:dyDescent="0.3">
      <c r="A8" s="233" t="s">
        <v>143</v>
      </c>
      <c r="B8" s="234">
        <v>40</v>
      </c>
      <c r="C8" s="235">
        <f t="shared" si="1"/>
        <v>960000</v>
      </c>
      <c r="D8" s="231">
        <f t="shared" si="2"/>
        <v>0</v>
      </c>
      <c r="E8" s="231">
        <f t="shared" si="0"/>
        <v>3970995.5948000001</v>
      </c>
      <c r="F8" s="236">
        <v>0</v>
      </c>
      <c r="G8" s="237">
        <v>5872.9999985600007</v>
      </c>
      <c r="H8" s="237">
        <f t="shared" si="3"/>
        <v>244.70833327333335</v>
      </c>
      <c r="I8" s="235">
        <f t="shared" si="4"/>
        <v>0</v>
      </c>
      <c r="J8" s="235">
        <f t="shared" si="5"/>
        <v>0</v>
      </c>
      <c r="K8" s="231">
        <f t="shared" si="6"/>
        <v>-3970995.5948000001</v>
      </c>
      <c r="L8" s="231">
        <v>0</v>
      </c>
      <c r="M8" s="231">
        <v>0</v>
      </c>
      <c r="N8" s="231">
        <f t="shared" ref="N8:N18" si="9">(L8/$W$17)*7.5</f>
        <v>0</v>
      </c>
      <c r="O8" s="231">
        <f t="shared" si="8"/>
        <v>0</v>
      </c>
      <c r="P8" s="238" t="s">
        <v>57</v>
      </c>
      <c r="Q8" s="46"/>
      <c r="U8" s="99" t="s">
        <v>792</v>
      </c>
      <c r="V8" s="99">
        <f>AVERAGE(N45:N52)</f>
        <v>5.6532244297453627</v>
      </c>
      <c r="W8" s="99" t="s">
        <v>575</v>
      </c>
    </row>
    <row r="9" spans="1:27" ht="14.4" x14ac:dyDescent="0.3">
      <c r="A9" s="117" t="s">
        <v>83</v>
      </c>
      <c r="B9" s="118">
        <v>49.6</v>
      </c>
      <c r="C9" s="119">
        <f t="shared" si="1"/>
        <v>1190400</v>
      </c>
      <c r="D9" s="99">
        <f t="shared" si="2"/>
        <v>113.13479311317205</v>
      </c>
      <c r="E9" s="99">
        <f t="shared" si="0"/>
        <v>4924034.537552</v>
      </c>
      <c r="F9" s="120">
        <v>280</v>
      </c>
      <c r="G9" s="228">
        <v>8512.9998560000004</v>
      </c>
      <c r="H9" s="228">
        <f t="shared" si="3"/>
        <v>354.70832733333333</v>
      </c>
      <c r="I9" s="119">
        <f t="shared" si="4"/>
        <v>2383639.9596800003</v>
      </c>
      <c r="J9" s="119">
        <f t="shared" si="5"/>
        <v>134675657.72192001</v>
      </c>
      <c r="K9" s="99">
        <f t="shared" si="6"/>
        <v>129751623.18436801</v>
      </c>
      <c r="L9" s="99">
        <f t="shared" si="7"/>
        <v>54.434237292190282</v>
      </c>
      <c r="M9" s="99">
        <v>0</v>
      </c>
      <c r="N9" s="99">
        <f t="shared" si="9"/>
        <v>7.2257837113526913</v>
      </c>
      <c r="O9" s="99">
        <f t="shared" si="8"/>
        <v>7.2257837113526913</v>
      </c>
      <c r="P9" t="s">
        <v>57</v>
      </c>
      <c r="Q9" s="46"/>
    </row>
    <row r="10" spans="1:27" ht="14.4" x14ac:dyDescent="0.3">
      <c r="A10" s="117" t="s">
        <v>236</v>
      </c>
      <c r="B10" s="118">
        <v>60</v>
      </c>
      <c r="C10" s="119">
        <f t="shared" si="1"/>
        <v>1440000</v>
      </c>
      <c r="D10" s="99">
        <f t="shared" si="2"/>
        <v>156.9879965012228</v>
      </c>
      <c r="E10" s="99">
        <f t="shared" si="0"/>
        <v>5956493.3921999997</v>
      </c>
      <c r="F10" s="120">
        <v>470</v>
      </c>
      <c r="G10" s="228">
        <v>8512.9999985600007</v>
      </c>
      <c r="H10" s="228">
        <f t="shared" si="3"/>
        <v>354.70833327333338</v>
      </c>
      <c r="I10" s="119">
        <f t="shared" si="4"/>
        <v>4001109.9993232004</v>
      </c>
      <c r="J10" s="119">
        <f t="shared" si="5"/>
        <v>226062714.96176082</v>
      </c>
      <c r="K10" s="99">
        <f t="shared" si="6"/>
        <v>220106221.56956083</v>
      </c>
      <c r="L10" s="99">
        <f t="shared" si="7"/>
        <v>55.011289768787272</v>
      </c>
      <c r="M10" s="99">
        <v>0</v>
      </c>
      <c r="N10" s="99">
        <f t="shared" si="9"/>
        <v>7.302383597626628</v>
      </c>
      <c r="O10" s="99">
        <f t="shared" si="8"/>
        <v>7.302383597626628</v>
      </c>
      <c r="P10" t="s">
        <v>57</v>
      </c>
      <c r="Q10" s="46"/>
      <c r="U10" s="231" t="s">
        <v>793</v>
      </c>
      <c r="W10" s="99" t="s">
        <v>576</v>
      </c>
      <c r="AA10" s="99" t="s">
        <v>577</v>
      </c>
    </row>
    <row r="11" spans="1:27" ht="14.4" x14ac:dyDescent="0.3">
      <c r="A11" s="117" t="s">
        <v>302</v>
      </c>
      <c r="B11" s="118">
        <v>41.4</v>
      </c>
      <c r="C11" s="119">
        <f t="shared" si="1"/>
        <v>993599.99999999988</v>
      </c>
      <c r="D11" s="99">
        <f t="shared" si="2"/>
        <v>123.57953399724236</v>
      </c>
      <c r="E11" s="99">
        <f t="shared" si="0"/>
        <v>4109980.440618</v>
      </c>
      <c r="F11" s="120">
        <v>250</v>
      </c>
      <c r="G11" s="228">
        <v>8692.9999985600007</v>
      </c>
      <c r="H11" s="228">
        <f t="shared" si="3"/>
        <v>362.20833327333338</v>
      </c>
      <c r="I11" s="119">
        <f t="shared" si="4"/>
        <v>2173249.9996400001</v>
      </c>
      <c r="J11" s="119">
        <f t="shared" si="5"/>
        <v>122788624.97966</v>
      </c>
      <c r="K11" s="99">
        <f t="shared" si="6"/>
        <v>118678644.53904201</v>
      </c>
      <c r="L11" s="99">
        <f t="shared" si="7"/>
        <v>54.608832190820749</v>
      </c>
      <c r="M11" s="99">
        <v>0</v>
      </c>
      <c r="N11" s="99">
        <f t="shared" si="9"/>
        <v>7.2489600253301862</v>
      </c>
      <c r="O11" s="99">
        <f t="shared" si="8"/>
        <v>7.2489600253301862</v>
      </c>
      <c r="P11" t="s">
        <v>57</v>
      </c>
      <c r="Q11" s="148"/>
      <c r="U11" s="232" t="s">
        <v>794</v>
      </c>
    </row>
    <row r="12" spans="1:27" ht="14.4" x14ac:dyDescent="0.3">
      <c r="A12" s="117" t="s">
        <v>252</v>
      </c>
      <c r="B12" s="118">
        <v>54</v>
      </c>
      <c r="C12" s="119">
        <f t="shared" si="1"/>
        <v>1296000</v>
      </c>
      <c r="D12" s="99">
        <f t="shared" si="2"/>
        <v>40.158725122604942</v>
      </c>
      <c r="E12" s="99">
        <f t="shared" si="0"/>
        <v>5360844.0529800002</v>
      </c>
      <c r="F12" s="120">
        <v>107</v>
      </c>
      <c r="G12" s="228">
        <v>8608.9997120000007</v>
      </c>
      <c r="H12" s="228">
        <f t="shared" si="3"/>
        <v>358.70832133333334</v>
      </c>
      <c r="I12" s="119">
        <f t="shared" si="4"/>
        <v>921162.96918400005</v>
      </c>
      <c r="J12" s="119">
        <f t="shared" si="5"/>
        <v>52045707.758896001</v>
      </c>
      <c r="K12" s="99">
        <f t="shared" si="6"/>
        <v>46684863.705916002</v>
      </c>
      <c r="L12" s="99">
        <f t="shared" si="7"/>
        <v>50.680352193565888</v>
      </c>
      <c r="M12" s="99">
        <v>0</v>
      </c>
      <c r="N12" s="99">
        <f t="shared" si="9"/>
        <v>6.7274803796768872</v>
      </c>
      <c r="O12" s="99">
        <f t="shared" si="8"/>
        <v>6.7274803796768872</v>
      </c>
      <c r="P12" t="s">
        <v>57</v>
      </c>
      <c r="Q12" s="46"/>
    </row>
    <row r="13" spans="1:27" ht="14.4" x14ac:dyDescent="0.3">
      <c r="A13" s="117" t="s">
        <v>221</v>
      </c>
      <c r="B13" s="118">
        <v>30</v>
      </c>
      <c r="C13" s="119">
        <f t="shared" si="1"/>
        <v>720000</v>
      </c>
      <c r="D13" s="99">
        <f t="shared" si="2"/>
        <v>14.489581695844445</v>
      </c>
      <c r="E13" s="99">
        <f t="shared" si="0"/>
        <v>2978246.6960999998</v>
      </c>
      <c r="F13" s="120">
        <v>22</v>
      </c>
      <c r="G13" s="228">
        <v>8392.9998560000004</v>
      </c>
      <c r="H13" s="228">
        <f t="shared" si="3"/>
        <v>349.70832733333333</v>
      </c>
      <c r="I13" s="119">
        <f t="shared" si="4"/>
        <v>184645.996832</v>
      </c>
      <c r="J13" s="119">
        <f t="shared" si="5"/>
        <v>10432498.821008001</v>
      </c>
      <c r="K13" s="99">
        <f t="shared" si="6"/>
        <v>7454252.1249080002</v>
      </c>
      <c r="L13" s="99">
        <f t="shared" si="7"/>
        <v>40.370504927275761</v>
      </c>
      <c r="M13" s="99">
        <v>0</v>
      </c>
      <c r="N13" s="99">
        <f t="shared" si="9"/>
        <v>5.3589165832666934</v>
      </c>
      <c r="O13" s="99">
        <f t="shared" si="8"/>
        <v>5.3589165832666934</v>
      </c>
      <c r="P13" t="s">
        <v>57</v>
      </c>
      <c r="Q13" s="46"/>
    </row>
    <row r="14" spans="1:27" ht="14.4" x14ac:dyDescent="0.3">
      <c r="A14" s="117" t="s">
        <v>313</v>
      </c>
      <c r="B14" s="118">
        <v>62</v>
      </c>
      <c r="C14" s="119">
        <f t="shared" si="1"/>
        <v>1488000</v>
      </c>
      <c r="D14" s="99">
        <f t="shared" si="2"/>
        <v>73.242111280040319</v>
      </c>
      <c r="E14" s="99">
        <f t="shared" si="0"/>
        <v>6155043.1719399998</v>
      </c>
      <c r="F14" s="120">
        <v>225</v>
      </c>
      <c r="G14" s="228">
        <v>8572.9999279999993</v>
      </c>
      <c r="H14" s="228">
        <f t="shared" si="3"/>
        <v>357.20833033333332</v>
      </c>
      <c r="I14" s="119">
        <f t="shared" si="4"/>
        <v>1928924.9837999998</v>
      </c>
      <c r="J14" s="119">
        <f t="shared" si="5"/>
        <v>108984261.58469999</v>
      </c>
      <c r="K14" s="99">
        <f t="shared" si="6"/>
        <v>102829218.41275999</v>
      </c>
      <c r="L14" s="99">
        <f t="shared" si="7"/>
        <v>53.309081108061285</v>
      </c>
      <c r="M14" s="99">
        <v>0</v>
      </c>
      <c r="N14" s="99">
        <f t="shared" si="9"/>
        <v>7.0764266957603468</v>
      </c>
      <c r="O14" s="99">
        <f t="shared" si="8"/>
        <v>7.0764266957603468</v>
      </c>
      <c r="P14" t="s">
        <v>57</v>
      </c>
      <c r="Q14" s="46"/>
      <c r="W14" s="199" t="s">
        <v>578</v>
      </c>
    </row>
    <row r="15" spans="1:27" ht="14.4" x14ac:dyDescent="0.3">
      <c r="A15" s="117" t="s">
        <v>158</v>
      </c>
      <c r="B15" s="118">
        <v>40</v>
      </c>
      <c r="C15" s="119">
        <f t="shared" si="1"/>
        <v>960000</v>
      </c>
      <c r="D15" s="99">
        <f t="shared" si="2"/>
        <v>176.880086108158</v>
      </c>
      <c r="E15" s="99">
        <f t="shared" si="0"/>
        <v>3970995.5948000001</v>
      </c>
      <c r="F15" s="120">
        <v>350</v>
      </c>
      <c r="G15" s="228">
        <v>8586.8461524061531</v>
      </c>
      <c r="H15" s="228">
        <f t="shared" si="3"/>
        <v>357.78525635025636</v>
      </c>
      <c r="I15" s="119">
        <f t="shared" si="4"/>
        <v>3005396.1533421534</v>
      </c>
      <c r="J15" s="119">
        <f t="shared" si="5"/>
        <v>169804882.66383168</v>
      </c>
      <c r="K15" s="99">
        <f t="shared" si="6"/>
        <v>165833887.06903169</v>
      </c>
      <c r="L15" s="99">
        <f t="shared" si="7"/>
        <v>55.178711426983085</v>
      </c>
      <c r="M15" s="99">
        <v>0</v>
      </c>
      <c r="N15" s="99">
        <f t="shared" si="9"/>
        <v>7.3246077115464265</v>
      </c>
      <c r="O15" s="99">
        <f t="shared" si="8"/>
        <v>7.3246077115464265</v>
      </c>
      <c r="P15" t="s">
        <v>57</v>
      </c>
      <c r="Q15" s="148"/>
      <c r="W15" s="99" t="s">
        <v>579</v>
      </c>
    </row>
    <row r="16" spans="1:27" ht="14.4" x14ac:dyDescent="0.3">
      <c r="A16" s="233" t="s">
        <v>287</v>
      </c>
      <c r="B16" s="234">
        <v>2.2999999999999998</v>
      </c>
      <c r="C16" s="235">
        <f t="shared" si="1"/>
        <v>55199.999999999993</v>
      </c>
      <c r="D16" s="231">
        <f t="shared" si="2"/>
        <v>0</v>
      </c>
      <c r="E16" s="231">
        <f t="shared" si="0"/>
        <v>228332.24670099997</v>
      </c>
      <c r="F16" s="236">
        <v>0</v>
      </c>
      <c r="G16" s="237">
        <v>8327.9999985600007</v>
      </c>
      <c r="H16" s="237">
        <f t="shared" si="3"/>
        <v>346.99999994000001</v>
      </c>
      <c r="I16" s="235">
        <f t="shared" si="4"/>
        <v>0</v>
      </c>
      <c r="J16" s="235">
        <f t="shared" si="5"/>
        <v>0</v>
      </c>
      <c r="K16" s="231">
        <f t="shared" si="6"/>
        <v>-228332.24670099997</v>
      </c>
      <c r="L16" s="231">
        <v>0</v>
      </c>
      <c r="M16" s="231">
        <v>1</v>
      </c>
      <c r="N16" s="231">
        <f t="shared" si="9"/>
        <v>0</v>
      </c>
      <c r="O16" s="231">
        <f t="shared" si="8"/>
        <v>1</v>
      </c>
      <c r="P16" s="238" t="s">
        <v>57</v>
      </c>
      <c r="Q16" s="46"/>
    </row>
    <row r="17" spans="1:24" ht="14.4" x14ac:dyDescent="0.3">
      <c r="A17" s="233" t="s">
        <v>240</v>
      </c>
      <c r="B17" s="234">
        <v>30</v>
      </c>
      <c r="C17" s="235">
        <f t="shared" si="1"/>
        <v>720000</v>
      </c>
      <c r="D17" s="231">
        <f t="shared" si="2"/>
        <v>0</v>
      </c>
      <c r="E17" s="231">
        <f t="shared" si="0"/>
        <v>2978246.6960999998</v>
      </c>
      <c r="F17" s="236">
        <v>0</v>
      </c>
      <c r="G17" s="237">
        <v>8632.9999985600007</v>
      </c>
      <c r="H17" s="237">
        <f t="shared" si="3"/>
        <v>359.70833327333338</v>
      </c>
      <c r="I17" s="235">
        <f t="shared" si="4"/>
        <v>0</v>
      </c>
      <c r="J17" s="235">
        <f t="shared" si="5"/>
        <v>0</v>
      </c>
      <c r="K17" s="231">
        <f t="shared" si="6"/>
        <v>-2978246.6960999998</v>
      </c>
      <c r="L17" s="231">
        <v>0</v>
      </c>
      <c r="M17" s="231">
        <v>0</v>
      </c>
      <c r="N17" s="231">
        <f t="shared" si="9"/>
        <v>0</v>
      </c>
      <c r="O17" s="231">
        <f t="shared" si="8"/>
        <v>0</v>
      </c>
      <c r="P17" s="238" t="s">
        <v>57</v>
      </c>
      <c r="Q17" s="46"/>
      <c r="W17" s="99">
        <f>MAX(L3:L66)</f>
        <v>56.500000000000007</v>
      </c>
    </row>
    <row r="18" spans="1:24" ht="14.4" x14ac:dyDescent="0.3">
      <c r="A18" s="117" t="s">
        <v>177</v>
      </c>
      <c r="B18" s="118">
        <v>45.9</v>
      </c>
      <c r="C18" s="119">
        <f t="shared" si="1"/>
        <v>1101600</v>
      </c>
      <c r="D18" s="99">
        <f t="shared" si="2"/>
        <v>22.314759696483556</v>
      </c>
      <c r="E18" s="99">
        <f t="shared" si="0"/>
        <v>4556717.4450329999</v>
      </c>
      <c r="F18" s="120">
        <v>50</v>
      </c>
      <c r="G18" s="228">
        <v>8701.5714271314282</v>
      </c>
      <c r="H18" s="228">
        <f t="shared" si="3"/>
        <v>362.56547613047616</v>
      </c>
      <c r="I18" s="119">
        <f t="shared" si="4"/>
        <v>435078.5713565714</v>
      </c>
      <c r="J18" s="119">
        <f t="shared" si="5"/>
        <v>24581939.281646285</v>
      </c>
      <c r="K18" s="99">
        <f t="shared" si="6"/>
        <v>20025221.836613286</v>
      </c>
      <c r="L18" s="99">
        <f t="shared" si="7"/>
        <v>46.026679213767778</v>
      </c>
      <c r="M18" s="99">
        <v>0</v>
      </c>
      <c r="N18" s="99">
        <f t="shared" si="9"/>
        <v>6.1097361788187312</v>
      </c>
      <c r="O18" s="99">
        <f t="shared" si="8"/>
        <v>6.1097361788187312</v>
      </c>
      <c r="P18" t="s">
        <v>57</v>
      </c>
      <c r="Q18" s="46"/>
      <c r="W18" s="99">
        <f>W17*1.5</f>
        <v>84.750000000000014</v>
      </c>
      <c r="X18" s="99" t="s">
        <v>796</v>
      </c>
    </row>
    <row r="19" spans="1:24" ht="14.4" x14ac:dyDescent="0.3">
      <c r="A19" s="240" t="s">
        <v>218</v>
      </c>
      <c r="B19" s="121"/>
      <c r="C19" s="241">
        <f t="shared" si="1"/>
        <v>0</v>
      </c>
      <c r="D19" s="232" t="e">
        <f t="shared" si="2"/>
        <v>#DIV/0!</v>
      </c>
      <c r="E19" s="232">
        <f t="shared" si="0"/>
        <v>0</v>
      </c>
      <c r="F19" s="243">
        <v>340</v>
      </c>
      <c r="G19" s="242">
        <v>8512.9999985600007</v>
      </c>
      <c r="H19" s="242">
        <f t="shared" si="3"/>
        <v>354.70833327333338</v>
      </c>
      <c r="I19" s="241">
        <f t="shared" si="4"/>
        <v>2894419.9995104</v>
      </c>
      <c r="J19" s="241">
        <f t="shared" si="5"/>
        <v>163534729.9723376</v>
      </c>
      <c r="K19" s="232">
        <f t="shared" si="6"/>
        <v>163534729.9723376</v>
      </c>
      <c r="L19" s="232">
        <f t="shared" si="7"/>
        <v>56.5</v>
      </c>
      <c r="M19" s="232">
        <v>0</v>
      </c>
      <c r="N19" s="232">
        <f>$V$5</f>
        <v>6.4875870978024759</v>
      </c>
      <c r="O19" s="232">
        <f t="shared" si="8"/>
        <v>6.4875870978024759</v>
      </c>
      <c r="P19" s="52" t="s">
        <v>57</v>
      </c>
      <c r="Q19" s="46"/>
    </row>
    <row r="20" spans="1:24" ht="14.4" x14ac:dyDescent="0.3">
      <c r="A20" s="117" t="s">
        <v>89</v>
      </c>
      <c r="B20" s="118">
        <v>5.8</v>
      </c>
      <c r="C20" s="119">
        <f t="shared" si="1"/>
        <v>139200</v>
      </c>
      <c r="D20" s="99">
        <f t="shared" si="2"/>
        <v>1066.6810343074139</v>
      </c>
      <c r="E20" s="99">
        <f t="shared" si="0"/>
        <v>575794.36124599993</v>
      </c>
      <c r="F20" s="120">
        <v>300</v>
      </c>
      <c r="G20" s="228">
        <v>8759.9999985600007</v>
      </c>
      <c r="H20" s="228">
        <f t="shared" si="3"/>
        <v>364.99999994000001</v>
      </c>
      <c r="I20" s="119">
        <f t="shared" si="4"/>
        <v>2627999.9995680004</v>
      </c>
      <c r="J20" s="119">
        <f t="shared" si="5"/>
        <v>148481999.97559202</v>
      </c>
      <c r="K20" s="99">
        <f t="shared" si="6"/>
        <v>147906205.61434603</v>
      </c>
      <c r="L20" s="99">
        <f t="shared" si="7"/>
        <v>56.280900166917561</v>
      </c>
      <c r="M20" s="99">
        <v>0</v>
      </c>
      <c r="N20" s="99">
        <f t="shared" ref="N20:N26" si="10">(L20/$W$17)*7.5</f>
        <v>7.4709159513607375</v>
      </c>
      <c r="O20" s="99">
        <f t="shared" si="8"/>
        <v>7.4709159513607375</v>
      </c>
      <c r="P20" t="s">
        <v>57</v>
      </c>
      <c r="Q20" s="46"/>
      <c r="W20" s="99">
        <f>AVERAGE(O:O)</f>
        <v>5.1081942962022344</v>
      </c>
    </row>
    <row r="21" spans="1:24" ht="14.4" x14ac:dyDescent="0.3">
      <c r="A21" s="117" t="s">
        <v>213</v>
      </c>
      <c r="B21" s="118">
        <v>40</v>
      </c>
      <c r="C21" s="119">
        <f t="shared" si="1"/>
        <v>960000</v>
      </c>
      <c r="D21" s="99">
        <f t="shared" si="2"/>
        <v>98.388570295973764</v>
      </c>
      <c r="E21" s="99">
        <f t="shared" si="0"/>
        <v>3970995.5948000001</v>
      </c>
      <c r="F21" s="120">
        <v>195</v>
      </c>
      <c r="G21" s="228">
        <v>8572.9999985600007</v>
      </c>
      <c r="H21" s="228">
        <f t="shared" si="3"/>
        <v>357.20833327333338</v>
      </c>
      <c r="I21" s="119">
        <f t="shared" si="4"/>
        <v>1671734.9997192002</v>
      </c>
      <c r="J21" s="119">
        <f t="shared" si="5"/>
        <v>94453027.484134808</v>
      </c>
      <c r="K21" s="99">
        <f t="shared" si="6"/>
        <v>90482031.889334813</v>
      </c>
      <c r="L21" s="99">
        <f t="shared" si="7"/>
        <v>54.124626154583709</v>
      </c>
      <c r="M21" s="99">
        <v>0</v>
      </c>
      <c r="N21" s="99">
        <f t="shared" si="10"/>
        <v>7.1846848877765979</v>
      </c>
      <c r="O21" s="99">
        <f t="shared" si="8"/>
        <v>7.1846848877765979</v>
      </c>
      <c r="P21" t="s">
        <v>57</v>
      </c>
      <c r="Q21" s="46"/>
    </row>
    <row r="22" spans="1:24" ht="14.4" x14ac:dyDescent="0.3">
      <c r="A22" s="117" t="s">
        <v>166</v>
      </c>
      <c r="B22" s="118">
        <v>62</v>
      </c>
      <c r="C22" s="119">
        <f t="shared" si="1"/>
        <v>1488000</v>
      </c>
      <c r="D22" s="99">
        <f t="shared" si="2"/>
        <v>55.338484533715594</v>
      </c>
      <c r="E22" s="99">
        <f t="shared" si="0"/>
        <v>6155043.1719399998</v>
      </c>
      <c r="F22" s="120">
        <v>170</v>
      </c>
      <c r="G22" s="228">
        <v>8572.9999985600007</v>
      </c>
      <c r="H22" s="228">
        <f t="shared" si="3"/>
        <v>357.20833327333338</v>
      </c>
      <c r="I22" s="119">
        <f t="shared" si="4"/>
        <v>1457409.9997552</v>
      </c>
      <c r="J22" s="119">
        <f t="shared" si="5"/>
        <v>82343664.986168802</v>
      </c>
      <c r="K22" s="99">
        <f t="shared" si="6"/>
        <v>76188621.814228803</v>
      </c>
      <c r="L22" s="99">
        <f t="shared" si="7"/>
        <v>52.276725030723092</v>
      </c>
      <c r="M22" s="99">
        <v>0</v>
      </c>
      <c r="N22" s="99">
        <f t="shared" si="10"/>
        <v>6.9393882784145688</v>
      </c>
      <c r="O22" s="99">
        <f t="shared" si="8"/>
        <v>6.9393882784145688</v>
      </c>
      <c r="P22" t="s">
        <v>57</v>
      </c>
      <c r="Q22" s="46"/>
    </row>
    <row r="23" spans="1:24" ht="14.4" x14ac:dyDescent="0.3">
      <c r="A23" s="117" t="s">
        <v>174</v>
      </c>
      <c r="B23" s="118">
        <v>45.9</v>
      </c>
      <c r="C23" s="119">
        <f t="shared" si="1"/>
        <v>1101600</v>
      </c>
      <c r="D23" s="99">
        <f t="shared" si="2"/>
        <v>44.647104204669574</v>
      </c>
      <c r="E23" s="99">
        <f t="shared" si="0"/>
        <v>4556717.4450329999</v>
      </c>
      <c r="F23" s="120">
        <v>100</v>
      </c>
      <c r="G23" s="228">
        <v>8704.9999985600007</v>
      </c>
      <c r="H23" s="228">
        <f t="shared" si="3"/>
        <v>362.70833327333338</v>
      </c>
      <c r="I23" s="119">
        <f t="shared" si="4"/>
        <v>870499.99985600007</v>
      </c>
      <c r="J23" s="119">
        <f t="shared" si="5"/>
        <v>49183249.991864003</v>
      </c>
      <c r="K23" s="99">
        <f t="shared" si="6"/>
        <v>44626532.546831004</v>
      </c>
      <c r="L23" s="99">
        <f t="shared" si="7"/>
        <v>51.265402130055392</v>
      </c>
      <c r="M23" s="99">
        <v>0</v>
      </c>
      <c r="N23" s="99">
        <f t="shared" si="10"/>
        <v>6.8051418756710689</v>
      </c>
      <c r="O23" s="99">
        <f t="shared" si="8"/>
        <v>6.8051418756710689</v>
      </c>
      <c r="P23" t="s">
        <v>57</v>
      </c>
      <c r="Q23" s="46"/>
    </row>
    <row r="24" spans="1:24" ht="14.4" x14ac:dyDescent="0.3">
      <c r="A24" s="233" t="s">
        <v>117</v>
      </c>
      <c r="B24" s="234">
        <v>31</v>
      </c>
      <c r="C24" s="235">
        <f t="shared" si="1"/>
        <v>744000</v>
      </c>
      <c r="D24" s="231">
        <f t="shared" si="2"/>
        <v>0</v>
      </c>
      <c r="E24" s="231">
        <f t="shared" si="0"/>
        <v>3077521.5859699999</v>
      </c>
      <c r="F24" s="236">
        <v>0</v>
      </c>
      <c r="G24" s="237">
        <v>8464.9999985600007</v>
      </c>
      <c r="H24" s="237">
        <f t="shared" si="3"/>
        <v>352.70833327333338</v>
      </c>
      <c r="I24" s="235">
        <f t="shared" si="4"/>
        <v>0</v>
      </c>
      <c r="J24" s="235">
        <f t="shared" si="5"/>
        <v>0</v>
      </c>
      <c r="K24" s="231">
        <f t="shared" si="6"/>
        <v>-3077521.5859699999</v>
      </c>
      <c r="L24" s="231">
        <v>0</v>
      </c>
      <c r="M24" s="231">
        <v>0</v>
      </c>
      <c r="N24" s="231">
        <f t="shared" si="10"/>
        <v>0</v>
      </c>
      <c r="O24" s="231">
        <f t="shared" si="8"/>
        <v>0</v>
      </c>
      <c r="P24" s="238" t="s">
        <v>57</v>
      </c>
      <c r="Q24" s="46"/>
    </row>
    <row r="25" spans="1:24" ht="14.4" x14ac:dyDescent="0.3">
      <c r="A25" s="233" t="s">
        <v>215</v>
      </c>
      <c r="B25" s="234">
        <v>30.8</v>
      </c>
      <c r="C25" s="235">
        <f t="shared" si="1"/>
        <v>739200</v>
      </c>
      <c r="D25" s="231">
        <f t="shared" si="2"/>
        <v>0</v>
      </c>
      <c r="E25" s="231">
        <f t="shared" si="0"/>
        <v>3057666.607996</v>
      </c>
      <c r="F25" s="236">
        <v>0</v>
      </c>
      <c r="G25" s="237">
        <v>8572.9999855999995</v>
      </c>
      <c r="H25" s="237">
        <f t="shared" si="3"/>
        <v>357.20833273333329</v>
      </c>
      <c r="I25" s="235">
        <f t="shared" si="4"/>
        <v>0</v>
      </c>
      <c r="J25" s="235">
        <f t="shared" si="5"/>
        <v>0</v>
      </c>
      <c r="K25" s="231">
        <f t="shared" si="6"/>
        <v>-3057666.607996</v>
      </c>
      <c r="L25" s="231">
        <v>0</v>
      </c>
      <c r="M25" s="231">
        <v>0</v>
      </c>
      <c r="N25" s="231">
        <f t="shared" si="10"/>
        <v>0</v>
      </c>
      <c r="O25" s="231">
        <f t="shared" si="8"/>
        <v>0</v>
      </c>
      <c r="P25" s="238" t="s">
        <v>57</v>
      </c>
      <c r="Q25" s="46"/>
    </row>
    <row r="26" spans="1:24" ht="14.4" x14ac:dyDescent="0.3">
      <c r="A26" s="117" t="s">
        <v>95</v>
      </c>
      <c r="B26" s="118">
        <v>37</v>
      </c>
      <c r="C26" s="119">
        <f t="shared" si="1"/>
        <v>888000</v>
      </c>
      <c r="D26" s="99">
        <f t="shared" si="2"/>
        <v>109.09335583753153</v>
      </c>
      <c r="E26" s="99">
        <f t="shared" si="0"/>
        <v>3673170.9251899999</v>
      </c>
      <c r="F26" s="120">
        <v>200</v>
      </c>
      <c r="G26" s="228">
        <v>8572.9999985600007</v>
      </c>
      <c r="H26" s="228">
        <f t="shared" si="3"/>
        <v>357.20833327333338</v>
      </c>
      <c r="I26" s="119">
        <f t="shared" si="4"/>
        <v>1714599.9997120001</v>
      </c>
      <c r="J26" s="119">
        <f t="shared" si="5"/>
        <v>96874899.983728006</v>
      </c>
      <c r="K26" s="99">
        <f t="shared" si="6"/>
        <v>93201729.058538005</v>
      </c>
      <c r="L26" s="99">
        <f t="shared" si="7"/>
        <v>54.357709713165178</v>
      </c>
      <c r="M26" s="99">
        <v>0</v>
      </c>
      <c r="N26" s="99">
        <f t="shared" si="10"/>
        <v>7.2156251831635183</v>
      </c>
      <c r="O26" s="99">
        <f t="shared" si="8"/>
        <v>7.2156251831635183</v>
      </c>
      <c r="P26" t="s">
        <v>57</v>
      </c>
      <c r="Q26" s="46"/>
      <c r="W26" s="99">
        <f>(K10/W17)*10</f>
        <v>38956853.375143498</v>
      </c>
    </row>
    <row r="27" spans="1:24" ht="14.4" x14ac:dyDescent="0.3">
      <c r="A27" s="117" t="s">
        <v>274</v>
      </c>
      <c r="B27" s="118">
        <v>60</v>
      </c>
      <c r="C27" s="119">
        <f t="shared" si="1"/>
        <v>1440000</v>
      </c>
      <c r="D27" s="99">
        <f t="shared" si="2"/>
        <v>3.4202118049905557</v>
      </c>
      <c r="E27" s="99">
        <f t="shared" si="0"/>
        <v>5956493.3921999997</v>
      </c>
      <c r="F27" s="120">
        <v>10</v>
      </c>
      <c r="G27" s="228">
        <v>8716.9999985600007</v>
      </c>
      <c r="H27" s="228">
        <f t="shared" si="3"/>
        <v>363.20833327333338</v>
      </c>
      <c r="I27" s="119">
        <f t="shared" si="4"/>
        <v>87169.999985600007</v>
      </c>
      <c r="J27" s="119">
        <f t="shared" si="5"/>
        <v>4925104.9991864003</v>
      </c>
      <c r="K27" s="99">
        <f t="shared" si="6"/>
        <v>-1031388.3930135993</v>
      </c>
      <c r="L27" s="99">
        <f t="shared" si="7"/>
        <v>-11.831919160077767</v>
      </c>
      <c r="M27" s="99">
        <v>0</v>
      </c>
      <c r="N27" s="99">
        <v>0</v>
      </c>
      <c r="O27" s="99">
        <f t="shared" si="8"/>
        <v>0</v>
      </c>
      <c r="P27" t="s">
        <v>57</v>
      </c>
      <c r="Q27" s="46"/>
    </row>
    <row r="28" spans="1:24" ht="14.4" x14ac:dyDescent="0.3">
      <c r="A28" s="117" t="s">
        <v>279</v>
      </c>
      <c r="B28" s="122">
        <v>60</v>
      </c>
      <c r="C28" s="119">
        <f t="shared" si="1"/>
        <v>1440000</v>
      </c>
      <c r="D28" s="99">
        <f t="shared" si="2"/>
        <v>20.45299999661</v>
      </c>
      <c r="E28" s="99">
        <f t="shared" si="0"/>
        <v>5956493.3921999997</v>
      </c>
      <c r="F28" s="119">
        <v>60</v>
      </c>
      <c r="G28" s="228">
        <v>8687.9999985600007</v>
      </c>
      <c r="H28" s="228">
        <f t="shared" si="3"/>
        <v>361.99999994000001</v>
      </c>
      <c r="I28" s="119">
        <f t="shared" si="4"/>
        <v>521279.99991360004</v>
      </c>
      <c r="J28" s="119">
        <f t="shared" si="5"/>
        <v>29452319.995118402</v>
      </c>
      <c r="K28" s="99">
        <f t="shared" si="6"/>
        <v>23495826.602918401</v>
      </c>
      <c r="L28" s="99">
        <f t="shared" si="7"/>
        <v>45.073332195389689</v>
      </c>
      <c r="M28" s="99">
        <v>1</v>
      </c>
      <c r="N28" s="99">
        <f>(L28/$W$17)*7.5</f>
        <v>5.9831856896534976</v>
      </c>
      <c r="O28" s="99">
        <f t="shared" si="8"/>
        <v>6.9831856896534976</v>
      </c>
      <c r="P28" t="s">
        <v>65</v>
      </c>
      <c r="Q28" s="46"/>
    </row>
    <row r="29" spans="1:24" ht="14.4" x14ac:dyDescent="0.3">
      <c r="A29" s="117" t="s">
        <v>153</v>
      </c>
      <c r="B29" s="118">
        <v>90</v>
      </c>
      <c r="C29" s="119">
        <f t="shared" si="1"/>
        <v>2160000</v>
      </c>
      <c r="D29" s="99">
        <f t="shared" si="2"/>
        <v>48.119166658756669</v>
      </c>
      <c r="E29" s="99">
        <f t="shared" si="0"/>
        <v>8934740.088299999</v>
      </c>
      <c r="F29" s="120">
        <v>210</v>
      </c>
      <c r="G29" s="228">
        <v>8759.9999985600007</v>
      </c>
      <c r="H29" s="228">
        <f t="shared" si="3"/>
        <v>364.99999994000001</v>
      </c>
      <c r="I29" s="119">
        <f t="shared" si="4"/>
        <v>1839599.9996976</v>
      </c>
      <c r="J29" s="119">
        <f t="shared" si="5"/>
        <v>103937399.9829144</v>
      </c>
      <c r="K29" s="99">
        <f t="shared" si="6"/>
        <v>95002659.894614398</v>
      </c>
      <c r="L29" s="99">
        <f t="shared" si="7"/>
        <v>51.643107148418828</v>
      </c>
      <c r="M29" s="99">
        <v>0</v>
      </c>
      <c r="N29" s="99">
        <f>(L29/$W$17)*7.5</f>
        <v>6.8552797099670997</v>
      </c>
      <c r="O29" s="99">
        <f t="shared" si="8"/>
        <v>6.8552797099670997</v>
      </c>
      <c r="P29" t="s">
        <v>65</v>
      </c>
      <c r="Q29" s="46"/>
    </row>
    <row r="30" spans="1:24" ht="14.4" x14ac:dyDescent="0.3">
      <c r="A30" s="117" t="s">
        <v>191</v>
      </c>
      <c r="B30" s="122">
        <v>500</v>
      </c>
      <c r="C30" s="119">
        <f t="shared" si="1"/>
        <v>12000000</v>
      </c>
      <c r="D30" s="99">
        <f t="shared" si="2"/>
        <v>49.453319991863992</v>
      </c>
      <c r="E30" s="99">
        <f t="shared" si="0"/>
        <v>49637444.935000002</v>
      </c>
      <c r="F30" s="119">
        <v>1200</v>
      </c>
      <c r="G30" s="228">
        <v>8752.7999985599999</v>
      </c>
      <c r="H30" s="228">
        <f t="shared" si="3"/>
        <v>364.69999994</v>
      </c>
      <c r="I30" s="119">
        <f t="shared" si="4"/>
        <v>10503359.998272</v>
      </c>
      <c r="J30" s="119">
        <f t="shared" si="5"/>
        <v>593439839.90236795</v>
      </c>
      <c r="K30" s="99">
        <f t="shared" si="6"/>
        <v>543802394.96736789</v>
      </c>
      <c r="L30" s="99">
        <f t="shared" si="7"/>
        <v>51.774136567425437</v>
      </c>
      <c r="M30" s="99">
        <v>0</v>
      </c>
      <c r="N30" s="99">
        <f>(L30/$W$17)*7.5</f>
        <v>6.8726729956759423</v>
      </c>
      <c r="O30" s="99">
        <f t="shared" si="8"/>
        <v>6.8726729956759423</v>
      </c>
      <c r="P30" t="s">
        <v>105</v>
      </c>
      <c r="Q30" s="46"/>
    </row>
    <row r="31" spans="1:24" ht="14.4" x14ac:dyDescent="0.3">
      <c r="A31" s="240" t="s">
        <v>297</v>
      </c>
      <c r="B31" s="123"/>
      <c r="C31" s="241">
        <f t="shared" si="1"/>
        <v>0</v>
      </c>
      <c r="D31" s="232" t="e">
        <f t="shared" si="2"/>
        <v>#DIV/0!</v>
      </c>
      <c r="E31" s="232">
        <f t="shared" si="0"/>
        <v>0</v>
      </c>
      <c r="F31" s="241">
        <v>120</v>
      </c>
      <c r="G31" s="242">
        <v>8735.9999985600007</v>
      </c>
      <c r="H31" s="242">
        <f t="shared" si="3"/>
        <v>363.99999994000001</v>
      </c>
      <c r="I31" s="241">
        <f t="shared" si="4"/>
        <v>1048319.9998272001</v>
      </c>
      <c r="J31" s="241">
        <f t="shared" si="5"/>
        <v>59230079.990236804</v>
      </c>
      <c r="K31" s="232">
        <f t="shared" si="6"/>
        <v>59230079.990236804</v>
      </c>
      <c r="L31" s="232">
        <f t="shared" si="7"/>
        <v>56.5</v>
      </c>
      <c r="M31" s="232">
        <v>1</v>
      </c>
      <c r="N31" s="232">
        <f>$V$7</f>
        <v>5.1593287054711725</v>
      </c>
      <c r="O31" s="232">
        <f t="shared" si="8"/>
        <v>6.1593287054711725</v>
      </c>
      <c r="P31" s="52" t="s">
        <v>105</v>
      </c>
      <c r="Q31" s="46"/>
    </row>
    <row r="32" spans="1:24" ht="14.4" x14ac:dyDescent="0.3">
      <c r="A32" s="233" t="s">
        <v>170</v>
      </c>
      <c r="B32" s="239">
        <v>110</v>
      </c>
      <c r="C32" s="235">
        <f t="shared" si="1"/>
        <v>2640000</v>
      </c>
      <c r="D32" s="231">
        <f t="shared" si="2"/>
        <v>0</v>
      </c>
      <c r="E32" s="231">
        <f t="shared" si="0"/>
        <v>10920237.8857</v>
      </c>
      <c r="F32" s="235">
        <v>0</v>
      </c>
      <c r="G32" s="237">
        <v>8759.9999985600007</v>
      </c>
      <c r="H32" s="237">
        <f t="shared" si="3"/>
        <v>364.99999994000001</v>
      </c>
      <c r="I32" s="235">
        <f t="shared" si="4"/>
        <v>0</v>
      </c>
      <c r="J32" s="235">
        <f t="shared" si="5"/>
        <v>0</v>
      </c>
      <c r="K32" s="231">
        <f t="shared" si="6"/>
        <v>-10920237.8857</v>
      </c>
      <c r="L32" s="231">
        <v>0</v>
      </c>
      <c r="M32" s="231">
        <v>0</v>
      </c>
      <c r="N32" s="231">
        <f t="shared" ref="N32:N38" si="11">(L32/$W$17)*7.5</f>
        <v>0</v>
      </c>
      <c r="O32" s="231">
        <f t="shared" si="8"/>
        <v>0</v>
      </c>
      <c r="P32" s="238" t="s">
        <v>65</v>
      </c>
      <c r="Q32" s="46"/>
    </row>
    <row r="33" spans="1:17" ht="14.4" x14ac:dyDescent="0.3">
      <c r="A33" s="117" t="s">
        <v>135</v>
      </c>
      <c r="B33" s="122">
        <v>120</v>
      </c>
      <c r="C33" s="119">
        <f t="shared" si="1"/>
        <v>2880000</v>
      </c>
      <c r="D33" s="99">
        <f t="shared" si="2"/>
        <v>51.026562491525006</v>
      </c>
      <c r="E33" s="99">
        <f t="shared" si="0"/>
        <v>11912986.784399999</v>
      </c>
      <c r="F33" s="119">
        <v>300</v>
      </c>
      <c r="G33" s="228">
        <v>8669.9999985600007</v>
      </c>
      <c r="H33" s="228">
        <f t="shared" si="3"/>
        <v>361.24999994000001</v>
      </c>
      <c r="I33" s="119">
        <f t="shared" si="4"/>
        <v>2600999.9995680004</v>
      </c>
      <c r="J33" s="119">
        <f t="shared" si="5"/>
        <v>146956499.97559202</v>
      </c>
      <c r="K33" s="99">
        <f t="shared" si="6"/>
        <v>135043513.19119203</v>
      </c>
      <c r="L33" s="99">
        <f t="shared" si="7"/>
        <v>51.919843603852897</v>
      </c>
      <c r="M33" s="99">
        <v>0</v>
      </c>
      <c r="N33" s="99">
        <f t="shared" si="11"/>
        <v>6.892014637679587</v>
      </c>
      <c r="O33" s="99">
        <f t="shared" si="8"/>
        <v>6.892014637679587</v>
      </c>
      <c r="P33" t="s">
        <v>65</v>
      </c>
      <c r="Q33" s="46"/>
    </row>
    <row r="34" spans="1:17" ht="14.4" x14ac:dyDescent="0.3">
      <c r="A34" s="117" t="s">
        <v>200</v>
      </c>
      <c r="B34" s="122">
        <v>125</v>
      </c>
      <c r="C34" s="119">
        <f t="shared" si="1"/>
        <v>3000000</v>
      </c>
      <c r="D34" s="99">
        <f t="shared" si="2"/>
        <v>133.38429597770735</v>
      </c>
      <c r="E34" s="99">
        <f t="shared" si="0"/>
        <v>12409361.233750001</v>
      </c>
      <c r="F34" s="119">
        <v>822</v>
      </c>
      <c r="G34" s="228">
        <v>8615.9999985600007</v>
      </c>
      <c r="H34" s="228">
        <f t="shared" si="3"/>
        <v>358.99999994000001</v>
      </c>
      <c r="I34" s="119">
        <f t="shared" si="4"/>
        <v>7082351.9988163207</v>
      </c>
      <c r="J34" s="119">
        <f t="shared" si="5"/>
        <v>400152887.9331221</v>
      </c>
      <c r="K34" s="99">
        <f t="shared" si="6"/>
        <v>387743526.69937211</v>
      </c>
      <c r="L34" s="99">
        <f t="shared" si="7"/>
        <v>54.747847433193947</v>
      </c>
      <c r="M34" s="99">
        <v>0</v>
      </c>
      <c r="N34" s="99">
        <f t="shared" si="11"/>
        <v>7.2674133760876911</v>
      </c>
      <c r="O34" s="99">
        <f t="shared" si="8"/>
        <v>7.2674133760876911</v>
      </c>
      <c r="P34" t="s">
        <v>65</v>
      </c>
      <c r="Q34" s="46"/>
    </row>
    <row r="35" spans="1:17" ht="14.4" x14ac:dyDescent="0.3">
      <c r="A35" s="117" t="s">
        <v>243</v>
      </c>
      <c r="B35" s="122">
        <v>165</v>
      </c>
      <c r="C35" s="119">
        <f t="shared" si="1"/>
        <v>3960000</v>
      </c>
      <c r="D35" s="99">
        <f t="shared" si="2"/>
        <v>32.878206055017699</v>
      </c>
      <c r="E35" s="99">
        <f t="shared" ref="E35:E65" si="12">B35*99274.88987</f>
        <v>16380356.82855</v>
      </c>
      <c r="F35" s="119">
        <v>272</v>
      </c>
      <c r="G35" s="228">
        <v>8471.9999985600007</v>
      </c>
      <c r="H35" s="228">
        <f t="shared" si="3"/>
        <v>352.99999994000001</v>
      </c>
      <c r="I35" s="119">
        <f t="shared" si="4"/>
        <v>2304383.9996083202</v>
      </c>
      <c r="J35" s="119">
        <f t="shared" si="5"/>
        <v>130197695.97787009</v>
      </c>
      <c r="K35" s="99">
        <f t="shared" si="6"/>
        <v>113817339.1493201</v>
      </c>
      <c r="L35" s="99">
        <f t="shared" si="7"/>
        <v>49.39165484948073</v>
      </c>
      <c r="M35" s="99">
        <v>0</v>
      </c>
      <c r="N35" s="99">
        <f t="shared" si="11"/>
        <v>6.5564143605505389</v>
      </c>
      <c r="O35" s="99">
        <f t="shared" si="8"/>
        <v>6.5564143605505389</v>
      </c>
      <c r="P35" t="s">
        <v>65</v>
      </c>
      <c r="Q35" s="46"/>
    </row>
    <row r="36" spans="1:17" ht="14.4" x14ac:dyDescent="0.3">
      <c r="A36" s="117" t="s">
        <v>139</v>
      </c>
      <c r="B36" s="122">
        <v>720</v>
      </c>
      <c r="C36" s="119">
        <f t="shared" si="1"/>
        <v>17280000</v>
      </c>
      <c r="D36" s="99">
        <f t="shared" si="2"/>
        <v>8.0862799986440006</v>
      </c>
      <c r="E36" s="99">
        <f t="shared" si="12"/>
        <v>71477920.706399992</v>
      </c>
      <c r="F36" s="119">
        <v>288</v>
      </c>
      <c r="G36" s="228">
        <v>8587.1999985599996</v>
      </c>
      <c r="H36" s="228">
        <f t="shared" si="3"/>
        <v>357.79999993999996</v>
      </c>
      <c r="I36" s="119">
        <f t="shared" si="4"/>
        <v>2473113.5995852798</v>
      </c>
      <c r="J36" s="119">
        <f t="shared" si="5"/>
        <v>139730918.37656832</v>
      </c>
      <c r="K36" s="99">
        <f t="shared" si="6"/>
        <v>68252997.670168325</v>
      </c>
      <c r="L36" s="99">
        <f t="shared" si="7"/>
        <v>27.598003456700805</v>
      </c>
      <c r="M36" s="99">
        <v>0</v>
      </c>
      <c r="N36" s="99">
        <f t="shared" si="11"/>
        <v>3.6634517862877169</v>
      </c>
      <c r="O36" s="99">
        <f t="shared" si="8"/>
        <v>3.6634517862877169</v>
      </c>
      <c r="P36" t="s">
        <v>65</v>
      </c>
      <c r="Q36" s="46"/>
    </row>
    <row r="37" spans="1:17" ht="14.4" x14ac:dyDescent="0.3">
      <c r="A37" s="117" t="s">
        <v>292</v>
      </c>
      <c r="B37" s="122">
        <v>145.80000000000001</v>
      </c>
      <c r="C37" s="119">
        <f t="shared" si="1"/>
        <v>3499200.0000000005</v>
      </c>
      <c r="D37" s="99">
        <f t="shared" si="2"/>
        <v>33.907750337122771</v>
      </c>
      <c r="E37" s="99">
        <f t="shared" si="12"/>
        <v>14474278.943046002</v>
      </c>
      <c r="F37" s="119">
        <v>250</v>
      </c>
      <c r="G37" s="228">
        <v>8399.9999985600007</v>
      </c>
      <c r="H37" s="228">
        <f t="shared" si="3"/>
        <v>349.99999994000001</v>
      </c>
      <c r="I37" s="119">
        <f t="shared" si="4"/>
        <v>2099999.9996400001</v>
      </c>
      <c r="J37" s="119">
        <f t="shared" si="5"/>
        <v>118649999.97966</v>
      </c>
      <c r="K37" s="99">
        <f t="shared" si="6"/>
        <v>104175721.036614</v>
      </c>
      <c r="L37" s="99">
        <f t="shared" si="7"/>
        <v>49.607486216415566</v>
      </c>
      <c r="M37" s="99">
        <v>0</v>
      </c>
      <c r="N37" s="99">
        <f t="shared" si="11"/>
        <v>6.5850645420020655</v>
      </c>
      <c r="O37" s="99">
        <f t="shared" si="8"/>
        <v>6.5850645420020655</v>
      </c>
      <c r="P37" t="s">
        <v>105</v>
      </c>
      <c r="Q37" s="46"/>
    </row>
    <row r="38" spans="1:17" ht="14.4" x14ac:dyDescent="0.3">
      <c r="A38" s="117" t="s">
        <v>121</v>
      </c>
      <c r="B38" s="122">
        <v>130</v>
      </c>
      <c r="C38" s="119">
        <f t="shared" si="1"/>
        <v>3120000</v>
      </c>
      <c r="D38" s="99">
        <f t="shared" si="2"/>
        <v>41.980586531551161</v>
      </c>
      <c r="E38" s="99">
        <f t="shared" si="12"/>
        <v>12905735.6831</v>
      </c>
      <c r="F38" s="119">
        <v>265</v>
      </c>
      <c r="G38" s="228">
        <v>8747.9999985600007</v>
      </c>
      <c r="H38" s="228">
        <f t="shared" si="3"/>
        <v>364.49999994000001</v>
      </c>
      <c r="I38" s="119">
        <f t="shared" si="4"/>
        <v>2318219.9996184004</v>
      </c>
      <c r="J38" s="119">
        <f t="shared" si="5"/>
        <v>130979429.97843961</v>
      </c>
      <c r="K38" s="99">
        <f t="shared" si="6"/>
        <v>118073694.29533961</v>
      </c>
      <c r="L38" s="99">
        <f t="shared" si="7"/>
        <v>50.932911593712241</v>
      </c>
      <c r="M38" s="99">
        <v>0</v>
      </c>
      <c r="N38" s="99">
        <f t="shared" si="11"/>
        <v>6.7610059637671105</v>
      </c>
      <c r="O38" s="99">
        <f t="shared" si="8"/>
        <v>6.7610059637671105</v>
      </c>
      <c r="P38" t="s">
        <v>65</v>
      </c>
      <c r="Q38" s="46"/>
    </row>
    <row r="39" spans="1:17" ht="14.4" x14ac:dyDescent="0.3">
      <c r="A39" s="240" t="s">
        <v>130</v>
      </c>
      <c r="B39" s="123"/>
      <c r="C39" s="241">
        <f t="shared" si="1"/>
        <v>0</v>
      </c>
      <c r="D39" s="232" t="e">
        <f t="shared" si="2"/>
        <v>#DIV/0!</v>
      </c>
      <c r="E39" s="232">
        <f t="shared" si="12"/>
        <v>0</v>
      </c>
      <c r="F39" s="241">
        <v>200</v>
      </c>
      <c r="G39" s="242">
        <v>8759.9999985600007</v>
      </c>
      <c r="H39" s="242">
        <f t="shared" si="3"/>
        <v>364.99999994000001</v>
      </c>
      <c r="I39" s="241">
        <f t="shared" si="4"/>
        <v>1751999.9997120001</v>
      </c>
      <c r="J39" s="241">
        <f t="shared" si="5"/>
        <v>98987999.983728006</v>
      </c>
      <c r="K39" s="232">
        <f t="shared" si="6"/>
        <v>98987999.983728006</v>
      </c>
      <c r="L39" s="232">
        <f t="shared" si="7"/>
        <v>56.5</v>
      </c>
      <c r="M39" s="232">
        <v>0</v>
      </c>
      <c r="N39" s="232">
        <f>$V$7</f>
        <v>5.1593287054711725</v>
      </c>
      <c r="O39" s="232">
        <f t="shared" si="8"/>
        <v>5.1593287054711725</v>
      </c>
      <c r="P39" s="52" t="s">
        <v>105</v>
      </c>
      <c r="Q39" s="46"/>
    </row>
    <row r="40" spans="1:17" ht="14.4" x14ac:dyDescent="0.3">
      <c r="A40" s="240" t="s">
        <v>161</v>
      </c>
      <c r="B40" s="123"/>
      <c r="C40" s="241">
        <f t="shared" si="1"/>
        <v>0</v>
      </c>
      <c r="D40" s="232" t="e">
        <f t="shared" si="2"/>
        <v>#DIV/0!</v>
      </c>
      <c r="E40" s="232">
        <f t="shared" si="12"/>
        <v>0</v>
      </c>
      <c r="F40" s="241">
        <v>390</v>
      </c>
      <c r="G40" s="242">
        <v>8321.1284571428569</v>
      </c>
      <c r="H40" s="242">
        <f t="shared" si="3"/>
        <v>346.7136857142857</v>
      </c>
      <c r="I40" s="241">
        <f t="shared" si="4"/>
        <v>3245240.0982857142</v>
      </c>
      <c r="J40" s="241">
        <f t="shared" si="5"/>
        <v>183356065.55314285</v>
      </c>
      <c r="K40" s="232">
        <f t="shared" si="6"/>
        <v>183356065.55314285</v>
      </c>
      <c r="L40" s="232">
        <f t="shared" si="7"/>
        <v>56.5</v>
      </c>
      <c r="M40" s="232">
        <v>0</v>
      </c>
      <c r="N40" s="232">
        <f>$V$7</f>
        <v>5.1593287054711725</v>
      </c>
      <c r="O40" s="232">
        <f t="shared" si="8"/>
        <v>5.1593287054711725</v>
      </c>
      <c r="P40" s="52" t="s">
        <v>105</v>
      </c>
      <c r="Q40" s="46"/>
    </row>
    <row r="41" spans="1:17" ht="14.4" x14ac:dyDescent="0.3">
      <c r="A41" s="240" t="s">
        <v>224</v>
      </c>
      <c r="B41" s="123"/>
      <c r="C41" s="241">
        <f t="shared" si="1"/>
        <v>0</v>
      </c>
      <c r="D41" s="232" t="e">
        <f t="shared" si="2"/>
        <v>#DIV/0!</v>
      </c>
      <c r="E41" s="232">
        <f t="shared" si="12"/>
        <v>0</v>
      </c>
      <c r="F41" s="241">
        <v>165</v>
      </c>
      <c r="G41" s="242">
        <v>8759.9999985600007</v>
      </c>
      <c r="H41" s="242">
        <f t="shared" si="3"/>
        <v>364.99999994000001</v>
      </c>
      <c r="I41" s="241">
        <f t="shared" si="4"/>
        <v>1445399.9997624001</v>
      </c>
      <c r="J41" s="241">
        <f t="shared" si="5"/>
        <v>81665099.986575603</v>
      </c>
      <c r="K41" s="232">
        <f t="shared" si="6"/>
        <v>81665099.986575603</v>
      </c>
      <c r="L41" s="232">
        <f t="shared" si="7"/>
        <v>56.5</v>
      </c>
      <c r="M41" s="232">
        <v>0</v>
      </c>
      <c r="N41" s="232">
        <f>$V$6</f>
        <v>5.7090542000767321</v>
      </c>
      <c r="O41" s="232">
        <f t="shared" si="8"/>
        <v>5.7090542000767321</v>
      </c>
      <c r="P41" s="52" t="s">
        <v>65</v>
      </c>
      <c r="Q41" s="46"/>
    </row>
    <row r="42" spans="1:17" ht="14.4" x14ac:dyDescent="0.3">
      <c r="A42" s="117" t="s">
        <v>259</v>
      </c>
      <c r="B42" s="122">
        <v>300</v>
      </c>
      <c r="C42" s="119">
        <f t="shared" si="1"/>
        <v>7200000</v>
      </c>
      <c r="D42" s="99">
        <f t="shared" si="2"/>
        <v>11.5011399981016</v>
      </c>
      <c r="E42" s="99">
        <f t="shared" si="12"/>
        <v>29782466.960999999</v>
      </c>
      <c r="F42" s="119">
        <v>168</v>
      </c>
      <c r="G42" s="228">
        <v>8723.9999985600007</v>
      </c>
      <c r="H42" s="228">
        <f t="shared" si="3"/>
        <v>363.49999994000001</v>
      </c>
      <c r="I42" s="119">
        <f t="shared" si="4"/>
        <v>1465631.9997580801</v>
      </c>
      <c r="J42" s="119">
        <f t="shared" si="5"/>
        <v>82808207.986331522</v>
      </c>
      <c r="K42" s="99">
        <f t="shared" si="6"/>
        <v>53025741.025331527</v>
      </c>
      <c r="L42" s="99">
        <f t="shared" si="7"/>
        <v>36.179437289909096</v>
      </c>
      <c r="M42" s="99">
        <v>0</v>
      </c>
      <c r="N42" s="99">
        <f>(L42/$W$17)*7.5</f>
        <v>4.8025801712268708</v>
      </c>
      <c r="O42" s="99">
        <f t="shared" si="8"/>
        <v>4.8025801712268708</v>
      </c>
      <c r="P42" t="s">
        <v>105</v>
      </c>
      <c r="Q42" s="46"/>
    </row>
    <row r="43" spans="1:17" ht="14.4" x14ac:dyDescent="0.3">
      <c r="A43" s="117" t="s">
        <v>208</v>
      </c>
      <c r="B43" s="122">
        <v>180</v>
      </c>
      <c r="C43" s="119">
        <f t="shared" si="1"/>
        <v>4320000</v>
      </c>
      <c r="D43" s="99">
        <f t="shared" si="2"/>
        <v>11.456944442561111</v>
      </c>
      <c r="E43" s="99">
        <f t="shared" si="12"/>
        <v>17869480.176599998</v>
      </c>
      <c r="F43" s="119">
        <v>100</v>
      </c>
      <c r="G43" s="228">
        <v>8759.9999985600007</v>
      </c>
      <c r="H43" s="228">
        <f t="shared" si="3"/>
        <v>364.99999994000001</v>
      </c>
      <c r="I43" s="119">
        <f t="shared" si="4"/>
        <v>875999.99985600007</v>
      </c>
      <c r="J43" s="119">
        <f t="shared" si="5"/>
        <v>49493999.991864003</v>
      </c>
      <c r="K43" s="99">
        <f t="shared" si="6"/>
        <v>31624519.815264005</v>
      </c>
      <c r="L43" s="99">
        <f t="shared" si="7"/>
        <v>36.101050023359079</v>
      </c>
      <c r="M43" s="99">
        <v>0</v>
      </c>
      <c r="N43" s="99">
        <f>(L43/$W$17)*7.5</f>
        <v>4.7921747818618234</v>
      </c>
      <c r="O43" s="99">
        <f t="shared" si="8"/>
        <v>4.7921747818618234</v>
      </c>
      <c r="P43" t="s">
        <v>105</v>
      </c>
      <c r="Q43" s="46"/>
    </row>
    <row r="44" spans="1:17" ht="14.4" x14ac:dyDescent="0.3">
      <c r="A44" s="240" t="s">
        <v>196</v>
      </c>
      <c r="B44" s="123"/>
      <c r="C44" s="241">
        <f t="shared" si="1"/>
        <v>0</v>
      </c>
      <c r="D44" s="232" t="e">
        <f t="shared" si="2"/>
        <v>#DIV/0!</v>
      </c>
      <c r="E44" s="232">
        <f t="shared" si="12"/>
        <v>0</v>
      </c>
      <c r="F44" s="241">
        <v>87</v>
      </c>
      <c r="G44" s="242">
        <v>8759.9999985600007</v>
      </c>
      <c r="H44" s="242">
        <f t="shared" si="3"/>
        <v>364.99999994000001</v>
      </c>
      <c r="I44" s="241">
        <f t="shared" si="4"/>
        <v>762119.99987472012</v>
      </c>
      <c r="J44" s="241">
        <f t="shared" si="5"/>
        <v>43059779.992921688</v>
      </c>
      <c r="K44" s="232">
        <f t="shared" si="6"/>
        <v>43059779.992921688</v>
      </c>
      <c r="L44" s="232">
        <f t="shared" si="7"/>
        <v>56.5</v>
      </c>
      <c r="M44" s="232">
        <v>0</v>
      </c>
      <c r="N44" s="232">
        <f>$V$6</f>
        <v>5.7090542000767321</v>
      </c>
      <c r="O44" s="232">
        <f t="shared" si="8"/>
        <v>5.7090542000767321</v>
      </c>
      <c r="P44" s="52" t="s">
        <v>65</v>
      </c>
      <c r="Q44" s="46"/>
    </row>
    <row r="45" spans="1:17" ht="14.4" x14ac:dyDescent="0.3">
      <c r="A45" s="124" t="s">
        <v>309</v>
      </c>
      <c r="B45" s="122">
        <v>100</v>
      </c>
      <c r="C45" s="119">
        <f t="shared" si="1"/>
        <v>2400000</v>
      </c>
      <c r="D45" s="99">
        <f t="shared" si="2"/>
        <v>92.395463299962401</v>
      </c>
      <c r="E45" s="99">
        <f t="shared" si="12"/>
        <v>9927488.9869999997</v>
      </c>
      <c r="F45" s="119">
        <v>450</v>
      </c>
      <c r="G45" s="228">
        <v>8721.6956507339128</v>
      </c>
      <c r="H45" s="228">
        <f t="shared" si="3"/>
        <v>363.40398544724638</v>
      </c>
      <c r="I45" s="119">
        <f t="shared" si="4"/>
        <v>3924763.0428302609</v>
      </c>
      <c r="J45" s="119">
        <f t="shared" si="5"/>
        <v>221749111.91990975</v>
      </c>
      <c r="K45" s="99">
        <f t="shared" si="6"/>
        <v>211821622.93290976</v>
      </c>
      <c r="L45" s="99">
        <f t="shared" si="7"/>
        <v>53.970550736780027</v>
      </c>
      <c r="M45" s="99">
        <v>0</v>
      </c>
      <c r="N45" s="99">
        <f t="shared" ref="N45:N57" si="13">(L45/$W$17)*7.5</f>
        <v>7.1642323986876137</v>
      </c>
      <c r="O45" s="99">
        <f t="shared" si="8"/>
        <v>7.1642323986876137</v>
      </c>
      <c r="P45" t="s">
        <v>48</v>
      </c>
      <c r="Q45" s="47"/>
    </row>
    <row r="46" spans="1:17" ht="14.4" x14ac:dyDescent="0.3">
      <c r="A46" s="124" t="s">
        <v>72</v>
      </c>
      <c r="B46" s="122">
        <v>77</v>
      </c>
      <c r="C46" s="119">
        <f t="shared" si="1"/>
        <v>1848000</v>
      </c>
      <c r="D46" s="99">
        <f t="shared" si="2"/>
        <v>26.706033545380954</v>
      </c>
      <c r="E46" s="99">
        <f t="shared" si="12"/>
        <v>7644166.5199899999</v>
      </c>
      <c r="F46" s="119">
        <v>100</v>
      </c>
      <c r="G46" s="228">
        <v>8734.9999985600007</v>
      </c>
      <c r="H46" s="228">
        <f t="shared" si="3"/>
        <v>363.95833327333338</v>
      </c>
      <c r="I46" s="119">
        <f t="shared" si="4"/>
        <v>873499.99985600007</v>
      </c>
      <c r="J46" s="119">
        <f t="shared" si="5"/>
        <v>49352749.991864003</v>
      </c>
      <c r="K46" s="99">
        <f t="shared" si="6"/>
        <v>41708583.471874006</v>
      </c>
      <c r="L46" s="99">
        <f t="shared" si="7"/>
        <v>47.74880764596432</v>
      </c>
      <c r="M46" s="99">
        <v>0</v>
      </c>
      <c r="N46" s="99">
        <f t="shared" si="13"/>
        <v>6.3383372981368558</v>
      </c>
      <c r="O46" s="99">
        <f t="shared" si="8"/>
        <v>6.3383372981368558</v>
      </c>
      <c r="P46" t="s">
        <v>48</v>
      </c>
      <c r="Q46" s="47"/>
    </row>
    <row r="47" spans="1:17" ht="14.4" x14ac:dyDescent="0.3">
      <c r="A47" s="124" t="s">
        <v>47</v>
      </c>
      <c r="B47" s="122">
        <v>34</v>
      </c>
      <c r="C47" s="119">
        <f t="shared" si="1"/>
        <v>816000</v>
      </c>
      <c r="D47" s="99">
        <f t="shared" si="2"/>
        <v>6.0605943617480396</v>
      </c>
      <c r="E47" s="99">
        <f t="shared" si="12"/>
        <v>3375346.2555800001</v>
      </c>
      <c r="F47" s="119">
        <v>10</v>
      </c>
      <c r="G47" s="228">
        <v>8752.9999985600007</v>
      </c>
      <c r="H47" s="228">
        <f t="shared" si="3"/>
        <v>364.70833327333338</v>
      </c>
      <c r="I47" s="119">
        <f t="shared" si="4"/>
        <v>87529.999985600007</v>
      </c>
      <c r="J47" s="119">
        <f t="shared" si="5"/>
        <v>4945444.9991864003</v>
      </c>
      <c r="K47" s="99">
        <f t="shared" si="6"/>
        <v>1570098.7436064002</v>
      </c>
      <c r="L47" s="99">
        <f t="shared" si="7"/>
        <v>17.937835529129497</v>
      </c>
      <c r="M47" s="99">
        <v>0</v>
      </c>
      <c r="N47" s="99">
        <f t="shared" si="13"/>
        <v>2.3811286100614373</v>
      </c>
      <c r="O47" s="99">
        <f t="shared" si="8"/>
        <v>2.3811286100614373</v>
      </c>
      <c r="P47" t="s">
        <v>48</v>
      </c>
      <c r="Q47" s="47"/>
    </row>
    <row r="48" spans="1:17" ht="14.4" x14ac:dyDescent="0.3">
      <c r="A48" s="124" t="s">
        <v>203</v>
      </c>
      <c r="B48" s="122">
        <v>60</v>
      </c>
      <c r="C48" s="119">
        <f t="shared" si="1"/>
        <v>1440000</v>
      </c>
      <c r="D48" s="99">
        <f t="shared" si="2"/>
        <v>6.8686736099811112</v>
      </c>
      <c r="E48" s="99">
        <f t="shared" si="12"/>
        <v>5956493.3921999997</v>
      </c>
      <c r="F48" s="119">
        <v>20</v>
      </c>
      <c r="G48" s="228">
        <v>8752.9999985600007</v>
      </c>
      <c r="H48" s="228">
        <f t="shared" si="3"/>
        <v>364.70833327333338</v>
      </c>
      <c r="I48" s="119">
        <f t="shared" si="4"/>
        <v>175059.99997120001</v>
      </c>
      <c r="J48" s="119">
        <f t="shared" si="5"/>
        <v>9890889.9983728006</v>
      </c>
      <c r="K48" s="99">
        <f t="shared" si="6"/>
        <v>3934396.606172801</v>
      </c>
      <c r="L48" s="99">
        <f t="shared" si="7"/>
        <v>22.474560760996617</v>
      </c>
      <c r="M48" s="99">
        <v>0</v>
      </c>
      <c r="N48" s="99">
        <f t="shared" si="13"/>
        <v>2.9833487735836215</v>
      </c>
      <c r="O48" s="99">
        <f t="shared" si="8"/>
        <v>2.9833487735836215</v>
      </c>
      <c r="P48" t="s">
        <v>48</v>
      </c>
      <c r="Q48" s="47"/>
    </row>
    <row r="49" spans="1:17" ht="14.4" x14ac:dyDescent="0.3">
      <c r="A49" s="124" t="s">
        <v>77</v>
      </c>
      <c r="B49" s="122">
        <v>61.45</v>
      </c>
      <c r="C49" s="119">
        <f t="shared" si="1"/>
        <v>1474800.0000000002</v>
      </c>
      <c r="D49" s="99">
        <f t="shared" si="2"/>
        <v>99.727907781831163</v>
      </c>
      <c r="E49" s="99">
        <f t="shared" si="12"/>
        <v>6100441.9825114999</v>
      </c>
      <c r="F49" s="119">
        <v>300</v>
      </c>
      <c r="G49" s="228">
        <v>8677.2105248757889</v>
      </c>
      <c r="H49" s="228">
        <f t="shared" si="3"/>
        <v>361.55043853649119</v>
      </c>
      <c r="I49" s="119">
        <f t="shared" si="4"/>
        <v>2603163.1574627366</v>
      </c>
      <c r="J49" s="119">
        <f t="shared" si="5"/>
        <v>147078718.39664462</v>
      </c>
      <c r="K49" s="99">
        <f t="shared" si="6"/>
        <v>140978276.41413313</v>
      </c>
      <c r="L49" s="99">
        <f t="shared" si="7"/>
        <v>54.156527227260895</v>
      </c>
      <c r="M49" s="99">
        <v>0</v>
      </c>
      <c r="N49" s="99">
        <f t="shared" si="13"/>
        <v>7.1889195434417115</v>
      </c>
      <c r="O49" s="99">
        <f t="shared" si="8"/>
        <v>7.1889195434417115</v>
      </c>
      <c r="P49" t="s">
        <v>48</v>
      </c>
      <c r="Q49" s="47"/>
    </row>
    <row r="50" spans="1:17" ht="14.4" x14ac:dyDescent="0.3">
      <c r="A50" s="124" t="s">
        <v>184</v>
      </c>
      <c r="B50" s="122">
        <v>100</v>
      </c>
      <c r="C50" s="119">
        <f t="shared" si="1"/>
        <v>2400000</v>
      </c>
      <c r="D50" s="99">
        <f t="shared" si="2"/>
        <v>39.940791659886671</v>
      </c>
      <c r="E50" s="99">
        <f t="shared" si="12"/>
        <v>9927488.9869999997</v>
      </c>
      <c r="F50" s="119">
        <v>200</v>
      </c>
      <c r="G50" s="228">
        <v>8482.9999985600007</v>
      </c>
      <c r="H50" s="228">
        <f t="shared" si="3"/>
        <v>353.45833327333338</v>
      </c>
      <c r="I50" s="119">
        <f t="shared" si="4"/>
        <v>1696599.9997120001</v>
      </c>
      <c r="J50" s="119">
        <f t="shared" si="5"/>
        <v>95857899.983728006</v>
      </c>
      <c r="K50" s="99">
        <f t="shared" si="6"/>
        <v>85930410.996728003</v>
      </c>
      <c r="L50" s="99">
        <f t="shared" si="7"/>
        <v>50.648597790471996</v>
      </c>
      <c r="M50" s="99">
        <v>0</v>
      </c>
      <c r="N50" s="99">
        <f t="shared" si="13"/>
        <v>6.723265193425485</v>
      </c>
      <c r="O50" s="99">
        <f t="shared" si="8"/>
        <v>6.723265193425485</v>
      </c>
      <c r="P50" t="s">
        <v>48</v>
      </c>
      <c r="Q50" s="47"/>
    </row>
    <row r="51" spans="1:17" ht="14.4" x14ac:dyDescent="0.3">
      <c r="A51" s="124" t="s">
        <v>283</v>
      </c>
      <c r="B51" s="122">
        <v>60</v>
      </c>
      <c r="C51" s="119">
        <f t="shared" si="1"/>
        <v>1440000</v>
      </c>
      <c r="D51" s="99">
        <f t="shared" si="2"/>
        <v>34.155034716572224</v>
      </c>
      <c r="E51" s="99">
        <f t="shared" si="12"/>
        <v>5956493.3921999997</v>
      </c>
      <c r="F51" s="119">
        <v>100</v>
      </c>
      <c r="G51" s="228">
        <v>8704.9999985600007</v>
      </c>
      <c r="H51" s="228">
        <f t="shared" si="3"/>
        <v>362.70833327333338</v>
      </c>
      <c r="I51" s="119">
        <f t="shared" si="4"/>
        <v>870499.99985600007</v>
      </c>
      <c r="J51" s="119">
        <f t="shared" si="5"/>
        <v>49183249.991864003</v>
      </c>
      <c r="K51" s="99">
        <f t="shared" si="6"/>
        <v>43226756.599664003</v>
      </c>
      <c r="L51" s="99">
        <f t="shared" si="7"/>
        <v>49.657388405301162</v>
      </c>
      <c r="M51" s="99">
        <v>0</v>
      </c>
      <c r="N51" s="99">
        <f t="shared" si="13"/>
        <v>6.5916887263674102</v>
      </c>
      <c r="O51" s="99">
        <f t="shared" si="8"/>
        <v>6.5916887263674102</v>
      </c>
      <c r="P51" t="s">
        <v>48</v>
      </c>
      <c r="Q51" s="47"/>
    </row>
    <row r="52" spans="1:17" ht="14.4" x14ac:dyDescent="0.3">
      <c r="A52" s="124" t="s">
        <v>247</v>
      </c>
      <c r="B52" s="122">
        <v>60</v>
      </c>
      <c r="C52" s="119">
        <f t="shared" si="1"/>
        <v>1440000</v>
      </c>
      <c r="D52" s="99">
        <f t="shared" si="2"/>
        <v>18.857777427448056</v>
      </c>
      <c r="E52" s="99">
        <f t="shared" si="12"/>
        <v>5956493.3921999997</v>
      </c>
      <c r="F52" s="119">
        <v>55</v>
      </c>
      <c r="G52" s="228">
        <v>8738.5999985599992</v>
      </c>
      <c r="H52" s="228">
        <f t="shared" si="3"/>
        <v>364.1083332733333</v>
      </c>
      <c r="I52" s="119">
        <f t="shared" si="4"/>
        <v>480622.99992079998</v>
      </c>
      <c r="J52" s="119">
        <f t="shared" si="5"/>
        <v>27155199.4955252</v>
      </c>
      <c r="K52" s="99">
        <f t="shared" si="6"/>
        <v>21198706.103325199</v>
      </c>
      <c r="L52" s="99">
        <f t="shared" si="7"/>
        <v>44.106724203416093</v>
      </c>
      <c r="M52" s="99">
        <v>1</v>
      </c>
      <c r="N52" s="99">
        <f t="shared" si="13"/>
        <v>5.8548748942587725</v>
      </c>
      <c r="O52" s="99">
        <f t="shared" si="8"/>
        <v>6.8548748942587725</v>
      </c>
      <c r="P52" t="s">
        <v>48</v>
      </c>
      <c r="Q52" s="47"/>
    </row>
    <row r="53" spans="1:17" ht="14.4" x14ac:dyDescent="0.3">
      <c r="A53" s="117" t="s">
        <v>316</v>
      </c>
      <c r="B53" s="122">
        <v>165</v>
      </c>
      <c r="C53" s="119">
        <f t="shared" si="1"/>
        <v>3960000</v>
      </c>
      <c r="D53" s="99">
        <f t="shared" si="2"/>
        <v>10.311249998305</v>
      </c>
      <c r="E53" s="99">
        <f t="shared" si="12"/>
        <v>16380356.82855</v>
      </c>
      <c r="F53" s="119">
        <v>82.5</v>
      </c>
      <c r="G53" s="228">
        <v>8759.9999985600007</v>
      </c>
      <c r="H53" s="228">
        <f t="shared" si="3"/>
        <v>364.99999994000001</v>
      </c>
      <c r="I53" s="119">
        <f t="shared" si="4"/>
        <v>722699.99988120003</v>
      </c>
      <c r="J53" s="119">
        <f t="shared" si="5"/>
        <v>40832549.993287802</v>
      </c>
      <c r="K53" s="99">
        <f t="shared" si="6"/>
        <v>24452193.164737802</v>
      </c>
      <c r="L53" s="99">
        <f t="shared" si="7"/>
        <v>33.834500025954533</v>
      </c>
      <c r="M53" s="99">
        <v>0</v>
      </c>
      <c r="N53" s="99">
        <f t="shared" si="13"/>
        <v>4.4913053131798044</v>
      </c>
      <c r="O53" s="99">
        <f t="shared" si="8"/>
        <v>4.4913053131798044</v>
      </c>
      <c r="P53" t="s">
        <v>65</v>
      </c>
      <c r="Q53" s="46"/>
    </row>
    <row r="54" spans="1:17" ht="14.4" x14ac:dyDescent="0.3">
      <c r="A54" s="117" t="s">
        <v>64</v>
      </c>
      <c r="B54" s="122">
        <v>86</v>
      </c>
      <c r="C54" s="119">
        <f t="shared" si="1"/>
        <v>2064000</v>
      </c>
      <c r="D54" s="99">
        <f t="shared" si="2"/>
        <v>11.989825579424419</v>
      </c>
      <c r="E54" s="99">
        <f t="shared" si="12"/>
        <v>8537640.5288200006</v>
      </c>
      <c r="F54" s="119">
        <v>50</v>
      </c>
      <c r="G54" s="228">
        <v>8759.9999985600007</v>
      </c>
      <c r="H54" s="228">
        <f t="shared" si="3"/>
        <v>364.99999994000001</v>
      </c>
      <c r="I54" s="119">
        <f t="shared" si="4"/>
        <v>437999.99992800003</v>
      </c>
      <c r="J54" s="119">
        <f t="shared" si="5"/>
        <v>24746999.995932002</v>
      </c>
      <c r="K54" s="99">
        <f t="shared" si="6"/>
        <v>16209359.467112001</v>
      </c>
      <c r="L54" s="99">
        <f t="shared" si="7"/>
        <v>37.007670022320895</v>
      </c>
      <c r="M54" s="99">
        <v>0</v>
      </c>
      <c r="N54" s="99">
        <f t="shared" si="13"/>
        <v>4.9125225693346311</v>
      </c>
      <c r="O54" s="99">
        <f t="shared" si="8"/>
        <v>4.9125225693346311</v>
      </c>
      <c r="P54" t="s">
        <v>65</v>
      </c>
      <c r="Q54" s="46"/>
    </row>
    <row r="55" spans="1:17" ht="14.4" x14ac:dyDescent="0.3">
      <c r="A55" s="117" t="s">
        <v>146</v>
      </c>
      <c r="B55" s="122">
        <v>90</v>
      </c>
      <c r="C55" s="119">
        <f t="shared" si="1"/>
        <v>2160000</v>
      </c>
      <c r="D55" s="99">
        <f t="shared" si="2"/>
        <v>8.0198611097927799</v>
      </c>
      <c r="E55" s="99">
        <f t="shared" si="12"/>
        <v>8934740.088299999</v>
      </c>
      <c r="F55" s="119">
        <v>35</v>
      </c>
      <c r="G55" s="228">
        <v>8759.9999985600007</v>
      </c>
      <c r="H55" s="228">
        <f t="shared" si="3"/>
        <v>364.99999994000001</v>
      </c>
      <c r="I55" s="119">
        <f t="shared" si="4"/>
        <v>306599.99994960002</v>
      </c>
      <c r="J55" s="119">
        <f t="shared" si="5"/>
        <v>17322899.997152403</v>
      </c>
      <c r="K55" s="99">
        <f t="shared" si="6"/>
        <v>8388159.908852404</v>
      </c>
      <c r="L55" s="99">
        <f t="shared" si="7"/>
        <v>27.358642890512979</v>
      </c>
      <c r="M55" s="99">
        <v>0</v>
      </c>
      <c r="N55" s="99">
        <f t="shared" si="13"/>
        <v>3.6316782598026074</v>
      </c>
      <c r="O55" s="99">
        <f t="shared" si="8"/>
        <v>3.6316782598026074</v>
      </c>
      <c r="P55" t="s">
        <v>65</v>
      </c>
      <c r="Q55" s="46"/>
    </row>
    <row r="56" spans="1:17" ht="14.4" x14ac:dyDescent="0.3">
      <c r="A56" s="117" t="s">
        <v>127</v>
      </c>
      <c r="B56" s="122">
        <v>100</v>
      </c>
      <c r="C56" s="119">
        <f t="shared" si="1"/>
        <v>2400000</v>
      </c>
      <c r="D56" s="99">
        <f t="shared" si="2"/>
        <v>10.258281248305</v>
      </c>
      <c r="E56" s="99">
        <f t="shared" si="12"/>
        <v>9927488.9869999997</v>
      </c>
      <c r="F56" s="119">
        <v>50</v>
      </c>
      <c r="G56" s="228">
        <v>8714.9999985600007</v>
      </c>
      <c r="H56" s="228">
        <f t="shared" si="3"/>
        <v>363.12499994000001</v>
      </c>
      <c r="I56" s="119">
        <f t="shared" si="4"/>
        <v>435749.99992800003</v>
      </c>
      <c r="J56" s="119">
        <f t="shared" si="5"/>
        <v>24619874.995932002</v>
      </c>
      <c r="K56" s="99">
        <f t="shared" si="6"/>
        <v>14692386.008932002</v>
      </c>
      <c r="L56" s="99">
        <f t="shared" si="7"/>
        <v>33.717466463246488</v>
      </c>
      <c r="M56" s="99">
        <v>0</v>
      </c>
      <c r="N56" s="99">
        <f t="shared" si="13"/>
        <v>4.4757698845017462</v>
      </c>
      <c r="O56" s="99">
        <f t="shared" si="8"/>
        <v>4.4757698845017462</v>
      </c>
      <c r="P56" t="s">
        <v>65</v>
      </c>
      <c r="Q56" s="46"/>
    </row>
    <row r="57" spans="1:17" ht="14.4" x14ac:dyDescent="0.3">
      <c r="A57" s="117" t="s">
        <v>269</v>
      </c>
      <c r="B57" s="122">
        <v>100</v>
      </c>
      <c r="C57" s="119">
        <f t="shared" si="1"/>
        <v>2400000</v>
      </c>
      <c r="D57" s="99">
        <f t="shared" si="2"/>
        <v>61.867499989830009</v>
      </c>
      <c r="E57" s="99">
        <f t="shared" si="12"/>
        <v>9927488.9869999997</v>
      </c>
      <c r="F57" s="119">
        <v>300</v>
      </c>
      <c r="G57" s="228">
        <v>8759.9999985600007</v>
      </c>
      <c r="H57" s="228">
        <f t="shared" si="3"/>
        <v>364.99999994000001</v>
      </c>
      <c r="I57" s="119">
        <f t="shared" si="4"/>
        <v>2627999.9995680004</v>
      </c>
      <c r="J57" s="119">
        <f t="shared" si="5"/>
        <v>148481999.97559202</v>
      </c>
      <c r="K57" s="99">
        <f t="shared" si="6"/>
        <v>138554510.98859203</v>
      </c>
      <c r="L57" s="99">
        <f t="shared" si="7"/>
        <v>52.722416670992423</v>
      </c>
      <c r="M57" s="99">
        <v>0</v>
      </c>
      <c r="N57" s="99">
        <f t="shared" si="13"/>
        <v>6.9985508855299665</v>
      </c>
      <c r="O57" s="99">
        <f t="shared" si="8"/>
        <v>6.9985508855299665</v>
      </c>
      <c r="P57" t="s">
        <v>105</v>
      </c>
      <c r="Q57" s="46"/>
    </row>
    <row r="58" spans="1:17" ht="14.4" x14ac:dyDescent="0.3">
      <c r="A58" s="240" t="s">
        <v>188</v>
      </c>
      <c r="B58" s="123"/>
      <c r="C58" s="241">
        <f t="shared" si="1"/>
        <v>0</v>
      </c>
      <c r="D58" s="232" t="e">
        <f t="shared" si="2"/>
        <v>#DIV/0!</v>
      </c>
      <c r="E58" s="232">
        <f t="shared" si="12"/>
        <v>0</v>
      </c>
      <c r="F58" s="241">
        <v>250</v>
      </c>
      <c r="G58" s="242">
        <v>8759.9999985600007</v>
      </c>
      <c r="H58" s="242">
        <f t="shared" si="3"/>
        <v>364.99999994000001</v>
      </c>
      <c r="I58" s="241">
        <f t="shared" si="4"/>
        <v>2189999.9996400001</v>
      </c>
      <c r="J58" s="241">
        <f t="shared" si="5"/>
        <v>123734999.97966</v>
      </c>
      <c r="K58" s="232">
        <f t="shared" si="6"/>
        <v>123734999.97966</v>
      </c>
      <c r="L58" s="232">
        <f t="shared" si="7"/>
        <v>56.5</v>
      </c>
      <c r="M58" s="232">
        <v>0</v>
      </c>
      <c r="N58" s="232">
        <f>$V$7</f>
        <v>5.1593287054711725</v>
      </c>
      <c r="O58" s="232">
        <f t="shared" si="8"/>
        <v>5.1593287054711725</v>
      </c>
      <c r="P58" s="52" t="s">
        <v>105</v>
      </c>
      <c r="Q58" s="46"/>
    </row>
    <row r="59" spans="1:17" ht="14.4" x14ac:dyDescent="0.3">
      <c r="A59" s="233" t="s">
        <v>112</v>
      </c>
      <c r="B59" s="239">
        <v>1000</v>
      </c>
      <c r="C59" s="235">
        <f t="shared" si="1"/>
        <v>24000000</v>
      </c>
      <c r="D59" s="231">
        <f t="shared" si="2"/>
        <v>0</v>
      </c>
      <c r="E59" s="231">
        <f t="shared" si="12"/>
        <v>99274889.870000005</v>
      </c>
      <c r="F59" s="235">
        <v>0</v>
      </c>
      <c r="G59" s="237">
        <v>8759.9999985600007</v>
      </c>
      <c r="H59" s="237">
        <f t="shared" si="3"/>
        <v>364.99999994000001</v>
      </c>
      <c r="I59" s="235">
        <f t="shared" si="4"/>
        <v>0</v>
      </c>
      <c r="J59" s="235">
        <f t="shared" si="5"/>
        <v>0</v>
      </c>
      <c r="K59" s="231">
        <f t="shared" si="6"/>
        <v>-99274889.870000005</v>
      </c>
      <c r="L59" s="231">
        <v>0</v>
      </c>
      <c r="M59" s="231">
        <v>0</v>
      </c>
      <c r="N59" s="231">
        <f>(L59/$W$17)*7.5</f>
        <v>0</v>
      </c>
      <c r="O59" s="231">
        <f t="shared" si="8"/>
        <v>0</v>
      </c>
      <c r="P59" s="238" t="s">
        <v>105</v>
      </c>
      <c r="Q59" s="46"/>
    </row>
    <row r="60" spans="1:17" ht="14.4" x14ac:dyDescent="0.3">
      <c r="A60" s="233" t="s">
        <v>227</v>
      </c>
      <c r="B60" s="239">
        <v>80</v>
      </c>
      <c r="C60" s="235">
        <f t="shared" si="1"/>
        <v>1920000</v>
      </c>
      <c r="D60" s="231">
        <f t="shared" si="2"/>
        <v>0</v>
      </c>
      <c r="E60" s="231">
        <f t="shared" si="12"/>
        <v>7941991.1896000002</v>
      </c>
      <c r="F60" s="235">
        <v>0</v>
      </c>
      <c r="G60" s="237">
        <v>8759.9999985600007</v>
      </c>
      <c r="H60" s="237">
        <f t="shared" si="3"/>
        <v>364.99999994000001</v>
      </c>
      <c r="I60" s="235">
        <f t="shared" si="4"/>
        <v>0</v>
      </c>
      <c r="J60" s="235">
        <f t="shared" si="5"/>
        <v>0</v>
      </c>
      <c r="K60" s="231">
        <f t="shared" si="6"/>
        <v>-7941991.1896000002</v>
      </c>
      <c r="L60" s="231">
        <v>0</v>
      </c>
      <c r="M60" s="231">
        <v>0</v>
      </c>
      <c r="N60" s="231">
        <f>(L60/$W$17)*7.5</f>
        <v>0</v>
      </c>
      <c r="O60" s="231">
        <f t="shared" si="8"/>
        <v>0</v>
      </c>
      <c r="P60" s="238" t="s">
        <v>65</v>
      </c>
      <c r="Q60" s="46"/>
    </row>
    <row r="61" spans="1:17" ht="14.4" x14ac:dyDescent="0.3">
      <c r="A61" s="117" t="s">
        <v>263</v>
      </c>
      <c r="B61" s="122">
        <v>70</v>
      </c>
      <c r="C61" s="119">
        <f t="shared" si="1"/>
        <v>1680000</v>
      </c>
      <c r="D61" s="99">
        <f t="shared" si="2"/>
        <v>4.7040285706537146</v>
      </c>
      <c r="E61" s="99">
        <f t="shared" si="12"/>
        <v>6949242.2909000004</v>
      </c>
      <c r="F61" s="119">
        <v>16</v>
      </c>
      <c r="G61" s="228">
        <v>8741.9999985600007</v>
      </c>
      <c r="H61" s="228">
        <f t="shared" si="3"/>
        <v>364.24999994000001</v>
      </c>
      <c r="I61" s="119">
        <f t="shared" si="4"/>
        <v>139871.99997696001</v>
      </c>
      <c r="J61" s="119">
        <f t="shared" si="5"/>
        <v>7902767.9986982401</v>
      </c>
      <c r="K61" s="99">
        <f t="shared" si="6"/>
        <v>953525.70779823978</v>
      </c>
      <c r="L61" s="99">
        <f t="shared" si="7"/>
        <v>6.8171307191954531</v>
      </c>
      <c r="M61" s="99">
        <v>1</v>
      </c>
      <c r="N61" s="99">
        <f>(L61/$W$17)*7.5</f>
        <v>0.90492885653036981</v>
      </c>
      <c r="O61" s="99">
        <f t="shared" si="8"/>
        <v>1.9049288565303697</v>
      </c>
      <c r="P61" t="s">
        <v>105</v>
      </c>
      <c r="Q61" s="46"/>
    </row>
    <row r="62" spans="1:17" ht="14.4" x14ac:dyDescent="0.3">
      <c r="A62" s="240" t="s">
        <v>179</v>
      </c>
      <c r="B62" s="123"/>
      <c r="C62" s="241">
        <f t="shared" si="1"/>
        <v>0</v>
      </c>
      <c r="D62" s="232" t="e">
        <f t="shared" si="2"/>
        <v>#DIV/0!</v>
      </c>
      <c r="E62" s="232">
        <f t="shared" si="12"/>
        <v>0</v>
      </c>
      <c r="F62" s="241">
        <v>140</v>
      </c>
      <c r="G62" s="242">
        <v>8759.9999985600007</v>
      </c>
      <c r="H62" s="242">
        <f t="shared" si="3"/>
        <v>364.99999994000001</v>
      </c>
      <c r="I62" s="241">
        <f t="shared" si="4"/>
        <v>1226399.9997984001</v>
      </c>
      <c r="J62" s="241">
        <f t="shared" si="5"/>
        <v>69291599.988609612</v>
      </c>
      <c r="K62" s="232">
        <f t="shared" si="6"/>
        <v>69291599.988609612</v>
      </c>
      <c r="L62" s="232">
        <f t="shared" si="7"/>
        <v>56.500000000000007</v>
      </c>
      <c r="M62" s="232">
        <v>0</v>
      </c>
      <c r="N62" s="232">
        <f>$V$7</f>
        <v>5.1593287054711725</v>
      </c>
      <c r="O62" s="232">
        <f t="shared" si="8"/>
        <v>5.1593287054711725</v>
      </c>
      <c r="P62" s="52" t="s">
        <v>105</v>
      </c>
      <c r="Q62" s="46"/>
    </row>
    <row r="63" spans="1:17" ht="14.4" x14ac:dyDescent="0.3">
      <c r="A63" s="240" t="s">
        <v>104</v>
      </c>
      <c r="B63" s="123"/>
      <c r="C63" s="241">
        <f t="shared" si="1"/>
        <v>0</v>
      </c>
      <c r="D63" s="232" t="e">
        <f t="shared" si="2"/>
        <v>#DIV/0!</v>
      </c>
      <c r="E63" s="232">
        <f t="shared" si="12"/>
        <v>0</v>
      </c>
      <c r="F63" s="241">
        <v>100</v>
      </c>
      <c r="G63" s="242">
        <v>8735.9999985600007</v>
      </c>
      <c r="H63" s="242">
        <f t="shared" si="3"/>
        <v>363.99999994000001</v>
      </c>
      <c r="I63" s="241">
        <f t="shared" si="4"/>
        <v>873599.99985600007</v>
      </c>
      <c r="J63" s="241">
        <f t="shared" si="5"/>
        <v>49358399.991864003</v>
      </c>
      <c r="K63" s="232">
        <f t="shared" si="6"/>
        <v>49358399.991864003</v>
      </c>
      <c r="L63" s="232">
        <f t="shared" si="7"/>
        <v>56.5</v>
      </c>
      <c r="M63" s="232">
        <v>0</v>
      </c>
      <c r="N63" s="232">
        <f>$V$7</f>
        <v>5.1593287054711725</v>
      </c>
      <c r="O63" s="232">
        <f t="shared" si="8"/>
        <v>5.1593287054711725</v>
      </c>
      <c r="P63" s="52" t="s">
        <v>105</v>
      </c>
      <c r="Q63" s="46"/>
    </row>
    <row r="64" spans="1:17" ht="14.4" x14ac:dyDescent="0.3">
      <c r="A64" s="233" t="s">
        <v>155</v>
      </c>
      <c r="B64" s="239">
        <v>33</v>
      </c>
      <c r="C64" s="235">
        <f t="shared" si="1"/>
        <v>792000</v>
      </c>
      <c r="D64" s="231">
        <f t="shared" si="2"/>
        <v>0</v>
      </c>
      <c r="E64" s="231">
        <f t="shared" si="12"/>
        <v>3276071.36571</v>
      </c>
      <c r="F64" s="235">
        <v>0</v>
      </c>
      <c r="G64" s="237">
        <v>8681.4545440145448</v>
      </c>
      <c r="H64" s="237">
        <f t="shared" si="3"/>
        <v>361.7272726672727</v>
      </c>
      <c r="I64" s="235">
        <f t="shared" si="4"/>
        <v>0</v>
      </c>
      <c r="J64" s="235">
        <f t="shared" si="5"/>
        <v>0</v>
      </c>
      <c r="K64" s="231">
        <f t="shared" si="6"/>
        <v>-3276071.36571</v>
      </c>
      <c r="L64" s="231">
        <v>0</v>
      </c>
      <c r="M64" s="231">
        <v>0</v>
      </c>
      <c r="N64" s="231">
        <f>(L64/$W$17)*7.5</f>
        <v>0</v>
      </c>
      <c r="O64" s="231">
        <f t="shared" si="8"/>
        <v>0</v>
      </c>
      <c r="P64" s="238" t="s">
        <v>65</v>
      </c>
      <c r="Q64" s="46"/>
    </row>
    <row r="65" spans="1:17" ht="14.4" x14ac:dyDescent="0.3">
      <c r="A65" s="117" t="s">
        <v>149</v>
      </c>
      <c r="B65" s="122">
        <v>80</v>
      </c>
      <c r="C65" s="119">
        <f t="shared" si="1"/>
        <v>1920000</v>
      </c>
      <c r="D65" s="99">
        <f t="shared" si="2"/>
        <v>64.445312489406248</v>
      </c>
      <c r="E65" s="99">
        <f t="shared" si="12"/>
        <v>7941991.1896000002</v>
      </c>
      <c r="F65" s="119">
        <v>250</v>
      </c>
      <c r="G65" s="228">
        <v>8759.9999985600007</v>
      </c>
      <c r="H65" s="228">
        <f t="shared" si="3"/>
        <v>364.99999994000001</v>
      </c>
      <c r="I65" s="119">
        <f t="shared" si="4"/>
        <v>2189999.9996400001</v>
      </c>
      <c r="J65" s="119">
        <f t="shared" si="5"/>
        <v>123734999.97966</v>
      </c>
      <c r="K65" s="99">
        <f t="shared" si="6"/>
        <v>115793008.79006</v>
      </c>
      <c r="L65" s="99">
        <f t="shared" si="7"/>
        <v>52.873520004152724</v>
      </c>
      <c r="M65" s="99">
        <v>0</v>
      </c>
      <c r="N65" s="99">
        <f>(L65/$W$17)*7.5</f>
        <v>7.0186088501087678</v>
      </c>
      <c r="O65" s="99">
        <f t="shared" si="8"/>
        <v>7.0186088501087678</v>
      </c>
      <c r="P65" t="s">
        <v>65</v>
      </c>
      <c r="Q65" s="46"/>
    </row>
    <row r="66" spans="1:17" ht="14.4" x14ac:dyDescent="0.3">
      <c r="C66" s="119"/>
      <c r="D66" s="99"/>
      <c r="F66" s="125"/>
      <c r="G66" s="228"/>
      <c r="H66" s="228"/>
    </row>
    <row r="67" spans="1:17" ht="14.4" x14ac:dyDescent="0.3">
      <c r="D67" s="99"/>
    </row>
    <row r="68" spans="1:17" ht="14.4" x14ac:dyDescent="0.3">
      <c r="D68" s="99"/>
    </row>
    <row r="69" spans="1:17" ht="14.4" x14ac:dyDescent="0.3">
      <c r="A69" s="99" t="s">
        <v>333</v>
      </c>
      <c r="D69" s="99"/>
    </row>
    <row r="70" spans="1:17" ht="14.4" x14ac:dyDescent="0.3">
      <c r="A70" s="99" t="s">
        <v>339</v>
      </c>
      <c r="D70" s="99"/>
    </row>
  </sheetData>
  <dataValidations count="1">
    <dataValidation allowBlank="1" showInputMessage="1" showErrorMessage="1" sqref="P3:P65" xr:uid="{B42441D8-84FD-4958-8468-F7B8203C0F26}"/>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BC8AD-D2D7-432A-89EF-E968A15E084B}">
  <dimension ref="A1:AD67"/>
  <sheetViews>
    <sheetView zoomScale="40" zoomScaleNormal="40" workbookViewId="0">
      <selection activeCell="I5" sqref="I5"/>
    </sheetView>
  </sheetViews>
  <sheetFormatPr baseColWidth="10" defaultColWidth="8.88671875" defaultRowHeight="14.4" x14ac:dyDescent="0.3"/>
  <cols>
    <col min="1" max="1" width="32.44140625" bestFit="1" customWidth="1"/>
    <col min="2" max="2" width="24.88671875" bestFit="1" customWidth="1"/>
    <col min="3" max="3" width="19.109375" bestFit="1" customWidth="1"/>
    <col min="4" max="4" width="78.88671875" customWidth="1"/>
    <col min="5" max="5" width="8.44140625" bestFit="1" customWidth="1"/>
    <col min="6" max="6" width="53.6640625" bestFit="1" customWidth="1"/>
    <col min="7" max="7" width="11.109375" style="170" customWidth="1"/>
    <col min="8" max="8" width="15" customWidth="1"/>
    <col min="9" max="9" width="11.33203125" style="94" customWidth="1"/>
  </cols>
  <sheetData>
    <row r="1" spans="1:30" ht="28.8" x14ac:dyDescent="0.3">
      <c r="A1" s="131" t="s">
        <v>7</v>
      </c>
      <c r="B1" s="133" t="s">
        <v>8</v>
      </c>
      <c r="C1" s="165" t="s">
        <v>9</v>
      </c>
      <c r="D1" s="133" t="s">
        <v>10</v>
      </c>
      <c r="E1" s="166" t="s">
        <v>15</v>
      </c>
      <c r="F1" s="133" t="s">
        <v>351</v>
      </c>
      <c r="G1" s="165" t="s">
        <v>21</v>
      </c>
      <c r="H1" s="133" t="s">
        <v>22</v>
      </c>
      <c r="I1" s="169" t="s">
        <v>28</v>
      </c>
      <c r="J1" s="97"/>
      <c r="K1" s="97"/>
      <c r="L1" s="97"/>
      <c r="M1" s="97"/>
      <c r="N1" s="97"/>
      <c r="O1" s="97"/>
      <c r="P1" s="97"/>
      <c r="Q1" s="97"/>
      <c r="R1" s="97"/>
      <c r="S1" s="97"/>
      <c r="T1" s="97"/>
      <c r="U1" s="97"/>
      <c r="V1" s="97"/>
      <c r="W1" s="97"/>
      <c r="X1" s="97"/>
      <c r="Y1" s="97"/>
      <c r="Z1" s="97"/>
      <c r="AA1" s="97"/>
      <c r="AB1" s="97"/>
      <c r="AC1" s="97"/>
      <c r="AD1" s="97"/>
    </row>
    <row r="2" spans="1:30" s="94" customFormat="1" x14ac:dyDescent="0.3">
      <c r="A2" s="137" t="s">
        <v>39</v>
      </c>
      <c r="B2" s="138">
        <v>0</v>
      </c>
      <c r="C2" s="138">
        <v>0</v>
      </c>
      <c r="D2" s="138">
        <v>0</v>
      </c>
      <c r="E2" s="167">
        <v>0</v>
      </c>
      <c r="F2" s="138">
        <v>0</v>
      </c>
      <c r="G2" s="138" t="s">
        <v>43</v>
      </c>
      <c r="H2" s="138" t="s">
        <v>44</v>
      </c>
      <c r="I2" s="159" t="s">
        <v>46</v>
      </c>
      <c r="J2" s="168"/>
      <c r="K2" s="168"/>
      <c r="L2" s="168"/>
      <c r="M2" s="168"/>
      <c r="N2" s="168"/>
      <c r="O2" s="168"/>
      <c r="P2" s="168"/>
      <c r="Q2" s="168"/>
      <c r="R2" s="168"/>
      <c r="S2" s="168"/>
      <c r="T2" s="168"/>
      <c r="U2" s="168"/>
      <c r="V2" s="168"/>
      <c r="W2" s="168"/>
      <c r="X2" s="168"/>
      <c r="Y2" s="168"/>
      <c r="Z2" s="168"/>
      <c r="AA2" s="168"/>
      <c r="AB2" s="168"/>
      <c r="AC2" s="168"/>
      <c r="AD2" s="168"/>
    </row>
    <row r="3" spans="1:30" x14ac:dyDescent="0.3">
      <c r="A3" s="97" t="s">
        <v>47</v>
      </c>
      <c r="B3" s="97" t="s">
        <v>48</v>
      </c>
      <c r="C3" s="97" t="s">
        <v>49</v>
      </c>
      <c r="D3" s="97" t="s">
        <v>50</v>
      </c>
      <c r="E3" s="163" t="s">
        <v>55</v>
      </c>
      <c r="F3" s="97" t="s">
        <v>54</v>
      </c>
      <c r="G3" s="140">
        <v>510</v>
      </c>
      <c r="H3" s="97">
        <v>0.33300000000000002</v>
      </c>
      <c r="I3" s="171">
        <v>4</v>
      </c>
      <c r="J3" s="97"/>
      <c r="K3" s="168"/>
      <c r="L3" s="168"/>
      <c r="M3" s="168"/>
      <c r="N3" s="168"/>
      <c r="O3" s="168"/>
      <c r="P3" s="168"/>
      <c r="Q3" s="168"/>
      <c r="R3" s="168"/>
      <c r="S3" s="168"/>
      <c r="T3" s="97"/>
      <c r="U3" s="97"/>
      <c r="V3" s="97"/>
      <c r="W3" s="97"/>
      <c r="X3" s="97"/>
      <c r="Y3" s="97"/>
      <c r="Z3" s="97"/>
      <c r="AA3" s="97"/>
      <c r="AB3" s="97"/>
      <c r="AC3" s="97"/>
      <c r="AD3" s="97"/>
    </row>
    <row r="4" spans="1:30" x14ac:dyDescent="0.3">
      <c r="A4" s="97" t="s">
        <v>56</v>
      </c>
      <c r="B4" s="97" t="s">
        <v>57</v>
      </c>
      <c r="C4" s="97" t="s">
        <v>58</v>
      </c>
      <c r="D4" s="97" t="s">
        <v>59</v>
      </c>
      <c r="E4" s="163" t="s">
        <v>55</v>
      </c>
      <c r="F4" s="97" t="s">
        <v>63</v>
      </c>
      <c r="G4" s="140" t="s">
        <v>352</v>
      </c>
      <c r="H4" s="97">
        <v>0.32500000000000001</v>
      </c>
      <c r="I4" s="171">
        <v>8</v>
      </c>
      <c r="J4" s="97"/>
      <c r="K4" s="168"/>
      <c r="L4" s="168"/>
      <c r="M4" s="168"/>
      <c r="N4" s="168"/>
      <c r="O4" s="168"/>
      <c r="P4" s="168"/>
      <c r="Q4" s="168"/>
      <c r="R4" s="168"/>
      <c r="S4" s="168"/>
      <c r="T4" s="97"/>
      <c r="U4" s="97"/>
      <c r="V4" s="97"/>
      <c r="W4" s="97"/>
      <c r="X4" s="97"/>
      <c r="Y4" s="97"/>
      <c r="Z4" s="97"/>
      <c r="AA4" s="97"/>
      <c r="AB4" s="97"/>
      <c r="AC4" s="97"/>
      <c r="AD4" s="97"/>
    </row>
    <row r="5" spans="1:30" x14ac:dyDescent="0.3">
      <c r="A5" s="97" t="s">
        <v>64</v>
      </c>
      <c r="B5" s="97" t="s">
        <v>65</v>
      </c>
      <c r="C5" s="97" t="s">
        <v>66</v>
      </c>
      <c r="D5" s="97" t="s">
        <v>67</v>
      </c>
      <c r="E5" s="163" t="s">
        <v>55</v>
      </c>
      <c r="F5" s="97" t="s">
        <v>71</v>
      </c>
      <c r="G5" s="140">
        <v>1200</v>
      </c>
      <c r="H5" s="90">
        <v>0.5</v>
      </c>
      <c r="I5" s="171">
        <v>6</v>
      </c>
      <c r="J5" s="97"/>
      <c r="K5" s="168"/>
      <c r="L5" s="168"/>
      <c r="M5" s="168"/>
      <c r="N5" s="168"/>
      <c r="O5" s="168"/>
      <c r="P5" s="168"/>
      <c r="Q5" s="168"/>
      <c r="R5" s="168"/>
      <c r="S5" s="168"/>
      <c r="T5" s="97"/>
      <c r="U5" s="97"/>
      <c r="V5" s="97"/>
      <c r="W5" s="97"/>
      <c r="X5" s="97"/>
      <c r="Y5" s="97"/>
      <c r="Z5" s="97"/>
      <c r="AA5" s="97"/>
      <c r="AB5" s="97"/>
      <c r="AC5" s="97"/>
      <c r="AD5" s="97"/>
    </row>
    <row r="6" spans="1:30" x14ac:dyDescent="0.3">
      <c r="A6" s="97" t="s">
        <v>72</v>
      </c>
      <c r="B6" s="97" t="s">
        <v>48</v>
      </c>
      <c r="C6" s="97" t="s">
        <v>49</v>
      </c>
      <c r="D6" s="97" t="s">
        <v>73</v>
      </c>
      <c r="E6" s="163" t="s">
        <v>55</v>
      </c>
      <c r="F6" s="97" t="s">
        <v>54</v>
      </c>
      <c r="G6" s="140">
        <v>510</v>
      </c>
      <c r="H6" s="97">
        <v>0.35</v>
      </c>
      <c r="I6" s="171">
        <v>4</v>
      </c>
      <c r="J6" s="97"/>
      <c r="K6" s="168"/>
      <c r="L6" s="168"/>
      <c r="M6" s="168"/>
      <c r="N6" s="168"/>
      <c r="O6" s="168"/>
      <c r="P6" s="168"/>
      <c r="Q6" s="168"/>
      <c r="R6" s="168"/>
      <c r="S6" s="168"/>
      <c r="T6" s="97"/>
      <c r="U6" s="97"/>
      <c r="V6" s="97"/>
      <c r="W6" s="97"/>
      <c r="X6" s="97"/>
      <c r="Y6" s="97"/>
      <c r="Z6" s="97"/>
      <c r="AA6" s="97"/>
      <c r="AB6" s="97"/>
      <c r="AC6" s="97"/>
      <c r="AD6" s="97"/>
    </row>
    <row r="7" spans="1:30" x14ac:dyDescent="0.3">
      <c r="A7" s="97" t="s">
        <v>77</v>
      </c>
      <c r="B7" s="97" t="s">
        <v>48</v>
      </c>
      <c r="C7" s="97" t="s">
        <v>49</v>
      </c>
      <c r="D7" s="97" t="s">
        <v>78</v>
      </c>
      <c r="E7" s="163" t="s">
        <v>55</v>
      </c>
      <c r="F7" s="97" t="s">
        <v>82</v>
      </c>
      <c r="G7" s="140">
        <v>535</v>
      </c>
      <c r="H7" s="97">
        <v>0.42899999999999999</v>
      </c>
      <c r="I7" s="171">
        <v>2</v>
      </c>
      <c r="J7" s="97"/>
      <c r="K7" s="168"/>
      <c r="L7" s="168"/>
      <c r="M7" s="168"/>
      <c r="N7" s="168"/>
      <c r="O7" s="168"/>
      <c r="P7" s="168"/>
      <c r="Q7" s="168"/>
      <c r="R7" s="168"/>
      <c r="S7" s="168"/>
      <c r="T7" s="97"/>
      <c r="U7" s="97"/>
      <c r="V7" s="97"/>
      <c r="W7" s="97"/>
      <c r="X7" s="97"/>
      <c r="Y7" s="97"/>
      <c r="Z7" s="97"/>
      <c r="AA7" s="97"/>
      <c r="AB7" s="97"/>
      <c r="AC7" s="97"/>
      <c r="AD7" s="97"/>
    </row>
    <row r="8" spans="1:30" x14ac:dyDescent="0.3">
      <c r="A8" s="97" t="s">
        <v>83</v>
      </c>
      <c r="B8" s="97" t="s">
        <v>57</v>
      </c>
      <c r="C8" s="97" t="s">
        <v>84</v>
      </c>
      <c r="D8" s="97" t="s">
        <v>85</v>
      </c>
      <c r="E8" s="163" t="s">
        <v>55</v>
      </c>
      <c r="F8" s="97" t="s">
        <v>63</v>
      </c>
      <c r="G8" s="140">
        <v>288</v>
      </c>
      <c r="H8" s="97">
        <v>0.32200000000000001</v>
      </c>
      <c r="I8" s="171">
        <v>8</v>
      </c>
      <c r="J8" s="97"/>
      <c r="K8" s="168"/>
      <c r="L8" s="168"/>
      <c r="M8" s="168"/>
      <c r="N8" s="168"/>
      <c r="O8" s="168"/>
      <c r="P8" s="168"/>
      <c r="Q8" s="168"/>
      <c r="R8" s="168"/>
      <c r="S8" s="168"/>
      <c r="T8" s="97"/>
      <c r="U8" s="97"/>
      <c r="V8" s="97"/>
      <c r="W8" s="97"/>
      <c r="X8" s="97"/>
      <c r="Y8" s="97"/>
      <c r="Z8" s="97"/>
      <c r="AA8" s="97"/>
      <c r="AB8" s="97"/>
      <c r="AC8" s="97"/>
      <c r="AD8" s="97"/>
    </row>
    <row r="9" spans="1:30" x14ac:dyDescent="0.3">
      <c r="A9" s="97" t="s">
        <v>89</v>
      </c>
      <c r="B9" s="97" t="s">
        <v>57</v>
      </c>
      <c r="C9" s="97" t="s">
        <v>90</v>
      </c>
      <c r="D9" s="97" t="s">
        <v>91</v>
      </c>
      <c r="E9" s="163" t="s">
        <v>55</v>
      </c>
      <c r="F9" s="97" t="s">
        <v>94</v>
      </c>
      <c r="G9" s="140">
        <v>310</v>
      </c>
      <c r="H9" s="97">
        <v>0.313</v>
      </c>
      <c r="I9" s="171">
        <v>7</v>
      </c>
      <c r="J9" s="97"/>
      <c r="K9" s="168"/>
      <c r="L9" s="168"/>
      <c r="M9" s="168"/>
      <c r="N9" s="168"/>
      <c r="O9" s="168"/>
      <c r="P9" s="168"/>
      <c r="Q9" s="168"/>
      <c r="R9" s="168"/>
      <c r="S9" s="168"/>
      <c r="T9" s="97"/>
      <c r="U9" s="97"/>
      <c r="V9" s="97"/>
      <c r="W9" s="97"/>
      <c r="X9" s="97"/>
      <c r="Y9" s="97"/>
      <c r="Z9" s="97"/>
      <c r="AA9" s="97"/>
      <c r="AB9" s="97"/>
      <c r="AC9" s="97"/>
      <c r="AD9" s="97"/>
    </row>
    <row r="10" spans="1:30" x14ac:dyDescent="0.3">
      <c r="A10" s="97" t="s">
        <v>95</v>
      </c>
      <c r="B10" s="97" t="s">
        <v>57</v>
      </c>
      <c r="C10" s="97" t="s">
        <v>96</v>
      </c>
      <c r="D10" s="97" t="s">
        <v>97</v>
      </c>
      <c r="E10" s="163" t="s">
        <v>55</v>
      </c>
      <c r="F10" s="97" t="s">
        <v>63</v>
      </c>
      <c r="G10" s="140">
        <v>313</v>
      </c>
      <c r="H10" s="97">
        <v>0.30299999999999999</v>
      </c>
      <c r="I10" s="171">
        <v>8</v>
      </c>
      <c r="J10" s="97"/>
      <c r="K10" s="97"/>
      <c r="L10" s="168"/>
      <c r="M10" s="168"/>
      <c r="N10" s="168"/>
      <c r="O10" s="168"/>
      <c r="P10" s="168"/>
      <c r="Q10" s="168"/>
      <c r="R10" s="168"/>
      <c r="S10" s="168"/>
      <c r="T10" s="97"/>
      <c r="U10" s="97"/>
      <c r="V10" s="97"/>
      <c r="W10" s="97"/>
      <c r="X10" s="97"/>
      <c r="Y10" s="97"/>
      <c r="Z10" s="97"/>
      <c r="AA10" s="97"/>
      <c r="AB10" s="97"/>
      <c r="AC10" s="97"/>
      <c r="AD10" s="97"/>
    </row>
    <row r="11" spans="1:30" x14ac:dyDescent="0.3">
      <c r="A11" s="97" t="s">
        <v>100</v>
      </c>
      <c r="B11" s="97" t="s">
        <v>57</v>
      </c>
      <c r="C11" s="97" t="s">
        <v>58</v>
      </c>
      <c r="D11" s="97" t="s">
        <v>101</v>
      </c>
      <c r="E11" s="163" t="s">
        <v>55</v>
      </c>
      <c r="F11" s="97" t="s">
        <v>63</v>
      </c>
      <c r="G11" s="140">
        <v>326</v>
      </c>
      <c r="H11" s="97">
        <v>0.3</v>
      </c>
      <c r="I11" s="171">
        <v>8</v>
      </c>
      <c r="J11" s="97"/>
      <c r="K11" s="97"/>
      <c r="L11" s="168"/>
      <c r="M11" s="168"/>
      <c r="N11" s="168"/>
      <c r="O11" s="168"/>
      <c r="P11" s="168"/>
      <c r="Q11" s="168"/>
      <c r="R11" s="168"/>
      <c r="S11" s="168"/>
      <c r="T11" s="97"/>
      <c r="U11" s="97"/>
      <c r="V11" s="97"/>
      <c r="W11" s="97"/>
      <c r="X11" s="97"/>
      <c r="Y11" s="97"/>
      <c r="Z11" s="97"/>
      <c r="AA11" s="97"/>
      <c r="AB11" s="97"/>
      <c r="AC11" s="97"/>
      <c r="AD11" s="97"/>
    </row>
    <row r="12" spans="1:30" x14ac:dyDescent="0.3">
      <c r="A12" s="97" t="s">
        <v>104</v>
      </c>
      <c r="B12" s="97" t="s">
        <v>105</v>
      </c>
      <c r="C12" s="97" t="s">
        <v>113</v>
      </c>
      <c r="D12" s="164" t="s">
        <v>107</v>
      </c>
      <c r="E12" s="163" t="s">
        <v>55</v>
      </c>
      <c r="F12" s="97" t="s">
        <v>111</v>
      </c>
      <c r="G12" s="140">
        <v>670</v>
      </c>
      <c r="H12" s="97">
        <v>0.4</v>
      </c>
      <c r="I12" s="171">
        <v>3</v>
      </c>
      <c r="J12" s="97"/>
      <c r="K12" s="97"/>
      <c r="L12" s="168"/>
      <c r="M12" s="168"/>
      <c r="N12" s="168"/>
      <c r="O12" s="168"/>
      <c r="P12" s="168"/>
      <c r="Q12" s="168"/>
      <c r="R12" s="168"/>
      <c r="S12" s="168"/>
      <c r="T12" s="97"/>
      <c r="U12" s="97"/>
      <c r="V12" s="97"/>
      <c r="W12" s="97"/>
      <c r="X12" s="97"/>
      <c r="Y12" s="97"/>
      <c r="Z12" s="97"/>
      <c r="AA12" s="97"/>
      <c r="AB12" s="97"/>
      <c r="AC12" s="97"/>
      <c r="AD12" s="97"/>
    </row>
    <row r="13" spans="1:30" x14ac:dyDescent="0.3">
      <c r="A13" s="97" t="s">
        <v>112</v>
      </c>
      <c r="B13" s="97" t="s">
        <v>105</v>
      </c>
      <c r="C13" s="97" t="s">
        <v>113</v>
      </c>
      <c r="D13" s="97" t="s">
        <v>114</v>
      </c>
      <c r="E13" s="163" t="s">
        <v>55</v>
      </c>
      <c r="F13" s="97" t="s">
        <v>116</v>
      </c>
      <c r="G13" s="140">
        <v>700</v>
      </c>
      <c r="H13" s="97">
        <v>0</v>
      </c>
      <c r="I13" s="171">
        <v>5</v>
      </c>
      <c r="J13" s="97"/>
      <c r="K13" s="97"/>
      <c r="L13" s="168"/>
      <c r="M13" s="168"/>
      <c r="N13" s="168"/>
      <c r="O13" s="168"/>
      <c r="P13" s="168"/>
      <c r="Q13" s="168"/>
      <c r="R13" s="168"/>
      <c r="S13" s="168"/>
      <c r="T13" s="97"/>
      <c r="U13" s="97"/>
      <c r="V13" s="97"/>
      <c r="W13" s="97"/>
      <c r="X13" s="97"/>
      <c r="Y13" s="97"/>
      <c r="Z13" s="97"/>
      <c r="AA13" s="97"/>
      <c r="AB13" s="97"/>
      <c r="AC13" s="97"/>
      <c r="AD13" s="97"/>
    </row>
    <row r="14" spans="1:30" x14ac:dyDescent="0.3">
      <c r="A14" s="97" t="s">
        <v>117</v>
      </c>
      <c r="B14" s="97" t="s">
        <v>57</v>
      </c>
      <c r="C14" s="97" t="s">
        <v>118</v>
      </c>
      <c r="D14" s="97" t="s">
        <v>119</v>
      </c>
      <c r="E14" s="163" t="s">
        <v>55</v>
      </c>
      <c r="F14" s="97" t="s">
        <v>63</v>
      </c>
      <c r="G14" s="140">
        <v>98</v>
      </c>
      <c r="H14" s="97">
        <v>0</v>
      </c>
      <c r="I14" s="171">
        <v>8</v>
      </c>
      <c r="J14" s="97"/>
      <c r="K14" s="97"/>
      <c r="L14" s="168"/>
      <c r="M14" s="168"/>
      <c r="N14" s="168"/>
      <c r="O14" s="168"/>
      <c r="P14" s="168"/>
      <c r="Q14" s="168"/>
      <c r="R14" s="168"/>
      <c r="S14" s="168"/>
      <c r="T14" s="97"/>
      <c r="U14" s="97"/>
      <c r="V14" s="97"/>
      <c r="W14" s="97"/>
      <c r="X14" s="97"/>
      <c r="Y14" s="97"/>
      <c r="Z14" s="97"/>
      <c r="AA14" s="97"/>
      <c r="AB14" s="97"/>
      <c r="AC14" s="97"/>
      <c r="AD14" s="97"/>
    </row>
    <row r="15" spans="1:30" x14ac:dyDescent="0.3">
      <c r="A15" s="97" t="s">
        <v>121</v>
      </c>
      <c r="B15" s="97" t="s">
        <v>65</v>
      </c>
      <c r="C15" s="97" t="s">
        <v>122</v>
      </c>
      <c r="D15" s="97" t="s">
        <v>123</v>
      </c>
      <c r="E15" s="163" t="s">
        <v>55</v>
      </c>
      <c r="F15" s="97" t="s">
        <v>126</v>
      </c>
      <c r="G15" s="140">
        <v>850</v>
      </c>
      <c r="H15" s="90">
        <v>0.53</v>
      </c>
      <c r="I15" s="171">
        <v>9</v>
      </c>
      <c r="J15" s="97"/>
      <c r="K15" s="97"/>
      <c r="L15" s="168"/>
      <c r="M15" s="168"/>
      <c r="N15" s="168"/>
      <c r="O15" s="168"/>
      <c r="P15" s="168"/>
      <c r="Q15" s="168"/>
      <c r="R15" s="168"/>
      <c r="S15" s="168"/>
      <c r="T15" s="97"/>
      <c r="U15" s="97"/>
      <c r="V15" s="97"/>
      <c r="W15" s="97"/>
      <c r="X15" s="97"/>
      <c r="Y15" s="97"/>
      <c r="Z15" s="97"/>
      <c r="AA15" s="97"/>
      <c r="AB15" s="97"/>
      <c r="AC15" s="97"/>
      <c r="AD15" s="97"/>
    </row>
    <row r="16" spans="1:30" x14ac:dyDescent="0.3">
      <c r="A16" s="97" t="s">
        <v>127</v>
      </c>
      <c r="B16" s="97" t="s">
        <v>65</v>
      </c>
      <c r="C16" s="97" t="s">
        <v>122</v>
      </c>
      <c r="D16" s="97" t="s">
        <v>128</v>
      </c>
      <c r="E16" s="163" t="s">
        <v>55</v>
      </c>
      <c r="F16" s="97" t="s">
        <v>126</v>
      </c>
      <c r="G16" s="140">
        <v>800</v>
      </c>
      <c r="H16" s="90">
        <v>0.5</v>
      </c>
      <c r="I16" s="171">
        <v>9</v>
      </c>
      <c r="J16" s="97"/>
      <c r="K16" s="97"/>
      <c r="L16" s="168"/>
      <c r="M16" s="168"/>
      <c r="N16" s="168"/>
      <c r="O16" s="168"/>
      <c r="P16" s="168"/>
      <c r="Q16" s="168"/>
      <c r="R16" s="168"/>
      <c r="S16" s="168"/>
      <c r="T16" s="97"/>
      <c r="U16" s="97"/>
      <c r="V16" s="97"/>
      <c r="W16" s="97"/>
      <c r="X16" s="97"/>
      <c r="Y16" s="97"/>
      <c r="Z16" s="97"/>
      <c r="AA16" s="97"/>
      <c r="AB16" s="97"/>
      <c r="AC16" s="97"/>
      <c r="AD16" s="97"/>
    </row>
    <row r="17" spans="1:30" x14ac:dyDescent="0.3">
      <c r="A17" s="97" t="s">
        <v>130</v>
      </c>
      <c r="B17" s="97" t="s">
        <v>105</v>
      </c>
      <c r="C17" s="97" t="s">
        <v>113</v>
      </c>
      <c r="D17" s="97" t="s">
        <v>131</v>
      </c>
      <c r="E17" s="163" t="s">
        <v>55</v>
      </c>
      <c r="F17" s="97" t="s">
        <v>134</v>
      </c>
      <c r="G17" s="140">
        <v>704</v>
      </c>
      <c r="H17" s="97">
        <v>0.44400000000000001</v>
      </c>
      <c r="I17" s="171">
        <v>3</v>
      </c>
      <c r="J17" s="97"/>
      <c r="K17" s="97"/>
      <c r="L17" s="168"/>
      <c r="M17" s="168"/>
      <c r="N17" s="168"/>
      <c r="O17" s="168"/>
      <c r="P17" s="168"/>
      <c r="Q17" s="168"/>
      <c r="R17" s="168"/>
      <c r="S17" s="168"/>
      <c r="T17" s="97"/>
      <c r="U17" s="97"/>
      <c r="V17" s="97"/>
      <c r="W17" s="97"/>
      <c r="X17" s="97"/>
      <c r="Y17" s="97"/>
      <c r="Z17" s="97"/>
      <c r="AA17" s="97"/>
      <c r="AB17" s="97"/>
      <c r="AC17" s="97"/>
      <c r="AD17" s="97"/>
    </row>
    <row r="18" spans="1:30" x14ac:dyDescent="0.3">
      <c r="A18" s="97" t="s">
        <v>135</v>
      </c>
      <c r="B18" s="97" t="s">
        <v>65</v>
      </c>
      <c r="C18" s="97" t="s">
        <v>136</v>
      </c>
      <c r="D18" s="97" t="s">
        <v>137</v>
      </c>
      <c r="E18" s="163" t="s">
        <v>55</v>
      </c>
      <c r="F18" s="97" t="s">
        <v>71</v>
      </c>
      <c r="G18" s="140">
        <v>900</v>
      </c>
      <c r="H18" s="90">
        <v>0.5</v>
      </c>
      <c r="I18" s="171">
        <v>6</v>
      </c>
      <c r="J18" s="97"/>
      <c r="K18" s="97"/>
      <c r="L18" s="168"/>
      <c r="M18" s="168"/>
      <c r="N18" s="168"/>
      <c r="O18" s="168"/>
      <c r="P18" s="168"/>
      <c r="Q18" s="168"/>
      <c r="R18" s="168"/>
      <c r="S18" s="168"/>
      <c r="T18" s="97"/>
      <c r="U18" s="97"/>
      <c r="V18" s="97"/>
      <c r="W18" s="97"/>
      <c r="X18" s="97"/>
      <c r="Y18" s="97"/>
      <c r="Z18" s="97"/>
      <c r="AA18" s="97"/>
      <c r="AB18" s="97"/>
      <c r="AC18" s="97"/>
      <c r="AD18" s="97"/>
    </row>
    <row r="19" spans="1:30" x14ac:dyDescent="0.3">
      <c r="A19" s="97" t="s">
        <v>139</v>
      </c>
      <c r="B19" s="97" t="s">
        <v>65</v>
      </c>
      <c r="C19" s="97" t="s">
        <v>136</v>
      </c>
      <c r="D19" s="97" t="s">
        <v>140</v>
      </c>
      <c r="E19" s="163" t="s">
        <v>55</v>
      </c>
      <c r="F19" s="97" t="s">
        <v>71</v>
      </c>
      <c r="G19" s="140">
        <v>850</v>
      </c>
      <c r="H19" s="97">
        <v>0.48</v>
      </c>
      <c r="I19" s="171">
        <v>6</v>
      </c>
      <c r="J19" s="97"/>
      <c r="K19" s="97"/>
      <c r="L19" s="168"/>
      <c r="M19" s="168"/>
      <c r="N19" s="168"/>
      <c r="O19" s="168"/>
      <c r="P19" s="168"/>
      <c r="Q19" s="168"/>
      <c r="R19" s="168"/>
      <c r="S19" s="168"/>
      <c r="T19" s="97"/>
      <c r="U19" s="97"/>
      <c r="V19" s="97"/>
      <c r="W19" s="97"/>
      <c r="X19" s="97"/>
      <c r="Y19" s="97"/>
      <c r="Z19" s="97"/>
      <c r="AA19" s="97"/>
      <c r="AB19" s="97"/>
      <c r="AC19" s="97"/>
      <c r="AD19" s="97"/>
    </row>
    <row r="20" spans="1:30" x14ac:dyDescent="0.3">
      <c r="A20" s="97" t="s">
        <v>143</v>
      </c>
      <c r="B20" s="97" t="s">
        <v>57</v>
      </c>
      <c r="C20" s="97" t="s">
        <v>96</v>
      </c>
      <c r="D20" s="97" t="s">
        <v>144</v>
      </c>
      <c r="E20" s="163" t="s">
        <v>55</v>
      </c>
      <c r="F20" s="97" t="s">
        <v>63</v>
      </c>
      <c r="G20" s="140">
        <v>120</v>
      </c>
      <c r="H20" s="97">
        <v>0</v>
      </c>
      <c r="I20" s="171">
        <v>8</v>
      </c>
      <c r="J20" s="97"/>
      <c r="K20" s="97"/>
      <c r="L20" s="168"/>
      <c r="M20" s="168"/>
      <c r="N20" s="168"/>
      <c r="O20" s="168"/>
      <c r="P20" s="168"/>
      <c r="Q20" s="168"/>
      <c r="R20" s="168"/>
      <c r="S20" s="168"/>
      <c r="T20" s="97"/>
      <c r="U20" s="97"/>
      <c r="V20" s="97"/>
      <c r="W20" s="97"/>
      <c r="X20" s="97"/>
      <c r="Y20" s="97"/>
      <c r="Z20" s="97"/>
      <c r="AA20" s="97"/>
      <c r="AB20" s="97"/>
      <c r="AC20" s="97"/>
      <c r="AD20" s="97"/>
    </row>
    <row r="21" spans="1:30" x14ac:dyDescent="0.3">
      <c r="A21" s="97" t="s">
        <v>146</v>
      </c>
      <c r="B21" s="97" t="s">
        <v>65</v>
      </c>
      <c r="C21" s="97" t="s">
        <v>66</v>
      </c>
      <c r="D21" s="97" t="s">
        <v>147</v>
      </c>
      <c r="E21" s="163" t="s">
        <v>55</v>
      </c>
      <c r="F21" s="97" t="s">
        <v>71</v>
      </c>
      <c r="G21" s="140">
        <v>750</v>
      </c>
      <c r="H21" s="97">
        <v>0.35</v>
      </c>
      <c r="I21" s="171">
        <v>6</v>
      </c>
      <c r="J21" s="97"/>
      <c r="K21" s="97"/>
      <c r="L21" s="168"/>
      <c r="M21" s="168"/>
      <c r="N21" s="168"/>
      <c r="O21" s="168"/>
      <c r="P21" s="168"/>
      <c r="Q21" s="168"/>
      <c r="R21" s="168"/>
      <c r="S21" s="168"/>
      <c r="T21" s="97"/>
      <c r="U21" s="97"/>
      <c r="V21" s="97"/>
      <c r="W21" s="97"/>
      <c r="X21" s="97"/>
      <c r="Y21" s="97"/>
      <c r="Z21" s="97"/>
      <c r="AA21" s="97"/>
      <c r="AB21" s="97"/>
      <c r="AC21" s="97"/>
      <c r="AD21" s="97"/>
    </row>
    <row r="22" spans="1:30" x14ac:dyDescent="0.3">
      <c r="A22" s="97" t="s">
        <v>149</v>
      </c>
      <c r="B22" s="97" t="s">
        <v>65</v>
      </c>
      <c r="C22" s="97" t="s">
        <v>66</v>
      </c>
      <c r="D22" s="97" t="s">
        <v>150</v>
      </c>
      <c r="E22" s="163" t="s">
        <v>55</v>
      </c>
      <c r="F22" s="97" t="s">
        <v>71</v>
      </c>
      <c r="G22" s="140">
        <v>700</v>
      </c>
      <c r="H22" s="97">
        <v>0.25</v>
      </c>
      <c r="I22" s="171">
        <v>6</v>
      </c>
      <c r="J22" s="97"/>
      <c r="K22" s="97"/>
      <c r="L22" s="97"/>
      <c r="M22" s="97"/>
      <c r="N22" s="97"/>
      <c r="O22" s="97"/>
      <c r="P22" s="97"/>
      <c r="Q22" s="97"/>
      <c r="R22" s="97"/>
      <c r="S22" s="97"/>
      <c r="T22" s="97"/>
      <c r="U22" s="97"/>
      <c r="V22" s="97"/>
      <c r="W22" s="97"/>
      <c r="X22" s="97"/>
      <c r="Y22" s="97"/>
      <c r="Z22" s="97"/>
      <c r="AA22" s="97"/>
      <c r="AB22" s="97"/>
      <c r="AC22" s="97"/>
      <c r="AD22" s="97"/>
    </row>
    <row r="23" spans="1:30" x14ac:dyDescent="0.3">
      <c r="A23" s="97" t="s">
        <v>153</v>
      </c>
      <c r="B23" s="97" t="s">
        <v>65</v>
      </c>
      <c r="C23" s="97" t="s">
        <v>66</v>
      </c>
      <c r="D23" s="97" t="s">
        <v>150</v>
      </c>
      <c r="E23" s="163" t="s">
        <v>55</v>
      </c>
      <c r="F23" s="97" t="s">
        <v>71</v>
      </c>
      <c r="G23" s="140">
        <v>750</v>
      </c>
      <c r="H23" s="97">
        <v>0.42</v>
      </c>
      <c r="I23" s="171">
        <v>6</v>
      </c>
      <c r="J23" s="97"/>
      <c r="K23" s="97"/>
      <c r="L23" s="97"/>
      <c r="M23" s="97"/>
      <c r="N23" s="97"/>
      <c r="O23" s="97"/>
      <c r="P23" s="97"/>
      <c r="Q23" s="97"/>
      <c r="R23" s="97"/>
      <c r="S23" s="97"/>
      <c r="T23" s="97"/>
      <c r="U23" s="97"/>
      <c r="V23" s="97"/>
      <c r="W23" s="97"/>
      <c r="X23" s="97"/>
      <c r="Y23" s="97"/>
      <c r="Z23" s="97"/>
      <c r="AA23" s="97"/>
      <c r="AB23" s="97"/>
      <c r="AC23" s="97"/>
      <c r="AD23" s="97"/>
    </row>
    <row r="24" spans="1:30" x14ac:dyDescent="0.3">
      <c r="A24" s="97" t="s">
        <v>155</v>
      </c>
      <c r="B24" s="97" t="s">
        <v>65</v>
      </c>
      <c r="C24" s="97" t="s">
        <v>136</v>
      </c>
      <c r="D24" s="97" t="s">
        <v>156</v>
      </c>
      <c r="E24" s="163" t="s">
        <v>55</v>
      </c>
      <c r="F24" s="97" t="s">
        <v>71</v>
      </c>
      <c r="G24" s="140">
        <v>850</v>
      </c>
      <c r="H24" s="97">
        <v>0</v>
      </c>
      <c r="I24" s="171">
        <v>6</v>
      </c>
      <c r="J24" s="97"/>
      <c r="K24" s="97"/>
      <c r="L24" s="97"/>
      <c r="M24" s="97"/>
      <c r="N24" s="97"/>
      <c r="O24" s="97"/>
      <c r="P24" s="97"/>
      <c r="Q24" s="97"/>
      <c r="R24" s="97"/>
      <c r="S24" s="97"/>
      <c r="T24" s="97"/>
      <c r="U24" s="97"/>
      <c r="V24" s="97"/>
      <c r="W24" s="97"/>
      <c r="X24" s="97"/>
      <c r="Y24" s="97"/>
      <c r="Z24" s="97"/>
      <c r="AA24" s="97"/>
      <c r="AB24" s="97"/>
      <c r="AC24" s="97"/>
      <c r="AD24" s="97"/>
    </row>
    <row r="25" spans="1:30" x14ac:dyDescent="0.3">
      <c r="A25" s="97" t="s">
        <v>158</v>
      </c>
      <c r="B25" s="97" t="s">
        <v>57</v>
      </c>
      <c r="C25" s="97" t="s">
        <v>96</v>
      </c>
      <c r="D25" s="97" t="s">
        <v>159</v>
      </c>
      <c r="E25" s="163" t="s">
        <v>55</v>
      </c>
      <c r="F25" s="97" t="s">
        <v>63</v>
      </c>
      <c r="G25" s="140">
        <v>345</v>
      </c>
      <c r="H25" s="97">
        <v>0.35</v>
      </c>
      <c r="I25" s="171">
        <v>8</v>
      </c>
      <c r="J25" s="97"/>
      <c r="K25" s="97"/>
      <c r="L25" s="97"/>
      <c r="M25" s="97"/>
      <c r="N25" s="97"/>
      <c r="O25" s="97"/>
      <c r="P25" s="97"/>
      <c r="Q25" s="97"/>
      <c r="R25" s="97"/>
      <c r="S25" s="97"/>
      <c r="T25" s="97"/>
      <c r="U25" s="97"/>
      <c r="V25" s="97"/>
      <c r="W25" s="97"/>
      <c r="X25" s="97"/>
      <c r="Y25" s="97"/>
      <c r="Z25" s="97"/>
      <c r="AA25" s="97"/>
      <c r="AB25" s="97"/>
      <c r="AC25" s="97"/>
      <c r="AD25" s="97"/>
    </row>
    <row r="26" spans="1:30" x14ac:dyDescent="0.3">
      <c r="A26" s="97" t="s">
        <v>161</v>
      </c>
      <c r="B26" s="97" t="s">
        <v>105</v>
      </c>
      <c r="C26" s="97" t="s">
        <v>113</v>
      </c>
      <c r="D26" s="97" t="s">
        <v>162</v>
      </c>
      <c r="E26" s="163" t="s">
        <v>55</v>
      </c>
      <c r="F26" s="97" t="s">
        <v>165</v>
      </c>
      <c r="G26" s="140">
        <v>700</v>
      </c>
      <c r="H26" s="93">
        <v>0.88600000000000001</v>
      </c>
      <c r="I26" s="171">
        <v>3</v>
      </c>
      <c r="J26" s="97"/>
      <c r="K26" s="97"/>
      <c r="L26" s="97"/>
      <c r="M26" s="97"/>
      <c r="N26" s="97"/>
      <c r="O26" s="97"/>
      <c r="P26" s="97"/>
      <c r="Q26" s="97"/>
      <c r="R26" s="97"/>
      <c r="S26" s="97"/>
      <c r="T26" s="97"/>
      <c r="U26" s="97"/>
      <c r="V26" s="97"/>
      <c r="W26" s="97"/>
      <c r="X26" s="97"/>
      <c r="Y26" s="97"/>
      <c r="Z26" s="97"/>
      <c r="AA26" s="97"/>
      <c r="AB26" s="97"/>
      <c r="AC26" s="97"/>
      <c r="AD26" s="97"/>
    </row>
    <row r="27" spans="1:30" x14ac:dyDescent="0.3">
      <c r="A27" s="97" t="s">
        <v>166</v>
      </c>
      <c r="B27" s="97" t="s">
        <v>57</v>
      </c>
      <c r="C27" s="97" t="s">
        <v>58</v>
      </c>
      <c r="D27" s="97" t="s">
        <v>167</v>
      </c>
      <c r="E27" s="163" t="s">
        <v>55</v>
      </c>
      <c r="F27" s="97" t="s">
        <v>63</v>
      </c>
      <c r="G27" s="140" t="s">
        <v>354</v>
      </c>
      <c r="H27" s="97">
        <v>0.315</v>
      </c>
      <c r="I27" s="171">
        <v>8</v>
      </c>
      <c r="J27" s="97"/>
      <c r="K27" s="97"/>
      <c r="L27" s="97"/>
      <c r="M27" s="97"/>
      <c r="N27" s="97"/>
      <c r="O27" s="97"/>
      <c r="P27" s="97"/>
      <c r="Q27" s="97"/>
      <c r="R27" s="97"/>
      <c r="S27" s="97"/>
      <c r="T27" s="97"/>
      <c r="U27" s="97"/>
      <c r="V27" s="97"/>
      <c r="W27" s="97"/>
      <c r="X27" s="97"/>
      <c r="Y27" s="97"/>
      <c r="Z27" s="97"/>
      <c r="AA27" s="97"/>
      <c r="AB27" s="97"/>
      <c r="AC27" s="97"/>
      <c r="AD27" s="97"/>
    </row>
    <row r="28" spans="1:30" x14ac:dyDescent="0.3">
      <c r="A28" s="97" t="s">
        <v>170</v>
      </c>
      <c r="B28" s="97" t="s">
        <v>65</v>
      </c>
      <c r="C28" s="97" t="s">
        <v>136</v>
      </c>
      <c r="D28" s="97" t="s">
        <v>171</v>
      </c>
      <c r="E28" s="163" t="s">
        <v>55</v>
      </c>
      <c r="F28" s="97" t="s">
        <v>71</v>
      </c>
      <c r="G28" s="140">
        <v>700</v>
      </c>
      <c r="H28" s="97">
        <v>0</v>
      </c>
      <c r="I28" s="171">
        <v>6</v>
      </c>
      <c r="J28" s="97"/>
      <c r="K28" s="97"/>
      <c r="L28" s="97"/>
      <c r="M28" s="97"/>
      <c r="N28" s="97"/>
      <c r="O28" s="97"/>
      <c r="P28" s="97"/>
      <c r="Q28" s="97"/>
      <c r="R28" s="97"/>
      <c r="S28" s="97"/>
      <c r="T28" s="97"/>
      <c r="U28" s="97"/>
      <c r="V28" s="97"/>
      <c r="W28" s="97"/>
      <c r="X28" s="97"/>
      <c r="Y28" s="97"/>
      <c r="Z28" s="97"/>
      <c r="AA28" s="97"/>
      <c r="AB28" s="97"/>
      <c r="AC28" s="97"/>
      <c r="AD28" s="97"/>
    </row>
    <row r="29" spans="1:30" x14ac:dyDescent="0.3">
      <c r="A29" s="97" t="s">
        <v>174</v>
      </c>
      <c r="B29" s="97" t="s">
        <v>57</v>
      </c>
      <c r="C29" s="97" t="s">
        <v>84</v>
      </c>
      <c r="D29" s="97" t="s">
        <v>175</v>
      </c>
      <c r="E29" s="163" t="s">
        <v>55</v>
      </c>
      <c r="F29" s="97" t="s">
        <v>63</v>
      </c>
      <c r="G29" s="140">
        <v>286</v>
      </c>
      <c r="H29" s="97">
        <v>0.27800000000000002</v>
      </c>
      <c r="I29" s="171">
        <v>8</v>
      </c>
      <c r="J29" s="97"/>
      <c r="K29" s="97"/>
      <c r="L29" s="97"/>
      <c r="M29" s="97"/>
      <c r="N29" s="97"/>
      <c r="O29" s="97"/>
      <c r="P29" s="97"/>
      <c r="Q29" s="97"/>
      <c r="R29" s="97"/>
      <c r="S29" s="97"/>
      <c r="T29" s="97"/>
      <c r="U29" s="97"/>
      <c r="V29" s="97"/>
      <c r="W29" s="97"/>
      <c r="X29" s="97"/>
      <c r="Y29" s="97"/>
      <c r="Z29" s="97"/>
      <c r="AA29" s="97"/>
      <c r="AB29" s="97"/>
      <c r="AC29" s="97"/>
      <c r="AD29" s="97"/>
    </row>
    <row r="30" spans="1:30" x14ac:dyDescent="0.3">
      <c r="A30" s="97" t="s">
        <v>177</v>
      </c>
      <c r="B30" s="97" t="s">
        <v>57</v>
      </c>
      <c r="C30" s="97" t="s">
        <v>84</v>
      </c>
      <c r="D30" s="97" t="s">
        <v>178</v>
      </c>
      <c r="E30" s="163" t="s">
        <v>55</v>
      </c>
      <c r="F30" s="97" t="s">
        <v>63</v>
      </c>
      <c r="G30" s="140">
        <v>286</v>
      </c>
      <c r="H30" s="97">
        <v>0.27800000000000002</v>
      </c>
      <c r="I30" s="171">
        <v>8</v>
      </c>
      <c r="J30" s="97"/>
      <c r="K30" s="97"/>
      <c r="L30" s="97"/>
      <c r="M30" s="97"/>
      <c r="N30" s="97"/>
      <c r="O30" s="97"/>
      <c r="P30" s="97"/>
      <c r="Q30" s="97"/>
      <c r="R30" s="97"/>
      <c r="S30" s="97"/>
      <c r="T30" s="97"/>
      <c r="U30" s="97"/>
      <c r="V30" s="97"/>
      <c r="W30" s="97"/>
      <c r="X30" s="97"/>
      <c r="Y30" s="97"/>
      <c r="Z30" s="97"/>
      <c r="AA30" s="97"/>
      <c r="AB30" s="97"/>
      <c r="AC30" s="97"/>
      <c r="AD30" s="97"/>
    </row>
    <row r="31" spans="1:30" x14ac:dyDescent="0.3">
      <c r="A31" s="97" t="s">
        <v>179</v>
      </c>
      <c r="B31" s="97" t="s">
        <v>105</v>
      </c>
      <c r="C31" s="97" t="s">
        <v>264</v>
      </c>
      <c r="D31" s="97" t="s">
        <v>181</v>
      </c>
      <c r="E31" s="163" t="s">
        <v>55</v>
      </c>
      <c r="F31" s="97" t="s">
        <v>355</v>
      </c>
      <c r="G31" s="140">
        <v>650</v>
      </c>
      <c r="H31" s="97">
        <v>0.438</v>
      </c>
      <c r="I31" s="171">
        <v>5</v>
      </c>
      <c r="J31" s="97"/>
      <c r="K31" s="97"/>
      <c r="L31" s="97"/>
      <c r="M31" s="97"/>
      <c r="N31" s="97"/>
      <c r="O31" s="97"/>
      <c r="P31" s="97"/>
      <c r="Q31" s="97"/>
      <c r="R31" s="97"/>
      <c r="S31" s="97"/>
      <c r="T31" s="97"/>
      <c r="U31" s="97"/>
      <c r="V31" s="97"/>
      <c r="W31" s="97"/>
      <c r="X31" s="97"/>
      <c r="Y31" s="97"/>
      <c r="Z31" s="97"/>
      <c r="AA31" s="97"/>
      <c r="AB31" s="97"/>
      <c r="AC31" s="97"/>
      <c r="AD31" s="97"/>
    </row>
    <row r="32" spans="1:30" x14ac:dyDescent="0.3">
      <c r="A32" s="97" t="s">
        <v>184</v>
      </c>
      <c r="B32" s="97" t="s">
        <v>48</v>
      </c>
      <c r="C32" s="97" t="s">
        <v>49</v>
      </c>
      <c r="D32" s="97" t="s">
        <v>185</v>
      </c>
      <c r="E32" s="163" t="s">
        <v>55</v>
      </c>
      <c r="F32" s="97" t="s">
        <v>82</v>
      </c>
      <c r="G32" s="140">
        <v>530</v>
      </c>
      <c r="H32" s="97">
        <v>0.41699999999999998</v>
      </c>
      <c r="I32" s="171">
        <v>2</v>
      </c>
      <c r="J32" s="97"/>
      <c r="K32" s="97"/>
      <c r="L32" s="97"/>
      <c r="M32" s="97"/>
      <c r="N32" s="97"/>
      <c r="O32" s="97"/>
      <c r="P32" s="97"/>
      <c r="Q32" s="97"/>
      <c r="R32" s="97"/>
      <c r="S32" s="97"/>
      <c r="T32" s="97"/>
      <c r="U32" s="97"/>
      <c r="V32" s="97"/>
      <c r="W32" s="97"/>
      <c r="X32" s="97"/>
      <c r="Y32" s="97"/>
      <c r="Z32" s="97"/>
      <c r="AA32" s="97"/>
      <c r="AB32" s="97"/>
      <c r="AC32" s="97"/>
      <c r="AD32" s="97"/>
    </row>
    <row r="33" spans="1:30" x14ac:dyDescent="0.3">
      <c r="A33" s="97" t="s">
        <v>188</v>
      </c>
      <c r="B33" s="97" t="s">
        <v>105</v>
      </c>
      <c r="C33" s="97" t="s">
        <v>113</v>
      </c>
      <c r="D33" s="97" t="s">
        <v>189</v>
      </c>
      <c r="E33" s="163" t="s">
        <v>55</v>
      </c>
      <c r="F33" s="97" t="s">
        <v>190</v>
      </c>
      <c r="G33" s="140">
        <v>650</v>
      </c>
      <c r="H33" s="97">
        <v>0.41699999999999998</v>
      </c>
      <c r="I33" s="171">
        <v>3</v>
      </c>
      <c r="J33" s="97"/>
      <c r="K33" s="97"/>
      <c r="L33" s="97"/>
      <c r="M33" s="97"/>
      <c r="N33" s="97"/>
      <c r="O33" s="97"/>
      <c r="P33" s="97"/>
      <c r="Q33" s="97"/>
      <c r="R33" s="97"/>
      <c r="S33" s="97"/>
      <c r="T33" s="97"/>
      <c r="U33" s="97"/>
      <c r="V33" s="97"/>
      <c r="W33" s="97"/>
      <c r="X33" s="97"/>
      <c r="Y33" s="97"/>
      <c r="Z33" s="97"/>
      <c r="AA33" s="97"/>
      <c r="AB33" s="97"/>
      <c r="AC33" s="97"/>
      <c r="AD33" s="97"/>
    </row>
    <row r="34" spans="1:30" x14ac:dyDescent="0.3">
      <c r="A34" s="97" t="s">
        <v>191</v>
      </c>
      <c r="B34" s="97" t="s">
        <v>105</v>
      </c>
      <c r="C34" s="97" t="s">
        <v>192</v>
      </c>
      <c r="D34" s="97" t="s">
        <v>193</v>
      </c>
      <c r="E34" s="163" t="s">
        <v>55</v>
      </c>
      <c r="F34" s="97" t="s">
        <v>195</v>
      </c>
      <c r="G34" s="140">
        <v>750</v>
      </c>
      <c r="H34" s="97">
        <v>0.4</v>
      </c>
      <c r="I34" s="171">
        <v>3</v>
      </c>
      <c r="J34" s="97"/>
      <c r="K34" s="97"/>
      <c r="L34" s="97"/>
      <c r="M34" s="97"/>
      <c r="N34" s="97"/>
      <c r="O34" s="97"/>
      <c r="P34" s="97"/>
      <c r="Q34" s="97"/>
      <c r="R34" s="97"/>
      <c r="S34" s="97"/>
      <c r="T34" s="97"/>
      <c r="U34" s="97"/>
      <c r="V34" s="97"/>
      <c r="W34" s="97"/>
      <c r="X34" s="97"/>
      <c r="Y34" s="97"/>
      <c r="Z34" s="97"/>
      <c r="AA34" s="97"/>
      <c r="AB34" s="97"/>
      <c r="AC34" s="97"/>
      <c r="AD34" s="97"/>
    </row>
    <row r="35" spans="1:30" x14ac:dyDescent="0.3">
      <c r="A35" s="97" t="s">
        <v>196</v>
      </c>
      <c r="B35" s="97" t="s">
        <v>65</v>
      </c>
      <c r="C35" s="97" t="s">
        <v>197</v>
      </c>
      <c r="D35" s="97" t="s">
        <v>198</v>
      </c>
      <c r="E35" s="163" t="s">
        <v>55</v>
      </c>
      <c r="F35" s="97" t="s">
        <v>71</v>
      </c>
      <c r="G35" s="140">
        <v>950</v>
      </c>
      <c r="H35" s="97">
        <v>0.40500000000000003</v>
      </c>
      <c r="I35" s="171">
        <v>6</v>
      </c>
      <c r="J35" s="97"/>
      <c r="K35" s="97"/>
      <c r="L35" s="97"/>
      <c r="M35" s="97"/>
      <c r="N35" s="97"/>
      <c r="O35" s="97"/>
      <c r="P35" s="97"/>
      <c r="Q35" s="97"/>
      <c r="R35" s="97"/>
      <c r="S35" s="97"/>
      <c r="T35" s="97"/>
      <c r="U35" s="97"/>
      <c r="V35" s="97"/>
      <c r="W35" s="97"/>
      <c r="X35" s="97"/>
      <c r="Y35" s="97"/>
      <c r="Z35" s="97"/>
      <c r="AA35" s="97"/>
      <c r="AB35" s="97"/>
      <c r="AC35" s="97"/>
      <c r="AD35" s="97"/>
    </row>
    <row r="36" spans="1:30" x14ac:dyDescent="0.3">
      <c r="A36" s="97" t="s">
        <v>200</v>
      </c>
      <c r="B36" s="97" t="s">
        <v>65</v>
      </c>
      <c r="C36" s="97" t="s">
        <v>197</v>
      </c>
      <c r="D36" s="97" t="s">
        <v>201</v>
      </c>
      <c r="E36" s="163" t="s">
        <v>55</v>
      </c>
      <c r="F36" s="97" t="s">
        <v>71</v>
      </c>
      <c r="G36" s="140">
        <v>950</v>
      </c>
      <c r="H36" s="97">
        <v>0.34300000000000003</v>
      </c>
      <c r="I36" s="171">
        <v>6</v>
      </c>
      <c r="J36" s="97"/>
      <c r="K36" s="97"/>
      <c r="L36" s="97"/>
      <c r="M36" s="97"/>
      <c r="N36" s="97"/>
      <c r="O36" s="97"/>
      <c r="P36" s="97"/>
      <c r="Q36" s="97"/>
      <c r="R36" s="97"/>
      <c r="S36" s="97"/>
      <c r="T36" s="97"/>
      <c r="U36" s="97"/>
      <c r="V36" s="97"/>
      <c r="W36" s="97"/>
      <c r="X36" s="97"/>
      <c r="Y36" s="97"/>
      <c r="Z36" s="97"/>
      <c r="AA36" s="97"/>
      <c r="AB36" s="97"/>
      <c r="AC36" s="97"/>
      <c r="AD36" s="97"/>
    </row>
    <row r="37" spans="1:30" x14ac:dyDescent="0.3">
      <c r="A37" s="97" t="s">
        <v>203</v>
      </c>
      <c r="B37" s="97" t="s">
        <v>48</v>
      </c>
      <c r="C37" s="97" t="s">
        <v>204</v>
      </c>
      <c r="D37" s="97" t="s">
        <v>205</v>
      </c>
      <c r="E37" s="163" t="s">
        <v>55</v>
      </c>
      <c r="F37" s="97" t="s">
        <v>356</v>
      </c>
      <c r="G37" s="140">
        <v>350</v>
      </c>
      <c r="H37" s="97">
        <v>0.33300000000000002</v>
      </c>
      <c r="I37" s="171">
        <v>2</v>
      </c>
      <c r="J37" s="97"/>
      <c r="K37" s="97"/>
      <c r="L37" s="97"/>
      <c r="M37" s="97"/>
      <c r="N37" s="97"/>
      <c r="O37" s="97"/>
      <c r="P37" s="97"/>
      <c r="Q37" s="97"/>
      <c r="R37" s="97"/>
      <c r="S37" s="97"/>
      <c r="T37" s="97"/>
      <c r="U37" s="97"/>
      <c r="V37" s="97"/>
      <c r="W37" s="97"/>
      <c r="X37" s="97"/>
      <c r="Y37" s="97"/>
      <c r="Z37" s="97"/>
      <c r="AA37" s="97"/>
      <c r="AB37" s="97"/>
      <c r="AC37" s="97"/>
      <c r="AD37" s="97"/>
    </row>
    <row r="38" spans="1:30" x14ac:dyDescent="0.3">
      <c r="A38" s="97" t="s">
        <v>208</v>
      </c>
      <c r="B38" s="97" t="s">
        <v>105</v>
      </c>
      <c r="C38" s="97" t="s">
        <v>209</v>
      </c>
      <c r="D38" s="97" t="s">
        <v>210</v>
      </c>
      <c r="E38" s="163" t="s">
        <v>55</v>
      </c>
      <c r="F38" s="97" t="s">
        <v>355</v>
      </c>
      <c r="G38" s="140">
        <v>700</v>
      </c>
      <c r="H38" s="97">
        <v>0.42399999999999999</v>
      </c>
      <c r="I38" s="171">
        <v>5</v>
      </c>
      <c r="J38" s="97"/>
      <c r="K38" s="97"/>
      <c r="L38" s="97"/>
      <c r="M38" s="97"/>
      <c r="N38" s="97"/>
      <c r="O38" s="97"/>
      <c r="P38" s="97"/>
      <c r="Q38" s="97"/>
      <c r="R38" s="97"/>
      <c r="S38" s="97"/>
      <c r="T38" s="97"/>
      <c r="U38" s="97"/>
      <c r="V38" s="97"/>
      <c r="W38" s="97"/>
      <c r="X38" s="97"/>
      <c r="Y38" s="97"/>
      <c r="Z38" s="97"/>
      <c r="AA38" s="97"/>
      <c r="AB38" s="97"/>
      <c r="AC38" s="97"/>
      <c r="AD38" s="97"/>
    </row>
    <row r="39" spans="1:30" x14ac:dyDescent="0.3">
      <c r="A39" s="97" t="s">
        <v>213</v>
      </c>
      <c r="B39" s="97" t="s">
        <v>57</v>
      </c>
      <c r="C39" s="97" t="s">
        <v>58</v>
      </c>
      <c r="D39" s="97" t="s">
        <v>214</v>
      </c>
      <c r="E39" s="163" t="s">
        <v>55</v>
      </c>
      <c r="F39" s="97" t="s">
        <v>63</v>
      </c>
      <c r="G39" s="140" t="s">
        <v>357</v>
      </c>
      <c r="H39" s="97">
        <v>0.33900000000000002</v>
      </c>
      <c r="I39" s="171">
        <v>8</v>
      </c>
      <c r="J39" s="97"/>
      <c r="K39" s="97"/>
      <c r="L39" s="97"/>
      <c r="M39" s="97"/>
      <c r="N39" s="97"/>
      <c r="O39" s="97"/>
      <c r="P39" s="97"/>
      <c r="Q39" s="97"/>
      <c r="R39" s="97"/>
      <c r="S39" s="97"/>
      <c r="T39" s="97"/>
      <c r="U39" s="97"/>
      <c r="V39" s="97"/>
      <c r="W39" s="97"/>
      <c r="X39" s="97"/>
      <c r="Y39" s="97"/>
      <c r="Z39" s="97"/>
      <c r="AA39" s="97"/>
      <c r="AB39" s="97"/>
      <c r="AC39" s="97"/>
      <c r="AD39" s="97"/>
    </row>
    <row r="40" spans="1:30" x14ac:dyDescent="0.3">
      <c r="A40" s="97" t="s">
        <v>215</v>
      </c>
      <c r="B40" s="97" t="s">
        <v>57</v>
      </c>
      <c r="C40" s="97" t="s">
        <v>58</v>
      </c>
      <c r="D40" s="97" t="s">
        <v>216</v>
      </c>
      <c r="E40" s="163" t="s">
        <v>55</v>
      </c>
      <c r="F40" s="97" t="s">
        <v>63</v>
      </c>
      <c r="G40" s="140">
        <v>280</v>
      </c>
      <c r="H40" s="97">
        <v>0</v>
      </c>
      <c r="I40" s="171">
        <v>8</v>
      </c>
      <c r="J40" s="97"/>
      <c r="K40" s="97"/>
      <c r="L40" s="97"/>
      <c r="M40" s="97"/>
      <c r="N40" s="97"/>
      <c r="O40" s="97"/>
      <c r="P40" s="97"/>
      <c r="Q40" s="97"/>
      <c r="R40" s="97"/>
      <c r="S40" s="97"/>
      <c r="T40" s="97"/>
      <c r="U40" s="97"/>
      <c r="V40" s="97"/>
      <c r="W40" s="97"/>
      <c r="X40" s="97"/>
      <c r="Y40" s="97"/>
      <c r="Z40" s="97"/>
      <c r="AA40" s="97"/>
      <c r="AB40" s="97"/>
      <c r="AC40" s="97"/>
      <c r="AD40" s="97"/>
    </row>
    <row r="41" spans="1:30" x14ac:dyDescent="0.3">
      <c r="A41" s="97" t="s">
        <v>218</v>
      </c>
      <c r="B41" s="97" t="s">
        <v>57</v>
      </c>
      <c r="C41" s="97" t="s">
        <v>58</v>
      </c>
      <c r="D41" s="97" t="s">
        <v>219</v>
      </c>
      <c r="E41" s="163" t="s">
        <v>55</v>
      </c>
      <c r="F41" s="97" t="s">
        <v>63</v>
      </c>
      <c r="G41" s="140">
        <v>307</v>
      </c>
      <c r="H41" s="97">
        <v>0</v>
      </c>
      <c r="I41" s="171">
        <v>8</v>
      </c>
      <c r="J41" s="97"/>
      <c r="K41" s="97"/>
      <c r="L41" s="97"/>
      <c r="M41" s="97"/>
      <c r="N41" s="97"/>
      <c r="O41" s="97"/>
      <c r="P41" s="97"/>
      <c r="Q41" s="97"/>
      <c r="R41" s="97"/>
      <c r="S41" s="97"/>
      <c r="T41" s="97"/>
      <c r="U41" s="97"/>
      <c r="V41" s="97"/>
      <c r="W41" s="97"/>
      <c r="X41" s="97"/>
      <c r="Y41" s="97"/>
      <c r="Z41" s="97"/>
      <c r="AA41" s="97"/>
      <c r="AB41" s="97"/>
      <c r="AC41" s="97"/>
      <c r="AD41" s="97"/>
    </row>
    <row r="42" spans="1:30" x14ac:dyDescent="0.3">
      <c r="A42" s="97" t="s">
        <v>221</v>
      </c>
      <c r="B42" s="97" t="s">
        <v>57</v>
      </c>
      <c r="C42" s="97" t="s">
        <v>96</v>
      </c>
      <c r="D42" s="97" t="s">
        <v>222</v>
      </c>
      <c r="E42" s="163" t="s">
        <v>55</v>
      </c>
      <c r="F42" s="97" t="s">
        <v>63</v>
      </c>
      <c r="G42" s="140">
        <v>312</v>
      </c>
      <c r="H42" s="97">
        <v>0.30099999999999999</v>
      </c>
      <c r="I42" s="171">
        <v>8</v>
      </c>
      <c r="J42" s="97"/>
      <c r="K42" s="97"/>
      <c r="L42" s="97"/>
      <c r="M42" s="97"/>
      <c r="N42" s="97"/>
      <c r="O42" s="97"/>
      <c r="P42" s="97"/>
      <c r="Q42" s="97"/>
      <c r="R42" s="97"/>
      <c r="S42" s="97"/>
      <c r="T42" s="97"/>
      <c r="U42" s="97"/>
      <c r="V42" s="97"/>
      <c r="W42" s="97"/>
      <c r="X42" s="97"/>
      <c r="Y42" s="97"/>
      <c r="Z42" s="97"/>
      <c r="AA42" s="97"/>
      <c r="AB42" s="97"/>
      <c r="AC42" s="97"/>
      <c r="AD42" s="97"/>
    </row>
    <row r="43" spans="1:30" x14ac:dyDescent="0.3">
      <c r="A43" s="97" t="s">
        <v>224</v>
      </c>
      <c r="B43" s="97" t="s">
        <v>65</v>
      </c>
      <c r="C43" s="97" t="s">
        <v>66</v>
      </c>
      <c r="D43" s="97" t="s">
        <v>225</v>
      </c>
      <c r="E43" s="163" t="s">
        <v>55</v>
      </c>
      <c r="F43" s="97" t="s">
        <v>71</v>
      </c>
      <c r="G43" s="140">
        <v>900</v>
      </c>
      <c r="H43" s="97">
        <v>0.41299999999999998</v>
      </c>
      <c r="I43" s="171">
        <v>6</v>
      </c>
      <c r="J43" s="97"/>
      <c r="K43" s="97"/>
      <c r="L43" s="97"/>
      <c r="M43" s="97"/>
      <c r="N43" s="97"/>
      <c r="O43" s="97"/>
      <c r="P43" s="97"/>
      <c r="Q43" s="97"/>
      <c r="R43" s="97"/>
      <c r="S43" s="97"/>
      <c r="T43" s="97"/>
      <c r="U43" s="97"/>
      <c r="V43" s="97"/>
      <c r="W43" s="97"/>
      <c r="X43" s="97"/>
      <c r="Y43" s="97"/>
      <c r="Z43" s="97"/>
      <c r="AA43" s="97"/>
      <c r="AB43" s="97"/>
      <c r="AC43" s="97"/>
      <c r="AD43" s="97"/>
    </row>
    <row r="44" spans="1:30" x14ac:dyDescent="0.3">
      <c r="A44" s="97" t="s">
        <v>227</v>
      </c>
      <c r="B44" s="97" t="s">
        <v>65</v>
      </c>
      <c r="C44" s="97" t="s">
        <v>66</v>
      </c>
      <c r="D44" s="164" t="s">
        <v>228</v>
      </c>
      <c r="E44" s="163" t="s">
        <v>55</v>
      </c>
      <c r="F44" s="97" t="s">
        <v>71</v>
      </c>
      <c r="G44" s="140">
        <v>750</v>
      </c>
      <c r="H44" s="97">
        <v>0</v>
      </c>
      <c r="I44" s="171">
        <v>6</v>
      </c>
      <c r="J44" s="97"/>
      <c r="K44" s="97"/>
      <c r="L44" s="97"/>
      <c r="M44" s="97"/>
      <c r="N44" s="97"/>
      <c r="O44" s="97"/>
      <c r="P44" s="97"/>
      <c r="Q44" s="97"/>
      <c r="R44" s="97"/>
      <c r="S44" s="97"/>
      <c r="T44" s="97"/>
      <c r="U44" s="97"/>
      <c r="V44" s="97"/>
      <c r="W44" s="97"/>
      <c r="X44" s="97"/>
      <c r="Y44" s="97"/>
      <c r="Z44" s="97"/>
      <c r="AA44" s="97"/>
      <c r="AB44" s="97"/>
      <c r="AC44" s="97"/>
      <c r="AD44" s="97"/>
    </row>
    <row r="45" spans="1:30" x14ac:dyDescent="0.3">
      <c r="A45" s="97" t="s">
        <v>231</v>
      </c>
      <c r="B45" s="97" t="s">
        <v>57</v>
      </c>
      <c r="C45" s="97" t="s">
        <v>58</v>
      </c>
      <c r="D45" s="97" t="s">
        <v>232</v>
      </c>
      <c r="E45" s="163" t="s">
        <v>55</v>
      </c>
      <c r="F45" s="97" t="s">
        <v>63</v>
      </c>
      <c r="G45" s="140">
        <v>321</v>
      </c>
      <c r="H45" s="97">
        <v>0.28899999999999998</v>
      </c>
      <c r="I45" s="171">
        <v>8</v>
      </c>
      <c r="J45" s="97"/>
      <c r="K45" s="97"/>
      <c r="L45" s="97"/>
      <c r="M45" s="97"/>
      <c r="N45" s="97"/>
      <c r="O45" s="97"/>
      <c r="P45" s="97"/>
      <c r="Q45" s="97"/>
      <c r="R45" s="97"/>
      <c r="S45" s="97"/>
      <c r="T45" s="97"/>
      <c r="U45" s="97"/>
      <c r="V45" s="97"/>
      <c r="W45" s="97"/>
      <c r="X45" s="97"/>
      <c r="Y45" s="97"/>
      <c r="Z45" s="97"/>
      <c r="AA45" s="97"/>
      <c r="AB45" s="97"/>
      <c r="AC45" s="97"/>
      <c r="AD45" s="97"/>
    </row>
    <row r="46" spans="1:30" x14ac:dyDescent="0.3">
      <c r="A46" s="97" t="s">
        <v>236</v>
      </c>
      <c r="B46" s="97" t="s">
        <v>57</v>
      </c>
      <c r="C46" s="97" t="s">
        <v>96</v>
      </c>
      <c r="D46" s="97" t="s">
        <v>237</v>
      </c>
      <c r="E46" s="163" t="s">
        <v>55</v>
      </c>
      <c r="F46" s="97" t="s">
        <v>63</v>
      </c>
      <c r="G46" s="140">
        <v>325</v>
      </c>
      <c r="H46" s="97">
        <v>0.34599999999999997</v>
      </c>
      <c r="I46" s="171">
        <v>8</v>
      </c>
      <c r="J46" s="97"/>
      <c r="K46" s="97"/>
      <c r="L46" s="97"/>
      <c r="M46" s="97"/>
      <c r="N46" s="97"/>
      <c r="O46" s="97"/>
      <c r="P46" s="97"/>
      <c r="Q46" s="97"/>
      <c r="R46" s="97"/>
      <c r="S46" s="97"/>
      <c r="T46" s="97"/>
      <c r="U46" s="97"/>
      <c r="V46" s="97"/>
      <c r="W46" s="97"/>
      <c r="X46" s="97"/>
      <c r="Y46" s="97"/>
      <c r="Z46" s="97"/>
      <c r="AA46" s="97"/>
      <c r="AB46" s="97"/>
      <c r="AC46" s="97"/>
      <c r="AD46" s="97"/>
    </row>
    <row r="47" spans="1:30" x14ac:dyDescent="0.3">
      <c r="A47" s="97" t="s">
        <v>240</v>
      </c>
      <c r="B47" s="97" t="s">
        <v>57</v>
      </c>
      <c r="C47" s="97" t="s">
        <v>118</v>
      </c>
      <c r="D47" s="97" t="s">
        <v>241</v>
      </c>
      <c r="E47" s="163" t="s">
        <v>55</v>
      </c>
      <c r="F47" s="97" t="s">
        <v>63</v>
      </c>
      <c r="G47" s="140">
        <v>102</v>
      </c>
      <c r="H47" s="97">
        <v>0</v>
      </c>
      <c r="I47" s="171">
        <v>8</v>
      </c>
      <c r="J47" s="97"/>
      <c r="K47" s="97"/>
      <c r="L47" s="97"/>
      <c r="M47" s="97"/>
      <c r="N47" s="97"/>
      <c r="O47" s="97"/>
      <c r="P47" s="97"/>
      <c r="Q47" s="97"/>
      <c r="R47" s="97"/>
      <c r="S47" s="97"/>
      <c r="T47" s="97"/>
      <c r="U47" s="97"/>
      <c r="V47" s="97"/>
      <c r="W47" s="97"/>
      <c r="X47" s="97"/>
      <c r="Y47" s="97"/>
      <c r="Z47" s="97"/>
      <c r="AA47" s="97"/>
      <c r="AB47" s="97"/>
      <c r="AC47" s="97"/>
      <c r="AD47" s="97"/>
    </row>
    <row r="48" spans="1:30" x14ac:dyDescent="0.3">
      <c r="A48" s="97" t="s">
        <v>243</v>
      </c>
      <c r="B48" s="97" t="s">
        <v>65</v>
      </c>
      <c r="C48" s="97" t="s">
        <v>136</v>
      </c>
      <c r="D48" s="97" t="s">
        <v>244</v>
      </c>
      <c r="E48" s="163" t="s">
        <v>55</v>
      </c>
      <c r="F48" s="97" t="s">
        <v>71</v>
      </c>
      <c r="G48" s="140">
        <v>750</v>
      </c>
      <c r="H48" s="97">
        <v>0.435</v>
      </c>
      <c r="I48" s="171">
        <v>6</v>
      </c>
      <c r="J48" s="97"/>
      <c r="K48" s="97"/>
      <c r="L48" s="97"/>
      <c r="M48" s="97"/>
      <c r="N48" s="97"/>
      <c r="O48" s="97"/>
      <c r="P48" s="97"/>
      <c r="Q48" s="97"/>
      <c r="R48" s="97"/>
      <c r="S48" s="97"/>
      <c r="T48" s="97"/>
      <c r="U48" s="97"/>
      <c r="V48" s="97"/>
      <c r="W48" s="97"/>
      <c r="X48" s="97"/>
      <c r="Y48" s="97"/>
      <c r="Z48" s="97"/>
      <c r="AA48" s="97"/>
      <c r="AB48" s="97"/>
      <c r="AC48" s="97"/>
      <c r="AD48" s="97"/>
    </row>
    <row r="49" spans="1:30" x14ac:dyDescent="0.3">
      <c r="A49" s="97" t="s">
        <v>247</v>
      </c>
      <c r="B49" s="97" t="s">
        <v>48</v>
      </c>
      <c r="C49" s="97" t="s">
        <v>248</v>
      </c>
      <c r="D49" s="97" t="s">
        <v>249</v>
      </c>
      <c r="E49" s="163" t="s">
        <v>55</v>
      </c>
      <c r="F49" s="97" t="s">
        <v>82</v>
      </c>
      <c r="G49" s="140">
        <v>550</v>
      </c>
      <c r="H49" s="97">
        <v>0.39300000000000002</v>
      </c>
      <c r="I49" s="171">
        <v>2</v>
      </c>
      <c r="J49" s="97"/>
      <c r="K49" s="97"/>
      <c r="L49" s="97"/>
      <c r="M49" s="97"/>
      <c r="N49" s="97"/>
      <c r="O49" s="97"/>
      <c r="P49" s="97"/>
      <c r="Q49" s="97"/>
      <c r="R49" s="97"/>
      <c r="S49" s="97"/>
      <c r="T49" s="97"/>
      <c r="U49" s="97"/>
      <c r="V49" s="97"/>
      <c r="W49" s="97"/>
      <c r="X49" s="97"/>
      <c r="Y49" s="97"/>
      <c r="Z49" s="97"/>
      <c r="AA49" s="97"/>
      <c r="AB49" s="97"/>
      <c r="AC49" s="97"/>
      <c r="AD49" s="97"/>
    </row>
    <row r="50" spans="1:30" x14ac:dyDescent="0.3">
      <c r="A50" s="97" t="s">
        <v>252</v>
      </c>
      <c r="B50" s="97" t="s">
        <v>57</v>
      </c>
      <c r="C50" s="97" t="s">
        <v>58</v>
      </c>
      <c r="D50" s="97" t="s">
        <v>253</v>
      </c>
      <c r="E50" s="163" t="s">
        <v>55</v>
      </c>
      <c r="F50" s="97" t="s">
        <v>63</v>
      </c>
      <c r="G50" s="140">
        <v>322</v>
      </c>
      <c r="H50" s="97">
        <v>0.29299999999999998</v>
      </c>
      <c r="I50" s="171">
        <v>8</v>
      </c>
      <c r="J50" s="97"/>
      <c r="K50" s="97"/>
      <c r="L50" s="97"/>
      <c r="M50" s="97"/>
      <c r="N50" s="97"/>
      <c r="O50" s="97"/>
      <c r="P50" s="97"/>
      <c r="Q50" s="97"/>
      <c r="R50" s="97"/>
      <c r="S50" s="97"/>
      <c r="T50" s="97"/>
      <c r="U50" s="97"/>
      <c r="V50" s="97"/>
      <c r="W50" s="97"/>
      <c r="X50" s="97"/>
      <c r="Y50" s="97"/>
      <c r="Z50" s="97"/>
      <c r="AA50" s="97"/>
      <c r="AB50" s="97"/>
      <c r="AC50" s="97"/>
      <c r="AD50" s="97"/>
    </row>
    <row r="51" spans="1:30" x14ac:dyDescent="0.3">
      <c r="A51" s="97" t="s">
        <v>256</v>
      </c>
      <c r="B51" s="97" t="s">
        <v>57</v>
      </c>
      <c r="C51" s="97" t="s">
        <v>96</v>
      </c>
      <c r="D51" s="97" t="s">
        <v>257</v>
      </c>
      <c r="E51" s="163" t="s">
        <v>55</v>
      </c>
      <c r="F51" s="97" t="s">
        <v>63</v>
      </c>
      <c r="G51" s="140">
        <v>321</v>
      </c>
      <c r="H51" s="97">
        <v>0.30499999999999999</v>
      </c>
      <c r="I51" s="171">
        <v>8</v>
      </c>
      <c r="J51" s="97"/>
      <c r="K51" s="97"/>
      <c r="L51" s="97"/>
      <c r="M51" s="97"/>
      <c r="N51" s="97"/>
      <c r="O51" s="97"/>
      <c r="P51" s="97"/>
      <c r="Q51" s="97"/>
      <c r="R51" s="97"/>
      <c r="S51" s="97"/>
      <c r="T51" s="97"/>
      <c r="U51" s="97"/>
      <c r="V51" s="97"/>
      <c r="W51" s="97"/>
      <c r="X51" s="97"/>
      <c r="Y51" s="97"/>
      <c r="Z51" s="97"/>
      <c r="AA51" s="97"/>
      <c r="AB51" s="97"/>
      <c r="AC51" s="97"/>
      <c r="AD51" s="97"/>
    </row>
    <row r="52" spans="1:30" x14ac:dyDescent="0.3">
      <c r="A52" s="97" t="s">
        <v>259</v>
      </c>
      <c r="B52" s="97" t="s">
        <v>105</v>
      </c>
      <c r="C52" s="97" t="s">
        <v>113</v>
      </c>
      <c r="D52" s="97" t="s">
        <v>260</v>
      </c>
      <c r="E52" s="163" t="s">
        <v>55</v>
      </c>
      <c r="F52" s="97" t="s">
        <v>358</v>
      </c>
      <c r="G52" s="140">
        <v>700</v>
      </c>
      <c r="H52" s="97">
        <v>0.42</v>
      </c>
      <c r="I52" s="171">
        <v>3</v>
      </c>
      <c r="J52" s="97"/>
      <c r="K52" s="97"/>
      <c r="L52" s="97"/>
      <c r="M52" s="97"/>
      <c r="N52" s="97"/>
      <c r="O52" s="97"/>
      <c r="P52" s="97"/>
      <c r="Q52" s="97"/>
      <c r="R52" s="97"/>
      <c r="S52" s="97"/>
      <c r="T52" s="97"/>
      <c r="U52" s="97"/>
      <c r="V52" s="97"/>
      <c r="W52" s="97"/>
      <c r="X52" s="97"/>
      <c r="Y52" s="97"/>
      <c r="Z52" s="97"/>
      <c r="AA52" s="97"/>
      <c r="AB52" s="97"/>
      <c r="AC52" s="97"/>
      <c r="AD52" s="97"/>
    </row>
    <row r="53" spans="1:30" x14ac:dyDescent="0.3">
      <c r="A53" s="97" t="s">
        <v>263</v>
      </c>
      <c r="B53" s="97" t="s">
        <v>105</v>
      </c>
      <c r="C53" s="97" t="s">
        <v>264</v>
      </c>
      <c r="D53" s="97" t="s">
        <v>265</v>
      </c>
      <c r="E53" s="163" t="s">
        <v>55</v>
      </c>
      <c r="F53" s="164" t="s">
        <v>268</v>
      </c>
      <c r="G53" s="140">
        <v>795</v>
      </c>
      <c r="H53" s="97">
        <v>0.4</v>
      </c>
      <c r="I53" s="171">
        <v>3</v>
      </c>
      <c r="J53" s="97"/>
      <c r="K53" s="97"/>
      <c r="L53" s="97"/>
      <c r="M53" s="97"/>
      <c r="N53" s="97"/>
      <c r="O53" s="97"/>
      <c r="P53" s="97"/>
      <c r="Q53" s="97"/>
      <c r="R53" s="97"/>
      <c r="S53" s="97"/>
      <c r="T53" s="97"/>
      <c r="U53" s="97"/>
      <c r="V53" s="97"/>
      <c r="W53" s="97"/>
      <c r="X53" s="97"/>
      <c r="Y53" s="97"/>
      <c r="Z53" s="97"/>
      <c r="AA53" s="97"/>
      <c r="AB53" s="97"/>
      <c r="AC53" s="97"/>
      <c r="AD53" s="97"/>
    </row>
    <row r="54" spans="1:30" x14ac:dyDescent="0.3">
      <c r="A54" s="97" t="s">
        <v>269</v>
      </c>
      <c r="B54" s="97" t="s">
        <v>105</v>
      </c>
      <c r="C54" s="97" t="s">
        <v>359</v>
      </c>
      <c r="D54" s="97" t="s">
        <v>271</v>
      </c>
      <c r="E54" s="163" t="s">
        <v>55</v>
      </c>
      <c r="F54" s="97" t="s">
        <v>273</v>
      </c>
      <c r="G54" s="140">
        <v>625</v>
      </c>
      <c r="H54" s="97">
        <v>0.4</v>
      </c>
      <c r="I54" s="171">
        <v>3</v>
      </c>
      <c r="J54" s="97"/>
      <c r="K54" s="97"/>
      <c r="L54" s="97"/>
      <c r="M54" s="97"/>
      <c r="N54" s="97"/>
      <c r="O54" s="97"/>
      <c r="P54" s="97"/>
      <c r="Q54" s="97"/>
      <c r="R54" s="97"/>
      <c r="S54" s="97"/>
      <c r="T54" s="97"/>
      <c r="U54" s="97"/>
      <c r="V54" s="97"/>
      <c r="W54" s="97"/>
      <c r="X54" s="97"/>
      <c r="Y54" s="97"/>
      <c r="Z54" s="97"/>
      <c r="AA54" s="97"/>
      <c r="AB54" s="97"/>
      <c r="AC54" s="97"/>
      <c r="AD54" s="97"/>
    </row>
    <row r="55" spans="1:30" x14ac:dyDescent="0.3">
      <c r="A55" s="97" t="s">
        <v>274</v>
      </c>
      <c r="B55" s="97" t="s">
        <v>57</v>
      </c>
      <c r="C55" s="97" t="s">
        <v>275</v>
      </c>
      <c r="D55" s="97" t="s">
        <v>276</v>
      </c>
      <c r="E55" s="163" t="s">
        <v>55</v>
      </c>
      <c r="F55" s="97" t="s">
        <v>63</v>
      </c>
      <c r="G55" s="140">
        <v>300</v>
      </c>
      <c r="H55" s="97">
        <v>0.33300000000000002</v>
      </c>
      <c r="I55" s="171">
        <v>8</v>
      </c>
      <c r="J55" s="97"/>
      <c r="K55" s="97"/>
      <c r="L55" s="97"/>
      <c r="M55" s="97"/>
      <c r="N55" s="97"/>
      <c r="O55" s="97"/>
      <c r="P55" s="97"/>
      <c r="Q55" s="97"/>
      <c r="R55" s="97"/>
      <c r="S55" s="97"/>
      <c r="T55" s="97"/>
      <c r="U55" s="97"/>
      <c r="V55" s="97"/>
      <c r="W55" s="97"/>
      <c r="X55" s="97"/>
      <c r="Y55" s="97"/>
      <c r="Z55" s="97"/>
      <c r="AA55" s="97"/>
      <c r="AB55" s="97"/>
      <c r="AC55" s="97"/>
      <c r="AD55" s="97"/>
    </row>
    <row r="56" spans="1:30" x14ac:dyDescent="0.3">
      <c r="A56" s="97" t="s">
        <v>279</v>
      </c>
      <c r="B56" s="97" t="s">
        <v>65</v>
      </c>
      <c r="C56" s="97" t="s">
        <v>136</v>
      </c>
      <c r="D56" s="97" t="s">
        <v>280</v>
      </c>
      <c r="E56" s="163" t="s">
        <v>55</v>
      </c>
      <c r="F56" s="97" t="s">
        <v>71</v>
      </c>
      <c r="G56" s="140">
        <v>750</v>
      </c>
      <c r="H56" s="97">
        <v>0.4</v>
      </c>
      <c r="I56" s="171">
        <v>6</v>
      </c>
      <c r="J56" s="97"/>
      <c r="K56" s="97"/>
      <c r="L56" s="97"/>
      <c r="M56" s="97"/>
      <c r="N56" s="97"/>
      <c r="O56" s="97"/>
      <c r="P56" s="97"/>
      <c r="Q56" s="97"/>
      <c r="R56" s="97"/>
      <c r="S56" s="97"/>
      <c r="T56" s="97"/>
      <c r="U56" s="97"/>
      <c r="V56" s="97"/>
      <c r="W56" s="97"/>
      <c r="X56" s="97"/>
      <c r="Y56" s="97"/>
      <c r="Z56" s="97"/>
      <c r="AA56" s="97"/>
      <c r="AB56" s="97"/>
      <c r="AC56" s="97"/>
      <c r="AD56" s="97"/>
    </row>
    <row r="57" spans="1:30" x14ac:dyDescent="0.3">
      <c r="A57" s="97" t="s">
        <v>283</v>
      </c>
      <c r="B57" s="97" t="s">
        <v>48</v>
      </c>
      <c r="C57" s="97" t="s">
        <v>248</v>
      </c>
      <c r="D57" s="97" t="s">
        <v>284</v>
      </c>
      <c r="E57" s="163" t="s">
        <v>55</v>
      </c>
      <c r="F57" s="97" t="s">
        <v>286</v>
      </c>
      <c r="G57" s="140">
        <v>485</v>
      </c>
      <c r="H57" s="97">
        <v>0.35699999999999998</v>
      </c>
      <c r="I57" s="171">
        <v>2</v>
      </c>
      <c r="J57" s="97"/>
      <c r="K57" s="97"/>
      <c r="L57" s="97"/>
      <c r="M57" s="97"/>
      <c r="N57" s="97"/>
      <c r="O57" s="97"/>
      <c r="P57" s="97"/>
      <c r="Q57" s="97"/>
      <c r="R57" s="97"/>
      <c r="S57" s="97"/>
      <c r="T57" s="97"/>
      <c r="U57" s="97"/>
      <c r="V57" s="97"/>
      <c r="W57" s="97"/>
      <c r="X57" s="97"/>
      <c r="Y57" s="97"/>
      <c r="Z57" s="97"/>
      <c r="AA57" s="97"/>
      <c r="AB57" s="97"/>
      <c r="AC57" s="97"/>
      <c r="AD57" s="97"/>
    </row>
    <row r="58" spans="1:30" x14ac:dyDescent="0.3">
      <c r="A58" s="97" t="s">
        <v>287</v>
      </c>
      <c r="B58" s="97" t="s">
        <v>57</v>
      </c>
      <c r="C58" s="97" t="s">
        <v>288</v>
      </c>
      <c r="D58" s="97" t="s">
        <v>289</v>
      </c>
      <c r="E58" s="163" t="s">
        <v>55</v>
      </c>
      <c r="F58" s="97" t="s">
        <v>94</v>
      </c>
      <c r="G58" s="140">
        <v>192</v>
      </c>
      <c r="H58" s="97">
        <v>0</v>
      </c>
      <c r="I58" s="171">
        <v>7</v>
      </c>
      <c r="J58" s="97"/>
      <c r="K58" s="97"/>
      <c r="L58" s="97"/>
      <c r="M58" s="97"/>
      <c r="N58" s="97"/>
      <c r="O58" s="97"/>
      <c r="P58" s="97"/>
      <c r="Q58" s="97"/>
      <c r="R58" s="97"/>
      <c r="S58" s="97"/>
      <c r="T58" s="97"/>
      <c r="U58" s="97"/>
      <c r="V58" s="97"/>
      <c r="W58" s="97"/>
      <c r="X58" s="97"/>
      <c r="Y58" s="97"/>
      <c r="Z58" s="97"/>
      <c r="AA58" s="97"/>
      <c r="AB58" s="97"/>
      <c r="AC58" s="97"/>
      <c r="AD58" s="97"/>
    </row>
    <row r="59" spans="1:30" x14ac:dyDescent="0.3">
      <c r="A59" s="97" t="s">
        <v>292</v>
      </c>
      <c r="B59" s="97" t="s">
        <v>105</v>
      </c>
      <c r="C59" s="97" t="s">
        <v>113</v>
      </c>
      <c r="D59" s="97" t="s">
        <v>293</v>
      </c>
      <c r="E59" s="163" t="s">
        <v>55</v>
      </c>
      <c r="F59" s="97" t="s">
        <v>296</v>
      </c>
      <c r="G59" s="140">
        <v>704</v>
      </c>
      <c r="H59" s="97">
        <v>0.44900000000000001</v>
      </c>
      <c r="I59" s="171">
        <v>3</v>
      </c>
      <c r="J59" s="97"/>
      <c r="K59" s="97"/>
      <c r="L59" s="97"/>
      <c r="M59" s="97"/>
      <c r="N59" s="97"/>
      <c r="O59" s="97"/>
      <c r="P59" s="97"/>
      <c r="Q59" s="97"/>
      <c r="R59" s="97"/>
      <c r="S59" s="97"/>
      <c r="T59" s="97"/>
      <c r="U59" s="97"/>
      <c r="V59" s="97"/>
      <c r="W59" s="97"/>
      <c r="X59" s="97"/>
      <c r="Y59" s="97"/>
      <c r="Z59" s="97"/>
      <c r="AA59" s="97"/>
      <c r="AB59" s="97"/>
      <c r="AC59" s="97"/>
      <c r="AD59" s="97"/>
    </row>
    <row r="60" spans="1:30" x14ac:dyDescent="0.3">
      <c r="A60" s="97" t="s">
        <v>297</v>
      </c>
      <c r="B60" s="97" t="s">
        <v>105</v>
      </c>
      <c r="C60" s="97" t="s">
        <v>113</v>
      </c>
      <c r="D60" s="97" t="s">
        <v>298</v>
      </c>
      <c r="E60" s="163" t="s">
        <v>55</v>
      </c>
      <c r="F60" s="97" t="s">
        <v>301</v>
      </c>
      <c r="G60" s="140">
        <v>800</v>
      </c>
      <c r="H60" s="97">
        <v>0.4</v>
      </c>
      <c r="I60" s="171">
        <v>3</v>
      </c>
      <c r="J60" s="97"/>
      <c r="K60" s="97"/>
      <c r="L60" s="97"/>
      <c r="M60" s="97"/>
      <c r="N60" s="97"/>
      <c r="O60" s="97"/>
      <c r="P60" s="97"/>
      <c r="Q60" s="97"/>
      <c r="R60" s="97"/>
      <c r="S60" s="97"/>
      <c r="T60" s="97"/>
      <c r="U60" s="97"/>
      <c r="V60" s="97"/>
      <c r="W60" s="97"/>
      <c r="X60" s="97"/>
      <c r="Y60" s="97"/>
      <c r="Z60" s="97"/>
      <c r="AA60" s="97"/>
      <c r="AB60" s="97"/>
      <c r="AC60" s="97"/>
      <c r="AD60" s="97"/>
    </row>
    <row r="61" spans="1:30" x14ac:dyDescent="0.3">
      <c r="A61" s="97" t="s">
        <v>302</v>
      </c>
      <c r="B61" s="97" t="s">
        <v>57</v>
      </c>
      <c r="C61" s="97" t="s">
        <v>84</v>
      </c>
      <c r="D61" s="97" t="s">
        <v>303</v>
      </c>
      <c r="E61" s="163" t="s">
        <v>55</v>
      </c>
      <c r="F61" s="97" t="s">
        <v>63</v>
      </c>
      <c r="G61" s="140">
        <v>285</v>
      </c>
      <c r="H61" s="97">
        <v>0.33300000000000002</v>
      </c>
      <c r="I61" s="171">
        <v>8</v>
      </c>
      <c r="J61" s="97"/>
      <c r="K61" s="97"/>
      <c r="L61" s="97"/>
      <c r="M61" s="97"/>
      <c r="N61" s="97"/>
      <c r="O61" s="97"/>
      <c r="P61" s="97"/>
      <c r="Q61" s="97"/>
      <c r="R61" s="97"/>
      <c r="S61" s="97"/>
      <c r="T61" s="97"/>
      <c r="U61" s="97"/>
      <c r="V61" s="97"/>
      <c r="W61" s="97"/>
      <c r="X61" s="97"/>
      <c r="Y61" s="97"/>
      <c r="Z61" s="97"/>
      <c r="AA61" s="97"/>
      <c r="AB61" s="97"/>
      <c r="AC61" s="97"/>
      <c r="AD61" s="97"/>
    </row>
    <row r="62" spans="1:30" x14ac:dyDescent="0.3">
      <c r="A62" s="97" t="s">
        <v>305</v>
      </c>
      <c r="B62" s="97" t="s">
        <v>57</v>
      </c>
      <c r="C62" s="97" t="s">
        <v>58</v>
      </c>
      <c r="D62" s="97" t="s">
        <v>306</v>
      </c>
      <c r="E62" s="163" t="s">
        <v>55</v>
      </c>
      <c r="F62" s="97" t="s">
        <v>63</v>
      </c>
      <c r="G62" s="140">
        <v>316</v>
      </c>
      <c r="H62" s="97">
        <v>0.308</v>
      </c>
      <c r="I62" s="171">
        <v>8</v>
      </c>
      <c r="J62" s="97"/>
      <c r="K62" s="97"/>
      <c r="L62" s="97"/>
      <c r="M62" s="97"/>
      <c r="N62" s="97"/>
      <c r="O62" s="97"/>
      <c r="P62" s="97"/>
      <c r="Q62" s="97"/>
      <c r="R62" s="97"/>
      <c r="S62" s="97"/>
      <c r="T62" s="97"/>
      <c r="U62" s="97"/>
      <c r="V62" s="97"/>
      <c r="W62" s="97"/>
      <c r="X62" s="97"/>
      <c r="Y62" s="97"/>
      <c r="Z62" s="97"/>
      <c r="AA62" s="97"/>
      <c r="AB62" s="97"/>
      <c r="AC62" s="97"/>
      <c r="AD62" s="97"/>
    </row>
    <row r="63" spans="1:30" x14ac:dyDescent="0.3">
      <c r="A63" s="97" t="s">
        <v>309</v>
      </c>
      <c r="B63" s="97" t="s">
        <v>48</v>
      </c>
      <c r="C63" s="97" t="s">
        <v>49</v>
      </c>
      <c r="D63" s="97" t="s">
        <v>310</v>
      </c>
      <c r="E63" s="163" t="s">
        <v>55</v>
      </c>
      <c r="F63" s="97" t="s">
        <v>312</v>
      </c>
      <c r="G63" s="140">
        <v>650</v>
      </c>
      <c r="H63" s="97">
        <v>0.47399999999999998</v>
      </c>
      <c r="I63" s="171">
        <v>2</v>
      </c>
      <c r="J63" s="97"/>
      <c r="K63" s="97"/>
      <c r="L63" s="97"/>
      <c r="M63" s="97"/>
      <c r="N63" s="97"/>
      <c r="O63" s="97"/>
      <c r="P63" s="97"/>
      <c r="Q63" s="97"/>
      <c r="R63" s="97"/>
      <c r="S63" s="97"/>
      <c r="T63" s="97"/>
      <c r="U63" s="97"/>
      <c r="V63" s="97"/>
      <c r="W63" s="97"/>
      <c r="X63" s="97"/>
      <c r="Y63" s="97"/>
      <c r="Z63" s="97"/>
      <c r="AA63" s="97"/>
      <c r="AB63" s="97"/>
      <c r="AC63" s="97"/>
      <c r="AD63" s="97"/>
    </row>
    <row r="64" spans="1:30" x14ac:dyDescent="0.3">
      <c r="A64" s="97" t="s">
        <v>313</v>
      </c>
      <c r="B64" s="97" t="s">
        <v>57</v>
      </c>
      <c r="C64" s="97" t="s">
        <v>58</v>
      </c>
      <c r="D64" s="97" t="s">
        <v>314</v>
      </c>
      <c r="E64" s="163" t="s">
        <v>55</v>
      </c>
      <c r="F64" s="97" t="s">
        <v>63</v>
      </c>
      <c r="G64" s="140">
        <v>324</v>
      </c>
      <c r="H64" s="97">
        <v>0.28100000000000003</v>
      </c>
      <c r="I64" s="171">
        <v>8</v>
      </c>
      <c r="J64" s="97"/>
      <c r="K64" s="97"/>
      <c r="L64" s="97"/>
      <c r="M64" s="97"/>
      <c r="N64" s="97"/>
      <c r="O64" s="97"/>
      <c r="P64" s="97"/>
      <c r="Q64" s="97"/>
      <c r="R64" s="97"/>
      <c r="S64" s="97"/>
      <c r="T64" s="97"/>
      <c r="U64" s="97"/>
      <c r="V64" s="97"/>
      <c r="W64" s="97"/>
      <c r="X64" s="97"/>
      <c r="Y64" s="97"/>
      <c r="Z64" s="97"/>
      <c r="AA64" s="97"/>
      <c r="AB64" s="97"/>
      <c r="AC64" s="97"/>
      <c r="AD64" s="97"/>
    </row>
    <row r="65" spans="1:30" x14ac:dyDescent="0.3">
      <c r="A65" s="97" t="s">
        <v>316</v>
      </c>
      <c r="B65" s="97" t="s">
        <v>65</v>
      </c>
      <c r="C65" s="97" t="s">
        <v>66</v>
      </c>
      <c r="D65" s="97" t="s">
        <v>317</v>
      </c>
      <c r="E65" s="163" t="s">
        <v>55</v>
      </c>
      <c r="F65" s="97" t="s">
        <v>71</v>
      </c>
      <c r="G65" s="140">
        <v>750</v>
      </c>
      <c r="H65" s="97">
        <v>0.41299999999999998</v>
      </c>
      <c r="I65" s="171">
        <v>6</v>
      </c>
      <c r="J65" s="97"/>
      <c r="K65" s="97"/>
      <c r="L65" s="97"/>
      <c r="M65" s="97"/>
      <c r="N65" s="97"/>
      <c r="O65" s="97"/>
      <c r="P65" s="97"/>
      <c r="Q65" s="97"/>
      <c r="R65" s="97"/>
      <c r="S65" s="97"/>
      <c r="T65" s="97"/>
      <c r="U65" s="97"/>
      <c r="V65" s="97"/>
      <c r="W65" s="97"/>
      <c r="X65" s="97"/>
      <c r="Y65" s="97"/>
      <c r="Z65" s="97"/>
      <c r="AA65" s="97"/>
      <c r="AB65" s="97"/>
      <c r="AC65" s="97"/>
      <c r="AD65" s="97"/>
    </row>
    <row r="66" spans="1:30" x14ac:dyDescent="0.3">
      <c r="A66" s="97"/>
      <c r="B66" s="97"/>
      <c r="C66" s="97"/>
      <c r="D66" s="97"/>
      <c r="E66" s="163"/>
      <c r="F66" s="97"/>
      <c r="G66" s="140"/>
      <c r="H66" s="97"/>
      <c r="I66" s="171"/>
      <c r="J66" s="97"/>
      <c r="K66" s="97"/>
      <c r="L66" s="97"/>
      <c r="M66" s="97"/>
      <c r="N66" s="97"/>
      <c r="O66" s="97"/>
      <c r="P66" s="97"/>
      <c r="Q66" s="97"/>
      <c r="R66" s="97"/>
      <c r="S66" s="97"/>
      <c r="T66" s="97"/>
      <c r="U66" s="97"/>
      <c r="V66" s="97"/>
      <c r="W66" s="97"/>
      <c r="X66" s="97"/>
      <c r="Y66" s="97"/>
      <c r="Z66" s="97"/>
      <c r="AA66" s="97"/>
      <c r="AB66" s="97"/>
      <c r="AC66" s="97"/>
      <c r="AD66" s="97"/>
    </row>
    <row r="67" spans="1:30" x14ac:dyDescent="0.3">
      <c r="A67" s="97"/>
      <c r="B67" s="97"/>
      <c r="C67" s="97"/>
      <c r="D67" s="97"/>
      <c r="E67" s="163"/>
      <c r="F67" s="97"/>
      <c r="G67" s="140"/>
      <c r="H67" s="97"/>
      <c r="I67" s="171"/>
      <c r="J67" s="97"/>
      <c r="K67" s="97"/>
      <c r="L67" s="97"/>
      <c r="M67" s="97"/>
      <c r="N67" s="97"/>
      <c r="O67" s="97"/>
      <c r="P67" s="97"/>
      <c r="Q67" s="97"/>
      <c r="R67" s="97"/>
      <c r="S67" s="97"/>
      <c r="T67" s="97"/>
      <c r="U67" s="97"/>
      <c r="V67" s="97"/>
      <c r="W67" s="97"/>
      <c r="X67" s="97"/>
      <c r="Y67" s="97"/>
      <c r="Z67" s="97"/>
      <c r="AA67" s="97"/>
      <c r="AB67" s="97"/>
      <c r="AC67" s="97"/>
      <c r="AD67" s="97"/>
    </row>
  </sheetData>
  <autoFilter ref="A2:I2" xr:uid="{933BC8AD-D2D7-432A-89EF-E968A15E084B}"/>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57EC9-C0D5-4F28-B378-85ECAF99C8EE}">
  <dimension ref="A1:V66"/>
  <sheetViews>
    <sheetView topLeftCell="A16" zoomScale="40" zoomScaleNormal="40" workbookViewId="0">
      <selection activeCell="O11" sqref="O11"/>
    </sheetView>
  </sheetViews>
  <sheetFormatPr baseColWidth="10" defaultColWidth="11.44140625" defaultRowHeight="14.4" x14ac:dyDescent="0.3"/>
  <cols>
    <col min="1" max="1" width="15.6640625" customWidth="1"/>
    <col min="2" max="2" width="16.88671875" customWidth="1"/>
    <col min="5" max="5" width="13.88671875" customWidth="1"/>
    <col min="6" max="6" width="16.33203125" customWidth="1"/>
    <col min="7" max="7" width="21.109375" style="247" customWidth="1"/>
    <col min="9" max="9" width="12" bestFit="1" customWidth="1"/>
    <col min="16" max="16" width="38.44140625" customWidth="1"/>
    <col min="17" max="17" width="24.44140625" customWidth="1"/>
    <col min="18" max="18" width="20.33203125" customWidth="1"/>
    <col min="19" max="19" width="26.33203125" customWidth="1"/>
  </cols>
  <sheetData>
    <row r="1" spans="1:22" ht="43.2" x14ac:dyDescent="0.3">
      <c r="A1" s="182" t="s">
        <v>7</v>
      </c>
      <c r="B1" s="195" t="s">
        <v>17</v>
      </c>
      <c r="C1" s="212" t="s">
        <v>22</v>
      </c>
      <c r="D1" s="213" t="s">
        <v>889</v>
      </c>
      <c r="E1" s="195" t="s">
        <v>377</v>
      </c>
      <c r="F1" s="195" t="s">
        <v>360</v>
      </c>
      <c r="G1" s="211" t="s">
        <v>14</v>
      </c>
      <c r="H1" s="195" t="s">
        <v>378</v>
      </c>
      <c r="I1" s="195" t="s">
        <v>11</v>
      </c>
      <c r="J1" s="195" t="s">
        <v>362</v>
      </c>
      <c r="K1" s="195" t="s">
        <v>379</v>
      </c>
      <c r="L1" s="195" t="s">
        <v>380</v>
      </c>
      <c r="M1" s="195" t="s">
        <v>363</v>
      </c>
      <c r="Q1" s="201"/>
      <c r="R1" s="201"/>
      <c r="S1" s="201"/>
      <c r="T1" s="201"/>
      <c r="U1" s="201"/>
      <c r="V1" s="201"/>
    </row>
    <row r="2" spans="1:22" ht="15" customHeight="1" thickBot="1" x14ac:dyDescent="0.35">
      <c r="A2" s="183" t="s">
        <v>39</v>
      </c>
      <c r="B2" s="196" t="s">
        <v>40</v>
      </c>
      <c r="C2" s="174" t="s">
        <v>44</v>
      </c>
      <c r="D2" s="214" t="s">
        <v>381</v>
      </c>
      <c r="E2" s="197" t="s">
        <v>382</v>
      </c>
      <c r="F2" s="196" t="s">
        <v>383</v>
      </c>
      <c r="G2" s="244">
        <v>0</v>
      </c>
      <c r="H2" s="197" t="s">
        <v>384</v>
      </c>
      <c r="I2" s="196" t="s">
        <v>350</v>
      </c>
      <c r="J2" s="196" t="s">
        <v>46</v>
      </c>
      <c r="K2" s="197" t="s">
        <v>382</v>
      </c>
      <c r="L2" s="196" t="s">
        <v>46</v>
      </c>
      <c r="M2" s="196" t="s">
        <v>383</v>
      </c>
      <c r="Q2" s="204" t="s">
        <v>9</v>
      </c>
      <c r="R2" s="204" t="s">
        <v>14</v>
      </c>
      <c r="S2" s="204" t="s">
        <v>385</v>
      </c>
      <c r="T2" s="184" t="s">
        <v>367</v>
      </c>
      <c r="U2" s="184" t="s">
        <v>337</v>
      </c>
      <c r="V2" s="201"/>
    </row>
    <row r="3" spans="1:22" ht="14.4" customHeight="1" thickTop="1" x14ac:dyDescent="0.3">
      <c r="A3" s="190" t="s">
        <v>47</v>
      </c>
      <c r="B3" s="190">
        <v>10</v>
      </c>
      <c r="C3" s="190">
        <v>0.33300000000000002</v>
      </c>
      <c r="D3" s="209">
        <f>B3*8760/C3/1000</f>
        <v>263.06306306306305</v>
      </c>
      <c r="E3" s="202">
        <f>D3/22*80</f>
        <v>956.59295659295651</v>
      </c>
      <c r="F3" s="191">
        <f>ROUND((1 - (E3 / $E$66)) * 9 + 1, 0)</f>
        <v>10</v>
      </c>
      <c r="G3" s="245" t="s">
        <v>386</v>
      </c>
      <c r="H3" s="143">
        <f>IF(G3="Light Water",6,IF(G3="Heavy Water",5,IF(G3="Gas (CO₂, He)",3,IF(G3="Liquid Sodium",1,IF(G3="Molten Salt",4,IF(G3="Lead",2,"Not Found"))))))</f>
        <v>1</v>
      </c>
      <c r="I3" s="261" t="s">
        <v>51</v>
      </c>
      <c r="J3" s="190">
        <v>2</v>
      </c>
      <c r="K3" s="210">
        <f t="shared" ref="K3:K34" si="0">E3/0.3*0.7</f>
        <v>2232.0502320502314</v>
      </c>
      <c r="L3" s="210">
        <f>ROUND((1 - (K3 / $K$66)) * 9 + 1, 0)</f>
        <v>10</v>
      </c>
      <c r="M3" s="157">
        <f t="shared" ref="M3:M34" si="1">((F3 + H3 + J3+L3) / 36) * 10 * 0.8</f>
        <v>5.1111111111111107</v>
      </c>
      <c r="Q3" s="204" t="s">
        <v>387</v>
      </c>
      <c r="R3" s="207" t="s">
        <v>63</v>
      </c>
      <c r="S3" s="208" t="s">
        <v>388</v>
      </c>
      <c r="T3" s="205">
        <v>30</v>
      </c>
      <c r="U3" s="206">
        <v>6</v>
      </c>
      <c r="V3" s="201"/>
    </row>
    <row r="4" spans="1:22" ht="14.4" customHeight="1" x14ac:dyDescent="0.3">
      <c r="A4" s="190" t="s">
        <v>56</v>
      </c>
      <c r="B4" s="190">
        <v>125</v>
      </c>
      <c r="C4" s="190">
        <v>0.32500000000000001</v>
      </c>
      <c r="D4" s="209">
        <f t="shared" ref="D4:D66" si="2">B4*8760/C4/1000</f>
        <v>3369.2307692307691</v>
      </c>
      <c r="E4" s="202">
        <f t="shared" ref="E4:E65" si="3">D4/22*80</f>
        <v>12251.748251748251</v>
      </c>
      <c r="F4" s="191">
        <f t="shared" ref="F4:F65" si="4">ROUND((1 - (E4 / $E$66)) * 9 + 1, 0)</f>
        <v>9</v>
      </c>
      <c r="G4" s="246" t="s">
        <v>63</v>
      </c>
      <c r="H4" s="143">
        <f t="shared" ref="H4:H65" si="5">IF(G4="Light Water",6,IF(G4="Heavy Water",5,IF(G4="Gas (CO₂, He)",3,IF(G4="Liquid Sodium",1,IF(G4="Molten Salt",4,IF(G4="Lead",2,"Not Found"))))))</f>
        <v>6</v>
      </c>
      <c r="I4" s="190" t="s">
        <v>60</v>
      </c>
      <c r="J4" s="190">
        <v>1</v>
      </c>
      <c r="K4" s="210">
        <f t="shared" si="0"/>
        <v>28587.412587412586</v>
      </c>
      <c r="L4" s="210">
        <f t="shared" ref="L4:L65" si="6">ROUND((1 - (K4 / $K$66)) * 9 + 1, 0)</f>
        <v>9</v>
      </c>
      <c r="M4" s="157">
        <f t="shared" si="1"/>
        <v>5.5555555555555562</v>
      </c>
      <c r="Q4" s="204" t="s">
        <v>389</v>
      </c>
      <c r="R4" s="208" t="s">
        <v>390</v>
      </c>
      <c r="S4" s="208" t="s">
        <v>391</v>
      </c>
      <c r="T4" s="205">
        <v>40</v>
      </c>
      <c r="U4" s="206">
        <v>5</v>
      </c>
      <c r="V4" s="201"/>
    </row>
    <row r="5" spans="1:22" ht="14.4" customHeight="1" x14ac:dyDescent="0.3">
      <c r="A5" s="190" t="s">
        <v>64</v>
      </c>
      <c r="B5" s="190">
        <v>50</v>
      </c>
      <c r="C5" s="215">
        <v>0.5</v>
      </c>
      <c r="D5" s="209">
        <f t="shared" si="2"/>
        <v>876</v>
      </c>
      <c r="E5" s="202">
        <f t="shared" si="3"/>
        <v>3185.4545454545455</v>
      </c>
      <c r="F5" s="191">
        <f t="shared" si="4"/>
        <v>10</v>
      </c>
      <c r="G5" s="245" t="s">
        <v>392</v>
      </c>
      <c r="H5" s="143">
        <f t="shared" si="5"/>
        <v>3</v>
      </c>
      <c r="I5" s="190" t="s">
        <v>68</v>
      </c>
      <c r="J5" s="190">
        <v>2</v>
      </c>
      <c r="K5" s="210">
        <f t="shared" si="0"/>
        <v>7432.7272727272721</v>
      </c>
      <c r="L5" s="210">
        <f t="shared" si="6"/>
        <v>10</v>
      </c>
      <c r="M5" s="157">
        <f t="shared" si="1"/>
        <v>5.5555555555555562</v>
      </c>
      <c r="Q5" s="204" t="s">
        <v>393</v>
      </c>
      <c r="R5" s="208" t="s">
        <v>392</v>
      </c>
      <c r="S5" s="208" t="s">
        <v>394</v>
      </c>
      <c r="T5" s="205">
        <v>50</v>
      </c>
      <c r="U5" s="206">
        <v>3</v>
      </c>
      <c r="V5" s="201"/>
    </row>
    <row r="6" spans="1:22" ht="14.4" customHeight="1" x14ac:dyDescent="0.3">
      <c r="A6" s="190" t="s">
        <v>72</v>
      </c>
      <c r="B6" s="190">
        <v>100</v>
      </c>
      <c r="C6" s="215">
        <v>0.35</v>
      </c>
      <c r="D6" s="209">
        <f t="shared" si="2"/>
        <v>2502.8571428571431</v>
      </c>
      <c r="E6" s="202">
        <f t="shared" si="3"/>
        <v>9101.2987012987032</v>
      </c>
      <c r="F6" s="191">
        <f t="shared" si="4"/>
        <v>9</v>
      </c>
      <c r="G6" s="245" t="s">
        <v>386</v>
      </c>
      <c r="H6" s="143">
        <f t="shared" si="5"/>
        <v>1</v>
      </c>
      <c r="I6" s="190" t="s">
        <v>74</v>
      </c>
      <c r="J6" s="190">
        <v>1</v>
      </c>
      <c r="K6" s="210">
        <f t="shared" si="0"/>
        <v>21236.36363636364</v>
      </c>
      <c r="L6" s="210">
        <f t="shared" si="6"/>
        <v>9</v>
      </c>
      <c r="M6" s="157">
        <f t="shared" si="1"/>
        <v>4.4444444444444446</v>
      </c>
      <c r="Q6" s="204" t="s">
        <v>395</v>
      </c>
      <c r="R6" s="208" t="s">
        <v>386</v>
      </c>
      <c r="S6" s="208" t="s">
        <v>396</v>
      </c>
      <c r="T6" s="206">
        <v>60</v>
      </c>
      <c r="U6" s="217">
        <v>1</v>
      </c>
      <c r="V6" s="201"/>
    </row>
    <row r="7" spans="1:22" ht="14.4" customHeight="1" x14ac:dyDescent="0.3">
      <c r="A7" s="190" t="s">
        <v>77</v>
      </c>
      <c r="B7" s="190">
        <v>300</v>
      </c>
      <c r="C7" s="215">
        <v>0.42899999999999999</v>
      </c>
      <c r="D7" s="209">
        <f t="shared" si="2"/>
        <v>6125.8741258741265</v>
      </c>
      <c r="E7" s="202">
        <f t="shared" si="3"/>
        <v>22275.905912269551</v>
      </c>
      <c r="F7" s="191">
        <f t="shared" si="4"/>
        <v>8</v>
      </c>
      <c r="G7" s="246" t="s">
        <v>82</v>
      </c>
      <c r="H7" s="143">
        <f t="shared" si="5"/>
        <v>2</v>
      </c>
      <c r="I7" s="190" t="s">
        <v>79</v>
      </c>
      <c r="J7" s="190">
        <v>3</v>
      </c>
      <c r="K7" s="210">
        <f t="shared" si="0"/>
        <v>51977.113795295612</v>
      </c>
      <c r="L7" s="210">
        <f t="shared" si="6"/>
        <v>8</v>
      </c>
      <c r="M7" s="157">
        <f t="shared" si="1"/>
        <v>4.666666666666667</v>
      </c>
      <c r="Q7" s="204" t="s">
        <v>397</v>
      </c>
      <c r="R7" s="208" t="s">
        <v>398</v>
      </c>
      <c r="S7" s="208" t="s">
        <v>399</v>
      </c>
      <c r="T7" s="205">
        <v>42.5</v>
      </c>
      <c r="U7" s="206">
        <v>4</v>
      </c>
      <c r="V7" s="201"/>
    </row>
    <row r="8" spans="1:22" ht="14.4" customHeight="1" x14ac:dyDescent="0.3">
      <c r="A8" s="190" t="s">
        <v>83</v>
      </c>
      <c r="B8" s="190">
        <v>280</v>
      </c>
      <c r="C8" s="215">
        <v>0.32200000000000001</v>
      </c>
      <c r="D8" s="209">
        <f t="shared" si="2"/>
        <v>7617.391304347826</v>
      </c>
      <c r="E8" s="202">
        <f t="shared" si="3"/>
        <v>27699.604743083004</v>
      </c>
      <c r="F8" s="191">
        <f t="shared" si="4"/>
        <v>7</v>
      </c>
      <c r="G8" s="246" t="s">
        <v>63</v>
      </c>
      <c r="H8" s="143">
        <f t="shared" si="5"/>
        <v>6</v>
      </c>
      <c r="I8" s="190" t="s">
        <v>86</v>
      </c>
      <c r="J8" s="190">
        <v>2</v>
      </c>
      <c r="K8" s="210">
        <f t="shared" si="0"/>
        <v>64632.41106719368</v>
      </c>
      <c r="L8" s="210">
        <f t="shared" si="6"/>
        <v>7</v>
      </c>
      <c r="M8" s="157">
        <f t="shared" si="1"/>
        <v>4.8888888888888893</v>
      </c>
      <c r="Q8" s="204" t="s">
        <v>400</v>
      </c>
      <c r="R8" s="208" t="s">
        <v>82</v>
      </c>
      <c r="S8" s="208" t="s">
        <v>401</v>
      </c>
      <c r="T8" s="205">
        <v>55</v>
      </c>
      <c r="U8" s="217">
        <v>2</v>
      </c>
      <c r="V8" s="201"/>
    </row>
    <row r="9" spans="1:22" ht="14.4" customHeight="1" x14ac:dyDescent="0.3">
      <c r="A9" s="190" t="s">
        <v>89</v>
      </c>
      <c r="B9" s="190">
        <v>300</v>
      </c>
      <c r="C9" s="215">
        <v>0.313</v>
      </c>
      <c r="D9" s="209">
        <f t="shared" si="2"/>
        <v>8396.1661341853032</v>
      </c>
      <c r="E9" s="202">
        <f t="shared" si="3"/>
        <v>30531.513215219282</v>
      </c>
      <c r="F9" s="191">
        <f t="shared" si="4"/>
        <v>7</v>
      </c>
      <c r="G9" s="246" t="s">
        <v>402</v>
      </c>
      <c r="H9" s="143">
        <v>2</v>
      </c>
      <c r="I9" s="190" t="s">
        <v>74</v>
      </c>
      <c r="J9" s="190">
        <v>1</v>
      </c>
      <c r="K9" s="210">
        <f t="shared" si="0"/>
        <v>71240.197502178329</v>
      </c>
      <c r="L9" s="210">
        <f t="shared" si="6"/>
        <v>7</v>
      </c>
      <c r="M9" s="157">
        <f t="shared" si="1"/>
        <v>3.7777777777777781</v>
      </c>
      <c r="R9" s="190"/>
      <c r="S9" s="190"/>
      <c r="T9" s="190"/>
      <c r="U9" s="201"/>
      <c r="V9" s="201"/>
    </row>
    <row r="10" spans="1:22" ht="14.4" customHeight="1" x14ac:dyDescent="0.3">
      <c r="A10" s="190" t="s">
        <v>95</v>
      </c>
      <c r="B10" s="190">
        <v>200</v>
      </c>
      <c r="C10" s="215">
        <v>0.30299999999999999</v>
      </c>
      <c r="D10" s="209">
        <f t="shared" si="2"/>
        <v>5782.1782178217827</v>
      </c>
      <c r="E10" s="202">
        <f t="shared" si="3"/>
        <v>21026.102610261027</v>
      </c>
      <c r="F10" s="191">
        <f t="shared" si="4"/>
        <v>8</v>
      </c>
      <c r="G10" s="246" t="s">
        <v>63</v>
      </c>
      <c r="H10" s="143">
        <f t="shared" si="5"/>
        <v>6</v>
      </c>
      <c r="I10" s="190" t="s">
        <v>60</v>
      </c>
      <c r="J10" s="190">
        <v>1</v>
      </c>
      <c r="K10" s="210">
        <f t="shared" si="0"/>
        <v>49060.90609060906</v>
      </c>
      <c r="L10" s="210">
        <f t="shared" si="6"/>
        <v>8</v>
      </c>
      <c r="M10" s="157">
        <f t="shared" si="1"/>
        <v>5.1111111111111107</v>
      </c>
      <c r="Q10" s="204" t="s">
        <v>11</v>
      </c>
      <c r="R10" s="185" t="s">
        <v>376</v>
      </c>
      <c r="S10" s="185" t="s">
        <v>337</v>
      </c>
      <c r="T10" s="190"/>
      <c r="U10" s="201"/>
      <c r="V10" s="201"/>
    </row>
    <row r="11" spans="1:22" ht="14.4" customHeight="1" x14ac:dyDescent="0.3">
      <c r="A11" s="190" t="s">
        <v>100</v>
      </c>
      <c r="B11" s="190">
        <v>30</v>
      </c>
      <c r="C11" s="215">
        <v>0.3</v>
      </c>
      <c r="D11" s="209">
        <f t="shared" si="2"/>
        <v>876</v>
      </c>
      <c r="E11" s="202">
        <f t="shared" si="3"/>
        <v>3185.4545454545455</v>
      </c>
      <c r="F11" s="191">
        <f t="shared" si="4"/>
        <v>10</v>
      </c>
      <c r="G11" s="246" t="s">
        <v>63</v>
      </c>
      <c r="H11" s="143">
        <f t="shared" si="5"/>
        <v>6</v>
      </c>
      <c r="I11" s="190" t="s">
        <v>102</v>
      </c>
      <c r="J11" s="190">
        <v>10</v>
      </c>
      <c r="K11" s="210">
        <f t="shared" si="0"/>
        <v>7432.7272727272721</v>
      </c>
      <c r="L11" s="210">
        <f t="shared" si="6"/>
        <v>10</v>
      </c>
      <c r="M11" s="157">
        <f t="shared" si="1"/>
        <v>8</v>
      </c>
      <c r="Q11" s="192" t="s">
        <v>102</v>
      </c>
      <c r="R11" s="193">
        <v>133.80000000000001</v>
      </c>
      <c r="S11" s="189">
        <v>10</v>
      </c>
      <c r="T11" s="190"/>
      <c r="U11" s="201"/>
      <c r="V11" s="201"/>
    </row>
    <row r="12" spans="1:22" ht="14.4" customHeight="1" x14ac:dyDescent="0.3">
      <c r="A12" s="190" t="s">
        <v>104</v>
      </c>
      <c r="B12" s="190">
        <v>100</v>
      </c>
      <c r="C12" s="215">
        <v>0.4</v>
      </c>
      <c r="D12" s="209">
        <f t="shared" si="2"/>
        <v>2190</v>
      </c>
      <c r="E12" s="202">
        <f t="shared" si="3"/>
        <v>7963.636363636364</v>
      </c>
      <c r="F12" s="191">
        <f t="shared" si="4"/>
        <v>9</v>
      </c>
      <c r="G12" s="245" t="s">
        <v>386</v>
      </c>
      <c r="H12" s="143">
        <f t="shared" si="5"/>
        <v>1</v>
      </c>
      <c r="I12" s="190" t="s">
        <v>108</v>
      </c>
      <c r="J12" s="190">
        <v>0</v>
      </c>
      <c r="K12" s="210">
        <f t="shared" si="0"/>
        <v>18581.818181818184</v>
      </c>
      <c r="L12" s="210">
        <f t="shared" si="6"/>
        <v>9</v>
      </c>
      <c r="M12" s="157">
        <f t="shared" si="1"/>
        <v>4.2222222222222223</v>
      </c>
      <c r="Q12" s="192" t="s">
        <v>74</v>
      </c>
      <c r="R12" s="193">
        <v>1.6</v>
      </c>
      <c r="S12" s="189">
        <v>1</v>
      </c>
      <c r="T12" s="190"/>
      <c r="U12" s="201"/>
      <c r="V12" s="201"/>
    </row>
    <row r="13" spans="1:22" x14ac:dyDescent="0.3">
      <c r="A13" s="190" t="s">
        <v>112</v>
      </c>
      <c r="B13" s="190">
        <v>0</v>
      </c>
      <c r="C13" s="215">
        <v>0</v>
      </c>
      <c r="D13" s="209">
        <v>0</v>
      </c>
      <c r="E13" s="202">
        <f t="shared" si="3"/>
        <v>0</v>
      </c>
      <c r="F13" s="191">
        <f t="shared" si="4"/>
        <v>10</v>
      </c>
      <c r="G13" s="245" t="s">
        <v>398</v>
      </c>
      <c r="H13" s="143">
        <f t="shared" si="5"/>
        <v>4</v>
      </c>
      <c r="I13" s="190" t="s">
        <v>108</v>
      </c>
      <c r="J13" s="190">
        <v>0</v>
      </c>
      <c r="K13" s="210">
        <f t="shared" si="0"/>
        <v>0</v>
      </c>
      <c r="L13" s="210">
        <f t="shared" si="6"/>
        <v>10</v>
      </c>
      <c r="M13" s="157">
        <f t="shared" si="1"/>
        <v>5.333333333333333</v>
      </c>
      <c r="Q13" s="192" t="s">
        <v>60</v>
      </c>
      <c r="R13" s="193">
        <v>-0.5</v>
      </c>
      <c r="S13" s="189">
        <v>1</v>
      </c>
      <c r="T13" s="190"/>
      <c r="U13" s="201"/>
      <c r="V13" s="201"/>
    </row>
    <row r="14" spans="1:22" x14ac:dyDescent="0.3">
      <c r="A14" s="190" t="s">
        <v>117</v>
      </c>
      <c r="B14" s="190">
        <v>0</v>
      </c>
      <c r="C14" s="215">
        <v>0</v>
      </c>
      <c r="D14" s="209">
        <v>0</v>
      </c>
      <c r="E14" s="202">
        <f t="shared" si="3"/>
        <v>0</v>
      </c>
      <c r="F14" s="191">
        <f t="shared" si="4"/>
        <v>10</v>
      </c>
      <c r="G14" s="246" t="s">
        <v>63</v>
      </c>
      <c r="H14" s="143">
        <f t="shared" si="5"/>
        <v>6</v>
      </c>
      <c r="I14" s="190" t="s">
        <v>60</v>
      </c>
      <c r="J14" s="190">
        <v>1</v>
      </c>
      <c r="K14" s="210">
        <f t="shared" si="0"/>
        <v>0</v>
      </c>
      <c r="L14" s="210">
        <f t="shared" si="6"/>
        <v>10</v>
      </c>
      <c r="M14" s="157">
        <f t="shared" si="1"/>
        <v>6</v>
      </c>
      <c r="Q14" s="192" t="s">
        <v>290</v>
      </c>
      <c r="R14" s="193">
        <v>8.6</v>
      </c>
      <c r="S14" s="189">
        <v>4</v>
      </c>
      <c r="T14" s="190"/>
      <c r="U14" s="201"/>
      <c r="V14" s="201"/>
    </row>
    <row r="15" spans="1:22" ht="14.4" customHeight="1" x14ac:dyDescent="0.3">
      <c r="A15" s="190" t="s">
        <v>121</v>
      </c>
      <c r="B15" s="190">
        <v>265</v>
      </c>
      <c r="C15" s="215">
        <v>0.53</v>
      </c>
      <c r="D15" s="209">
        <f t="shared" si="2"/>
        <v>4380</v>
      </c>
      <c r="E15" s="202">
        <f t="shared" si="3"/>
        <v>15927.272727272728</v>
      </c>
      <c r="F15" s="191">
        <f t="shared" si="4"/>
        <v>9</v>
      </c>
      <c r="G15" s="245" t="s">
        <v>392</v>
      </c>
      <c r="H15" s="143">
        <f t="shared" si="5"/>
        <v>3</v>
      </c>
      <c r="I15" s="190" t="s">
        <v>124</v>
      </c>
      <c r="J15" s="190">
        <v>2</v>
      </c>
      <c r="K15" s="210">
        <f t="shared" si="0"/>
        <v>37163.636363636368</v>
      </c>
      <c r="L15" s="210">
        <f t="shared" si="6"/>
        <v>9</v>
      </c>
      <c r="M15" s="157">
        <f t="shared" si="1"/>
        <v>5.1111111111111107</v>
      </c>
      <c r="Q15" s="192" t="s">
        <v>108</v>
      </c>
      <c r="R15" s="193">
        <v>-3.5</v>
      </c>
      <c r="S15" s="189">
        <v>0</v>
      </c>
      <c r="T15" s="190"/>
      <c r="U15" s="201"/>
      <c r="V15" s="201"/>
    </row>
    <row r="16" spans="1:22" ht="14.4" customHeight="1" x14ac:dyDescent="0.3">
      <c r="A16" s="190" t="s">
        <v>127</v>
      </c>
      <c r="B16" s="190">
        <v>50</v>
      </c>
      <c r="C16" s="215">
        <v>0.5</v>
      </c>
      <c r="D16" s="209">
        <f t="shared" si="2"/>
        <v>876</v>
      </c>
      <c r="E16" s="202">
        <f t="shared" si="3"/>
        <v>3185.4545454545455</v>
      </c>
      <c r="F16" s="191">
        <f t="shared" si="4"/>
        <v>10</v>
      </c>
      <c r="G16" s="245" t="s">
        <v>392</v>
      </c>
      <c r="H16" s="143">
        <f t="shared" si="5"/>
        <v>3</v>
      </c>
      <c r="I16" s="190" t="s">
        <v>124</v>
      </c>
      <c r="J16" s="190">
        <v>2</v>
      </c>
      <c r="K16" s="210">
        <f t="shared" si="0"/>
        <v>7432.7272727272721</v>
      </c>
      <c r="L16" s="210">
        <f t="shared" si="6"/>
        <v>10</v>
      </c>
      <c r="M16" s="157">
        <f t="shared" si="1"/>
        <v>5.5555555555555562</v>
      </c>
      <c r="Q16" s="192" t="s">
        <v>172</v>
      </c>
      <c r="R16" s="193">
        <v>5.5</v>
      </c>
      <c r="S16" s="189">
        <v>3</v>
      </c>
      <c r="T16" s="190"/>
      <c r="U16" s="201"/>
      <c r="V16" s="201"/>
    </row>
    <row r="17" spans="1:20" x14ac:dyDescent="0.3">
      <c r="A17" s="190" t="s">
        <v>130</v>
      </c>
      <c r="B17" s="190">
        <v>200</v>
      </c>
      <c r="C17" s="215">
        <v>0.44400000000000001</v>
      </c>
      <c r="D17" s="209">
        <f t="shared" si="2"/>
        <v>3945.9459459459458</v>
      </c>
      <c r="E17" s="202">
        <f t="shared" si="3"/>
        <v>14348.894348894348</v>
      </c>
      <c r="F17" s="191">
        <f t="shared" si="4"/>
        <v>9</v>
      </c>
      <c r="G17" s="245" t="s">
        <v>398</v>
      </c>
      <c r="H17" s="143">
        <f t="shared" si="5"/>
        <v>4</v>
      </c>
      <c r="I17" s="190" t="s">
        <v>51</v>
      </c>
      <c r="J17" s="190">
        <v>2</v>
      </c>
      <c r="K17" s="210">
        <f t="shared" si="0"/>
        <v>33480.753480753483</v>
      </c>
      <c r="L17" s="210">
        <f t="shared" si="6"/>
        <v>9</v>
      </c>
      <c r="M17" s="157">
        <f t="shared" si="1"/>
        <v>5.333333333333333</v>
      </c>
      <c r="Q17" s="192" t="s">
        <v>229</v>
      </c>
      <c r="R17" s="193">
        <v>1.5</v>
      </c>
      <c r="S17" s="189">
        <v>1</v>
      </c>
      <c r="T17" s="190"/>
    </row>
    <row r="18" spans="1:20" x14ac:dyDescent="0.3">
      <c r="A18" s="190" t="s">
        <v>135</v>
      </c>
      <c r="B18" s="190">
        <v>300</v>
      </c>
      <c r="C18" s="215">
        <v>0.5</v>
      </c>
      <c r="D18" s="209">
        <f t="shared" si="2"/>
        <v>5256</v>
      </c>
      <c r="E18" s="202">
        <f t="shared" si="3"/>
        <v>19112.727272727272</v>
      </c>
      <c r="F18" s="191">
        <f t="shared" si="4"/>
        <v>8</v>
      </c>
      <c r="G18" s="245" t="s">
        <v>392</v>
      </c>
      <c r="H18" s="143">
        <f t="shared" si="5"/>
        <v>3</v>
      </c>
      <c r="I18" s="190" t="s">
        <v>51</v>
      </c>
      <c r="J18" s="190">
        <v>2</v>
      </c>
      <c r="K18" s="210">
        <f t="shared" si="0"/>
        <v>44596.363636363632</v>
      </c>
      <c r="L18" s="210">
        <f t="shared" si="6"/>
        <v>8</v>
      </c>
      <c r="M18" s="157">
        <f t="shared" si="1"/>
        <v>4.666666666666667</v>
      </c>
      <c r="Q18" s="192" t="s">
        <v>186</v>
      </c>
      <c r="R18" s="193">
        <v>5.3</v>
      </c>
      <c r="S18" s="189">
        <v>3</v>
      </c>
      <c r="T18" s="190"/>
    </row>
    <row r="19" spans="1:20" ht="16.5" customHeight="1" x14ac:dyDescent="0.3">
      <c r="A19" s="190" t="s">
        <v>139</v>
      </c>
      <c r="B19" s="190">
        <v>288</v>
      </c>
      <c r="C19" s="215">
        <v>0.48</v>
      </c>
      <c r="D19" s="209">
        <f t="shared" si="2"/>
        <v>5256</v>
      </c>
      <c r="E19" s="202">
        <f t="shared" si="3"/>
        <v>19112.727272727272</v>
      </c>
      <c r="F19" s="191">
        <f t="shared" si="4"/>
        <v>8</v>
      </c>
      <c r="G19" s="245" t="s">
        <v>392</v>
      </c>
      <c r="H19" s="143">
        <f t="shared" si="5"/>
        <v>3</v>
      </c>
      <c r="I19" s="190" t="s">
        <v>79</v>
      </c>
      <c r="J19" s="190">
        <v>3</v>
      </c>
      <c r="K19" s="210">
        <f t="shared" si="0"/>
        <v>44596.363636363632</v>
      </c>
      <c r="L19" s="210">
        <f t="shared" si="6"/>
        <v>8</v>
      </c>
      <c r="M19" s="157">
        <f t="shared" si="1"/>
        <v>4.8888888888888893</v>
      </c>
      <c r="Q19" s="192" t="s">
        <v>51</v>
      </c>
      <c r="R19" s="193">
        <v>3.8</v>
      </c>
      <c r="S19" s="189">
        <v>2</v>
      </c>
      <c r="T19" s="190"/>
    </row>
    <row r="20" spans="1:20" ht="15" customHeight="1" x14ac:dyDescent="0.3">
      <c r="A20" s="190" t="s">
        <v>143</v>
      </c>
      <c r="B20" s="190">
        <v>0</v>
      </c>
      <c r="C20" s="215">
        <v>0</v>
      </c>
      <c r="D20" s="209">
        <v>0</v>
      </c>
      <c r="E20" s="202">
        <f t="shared" si="3"/>
        <v>0</v>
      </c>
      <c r="F20" s="191">
        <f t="shared" si="4"/>
        <v>10</v>
      </c>
      <c r="G20" s="246" t="s">
        <v>63</v>
      </c>
      <c r="H20" s="143">
        <f t="shared" si="5"/>
        <v>6</v>
      </c>
      <c r="I20" s="190" t="s">
        <v>60</v>
      </c>
      <c r="J20" s="190">
        <v>1</v>
      </c>
      <c r="K20" s="210">
        <f t="shared" si="0"/>
        <v>0</v>
      </c>
      <c r="L20" s="210">
        <f t="shared" si="6"/>
        <v>10</v>
      </c>
      <c r="M20" s="157">
        <f t="shared" si="1"/>
        <v>6</v>
      </c>
      <c r="Q20" s="192" t="s">
        <v>299</v>
      </c>
      <c r="R20" s="193">
        <v>7.8</v>
      </c>
      <c r="S20" s="189">
        <v>3</v>
      </c>
      <c r="T20" s="190"/>
    </row>
    <row r="21" spans="1:20" ht="13.65" customHeight="1" x14ac:dyDescent="0.3">
      <c r="A21" s="190" t="s">
        <v>146</v>
      </c>
      <c r="B21" s="190">
        <v>35</v>
      </c>
      <c r="C21" s="215">
        <v>0.35</v>
      </c>
      <c r="D21" s="209">
        <f t="shared" si="2"/>
        <v>876</v>
      </c>
      <c r="E21" s="202">
        <f t="shared" si="3"/>
        <v>3185.4545454545455</v>
      </c>
      <c r="F21" s="191">
        <f t="shared" si="4"/>
        <v>10</v>
      </c>
      <c r="G21" s="245" t="s">
        <v>392</v>
      </c>
      <c r="H21" s="143">
        <f t="shared" si="5"/>
        <v>3</v>
      </c>
      <c r="I21" s="190" t="s">
        <v>68</v>
      </c>
      <c r="J21" s="190">
        <v>2</v>
      </c>
      <c r="K21" s="210">
        <f t="shared" si="0"/>
        <v>7432.7272727272721</v>
      </c>
      <c r="L21" s="210">
        <f t="shared" si="6"/>
        <v>10</v>
      </c>
      <c r="M21" s="157">
        <f t="shared" si="1"/>
        <v>5.5555555555555562</v>
      </c>
      <c r="Q21" s="192" t="s">
        <v>168</v>
      </c>
      <c r="R21" s="193">
        <v>2.1</v>
      </c>
      <c r="S21" s="189">
        <v>2</v>
      </c>
      <c r="T21" s="190"/>
    </row>
    <row r="22" spans="1:20" ht="15.75" customHeight="1" x14ac:dyDescent="0.3">
      <c r="A22" s="190" t="s">
        <v>149</v>
      </c>
      <c r="B22" s="190">
        <v>2.5</v>
      </c>
      <c r="C22" s="215">
        <v>0.25</v>
      </c>
      <c r="D22" s="209">
        <f t="shared" si="2"/>
        <v>87.6</v>
      </c>
      <c r="E22" s="202">
        <f t="shared" si="3"/>
        <v>318.5454545454545</v>
      </c>
      <c r="F22" s="191">
        <f t="shared" si="4"/>
        <v>10</v>
      </c>
      <c r="G22" s="245" t="s">
        <v>392</v>
      </c>
      <c r="H22" s="143">
        <f t="shared" si="5"/>
        <v>3</v>
      </c>
      <c r="I22" s="190" t="s">
        <v>60</v>
      </c>
      <c r="J22" s="190">
        <v>1</v>
      </c>
      <c r="K22" s="210">
        <f t="shared" si="0"/>
        <v>743.27272727272714</v>
      </c>
      <c r="L22" s="210">
        <f t="shared" si="6"/>
        <v>10</v>
      </c>
      <c r="M22" s="157">
        <f t="shared" si="1"/>
        <v>5.333333333333333</v>
      </c>
      <c r="Q22" s="192" t="s">
        <v>79</v>
      </c>
      <c r="R22" s="193">
        <v>7.1</v>
      </c>
      <c r="S22" s="189">
        <v>3</v>
      </c>
      <c r="T22" s="190"/>
    </row>
    <row r="23" spans="1:20" ht="18" customHeight="1" x14ac:dyDescent="0.3">
      <c r="A23" s="190" t="s">
        <v>153</v>
      </c>
      <c r="B23" s="190">
        <v>210</v>
      </c>
      <c r="C23" s="215">
        <v>0.42</v>
      </c>
      <c r="D23" s="209">
        <f t="shared" si="2"/>
        <v>4380</v>
      </c>
      <c r="E23" s="202">
        <f t="shared" si="3"/>
        <v>15927.272727272728</v>
      </c>
      <c r="F23" s="191">
        <f t="shared" si="4"/>
        <v>9</v>
      </c>
      <c r="G23" s="245" t="s">
        <v>392</v>
      </c>
      <c r="H23" s="143">
        <f t="shared" si="5"/>
        <v>3</v>
      </c>
      <c r="I23" s="190" t="s">
        <v>60</v>
      </c>
      <c r="J23" s="190">
        <v>1</v>
      </c>
      <c r="K23" s="210">
        <f t="shared" si="0"/>
        <v>37163.636363636368</v>
      </c>
      <c r="L23" s="210">
        <f t="shared" si="6"/>
        <v>9</v>
      </c>
      <c r="M23" s="157">
        <f t="shared" si="1"/>
        <v>4.8888888888888893</v>
      </c>
      <c r="Q23" s="192" t="s">
        <v>68</v>
      </c>
      <c r="R23" s="193">
        <v>4.5</v>
      </c>
      <c r="S23" s="189">
        <v>2</v>
      </c>
      <c r="T23" s="190"/>
    </row>
    <row r="24" spans="1:20" x14ac:dyDescent="0.3">
      <c r="A24" s="190" t="s">
        <v>155</v>
      </c>
      <c r="B24" s="190">
        <v>0</v>
      </c>
      <c r="C24" s="215">
        <v>0</v>
      </c>
      <c r="D24" s="209">
        <v>0</v>
      </c>
      <c r="E24" s="202">
        <f t="shared" si="3"/>
        <v>0</v>
      </c>
      <c r="F24" s="191">
        <f t="shared" si="4"/>
        <v>10</v>
      </c>
      <c r="G24" s="245" t="s">
        <v>392</v>
      </c>
      <c r="H24" s="143">
        <f t="shared" si="5"/>
        <v>3</v>
      </c>
      <c r="I24" s="190" t="s">
        <v>51</v>
      </c>
      <c r="J24" s="190">
        <v>2</v>
      </c>
      <c r="K24" s="210">
        <f t="shared" si="0"/>
        <v>0</v>
      </c>
      <c r="L24" s="210">
        <f t="shared" si="6"/>
        <v>10</v>
      </c>
      <c r="M24" s="157">
        <f t="shared" si="1"/>
        <v>5.5555555555555562</v>
      </c>
      <c r="Q24" s="192" t="s">
        <v>250</v>
      </c>
      <c r="R24" s="193">
        <v>5.6</v>
      </c>
      <c r="S24" s="189">
        <v>3</v>
      </c>
      <c r="T24" s="190"/>
    </row>
    <row r="25" spans="1:20" x14ac:dyDescent="0.3">
      <c r="A25" s="190" t="s">
        <v>158</v>
      </c>
      <c r="B25" s="190">
        <v>350</v>
      </c>
      <c r="C25" s="215">
        <v>0.35</v>
      </c>
      <c r="D25" s="209">
        <f t="shared" si="2"/>
        <v>8760</v>
      </c>
      <c r="E25" s="202">
        <f t="shared" si="3"/>
        <v>31854.545454545456</v>
      </c>
      <c r="F25" s="191">
        <f t="shared" si="4"/>
        <v>7</v>
      </c>
      <c r="G25" s="246" t="s">
        <v>63</v>
      </c>
      <c r="H25" s="143">
        <f t="shared" si="5"/>
        <v>6</v>
      </c>
      <c r="I25" s="190" t="s">
        <v>51</v>
      </c>
      <c r="J25" s="190">
        <v>2</v>
      </c>
      <c r="K25" s="210">
        <f t="shared" si="0"/>
        <v>74327.272727272735</v>
      </c>
      <c r="L25" s="210">
        <f t="shared" si="6"/>
        <v>7</v>
      </c>
      <c r="M25" s="157">
        <f t="shared" si="1"/>
        <v>4.8888888888888893</v>
      </c>
      <c r="Q25" s="192" t="s">
        <v>277</v>
      </c>
      <c r="R25" s="193">
        <v>1</v>
      </c>
      <c r="S25" s="189">
        <v>1</v>
      </c>
      <c r="T25" s="190"/>
    </row>
    <row r="26" spans="1:20" ht="18.75" customHeight="1" x14ac:dyDescent="0.3">
      <c r="A26" s="190" t="s">
        <v>161</v>
      </c>
      <c r="B26" s="190">
        <v>390</v>
      </c>
      <c r="C26" s="215">
        <v>0.88600000000000001</v>
      </c>
      <c r="D26" s="209">
        <f t="shared" si="2"/>
        <v>3855.981941309255</v>
      </c>
      <c r="E26" s="202">
        <f t="shared" si="3"/>
        <v>14021.752513851836</v>
      </c>
      <c r="F26" s="191">
        <f t="shared" si="4"/>
        <v>9</v>
      </c>
      <c r="G26" s="245" t="s">
        <v>398</v>
      </c>
      <c r="H26" s="143">
        <f t="shared" si="5"/>
        <v>4</v>
      </c>
      <c r="I26" s="190" t="s">
        <v>74</v>
      </c>
      <c r="J26" s="190">
        <v>1</v>
      </c>
      <c r="K26" s="210">
        <f t="shared" si="0"/>
        <v>32717.422532320947</v>
      </c>
      <c r="L26" s="210">
        <f t="shared" si="6"/>
        <v>9</v>
      </c>
      <c r="M26" s="157">
        <f t="shared" si="1"/>
        <v>5.1111111111111107</v>
      </c>
      <c r="Q26" s="192" t="s">
        <v>238</v>
      </c>
      <c r="R26" s="193">
        <v>7.1</v>
      </c>
      <c r="S26" s="189">
        <v>3</v>
      </c>
      <c r="T26" s="190"/>
    </row>
    <row r="27" spans="1:20" x14ac:dyDescent="0.3">
      <c r="A27" s="190" t="s">
        <v>166</v>
      </c>
      <c r="B27" s="190">
        <v>170</v>
      </c>
      <c r="C27" s="215">
        <v>0.315</v>
      </c>
      <c r="D27" s="209">
        <f t="shared" si="2"/>
        <v>4727.6190476190477</v>
      </c>
      <c r="E27" s="202">
        <f t="shared" si="3"/>
        <v>17191.341991341993</v>
      </c>
      <c r="F27" s="191">
        <f t="shared" si="4"/>
        <v>8</v>
      </c>
      <c r="G27" s="246" t="s">
        <v>63</v>
      </c>
      <c r="H27" s="143">
        <f t="shared" si="5"/>
        <v>6</v>
      </c>
      <c r="I27" s="190" t="s">
        <v>168</v>
      </c>
      <c r="J27" s="190">
        <v>2</v>
      </c>
      <c r="K27" s="210">
        <f t="shared" si="0"/>
        <v>40113.131313131315</v>
      </c>
      <c r="L27" s="210">
        <f t="shared" si="6"/>
        <v>8</v>
      </c>
      <c r="M27" s="157">
        <f t="shared" si="1"/>
        <v>5.333333333333333</v>
      </c>
      <c r="Q27" s="194" t="s">
        <v>124</v>
      </c>
      <c r="R27" s="193">
        <v>3.6</v>
      </c>
      <c r="S27" s="189">
        <v>2</v>
      </c>
      <c r="T27" s="190"/>
    </row>
    <row r="28" spans="1:20" x14ac:dyDescent="0.3">
      <c r="A28" s="190" t="s">
        <v>170</v>
      </c>
      <c r="B28" s="190">
        <v>0</v>
      </c>
      <c r="C28" s="190">
        <v>0</v>
      </c>
      <c r="D28" s="209">
        <v>0</v>
      </c>
      <c r="E28" s="202">
        <f t="shared" si="3"/>
        <v>0</v>
      </c>
      <c r="F28" s="191">
        <f t="shared" si="4"/>
        <v>10</v>
      </c>
      <c r="G28" s="245" t="s">
        <v>392</v>
      </c>
      <c r="H28" s="143">
        <f t="shared" si="5"/>
        <v>3</v>
      </c>
      <c r="I28" s="190" t="s">
        <v>172</v>
      </c>
      <c r="J28" s="190">
        <v>3</v>
      </c>
      <c r="K28" s="210">
        <f t="shared" si="0"/>
        <v>0</v>
      </c>
      <c r="L28" s="210">
        <f t="shared" si="6"/>
        <v>10</v>
      </c>
      <c r="M28" s="157">
        <f t="shared" si="1"/>
        <v>5.7777777777777786</v>
      </c>
    </row>
    <row r="29" spans="1:20" x14ac:dyDescent="0.3">
      <c r="A29" s="190" t="s">
        <v>174</v>
      </c>
      <c r="B29" s="190">
        <v>100</v>
      </c>
      <c r="C29" s="190">
        <v>0.27800000000000002</v>
      </c>
      <c r="D29" s="209">
        <f t="shared" si="2"/>
        <v>3151.0791366906474</v>
      </c>
      <c r="E29" s="202">
        <f t="shared" si="3"/>
        <v>11458.46958796599</v>
      </c>
      <c r="F29" s="191">
        <f t="shared" si="4"/>
        <v>9</v>
      </c>
      <c r="G29" s="246" t="s">
        <v>63</v>
      </c>
      <c r="H29" s="143">
        <f t="shared" si="5"/>
        <v>6</v>
      </c>
      <c r="I29" s="190" t="s">
        <v>79</v>
      </c>
      <c r="J29" s="190">
        <v>3</v>
      </c>
      <c r="K29" s="210">
        <f t="shared" si="0"/>
        <v>26736.42903858731</v>
      </c>
      <c r="L29" s="210">
        <f t="shared" si="6"/>
        <v>9</v>
      </c>
      <c r="M29" s="157">
        <f t="shared" si="1"/>
        <v>6</v>
      </c>
    </row>
    <row r="30" spans="1:20" x14ac:dyDescent="0.3">
      <c r="A30" s="190" t="s">
        <v>177</v>
      </c>
      <c r="B30" s="190">
        <v>50</v>
      </c>
      <c r="C30" s="190">
        <v>0.27800000000000002</v>
      </c>
      <c r="D30" s="209">
        <f t="shared" si="2"/>
        <v>1575.5395683453237</v>
      </c>
      <c r="E30" s="202">
        <f t="shared" si="3"/>
        <v>5729.2347939829951</v>
      </c>
      <c r="F30" s="191">
        <f t="shared" si="4"/>
        <v>9</v>
      </c>
      <c r="G30" s="246" t="s">
        <v>63</v>
      </c>
      <c r="H30" s="143">
        <f t="shared" si="5"/>
        <v>6</v>
      </c>
      <c r="I30" s="190" t="s">
        <v>79</v>
      </c>
      <c r="J30" s="190">
        <v>3</v>
      </c>
      <c r="K30" s="210">
        <f t="shared" si="0"/>
        <v>13368.214519293655</v>
      </c>
      <c r="L30" s="210">
        <f t="shared" si="6"/>
        <v>9</v>
      </c>
      <c r="M30" s="157">
        <f t="shared" si="1"/>
        <v>6</v>
      </c>
    </row>
    <row r="31" spans="1:20" x14ac:dyDescent="0.3">
      <c r="A31" s="190" t="s">
        <v>179</v>
      </c>
      <c r="B31" s="190">
        <v>140</v>
      </c>
      <c r="C31" s="190">
        <v>0.438</v>
      </c>
      <c r="D31" s="209">
        <f t="shared" si="2"/>
        <v>2800</v>
      </c>
      <c r="E31" s="202">
        <f t="shared" si="3"/>
        <v>10181.818181818182</v>
      </c>
      <c r="F31" s="191">
        <f t="shared" si="4"/>
        <v>9</v>
      </c>
      <c r="G31" s="245" t="s">
        <v>398</v>
      </c>
      <c r="H31" s="143">
        <f t="shared" si="5"/>
        <v>4</v>
      </c>
      <c r="I31" s="190" t="s">
        <v>124</v>
      </c>
      <c r="J31" s="190">
        <v>2</v>
      </c>
      <c r="K31" s="210">
        <f t="shared" si="0"/>
        <v>23757.57575757576</v>
      </c>
      <c r="L31" s="210">
        <f t="shared" si="6"/>
        <v>9</v>
      </c>
      <c r="M31" s="157">
        <f t="shared" si="1"/>
        <v>5.333333333333333</v>
      </c>
    </row>
    <row r="32" spans="1:20" x14ac:dyDescent="0.3">
      <c r="A32" s="190" t="s">
        <v>184</v>
      </c>
      <c r="B32" s="190">
        <v>200</v>
      </c>
      <c r="C32" s="190">
        <v>0.41699999999999998</v>
      </c>
      <c r="D32" s="209">
        <f t="shared" si="2"/>
        <v>4201.4388489208632</v>
      </c>
      <c r="E32" s="202">
        <f t="shared" si="3"/>
        <v>15277.95945062132</v>
      </c>
      <c r="F32" s="191">
        <f t="shared" si="4"/>
        <v>9</v>
      </c>
      <c r="G32" s="246" t="s">
        <v>82</v>
      </c>
      <c r="H32" s="143">
        <f t="shared" si="5"/>
        <v>2</v>
      </c>
      <c r="I32" s="190" t="s">
        <v>186</v>
      </c>
      <c r="J32" s="190">
        <v>3</v>
      </c>
      <c r="K32" s="210">
        <f t="shared" si="0"/>
        <v>35648.572051449744</v>
      </c>
      <c r="L32" s="210">
        <f t="shared" si="6"/>
        <v>9</v>
      </c>
      <c r="M32" s="157">
        <f t="shared" si="1"/>
        <v>5.1111111111111107</v>
      </c>
    </row>
    <row r="33" spans="1:13" x14ac:dyDescent="0.3">
      <c r="A33" s="190" t="s">
        <v>188</v>
      </c>
      <c r="B33" s="190">
        <v>250</v>
      </c>
      <c r="C33" s="190">
        <v>0.41699999999999998</v>
      </c>
      <c r="D33" s="209">
        <f t="shared" si="2"/>
        <v>5251.7985611510785</v>
      </c>
      <c r="E33" s="202">
        <f t="shared" si="3"/>
        <v>19097.449313276651</v>
      </c>
      <c r="F33" s="191">
        <f t="shared" si="4"/>
        <v>8</v>
      </c>
      <c r="G33" s="245" t="s">
        <v>398</v>
      </c>
      <c r="H33" s="143">
        <f t="shared" si="5"/>
        <v>4</v>
      </c>
      <c r="I33" s="190" t="s">
        <v>124</v>
      </c>
      <c r="J33" s="190">
        <v>2</v>
      </c>
      <c r="K33" s="210">
        <f t="shared" si="0"/>
        <v>44560.715064312186</v>
      </c>
      <c r="L33" s="210">
        <f t="shared" si="6"/>
        <v>8</v>
      </c>
      <c r="M33" s="157">
        <f t="shared" si="1"/>
        <v>4.8888888888888893</v>
      </c>
    </row>
    <row r="34" spans="1:13" x14ac:dyDescent="0.3">
      <c r="A34" s="190" t="s">
        <v>191</v>
      </c>
      <c r="B34" s="190">
        <v>1200</v>
      </c>
      <c r="C34" s="190">
        <v>0.4</v>
      </c>
      <c r="D34" s="209">
        <f t="shared" si="2"/>
        <v>26280</v>
      </c>
      <c r="E34" s="202">
        <f t="shared" si="3"/>
        <v>95563.636363636353</v>
      </c>
      <c r="F34" s="191">
        <f t="shared" si="4"/>
        <v>1</v>
      </c>
      <c r="G34" s="245" t="s">
        <v>386</v>
      </c>
      <c r="H34" s="143">
        <f t="shared" si="5"/>
        <v>1</v>
      </c>
      <c r="I34" s="190" t="s">
        <v>124</v>
      </c>
      <c r="J34" s="190">
        <v>2</v>
      </c>
      <c r="K34" s="210">
        <f t="shared" si="0"/>
        <v>222981.81818181815</v>
      </c>
      <c r="L34" s="210">
        <f t="shared" si="6"/>
        <v>1</v>
      </c>
      <c r="M34" s="157">
        <f t="shared" si="1"/>
        <v>1.1111111111111112</v>
      </c>
    </row>
    <row r="35" spans="1:13" x14ac:dyDescent="0.3">
      <c r="A35" s="190" t="s">
        <v>196</v>
      </c>
      <c r="B35" s="190">
        <v>87</v>
      </c>
      <c r="C35" s="190">
        <v>0.40500000000000003</v>
      </c>
      <c r="D35" s="209">
        <f t="shared" si="2"/>
        <v>1881.7777777777778</v>
      </c>
      <c r="E35" s="202">
        <f t="shared" si="3"/>
        <v>6842.8282828282827</v>
      </c>
      <c r="F35" s="191">
        <f t="shared" si="4"/>
        <v>9</v>
      </c>
      <c r="G35" s="245" t="s">
        <v>392</v>
      </c>
      <c r="H35" s="143">
        <f t="shared" si="5"/>
        <v>3</v>
      </c>
      <c r="I35" s="190" t="s">
        <v>79</v>
      </c>
      <c r="J35" s="190">
        <v>3</v>
      </c>
      <c r="K35" s="210">
        <f t="shared" ref="K35:K65" si="7">E35/0.3*0.7</f>
        <v>15966.599326599326</v>
      </c>
      <c r="L35" s="210">
        <f t="shared" si="6"/>
        <v>9</v>
      </c>
      <c r="M35" s="157">
        <f t="shared" ref="M35:M65" si="8">((F35 + H35 + J35+L35) / 36) * 10 * 0.8</f>
        <v>5.333333333333333</v>
      </c>
    </row>
    <row r="36" spans="1:13" x14ac:dyDescent="0.3">
      <c r="A36" s="190" t="s">
        <v>200</v>
      </c>
      <c r="B36" s="190">
        <v>822</v>
      </c>
      <c r="C36" s="190">
        <v>0.34300000000000003</v>
      </c>
      <c r="D36" s="209">
        <f t="shared" si="2"/>
        <v>20993.352769679299</v>
      </c>
      <c r="E36" s="202">
        <f t="shared" si="3"/>
        <v>76339.464617015634</v>
      </c>
      <c r="F36" s="191">
        <f t="shared" si="4"/>
        <v>3</v>
      </c>
      <c r="G36" s="245" t="s">
        <v>392</v>
      </c>
      <c r="H36" s="143">
        <f t="shared" si="5"/>
        <v>3</v>
      </c>
      <c r="I36" s="190" t="s">
        <v>79</v>
      </c>
      <c r="J36" s="190">
        <v>3</v>
      </c>
      <c r="K36" s="210">
        <f t="shared" si="7"/>
        <v>178125.41743970313</v>
      </c>
      <c r="L36" s="210">
        <f t="shared" si="6"/>
        <v>3</v>
      </c>
      <c r="M36" s="157">
        <f t="shared" si="8"/>
        <v>2.6666666666666665</v>
      </c>
    </row>
    <row r="37" spans="1:13" x14ac:dyDescent="0.3">
      <c r="A37" s="190" t="s">
        <v>203</v>
      </c>
      <c r="B37" s="190">
        <v>20</v>
      </c>
      <c r="C37" s="190">
        <v>0.33300000000000002</v>
      </c>
      <c r="D37" s="209">
        <f t="shared" si="2"/>
        <v>526.12612612612611</v>
      </c>
      <c r="E37" s="202">
        <f t="shared" si="3"/>
        <v>1913.185913185913</v>
      </c>
      <c r="F37" s="191">
        <f t="shared" si="4"/>
        <v>10</v>
      </c>
      <c r="G37" s="245" t="s">
        <v>398</v>
      </c>
      <c r="H37" s="143">
        <f t="shared" si="5"/>
        <v>4</v>
      </c>
      <c r="I37" s="190" t="s">
        <v>168</v>
      </c>
      <c r="J37" s="190">
        <v>2</v>
      </c>
      <c r="K37" s="210">
        <f t="shared" si="7"/>
        <v>4464.1004641004629</v>
      </c>
      <c r="L37" s="210">
        <f t="shared" si="6"/>
        <v>10</v>
      </c>
      <c r="M37" s="157">
        <f t="shared" si="8"/>
        <v>5.7777777777777786</v>
      </c>
    </row>
    <row r="38" spans="1:13" x14ac:dyDescent="0.3">
      <c r="A38" s="190" t="s">
        <v>208</v>
      </c>
      <c r="B38" s="190">
        <v>100</v>
      </c>
      <c r="C38" s="190">
        <v>0.42399999999999999</v>
      </c>
      <c r="D38" s="209">
        <f t="shared" si="2"/>
        <v>2066.0377358490568</v>
      </c>
      <c r="E38" s="202">
        <f t="shared" si="3"/>
        <v>7512.8644939965707</v>
      </c>
      <c r="F38" s="191">
        <f t="shared" si="4"/>
        <v>9</v>
      </c>
      <c r="G38" s="245" t="s">
        <v>398</v>
      </c>
      <c r="H38" s="143">
        <f t="shared" si="5"/>
        <v>4</v>
      </c>
      <c r="I38" s="190" t="s">
        <v>124</v>
      </c>
      <c r="J38" s="190">
        <v>2</v>
      </c>
      <c r="K38" s="210">
        <f t="shared" si="7"/>
        <v>17530.017152658664</v>
      </c>
      <c r="L38" s="210">
        <f t="shared" si="6"/>
        <v>9</v>
      </c>
      <c r="M38" s="157">
        <f t="shared" si="8"/>
        <v>5.333333333333333</v>
      </c>
    </row>
    <row r="39" spans="1:13" x14ac:dyDescent="0.3">
      <c r="A39" s="190" t="s">
        <v>213</v>
      </c>
      <c r="B39" s="190">
        <v>195</v>
      </c>
      <c r="C39" s="190">
        <v>0.33900000000000002</v>
      </c>
      <c r="D39" s="209">
        <f t="shared" si="2"/>
        <v>5038.9380530973449</v>
      </c>
      <c r="E39" s="202">
        <f t="shared" si="3"/>
        <v>18323.411102172162</v>
      </c>
      <c r="F39" s="191">
        <f t="shared" si="4"/>
        <v>8</v>
      </c>
      <c r="G39" s="246" t="s">
        <v>63</v>
      </c>
      <c r="H39" s="143">
        <f t="shared" si="5"/>
        <v>6</v>
      </c>
      <c r="I39" s="190" t="s">
        <v>124</v>
      </c>
      <c r="J39" s="190">
        <v>2</v>
      </c>
      <c r="K39" s="210">
        <f t="shared" si="7"/>
        <v>42754.62590506838</v>
      </c>
      <c r="L39" s="210">
        <f t="shared" si="6"/>
        <v>8</v>
      </c>
      <c r="M39" s="157">
        <f t="shared" si="8"/>
        <v>5.333333333333333</v>
      </c>
    </row>
    <row r="40" spans="1:13" x14ac:dyDescent="0.3">
      <c r="A40" s="190" t="s">
        <v>215</v>
      </c>
      <c r="B40" s="190">
        <v>0</v>
      </c>
      <c r="C40" s="190">
        <v>0</v>
      </c>
      <c r="D40" s="209">
        <v>0</v>
      </c>
      <c r="E40" s="202">
        <f t="shared" si="3"/>
        <v>0</v>
      </c>
      <c r="F40" s="191">
        <f t="shared" si="4"/>
        <v>10</v>
      </c>
      <c r="G40" s="246" t="s">
        <v>63</v>
      </c>
      <c r="H40" s="143">
        <f t="shared" si="5"/>
        <v>6</v>
      </c>
      <c r="I40" s="190" t="s">
        <v>60</v>
      </c>
      <c r="J40" s="190">
        <v>1</v>
      </c>
      <c r="K40" s="210">
        <f t="shared" si="7"/>
        <v>0</v>
      </c>
      <c r="L40" s="210">
        <f t="shared" si="6"/>
        <v>10</v>
      </c>
      <c r="M40" s="157">
        <f t="shared" si="8"/>
        <v>6</v>
      </c>
    </row>
    <row r="41" spans="1:13" x14ac:dyDescent="0.3">
      <c r="A41" s="190" t="s">
        <v>218</v>
      </c>
      <c r="B41" s="190">
        <v>340</v>
      </c>
      <c r="C41" s="190">
        <v>0</v>
      </c>
      <c r="D41" s="209">
        <v>0</v>
      </c>
      <c r="E41" s="202">
        <f t="shared" si="3"/>
        <v>0</v>
      </c>
      <c r="F41" s="191">
        <f t="shared" si="4"/>
        <v>10</v>
      </c>
      <c r="G41" s="246" t="s">
        <v>63</v>
      </c>
      <c r="H41" s="143">
        <f t="shared" si="5"/>
        <v>6</v>
      </c>
      <c r="I41" s="190" t="s">
        <v>172</v>
      </c>
      <c r="J41" s="190">
        <v>3</v>
      </c>
      <c r="K41" s="210">
        <f t="shared" si="7"/>
        <v>0</v>
      </c>
      <c r="L41" s="210">
        <f t="shared" si="6"/>
        <v>10</v>
      </c>
      <c r="M41" s="157">
        <f t="shared" si="8"/>
        <v>6.4444444444444446</v>
      </c>
    </row>
    <row r="42" spans="1:13" x14ac:dyDescent="0.3">
      <c r="A42" s="190" t="s">
        <v>221</v>
      </c>
      <c r="B42" s="190">
        <v>22</v>
      </c>
      <c r="C42" s="190">
        <v>0.30099999999999999</v>
      </c>
      <c r="D42" s="209">
        <f t="shared" si="2"/>
        <v>640.26578073089695</v>
      </c>
      <c r="E42" s="202">
        <f t="shared" si="3"/>
        <v>2328.2392026578073</v>
      </c>
      <c r="F42" s="191">
        <f t="shared" si="4"/>
        <v>10</v>
      </c>
      <c r="G42" s="246" t="s">
        <v>63</v>
      </c>
      <c r="H42" s="143">
        <f t="shared" si="5"/>
        <v>6</v>
      </c>
      <c r="I42" s="190" t="s">
        <v>124</v>
      </c>
      <c r="J42" s="190">
        <v>2</v>
      </c>
      <c r="K42" s="210">
        <f t="shared" si="7"/>
        <v>5432.5581395348836</v>
      </c>
      <c r="L42" s="210">
        <f t="shared" si="6"/>
        <v>10</v>
      </c>
      <c r="M42" s="157">
        <f t="shared" si="8"/>
        <v>6.2222222222222223</v>
      </c>
    </row>
    <row r="43" spans="1:13" x14ac:dyDescent="0.3">
      <c r="A43" s="190" t="s">
        <v>224</v>
      </c>
      <c r="B43" s="190">
        <v>165</v>
      </c>
      <c r="C43" s="190">
        <v>0.41299999999999998</v>
      </c>
      <c r="D43" s="209">
        <f t="shared" si="2"/>
        <v>3499.7578692493948</v>
      </c>
      <c r="E43" s="202">
        <f t="shared" si="3"/>
        <v>12726.39225181598</v>
      </c>
      <c r="F43" s="191">
        <f t="shared" si="4"/>
        <v>9</v>
      </c>
      <c r="G43" s="245" t="s">
        <v>392</v>
      </c>
      <c r="H43" s="143">
        <f t="shared" si="5"/>
        <v>3</v>
      </c>
      <c r="I43" s="190" t="s">
        <v>68</v>
      </c>
      <c r="J43" s="190">
        <v>2</v>
      </c>
      <c r="K43" s="210">
        <f t="shared" si="7"/>
        <v>29694.915254237283</v>
      </c>
      <c r="L43" s="210">
        <f t="shared" si="6"/>
        <v>9</v>
      </c>
      <c r="M43" s="157">
        <f t="shared" si="8"/>
        <v>5.1111111111111107</v>
      </c>
    </row>
    <row r="44" spans="1:13" x14ac:dyDescent="0.3">
      <c r="A44" s="190" t="s">
        <v>227</v>
      </c>
      <c r="B44" s="190">
        <v>0</v>
      </c>
      <c r="C44" s="190">
        <v>0</v>
      </c>
      <c r="D44" s="209">
        <v>0</v>
      </c>
      <c r="E44" s="202">
        <f t="shared" si="3"/>
        <v>0</v>
      </c>
      <c r="F44" s="191">
        <f t="shared" si="4"/>
        <v>10</v>
      </c>
      <c r="G44" s="245" t="s">
        <v>392</v>
      </c>
      <c r="H44" s="143">
        <f t="shared" si="5"/>
        <v>3</v>
      </c>
      <c r="I44" s="190" t="s">
        <v>229</v>
      </c>
      <c r="J44" s="190">
        <v>1</v>
      </c>
      <c r="K44" s="210">
        <f t="shared" si="7"/>
        <v>0</v>
      </c>
      <c r="L44" s="210">
        <f t="shared" si="6"/>
        <v>10</v>
      </c>
      <c r="M44" s="157">
        <f t="shared" si="8"/>
        <v>5.333333333333333</v>
      </c>
    </row>
    <row r="45" spans="1:13" x14ac:dyDescent="0.3">
      <c r="A45" s="190" t="s">
        <v>231</v>
      </c>
      <c r="B45" s="190">
        <v>55</v>
      </c>
      <c r="C45" s="190">
        <v>0.28899999999999998</v>
      </c>
      <c r="D45" s="209">
        <f t="shared" si="2"/>
        <v>1667.128027681661</v>
      </c>
      <c r="E45" s="202">
        <f t="shared" si="3"/>
        <v>6062.2837370242223</v>
      </c>
      <c r="F45" s="191">
        <f t="shared" si="4"/>
        <v>9</v>
      </c>
      <c r="G45" s="246" t="s">
        <v>63</v>
      </c>
      <c r="H45" s="143">
        <f t="shared" si="5"/>
        <v>6</v>
      </c>
      <c r="I45" s="190" t="s">
        <v>79</v>
      </c>
      <c r="J45" s="190">
        <v>3</v>
      </c>
      <c r="K45" s="210">
        <f t="shared" si="7"/>
        <v>14145.328719723184</v>
      </c>
      <c r="L45" s="210">
        <f t="shared" si="6"/>
        <v>9</v>
      </c>
      <c r="M45" s="157">
        <f t="shared" si="8"/>
        <v>6</v>
      </c>
    </row>
    <row r="46" spans="1:13" x14ac:dyDescent="0.3">
      <c r="A46" s="190" t="s">
        <v>236</v>
      </c>
      <c r="B46" s="190">
        <v>470</v>
      </c>
      <c r="C46" s="190">
        <v>0.34599999999999997</v>
      </c>
      <c r="D46" s="209">
        <f t="shared" si="2"/>
        <v>11899.421965317921</v>
      </c>
      <c r="E46" s="202">
        <f t="shared" si="3"/>
        <v>43270.625328428803</v>
      </c>
      <c r="F46" s="191">
        <f t="shared" si="4"/>
        <v>6</v>
      </c>
      <c r="G46" s="246" t="s">
        <v>63</v>
      </c>
      <c r="H46" s="143">
        <f t="shared" si="5"/>
        <v>6</v>
      </c>
      <c r="I46" s="190" t="s">
        <v>238</v>
      </c>
      <c r="J46" s="190">
        <v>3</v>
      </c>
      <c r="K46" s="210">
        <f t="shared" si="7"/>
        <v>100964.79243300055</v>
      </c>
      <c r="L46" s="210">
        <f t="shared" si="6"/>
        <v>6</v>
      </c>
      <c r="M46" s="157">
        <f t="shared" si="8"/>
        <v>4.666666666666667</v>
      </c>
    </row>
    <row r="47" spans="1:13" x14ac:dyDescent="0.3">
      <c r="A47" s="190" t="s">
        <v>240</v>
      </c>
      <c r="B47" s="190">
        <v>0</v>
      </c>
      <c r="C47" s="190">
        <v>0</v>
      </c>
      <c r="D47" s="209">
        <v>0</v>
      </c>
      <c r="E47" s="202">
        <f t="shared" si="3"/>
        <v>0</v>
      </c>
      <c r="F47" s="191">
        <f t="shared" si="4"/>
        <v>10</v>
      </c>
      <c r="G47" s="246" t="s">
        <v>63</v>
      </c>
      <c r="H47" s="143">
        <f t="shared" si="5"/>
        <v>6</v>
      </c>
      <c r="I47" s="190" t="s">
        <v>79</v>
      </c>
      <c r="J47" s="190">
        <v>3</v>
      </c>
      <c r="K47" s="210">
        <f t="shared" si="7"/>
        <v>0</v>
      </c>
      <c r="L47" s="210">
        <f t="shared" si="6"/>
        <v>10</v>
      </c>
      <c r="M47" s="157">
        <f t="shared" si="8"/>
        <v>6.4444444444444446</v>
      </c>
    </row>
    <row r="48" spans="1:13" x14ac:dyDescent="0.3">
      <c r="A48" s="190" t="s">
        <v>243</v>
      </c>
      <c r="B48" s="190">
        <v>272</v>
      </c>
      <c r="C48" s="190">
        <v>0.435</v>
      </c>
      <c r="D48" s="209">
        <f t="shared" si="2"/>
        <v>5477.5172413793107</v>
      </c>
      <c r="E48" s="202">
        <f t="shared" si="3"/>
        <v>19918.244514106584</v>
      </c>
      <c r="F48" s="191">
        <f t="shared" si="4"/>
        <v>8</v>
      </c>
      <c r="G48" s="245" t="s">
        <v>392</v>
      </c>
      <c r="H48" s="143">
        <f t="shared" si="5"/>
        <v>3</v>
      </c>
      <c r="I48" s="190" t="s">
        <v>124</v>
      </c>
      <c r="J48" s="190">
        <v>2</v>
      </c>
      <c r="K48" s="210">
        <f t="shared" si="7"/>
        <v>46475.903866248693</v>
      </c>
      <c r="L48" s="210">
        <f t="shared" si="6"/>
        <v>8</v>
      </c>
      <c r="M48" s="157">
        <f t="shared" si="8"/>
        <v>4.666666666666667</v>
      </c>
    </row>
    <row r="49" spans="1:13" x14ac:dyDescent="0.3">
      <c r="A49" s="190" t="s">
        <v>247</v>
      </c>
      <c r="B49" s="190">
        <v>55</v>
      </c>
      <c r="C49" s="190">
        <v>0.39300000000000002</v>
      </c>
      <c r="D49" s="209">
        <f t="shared" si="2"/>
        <v>1225.9541984732823</v>
      </c>
      <c r="E49" s="202">
        <f t="shared" si="3"/>
        <v>4458.0152671755714</v>
      </c>
      <c r="F49" s="191">
        <f t="shared" si="4"/>
        <v>10</v>
      </c>
      <c r="G49" s="246" t="s">
        <v>82</v>
      </c>
      <c r="H49" s="143">
        <f t="shared" si="5"/>
        <v>2</v>
      </c>
      <c r="I49" s="190" t="s">
        <v>250</v>
      </c>
      <c r="J49" s="190">
        <v>3</v>
      </c>
      <c r="K49" s="210">
        <f t="shared" si="7"/>
        <v>10402.035623409667</v>
      </c>
      <c r="L49" s="210">
        <f t="shared" si="6"/>
        <v>10</v>
      </c>
      <c r="M49" s="157">
        <f t="shared" si="8"/>
        <v>5.5555555555555562</v>
      </c>
    </row>
    <row r="50" spans="1:13" x14ac:dyDescent="0.3">
      <c r="A50" s="190" t="s">
        <v>252</v>
      </c>
      <c r="B50" s="190">
        <v>107</v>
      </c>
      <c r="C50" s="190">
        <v>0.29299999999999998</v>
      </c>
      <c r="D50" s="209">
        <f t="shared" si="2"/>
        <v>3199.0443686006829</v>
      </c>
      <c r="E50" s="202">
        <f t="shared" si="3"/>
        <v>11632.888613093392</v>
      </c>
      <c r="F50" s="191">
        <f t="shared" si="4"/>
        <v>9</v>
      </c>
      <c r="G50" s="246" t="s">
        <v>63</v>
      </c>
      <c r="H50" s="143">
        <f t="shared" si="5"/>
        <v>6</v>
      </c>
      <c r="I50" s="190" t="s">
        <v>254</v>
      </c>
      <c r="J50" s="190">
        <v>2</v>
      </c>
      <c r="K50" s="210">
        <f t="shared" si="7"/>
        <v>27143.406763884577</v>
      </c>
      <c r="L50" s="210">
        <f t="shared" si="6"/>
        <v>9</v>
      </c>
      <c r="M50" s="157">
        <f t="shared" si="8"/>
        <v>5.7777777777777786</v>
      </c>
    </row>
    <row r="51" spans="1:13" x14ac:dyDescent="0.3">
      <c r="A51" s="190" t="s">
        <v>256</v>
      </c>
      <c r="B51" s="190">
        <v>160</v>
      </c>
      <c r="C51" s="190">
        <v>0.30499999999999999</v>
      </c>
      <c r="D51" s="209">
        <f t="shared" si="2"/>
        <v>4595.4098360655735</v>
      </c>
      <c r="E51" s="202">
        <f t="shared" si="3"/>
        <v>16710.581222056629</v>
      </c>
      <c r="F51" s="191">
        <f t="shared" si="4"/>
        <v>8</v>
      </c>
      <c r="G51" s="246" t="s">
        <v>63</v>
      </c>
      <c r="H51" s="143">
        <f t="shared" si="5"/>
        <v>6</v>
      </c>
      <c r="I51" s="190" t="s">
        <v>124</v>
      </c>
      <c r="J51" s="190">
        <v>2</v>
      </c>
      <c r="K51" s="210">
        <f t="shared" si="7"/>
        <v>38991.356184798802</v>
      </c>
      <c r="L51" s="210">
        <f t="shared" si="6"/>
        <v>8</v>
      </c>
      <c r="M51" s="157">
        <f t="shared" si="8"/>
        <v>5.333333333333333</v>
      </c>
    </row>
    <row r="52" spans="1:13" x14ac:dyDescent="0.3">
      <c r="A52" s="190" t="s">
        <v>259</v>
      </c>
      <c r="B52" s="190">
        <v>168</v>
      </c>
      <c r="C52" s="190">
        <v>0.42</v>
      </c>
      <c r="D52" s="209">
        <f t="shared" si="2"/>
        <v>3504</v>
      </c>
      <c r="E52" s="202">
        <f t="shared" si="3"/>
        <v>12741.818181818182</v>
      </c>
      <c r="F52" s="191">
        <f t="shared" si="4"/>
        <v>9</v>
      </c>
      <c r="G52" s="245" t="s">
        <v>398</v>
      </c>
      <c r="H52" s="143">
        <f t="shared" si="5"/>
        <v>4</v>
      </c>
      <c r="I52" s="190" t="s">
        <v>60</v>
      </c>
      <c r="J52" s="190">
        <v>1</v>
      </c>
      <c r="K52" s="210">
        <f t="shared" si="7"/>
        <v>29730.909090909088</v>
      </c>
      <c r="L52" s="210">
        <f t="shared" si="6"/>
        <v>9</v>
      </c>
      <c r="M52" s="157">
        <f t="shared" si="8"/>
        <v>5.1111111111111107</v>
      </c>
    </row>
    <row r="53" spans="1:13" x14ac:dyDescent="0.3">
      <c r="A53" s="190" t="s">
        <v>263</v>
      </c>
      <c r="B53" s="190">
        <v>16</v>
      </c>
      <c r="C53" s="190">
        <v>0.4</v>
      </c>
      <c r="D53" s="209">
        <f t="shared" si="2"/>
        <v>350.4</v>
      </c>
      <c r="E53" s="202">
        <f t="shared" si="3"/>
        <v>1274.181818181818</v>
      </c>
      <c r="F53" s="191">
        <f t="shared" si="4"/>
        <v>10</v>
      </c>
      <c r="G53" s="245" t="s">
        <v>398</v>
      </c>
      <c r="H53" s="143">
        <f t="shared" si="5"/>
        <v>4</v>
      </c>
      <c r="I53" s="190" t="s">
        <v>238</v>
      </c>
      <c r="J53" s="190">
        <v>3</v>
      </c>
      <c r="K53" s="210">
        <f t="shared" si="7"/>
        <v>2973.0909090909086</v>
      </c>
      <c r="L53" s="210">
        <f t="shared" si="6"/>
        <v>10</v>
      </c>
      <c r="M53" s="157">
        <f t="shared" si="8"/>
        <v>6</v>
      </c>
    </row>
    <row r="54" spans="1:13" x14ac:dyDescent="0.3">
      <c r="A54" s="190" t="s">
        <v>269</v>
      </c>
      <c r="B54" s="190">
        <v>300</v>
      </c>
      <c r="C54" s="190">
        <v>0.4</v>
      </c>
      <c r="D54" s="209">
        <f t="shared" si="2"/>
        <v>6570</v>
      </c>
      <c r="E54" s="202">
        <f t="shared" si="3"/>
        <v>23890.909090909088</v>
      </c>
      <c r="F54" s="191">
        <f t="shared" si="4"/>
        <v>8</v>
      </c>
      <c r="G54" s="245" t="s">
        <v>398</v>
      </c>
      <c r="H54" s="143">
        <f t="shared" si="5"/>
        <v>4</v>
      </c>
      <c r="I54" s="190" t="s">
        <v>74</v>
      </c>
      <c r="J54" s="190">
        <v>1</v>
      </c>
      <c r="K54" s="210">
        <f t="shared" si="7"/>
        <v>55745.454545454537</v>
      </c>
      <c r="L54" s="210">
        <f t="shared" si="6"/>
        <v>8</v>
      </c>
      <c r="M54" s="157">
        <f t="shared" si="8"/>
        <v>4.666666666666667</v>
      </c>
    </row>
    <row r="55" spans="1:13" x14ac:dyDescent="0.3">
      <c r="A55" s="190" t="s">
        <v>274</v>
      </c>
      <c r="B55" s="190">
        <v>10</v>
      </c>
      <c r="C55" s="190">
        <v>0.33300000000000002</v>
      </c>
      <c r="D55" s="209">
        <f t="shared" si="2"/>
        <v>263.06306306306305</v>
      </c>
      <c r="E55" s="202">
        <f t="shared" si="3"/>
        <v>956.59295659295651</v>
      </c>
      <c r="F55" s="191">
        <f t="shared" si="4"/>
        <v>10</v>
      </c>
      <c r="G55" s="246" t="s">
        <v>63</v>
      </c>
      <c r="H55" s="143">
        <f t="shared" si="5"/>
        <v>6</v>
      </c>
      <c r="I55" s="190" t="s">
        <v>277</v>
      </c>
      <c r="J55" s="190">
        <v>1</v>
      </c>
      <c r="K55" s="210">
        <f t="shared" si="7"/>
        <v>2232.0502320502314</v>
      </c>
      <c r="L55" s="210">
        <f t="shared" si="6"/>
        <v>10</v>
      </c>
      <c r="M55" s="157">
        <f t="shared" si="8"/>
        <v>6</v>
      </c>
    </row>
    <row r="56" spans="1:13" x14ac:dyDescent="0.3">
      <c r="A56" s="190" t="s">
        <v>279</v>
      </c>
      <c r="B56" s="190">
        <v>60</v>
      </c>
      <c r="C56" s="190">
        <v>0.4</v>
      </c>
      <c r="D56" s="209">
        <f t="shared" si="2"/>
        <v>1314</v>
      </c>
      <c r="E56" s="202">
        <f t="shared" si="3"/>
        <v>4778.181818181818</v>
      </c>
      <c r="F56" s="191">
        <f t="shared" si="4"/>
        <v>10</v>
      </c>
      <c r="G56" s="245" t="s">
        <v>392</v>
      </c>
      <c r="H56" s="143">
        <f t="shared" si="5"/>
        <v>3</v>
      </c>
      <c r="I56" s="190" t="s">
        <v>74</v>
      </c>
      <c r="J56" s="190">
        <v>1</v>
      </c>
      <c r="K56" s="210">
        <f t="shared" si="7"/>
        <v>11149.090909090908</v>
      </c>
      <c r="L56" s="210">
        <f t="shared" si="6"/>
        <v>10</v>
      </c>
      <c r="M56" s="157">
        <f t="shared" si="8"/>
        <v>5.333333333333333</v>
      </c>
    </row>
    <row r="57" spans="1:13" x14ac:dyDescent="0.3">
      <c r="A57" s="190" t="s">
        <v>283</v>
      </c>
      <c r="B57" s="190">
        <v>100</v>
      </c>
      <c r="C57" s="190">
        <v>0.35699999999999998</v>
      </c>
      <c r="D57" s="209">
        <f t="shared" si="2"/>
        <v>2453.7815126050423</v>
      </c>
      <c r="E57" s="202">
        <f t="shared" si="3"/>
        <v>8922.8418640183354</v>
      </c>
      <c r="F57" s="191">
        <f t="shared" si="4"/>
        <v>9</v>
      </c>
      <c r="G57" s="245" t="s">
        <v>398</v>
      </c>
      <c r="H57" s="143">
        <f t="shared" si="5"/>
        <v>4</v>
      </c>
      <c r="I57" s="190" t="s">
        <v>79</v>
      </c>
      <c r="J57" s="190">
        <v>3</v>
      </c>
      <c r="K57" s="210">
        <f t="shared" si="7"/>
        <v>20819.964349376114</v>
      </c>
      <c r="L57" s="210">
        <f t="shared" si="6"/>
        <v>9</v>
      </c>
      <c r="M57" s="157">
        <f t="shared" si="8"/>
        <v>5.5555555555555562</v>
      </c>
    </row>
    <row r="58" spans="1:13" x14ac:dyDescent="0.3">
      <c r="A58" s="190" t="s">
        <v>287</v>
      </c>
      <c r="B58" s="190">
        <v>0</v>
      </c>
      <c r="C58" s="190">
        <v>0</v>
      </c>
      <c r="D58" s="209">
        <v>0</v>
      </c>
      <c r="E58" s="202">
        <f t="shared" si="3"/>
        <v>0</v>
      </c>
      <c r="F58" s="191">
        <f t="shared" si="4"/>
        <v>10</v>
      </c>
      <c r="G58" s="246" t="s">
        <v>94</v>
      </c>
      <c r="H58" s="143">
        <v>2</v>
      </c>
      <c r="I58" s="190" t="s">
        <v>290</v>
      </c>
      <c r="J58" s="190">
        <v>4</v>
      </c>
      <c r="K58" s="210">
        <f t="shared" si="7"/>
        <v>0</v>
      </c>
      <c r="L58" s="210">
        <f t="shared" si="6"/>
        <v>10</v>
      </c>
      <c r="M58" s="157">
        <f t="shared" si="8"/>
        <v>5.7777777777777786</v>
      </c>
    </row>
    <row r="59" spans="1:13" x14ac:dyDescent="0.3">
      <c r="A59" s="190" t="s">
        <v>292</v>
      </c>
      <c r="B59" s="190">
        <v>250</v>
      </c>
      <c r="C59" s="190">
        <v>0.44900000000000001</v>
      </c>
      <c r="D59" s="209">
        <f t="shared" si="2"/>
        <v>4877.5055679287307</v>
      </c>
      <c r="E59" s="202">
        <f t="shared" si="3"/>
        <v>17736.383883377202</v>
      </c>
      <c r="F59" s="191">
        <f t="shared" si="4"/>
        <v>8</v>
      </c>
      <c r="G59" s="245" t="s">
        <v>398</v>
      </c>
      <c r="H59" s="143">
        <f t="shared" si="5"/>
        <v>4</v>
      </c>
      <c r="I59" s="190" t="s">
        <v>294</v>
      </c>
      <c r="J59" s="190">
        <v>1</v>
      </c>
      <c r="K59" s="210">
        <f t="shared" si="7"/>
        <v>41384.895727880139</v>
      </c>
      <c r="L59" s="210">
        <f t="shared" si="6"/>
        <v>8</v>
      </c>
      <c r="M59" s="157">
        <f t="shared" si="8"/>
        <v>4.666666666666667</v>
      </c>
    </row>
    <row r="60" spans="1:13" x14ac:dyDescent="0.3">
      <c r="A60" s="190" t="s">
        <v>297</v>
      </c>
      <c r="B60" s="190">
        <v>120</v>
      </c>
      <c r="C60" s="190">
        <v>0.4</v>
      </c>
      <c r="D60" s="209">
        <f t="shared" si="2"/>
        <v>2628</v>
      </c>
      <c r="E60" s="202">
        <f t="shared" si="3"/>
        <v>9556.363636363636</v>
      </c>
      <c r="F60" s="191">
        <f t="shared" si="4"/>
        <v>9</v>
      </c>
      <c r="G60" s="245" t="s">
        <v>398</v>
      </c>
      <c r="H60" s="143">
        <f t="shared" si="5"/>
        <v>4</v>
      </c>
      <c r="I60" s="190" t="s">
        <v>299</v>
      </c>
      <c r="J60" s="190">
        <v>3</v>
      </c>
      <c r="K60" s="210">
        <f t="shared" si="7"/>
        <v>22298.181818181816</v>
      </c>
      <c r="L60" s="210">
        <f t="shared" si="6"/>
        <v>9</v>
      </c>
      <c r="M60" s="157">
        <f t="shared" si="8"/>
        <v>5.5555555555555562</v>
      </c>
    </row>
    <row r="61" spans="1:13" x14ac:dyDescent="0.3">
      <c r="A61" s="190" t="s">
        <v>302</v>
      </c>
      <c r="B61" s="190">
        <v>250</v>
      </c>
      <c r="C61" s="190">
        <v>0.33300000000000002</v>
      </c>
      <c r="D61" s="209">
        <f t="shared" si="2"/>
        <v>6576.5765765765764</v>
      </c>
      <c r="E61" s="202">
        <f t="shared" si="3"/>
        <v>23914.823914823915</v>
      </c>
      <c r="F61" s="191">
        <f t="shared" si="4"/>
        <v>8</v>
      </c>
      <c r="G61" s="246" t="s">
        <v>63</v>
      </c>
      <c r="H61" s="143">
        <f t="shared" si="5"/>
        <v>6</v>
      </c>
      <c r="I61" s="190" t="s">
        <v>79</v>
      </c>
      <c r="J61" s="190">
        <v>3</v>
      </c>
      <c r="K61" s="210">
        <f t="shared" si="7"/>
        <v>55801.2558012558</v>
      </c>
      <c r="L61" s="210">
        <f t="shared" si="6"/>
        <v>8</v>
      </c>
      <c r="M61" s="157">
        <f t="shared" si="8"/>
        <v>5.5555555555555562</v>
      </c>
    </row>
    <row r="62" spans="1:13" x14ac:dyDescent="0.3">
      <c r="A62" s="190" t="s">
        <v>305</v>
      </c>
      <c r="B62" s="190">
        <v>77</v>
      </c>
      <c r="C62" s="190">
        <v>0.308</v>
      </c>
      <c r="D62" s="209">
        <f t="shared" si="2"/>
        <v>2190</v>
      </c>
      <c r="E62" s="202">
        <f t="shared" si="3"/>
        <v>7963.636363636364</v>
      </c>
      <c r="F62" s="191">
        <f t="shared" si="4"/>
        <v>9</v>
      </c>
      <c r="G62" s="246" t="s">
        <v>63</v>
      </c>
      <c r="H62" s="143">
        <f t="shared" si="5"/>
        <v>6</v>
      </c>
      <c r="I62" s="190" t="s">
        <v>124</v>
      </c>
      <c r="J62" s="190">
        <v>2</v>
      </c>
      <c r="K62" s="210">
        <f t="shared" si="7"/>
        <v>18581.818181818184</v>
      </c>
      <c r="L62" s="210">
        <f t="shared" si="6"/>
        <v>9</v>
      </c>
      <c r="M62" s="157">
        <f t="shared" si="8"/>
        <v>5.7777777777777786</v>
      </c>
    </row>
    <row r="63" spans="1:13" x14ac:dyDescent="0.3">
      <c r="A63" s="190" t="s">
        <v>309</v>
      </c>
      <c r="B63" s="190">
        <v>450</v>
      </c>
      <c r="C63" s="190">
        <v>0.47399999999999998</v>
      </c>
      <c r="D63" s="209">
        <f t="shared" si="2"/>
        <v>8316.4556962025326</v>
      </c>
      <c r="E63" s="202">
        <f t="shared" si="3"/>
        <v>30241.657077100117</v>
      </c>
      <c r="F63" s="191">
        <f t="shared" si="4"/>
        <v>7</v>
      </c>
      <c r="G63" s="246" t="s">
        <v>312</v>
      </c>
      <c r="H63" s="143">
        <v>2</v>
      </c>
      <c r="I63" s="190" t="s">
        <v>124</v>
      </c>
      <c r="J63" s="190">
        <v>2</v>
      </c>
      <c r="K63" s="210">
        <f t="shared" si="7"/>
        <v>70563.866513233603</v>
      </c>
      <c r="L63" s="210">
        <f t="shared" si="6"/>
        <v>7</v>
      </c>
      <c r="M63" s="157">
        <f t="shared" si="8"/>
        <v>4</v>
      </c>
    </row>
    <row r="64" spans="1:13" x14ac:dyDescent="0.3">
      <c r="A64" s="190" t="s">
        <v>313</v>
      </c>
      <c r="B64" s="190">
        <v>225</v>
      </c>
      <c r="C64" s="190">
        <v>0.28100000000000003</v>
      </c>
      <c r="D64" s="209">
        <f t="shared" si="2"/>
        <v>7014.2348754448385</v>
      </c>
      <c r="E64" s="202">
        <f t="shared" si="3"/>
        <v>25506.308637981234</v>
      </c>
      <c r="F64" s="191">
        <f t="shared" si="4"/>
        <v>8</v>
      </c>
      <c r="G64" s="246" t="s">
        <v>63</v>
      </c>
      <c r="H64" s="143">
        <f t="shared" si="5"/>
        <v>6</v>
      </c>
      <c r="I64" s="190" t="s">
        <v>124</v>
      </c>
      <c r="J64" s="190">
        <v>2</v>
      </c>
      <c r="K64" s="210">
        <f t="shared" si="7"/>
        <v>59514.720155289549</v>
      </c>
      <c r="L64" s="210">
        <f t="shared" si="6"/>
        <v>8</v>
      </c>
      <c r="M64" s="157">
        <f t="shared" si="8"/>
        <v>5.333333333333333</v>
      </c>
    </row>
    <row r="65" spans="1:13" x14ac:dyDescent="0.3">
      <c r="A65" s="190" t="s">
        <v>316</v>
      </c>
      <c r="B65" s="190">
        <v>82.5</v>
      </c>
      <c r="C65" s="190">
        <v>0.41299999999999998</v>
      </c>
      <c r="D65" s="209">
        <f t="shared" si="2"/>
        <v>1749.8789346246974</v>
      </c>
      <c r="E65" s="202">
        <f t="shared" si="3"/>
        <v>6363.1961259079899</v>
      </c>
      <c r="F65" s="191">
        <f t="shared" si="4"/>
        <v>9</v>
      </c>
      <c r="G65" s="245" t="s">
        <v>392</v>
      </c>
      <c r="H65" s="143">
        <f t="shared" si="5"/>
        <v>3</v>
      </c>
      <c r="I65" s="190" t="s">
        <v>124</v>
      </c>
      <c r="J65" s="190">
        <v>2</v>
      </c>
      <c r="K65" s="210">
        <f t="shared" si="7"/>
        <v>14847.457627118642</v>
      </c>
      <c r="L65" s="210">
        <f t="shared" si="6"/>
        <v>9</v>
      </c>
      <c r="M65" s="157">
        <f t="shared" si="8"/>
        <v>5.1111111111111107</v>
      </c>
    </row>
    <row r="66" spans="1:13" x14ac:dyDescent="0.3">
      <c r="A66" s="97"/>
      <c r="B66" s="97"/>
      <c r="C66" s="216">
        <v>2400</v>
      </c>
      <c r="D66" s="209">
        <f t="shared" si="2"/>
        <v>0</v>
      </c>
      <c r="E66" s="210">
        <f>MAX(E3:E65)</f>
        <v>95563.636363636353</v>
      </c>
      <c r="F66" s="97"/>
      <c r="H66" s="97"/>
      <c r="I66" s="97"/>
      <c r="J66" s="97"/>
      <c r="K66" s="203">
        <f>MAX(K3:K65)</f>
        <v>222981.81818181815</v>
      </c>
      <c r="L66" s="97"/>
      <c r="M66" s="158">
        <f>AVERAGE(M3:M65)</f>
        <v>5.2627865961199287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EAF95-94E0-4BE6-AFC1-918DA66812D3}">
  <dimension ref="A1:X69"/>
  <sheetViews>
    <sheetView topLeftCell="A2" zoomScale="40" zoomScaleNormal="40" workbookViewId="0">
      <selection activeCell="F11" sqref="F11"/>
    </sheetView>
  </sheetViews>
  <sheetFormatPr baseColWidth="10" defaultColWidth="8.88671875" defaultRowHeight="15" customHeight="1" x14ac:dyDescent="0.3"/>
  <cols>
    <col min="1" max="1" width="32.44140625" bestFit="1" customWidth="1"/>
    <col min="2" max="2" width="24.88671875" bestFit="1" customWidth="1"/>
    <col min="3" max="3" width="13.6640625" customWidth="1"/>
    <col min="4" max="4" width="9" customWidth="1"/>
    <col min="5" max="5" width="16.5546875" customWidth="1"/>
    <col min="6" max="6" width="15.109375" customWidth="1"/>
    <col min="7" max="7" width="11" customWidth="1"/>
    <col min="8" max="8" width="8" customWidth="1"/>
    <col min="9" max="9" width="10.88671875" customWidth="1"/>
    <col min="10" max="10" width="9" customWidth="1"/>
    <col min="11" max="11" width="11" customWidth="1"/>
    <col min="12" max="12" width="9" customWidth="1"/>
    <col min="13" max="13" width="14" bestFit="1" customWidth="1"/>
  </cols>
  <sheetData>
    <row r="1" spans="1:24" ht="58.65" customHeight="1" x14ac:dyDescent="0.3">
      <c r="A1" s="131" t="s">
        <v>7</v>
      </c>
      <c r="B1" s="132" t="s">
        <v>8</v>
      </c>
      <c r="C1" s="133" t="s">
        <v>17</v>
      </c>
      <c r="D1" s="133" t="s">
        <v>18</v>
      </c>
      <c r="E1" s="134" t="s">
        <v>340</v>
      </c>
      <c r="F1" s="134" t="s">
        <v>341</v>
      </c>
      <c r="G1" s="135" t="s">
        <v>342</v>
      </c>
      <c r="H1" s="135" t="s">
        <v>343</v>
      </c>
      <c r="I1" s="135" t="s">
        <v>344</v>
      </c>
      <c r="J1" s="135" t="s">
        <v>345</v>
      </c>
      <c r="K1" s="135" t="s">
        <v>346</v>
      </c>
      <c r="L1" s="136" t="s">
        <v>347</v>
      </c>
      <c r="M1" s="97"/>
      <c r="N1" s="97"/>
      <c r="O1" s="97"/>
      <c r="P1" s="97"/>
      <c r="Q1" s="97"/>
      <c r="R1" s="97"/>
      <c r="S1" s="97"/>
      <c r="T1" s="97"/>
      <c r="U1" s="97"/>
      <c r="V1" s="97"/>
      <c r="W1" s="97"/>
      <c r="X1" s="97"/>
    </row>
    <row r="2" spans="1:24" ht="14.4" x14ac:dyDescent="0.3">
      <c r="A2" s="137" t="s">
        <v>39</v>
      </c>
      <c r="B2" s="138">
        <v>0</v>
      </c>
      <c r="C2" s="138" t="s">
        <v>348</v>
      </c>
      <c r="D2" s="138" t="s">
        <v>349</v>
      </c>
      <c r="E2" s="138" t="s">
        <v>44</v>
      </c>
      <c r="F2" s="159" t="s">
        <v>46</v>
      </c>
      <c r="G2" s="138" t="s">
        <v>44</v>
      </c>
      <c r="H2" s="138" t="s">
        <v>46</v>
      </c>
      <c r="I2" s="138" t="s">
        <v>44</v>
      </c>
      <c r="J2" s="138" t="s">
        <v>46</v>
      </c>
      <c r="K2" s="138" t="s">
        <v>44</v>
      </c>
      <c r="L2" s="139" t="s">
        <v>46</v>
      </c>
      <c r="M2" s="97"/>
      <c r="N2" s="97"/>
      <c r="O2" s="97"/>
      <c r="P2" s="97"/>
      <c r="Q2" s="97"/>
      <c r="R2" s="97"/>
      <c r="S2" s="97"/>
      <c r="T2" s="97"/>
      <c r="U2" s="97"/>
      <c r="V2" s="97"/>
      <c r="W2" s="97"/>
      <c r="X2" s="97"/>
    </row>
    <row r="3" spans="1:24" ht="14.4" x14ac:dyDescent="0.3">
      <c r="A3" s="97" t="s">
        <v>112</v>
      </c>
      <c r="B3" s="97" t="s">
        <v>105</v>
      </c>
      <c r="C3" s="97">
        <v>0</v>
      </c>
      <c r="D3" s="97">
        <v>100</v>
      </c>
      <c r="E3" s="264">
        <v>0</v>
      </c>
      <c r="F3" s="160">
        <v>0</v>
      </c>
      <c r="G3" s="265">
        <v>0</v>
      </c>
      <c r="H3" s="97">
        <v>0</v>
      </c>
      <c r="I3" s="265">
        <v>0</v>
      </c>
      <c r="J3" s="97">
        <v>0</v>
      </c>
      <c r="K3" s="265">
        <v>0</v>
      </c>
      <c r="L3" s="97">
        <v>0</v>
      </c>
      <c r="M3" s="97" t="s">
        <v>350</v>
      </c>
      <c r="N3" s="97" t="s">
        <v>350</v>
      </c>
      <c r="O3" s="97" t="s">
        <v>350</v>
      </c>
      <c r="P3" s="97" t="s">
        <v>350</v>
      </c>
      <c r="Q3" s="97" t="s">
        <v>350</v>
      </c>
      <c r="R3" s="97" t="s">
        <v>350</v>
      </c>
      <c r="S3" s="97" t="s">
        <v>350</v>
      </c>
      <c r="T3" s="97" t="s">
        <v>350</v>
      </c>
      <c r="U3" s="97" t="s">
        <v>350</v>
      </c>
      <c r="V3" s="97" t="s">
        <v>350</v>
      </c>
      <c r="W3" s="97" t="s">
        <v>350</v>
      </c>
      <c r="X3" s="97" t="s">
        <v>350</v>
      </c>
    </row>
    <row r="4" spans="1:24" ht="15.6" x14ac:dyDescent="0.3">
      <c r="A4" s="97" t="s">
        <v>117</v>
      </c>
      <c r="B4" s="97" t="s">
        <v>57</v>
      </c>
      <c r="C4" s="97">
        <v>0</v>
      </c>
      <c r="D4" s="97">
        <v>400</v>
      </c>
      <c r="E4" s="264">
        <v>0</v>
      </c>
      <c r="F4" s="160">
        <v>0</v>
      </c>
      <c r="G4" s="265">
        <v>0</v>
      </c>
      <c r="H4" s="97">
        <v>0</v>
      </c>
      <c r="I4" s="265">
        <v>0</v>
      </c>
      <c r="J4" s="97">
        <v>0</v>
      </c>
      <c r="K4" s="265">
        <v>0</v>
      </c>
      <c r="L4" s="97">
        <v>0</v>
      </c>
      <c r="M4" s="97"/>
      <c r="N4" s="97"/>
      <c r="O4" s="97"/>
      <c r="P4" s="97"/>
      <c r="Q4" s="97"/>
      <c r="R4" s="97"/>
      <c r="S4" s="97"/>
      <c r="T4" s="91"/>
      <c r="U4" s="97"/>
      <c r="V4" s="97"/>
      <c r="W4" s="97"/>
      <c r="X4" s="97"/>
    </row>
    <row r="5" spans="1:24" ht="14.4" x14ac:dyDescent="0.3">
      <c r="A5" s="97" t="s">
        <v>143</v>
      </c>
      <c r="B5" s="97" t="s">
        <v>57</v>
      </c>
      <c r="C5" s="97">
        <v>0</v>
      </c>
      <c r="D5" s="97">
        <v>200</v>
      </c>
      <c r="E5" s="264">
        <v>0</v>
      </c>
      <c r="F5" s="160">
        <v>0</v>
      </c>
      <c r="G5" s="265">
        <v>0</v>
      </c>
      <c r="H5" s="97">
        <v>0</v>
      </c>
      <c r="I5" s="265">
        <v>0</v>
      </c>
      <c r="J5" s="97">
        <v>0</v>
      </c>
      <c r="K5" s="265">
        <v>0</v>
      </c>
      <c r="L5" s="97">
        <v>0</v>
      </c>
      <c r="M5" s="97"/>
      <c r="N5" s="97"/>
      <c r="O5" s="97"/>
      <c r="P5" s="97"/>
      <c r="Q5" s="97"/>
      <c r="R5" s="97"/>
      <c r="S5" s="97"/>
      <c r="T5" s="97"/>
      <c r="U5" s="97"/>
      <c r="V5" s="97"/>
      <c r="W5" s="97"/>
      <c r="X5" s="97"/>
    </row>
    <row r="6" spans="1:24" ht="14.4" x14ac:dyDescent="0.3">
      <c r="A6" s="97" t="s">
        <v>155</v>
      </c>
      <c r="B6" s="97" t="s">
        <v>65</v>
      </c>
      <c r="C6" s="97">
        <v>0</v>
      </c>
      <c r="D6" s="97">
        <v>30</v>
      </c>
      <c r="E6" s="265">
        <v>0</v>
      </c>
      <c r="F6" s="160">
        <v>0</v>
      </c>
      <c r="G6" s="265">
        <v>0</v>
      </c>
      <c r="H6" s="97">
        <v>0</v>
      </c>
      <c r="I6" s="265">
        <v>0</v>
      </c>
      <c r="J6" s="97">
        <v>0</v>
      </c>
      <c r="K6" s="265">
        <v>0</v>
      </c>
      <c r="L6" s="97">
        <v>0</v>
      </c>
      <c r="M6" s="97"/>
      <c r="N6" s="97"/>
      <c r="O6" s="97"/>
      <c r="P6" s="97"/>
      <c r="Q6" s="97"/>
      <c r="R6" s="97"/>
      <c r="S6" s="97"/>
      <c r="T6" s="97"/>
      <c r="U6" s="97"/>
      <c r="V6" s="97"/>
      <c r="W6" s="97"/>
      <c r="X6" s="97"/>
    </row>
    <row r="7" spans="1:24" ht="14.4" x14ac:dyDescent="0.3">
      <c r="A7" s="97" t="s">
        <v>170</v>
      </c>
      <c r="B7" s="97" t="s">
        <v>65</v>
      </c>
      <c r="C7" s="97">
        <v>0</v>
      </c>
      <c r="D7" s="97">
        <v>20</v>
      </c>
      <c r="E7" s="265">
        <v>0</v>
      </c>
      <c r="F7" s="160">
        <v>0</v>
      </c>
      <c r="G7" s="265">
        <v>0</v>
      </c>
      <c r="H7" s="97">
        <v>0</v>
      </c>
      <c r="I7" s="265">
        <v>0</v>
      </c>
      <c r="J7" s="97">
        <v>0</v>
      </c>
      <c r="K7" s="265">
        <v>0</v>
      </c>
      <c r="L7" s="97">
        <v>0</v>
      </c>
      <c r="M7" s="97"/>
      <c r="N7" s="97"/>
      <c r="O7" s="97"/>
      <c r="P7" s="97"/>
      <c r="Q7" s="97"/>
      <c r="R7" s="97"/>
      <c r="S7" s="97"/>
      <c r="T7" s="97"/>
      <c r="U7" s="97"/>
      <c r="V7" s="97"/>
      <c r="W7" s="97"/>
      <c r="X7" s="97"/>
    </row>
    <row r="8" spans="1:24" ht="14.4" x14ac:dyDescent="0.3">
      <c r="A8" s="97" t="s">
        <v>215</v>
      </c>
      <c r="B8" s="97" t="s">
        <v>57</v>
      </c>
      <c r="C8" s="97">
        <v>0</v>
      </c>
      <c r="D8" s="97">
        <v>200</v>
      </c>
      <c r="E8" s="265">
        <v>0</v>
      </c>
      <c r="F8" s="160">
        <v>0</v>
      </c>
      <c r="G8" s="265">
        <v>0</v>
      </c>
      <c r="H8" s="97">
        <v>0</v>
      </c>
      <c r="I8" s="265">
        <v>0</v>
      </c>
      <c r="J8" s="97">
        <v>0</v>
      </c>
      <c r="K8" s="265">
        <v>0</v>
      </c>
      <c r="L8" s="97">
        <v>0</v>
      </c>
      <c r="M8" s="97"/>
      <c r="N8" s="97"/>
      <c r="O8" s="97"/>
      <c r="P8" s="97"/>
      <c r="Q8" s="97"/>
      <c r="R8" s="97"/>
      <c r="S8" s="97"/>
      <c r="T8" s="97"/>
      <c r="U8" s="97"/>
      <c r="V8" s="97"/>
      <c r="W8" s="97"/>
      <c r="X8" s="97"/>
    </row>
    <row r="9" spans="1:24" ht="14.4" x14ac:dyDescent="0.3">
      <c r="A9" s="97" t="s">
        <v>227</v>
      </c>
      <c r="B9" s="97" t="s">
        <v>65</v>
      </c>
      <c r="C9" s="97">
        <v>0</v>
      </c>
      <c r="D9" s="97">
        <v>40</v>
      </c>
      <c r="E9" s="265">
        <v>0</v>
      </c>
      <c r="F9" s="160">
        <v>0</v>
      </c>
      <c r="G9" s="265">
        <v>0</v>
      </c>
      <c r="H9" s="97">
        <v>0</v>
      </c>
      <c r="I9" s="265">
        <v>0</v>
      </c>
      <c r="J9" s="97">
        <v>0</v>
      </c>
      <c r="K9" s="265">
        <v>0</v>
      </c>
      <c r="L9" s="97">
        <v>0</v>
      </c>
      <c r="M9" s="97"/>
      <c r="N9" s="97"/>
      <c r="O9" s="97"/>
      <c r="P9" s="97"/>
      <c r="Q9" s="97"/>
      <c r="R9" s="97"/>
      <c r="S9" s="97"/>
      <c r="T9" s="97"/>
      <c r="U9" s="97"/>
      <c r="V9" s="97"/>
      <c r="W9" s="97"/>
      <c r="X9" s="97"/>
    </row>
    <row r="10" spans="1:24" ht="14.4" x14ac:dyDescent="0.3">
      <c r="A10" s="97" t="s">
        <v>240</v>
      </c>
      <c r="B10" s="97" t="s">
        <v>57</v>
      </c>
      <c r="C10" s="97">
        <v>0</v>
      </c>
      <c r="D10" s="97">
        <v>70</v>
      </c>
      <c r="E10" s="265">
        <v>0</v>
      </c>
      <c r="F10" s="160">
        <v>0</v>
      </c>
      <c r="G10" s="265">
        <v>0</v>
      </c>
      <c r="H10" s="97">
        <v>0</v>
      </c>
      <c r="I10" s="265">
        <v>0</v>
      </c>
      <c r="J10" s="97">
        <v>0</v>
      </c>
      <c r="K10" s="265">
        <v>0</v>
      </c>
      <c r="L10" s="97">
        <v>0</v>
      </c>
      <c r="M10" s="97"/>
      <c r="N10" s="97"/>
      <c r="O10" s="97"/>
      <c r="P10" s="97"/>
      <c r="Q10" s="97"/>
      <c r="R10" s="97"/>
      <c r="S10" s="97"/>
      <c r="T10" s="97"/>
      <c r="U10" s="97"/>
      <c r="V10" s="97"/>
      <c r="W10" s="97"/>
      <c r="X10" s="97"/>
    </row>
    <row r="11" spans="1:24" ht="14.4" x14ac:dyDescent="0.3">
      <c r="A11" s="97" t="s">
        <v>287</v>
      </c>
      <c r="B11" s="97" t="s">
        <v>57</v>
      </c>
      <c r="C11" s="97">
        <v>0</v>
      </c>
      <c r="D11" s="97">
        <v>150</v>
      </c>
      <c r="E11" s="265">
        <v>0</v>
      </c>
      <c r="F11" s="160">
        <v>0</v>
      </c>
      <c r="G11" s="265">
        <v>0</v>
      </c>
      <c r="H11" s="97">
        <v>0</v>
      </c>
      <c r="I11" s="265">
        <v>0</v>
      </c>
      <c r="J11" s="97">
        <v>0</v>
      </c>
      <c r="K11" s="265">
        <v>0</v>
      </c>
      <c r="L11" s="97">
        <v>0</v>
      </c>
      <c r="M11" s="97"/>
      <c r="N11" s="97"/>
      <c r="O11" s="97"/>
      <c r="P11" s="97"/>
      <c r="Q11" s="97"/>
      <c r="R11" s="97"/>
      <c r="S11" s="97"/>
      <c r="T11" s="97"/>
      <c r="U11" s="97"/>
      <c r="V11" s="97"/>
      <c r="W11" s="97"/>
      <c r="X11" s="97"/>
    </row>
    <row r="12" spans="1:24" ht="14.4" x14ac:dyDescent="0.3">
      <c r="A12" s="97" t="s">
        <v>149</v>
      </c>
      <c r="B12" s="97" t="s">
        <v>65</v>
      </c>
      <c r="C12" s="140">
        <v>2.5</v>
      </c>
      <c r="D12" s="97">
        <v>10</v>
      </c>
      <c r="E12" s="265">
        <v>0.25</v>
      </c>
      <c r="F12" s="160">
        <v>1</v>
      </c>
      <c r="G12" s="265">
        <v>0.17499999999999999</v>
      </c>
      <c r="H12" s="97">
        <v>3</v>
      </c>
      <c r="I12" s="265">
        <v>0.15</v>
      </c>
      <c r="J12" s="97">
        <v>2</v>
      </c>
      <c r="K12" s="265">
        <v>0.20300000000000001</v>
      </c>
      <c r="L12" s="97">
        <v>4</v>
      </c>
      <c r="M12" s="97"/>
      <c r="N12" s="97"/>
      <c r="O12" s="97"/>
      <c r="P12" s="97"/>
      <c r="Q12" s="97"/>
      <c r="R12" s="97"/>
      <c r="S12" s="97"/>
      <c r="T12" s="97"/>
      <c r="U12" s="97"/>
      <c r="V12" s="97"/>
      <c r="W12" s="97"/>
      <c r="X12" s="97"/>
    </row>
    <row r="13" spans="1:24" ht="14.4" x14ac:dyDescent="0.3">
      <c r="A13" s="97" t="s">
        <v>174</v>
      </c>
      <c r="B13" s="97" t="s">
        <v>57</v>
      </c>
      <c r="C13" s="97">
        <v>100</v>
      </c>
      <c r="D13" s="97">
        <v>360</v>
      </c>
      <c r="E13" s="265">
        <v>0.27800000000000002</v>
      </c>
      <c r="F13" s="160">
        <v>1</v>
      </c>
      <c r="G13" s="265">
        <v>0.19400000000000001</v>
      </c>
      <c r="H13" s="97">
        <v>4</v>
      </c>
      <c r="I13" s="265">
        <v>0.16700000000000001</v>
      </c>
      <c r="J13" s="97">
        <v>2</v>
      </c>
      <c r="K13" s="265">
        <v>0.22500000000000001</v>
      </c>
      <c r="L13" s="97">
        <v>5</v>
      </c>
      <c r="M13" s="97"/>
      <c r="N13" s="97"/>
      <c r="O13" s="97"/>
      <c r="P13" s="97"/>
      <c r="Q13" s="97"/>
      <c r="R13" s="97"/>
      <c r="S13" s="97"/>
      <c r="T13" s="97"/>
      <c r="U13" s="97"/>
      <c r="V13" s="97"/>
      <c r="W13" s="97"/>
      <c r="X13" s="97"/>
    </row>
    <row r="14" spans="1:24" ht="14.4" x14ac:dyDescent="0.3">
      <c r="A14" s="97" t="s">
        <v>177</v>
      </c>
      <c r="B14" s="97" t="s">
        <v>57</v>
      </c>
      <c r="C14" s="97">
        <v>50</v>
      </c>
      <c r="D14" s="97">
        <v>180</v>
      </c>
      <c r="E14" s="265">
        <v>0.27800000000000002</v>
      </c>
      <c r="F14" s="160">
        <v>1</v>
      </c>
      <c r="G14" s="265">
        <v>0.19400000000000001</v>
      </c>
      <c r="H14" s="97">
        <v>4</v>
      </c>
      <c r="I14" s="265">
        <v>0.16700000000000001</v>
      </c>
      <c r="J14" s="97">
        <v>2</v>
      </c>
      <c r="K14" s="265">
        <v>0.22500000000000001</v>
      </c>
      <c r="L14" s="97">
        <v>5</v>
      </c>
      <c r="M14" s="97"/>
      <c r="N14" s="97"/>
      <c r="O14" s="97"/>
      <c r="P14" s="97"/>
      <c r="Q14" s="97"/>
      <c r="R14" s="97"/>
      <c r="S14" s="97"/>
      <c r="T14" s="97"/>
      <c r="U14" s="97"/>
      <c r="V14" s="97"/>
      <c r="W14" s="97"/>
      <c r="X14" s="97"/>
    </row>
    <row r="15" spans="1:24" ht="14.4" x14ac:dyDescent="0.3">
      <c r="A15" s="97" t="s">
        <v>313</v>
      </c>
      <c r="B15" s="97" t="s">
        <v>57</v>
      </c>
      <c r="C15" s="97">
        <v>225</v>
      </c>
      <c r="D15" s="97">
        <v>800</v>
      </c>
      <c r="E15" s="265">
        <v>0.28100000000000003</v>
      </c>
      <c r="F15" s="160">
        <v>1</v>
      </c>
      <c r="G15" s="265">
        <v>0.19700000000000001</v>
      </c>
      <c r="H15" s="97">
        <v>4</v>
      </c>
      <c r="I15" s="265">
        <v>0.16900000000000001</v>
      </c>
      <c r="J15" s="97">
        <v>2</v>
      </c>
      <c r="K15" s="265">
        <v>0.22800000000000001</v>
      </c>
      <c r="L15" s="97">
        <v>5</v>
      </c>
      <c r="M15" s="97"/>
      <c r="N15" s="97"/>
      <c r="O15" s="97"/>
      <c r="P15" s="97"/>
      <c r="Q15" s="97"/>
      <c r="R15" s="97"/>
      <c r="S15" s="97"/>
      <c r="T15" s="97"/>
      <c r="U15" s="97"/>
      <c r="V15" s="97"/>
      <c r="W15" s="97"/>
      <c r="X15" s="97"/>
    </row>
    <row r="16" spans="1:24" ht="14.4" x14ac:dyDescent="0.3">
      <c r="A16" s="97" t="s">
        <v>231</v>
      </c>
      <c r="B16" s="97" t="s">
        <v>57</v>
      </c>
      <c r="C16" s="97">
        <v>55</v>
      </c>
      <c r="D16" s="97">
        <v>190</v>
      </c>
      <c r="E16" s="265">
        <v>0.28899999999999998</v>
      </c>
      <c r="F16" s="160">
        <v>1</v>
      </c>
      <c r="G16" s="265">
        <v>0.20300000000000001</v>
      </c>
      <c r="H16" s="97">
        <v>4</v>
      </c>
      <c r="I16" s="265">
        <v>0.17399999999999999</v>
      </c>
      <c r="J16" s="97">
        <v>3</v>
      </c>
      <c r="K16" s="265">
        <v>0.23400000000000001</v>
      </c>
      <c r="L16" s="97">
        <v>5</v>
      </c>
      <c r="M16" s="97"/>
      <c r="N16" s="97"/>
      <c r="O16" s="97"/>
      <c r="P16" s="97"/>
      <c r="Q16" s="97"/>
      <c r="R16" s="97"/>
      <c r="S16" s="97"/>
      <c r="T16" s="97"/>
      <c r="U16" s="97"/>
      <c r="V16" s="97"/>
      <c r="W16" s="97"/>
      <c r="X16" s="97"/>
    </row>
    <row r="17" spans="1:24" ht="14.4" x14ac:dyDescent="0.3">
      <c r="A17" s="97" t="s">
        <v>252</v>
      </c>
      <c r="B17" s="97" t="s">
        <v>57</v>
      </c>
      <c r="C17" s="97">
        <v>107</v>
      </c>
      <c r="D17" s="97">
        <v>365</v>
      </c>
      <c r="E17" s="265">
        <v>0.29299999999999998</v>
      </c>
      <c r="F17" s="160">
        <v>1</v>
      </c>
      <c r="G17" s="265">
        <v>0.20499999999999999</v>
      </c>
      <c r="H17" s="97">
        <v>4</v>
      </c>
      <c r="I17" s="265">
        <v>0.17599999999999999</v>
      </c>
      <c r="J17" s="97">
        <v>3</v>
      </c>
      <c r="K17" s="265">
        <v>0.23699999999999999</v>
      </c>
      <c r="L17" s="97">
        <v>6</v>
      </c>
      <c r="M17" s="97"/>
      <c r="N17" s="97"/>
      <c r="O17" s="97"/>
      <c r="P17" s="97"/>
      <c r="Q17" s="97"/>
      <c r="R17" s="97"/>
      <c r="S17" s="97"/>
      <c r="T17" s="97"/>
      <c r="U17" s="97"/>
      <c r="V17" s="97"/>
      <c r="W17" s="97"/>
      <c r="X17" s="97"/>
    </row>
    <row r="18" spans="1:24" ht="14.4" x14ac:dyDescent="0.3">
      <c r="A18" s="97" t="s">
        <v>100</v>
      </c>
      <c r="B18" s="97" t="s">
        <v>57</v>
      </c>
      <c r="C18" s="97">
        <v>30</v>
      </c>
      <c r="D18" s="97">
        <v>100</v>
      </c>
      <c r="E18" s="265">
        <v>0.3</v>
      </c>
      <c r="F18" s="160">
        <v>1</v>
      </c>
      <c r="G18" s="265">
        <v>0.21</v>
      </c>
      <c r="H18" s="97">
        <v>4</v>
      </c>
      <c r="I18" s="265">
        <v>0.18</v>
      </c>
      <c r="J18" s="97">
        <v>3</v>
      </c>
      <c r="K18" s="265">
        <v>0.24299999999999999</v>
      </c>
      <c r="L18" s="97">
        <v>6</v>
      </c>
      <c r="M18" s="97"/>
      <c r="N18" s="97"/>
      <c r="O18" s="97"/>
      <c r="P18" s="97"/>
      <c r="Q18" s="97"/>
      <c r="R18" s="97"/>
      <c r="S18" s="97"/>
      <c r="T18" s="97"/>
      <c r="U18" s="97"/>
      <c r="V18" s="97"/>
      <c r="W18" s="97"/>
      <c r="X18" s="97"/>
    </row>
    <row r="19" spans="1:24" ht="14.4" x14ac:dyDescent="0.3">
      <c r="A19" s="97" t="s">
        <v>221</v>
      </c>
      <c r="B19" s="97" t="s">
        <v>57</v>
      </c>
      <c r="C19" s="97">
        <v>22</v>
      </c>
      <c r="D19" s="97">
        <v>73</v>
      </c>
      <c r="E19" s="265">
        <v>0.30099999999999999</v>
      </c>
      <c r="F19" s="160">
        <v>1</v>
      </c>
      <c r="G19" s="265">
        <v>0.21099999999999999</v>
      </c>
      <c r="H19" s="97">
        <v>4</v>
      </c>
      <c r="I19" s="265">
        <v>0.18099999999999999</v>
      </c>
      <c r="J19" s="97">
        <v>3</v>
      </c>
      <c r="K19" s="265">
        <v>0.24399999999999999</v>
      </c>
      <c r="L19" s="97">
        <v>6</v>
      </c>
      <c r="M19" s="97"/>
      <c r="N19" s="97"/>
      <c r="O19" s="97"/>
      <c r="P19" s="97"/>
      <c r="Q19" s="97"/>
      <c r="R19" s="97"/>
      <c r="S19" s="97"/>
      <c r="T19" s="97"/>
      <c r="U19" s="97"/>
      <c r="V19" s="97"/>
      <c r="W19" s="97"/>
      <c r="X19" s="97"/>
    </row>
    <row r="20" spans="1:24" ht="14.4" x14ac:dyDescent="0.3">
      <c r="A20" s="97" t="s">
        <v>95</v>
      </c>
      <c r="B20" s="97" t="s">
        <v>57</v>
      </c>
      <c r="C20" s="97">
        <v>200</v>
      </c>
      <c r="D20" s="97">
        <v>660</v>
      </c>
      <c r="E20" s="265">
        <v>0.30299999999999999</v>
      </c>
      <c r="F20" s="160">
        <v>1</v>
      </c>
      <c r="G20" s="265">
        <v>0.21199999999999999</v>
      </c>
      <c r="H20" s="97">
        <v>4</v>
      </c>
      <c r="I20" s="265">
        <v>0.182</v>
      </c>
      <c r="J20" s="97">
        <v>3</v>
      </c>
      <c r="K20" s="265">
        <v>0.245</v>
      </c>
      <c r="L20" s="97">
        <v>6</v>
      </c>
      <c r="M20" s="92"/>
      <c r="N20" s="97"/>
      <c r="O20" s="97"/>
      <c r="P20" s="97"/>
      <c r="Q20" s="97"/>
      <c r="R20" s="97"/>
      <c r="S20" s="97"/>
      <c r="T20" s="97"/>
      <c r="U20" s="97"/>
      <c r="V20" s="97"/>
      <c r="W20" s="97"/>
      <c r="X20" s="97"/>
    </row>
    <row r="21" spans="1:24" ht="14.4" x14ac:dyDescent="0.3">
      <c r="A21" s="97" t="s">
        <v>256</v>
      </c>
      <c r="B21" s="97" t="s">
        <v>57</v>
      </c>
      <c r="C21" s="97">
        <v>160</v>
      </c>
      <c r="D21" s="97">
        <v>525</v>
      </c>
      <c r="E21" s="265">
        <v>0.30499999999999999</v>
      </c>
      <c r="F21" s="160">
        <v>1</v>
      </c>
      <c r="G21" s="265">
        <v>0.21299999999999999</v>
      </c>
      <c r="H21" s="97">
        <v>4</v>
      </c>
      <c r="I21" s="265">
        <v>0.183</v>
      </c>
      <c r="J21" s="97">
        <v>3</v>
      </c>
      <c r="K21" s="265">
        <v>0.247</v>
      </c>
      <c r="L21" s="97">
        <v>6</v>
      </c>
      <c r="M21" s="97"/>
      <c r="N21" s="97"/>
      <c r="O21" s="97"/>
      <c r="P21" s="97"/>
      <c r="Q21" s="97"/>
      <c r="R21" s="97"/>
      <c r="S21" s="97"/>
      <c r="T21" s="97"/>
      <c r="U21" s="97"/>
      <c r="V21" s="97"/>
      <c r="W21" s="97"/>
      <c r="X21" s="97"/>
    </row>
    <row r="22" spans="1:24" ht="15.6" x14ac:dyDescent="0.3">
      <c r="A22" s="97" t="s">
        <v>305</v>
      </c>
      <c r="B22" s="97" t="s">
        <v>57</v>
      </c>
      <c r="C22" s="97">
        <v>77</v>
      </c>
      <c r="D22" s="97">
        <v>250</v>
      </c>
      <c r="E22" s="265">
        <v>0.308</v>
      </c>
      <c r="F22" s="160">
        <v>1</v>
      </c>
      <c r="G22" s="265">
        <v>0.216</v>
      </c>
      <c r="H22" s="97">
        <v>5</v>
      </c>
      <c r="I22" s="265">
        <v>0.185</v>
      </c>
      <c r="J22" s="97">
        <v>3</v>
      </c>
      <c r="K22" s="265">
        <v>0.249</v>
      </c>
      <c r="L22" s="97">
        <v>6</v>
      </c>
      <c r="M22" s="91"/>
      <c r="N22" s="97"/>
      <c r="O22" s="97"/>
      <c r="P22" s="97"/>
      <c r="Q22" s="97"/>
      <c r="R22" s="97"/>
      <c r="S22" s="97"/>
      <c r="T22" s="97"/>
      <c r="U22" s="97"/>
      <c r="V22" s="97"/>
      <c r="W22" s="97"/>
      <c r="X22" s="97"/>
    </row>
    <row r="23" spans="1:24" ht="14.4" x14ac:dyDescent="0.3">
      <c r="A23" s="97" t="s">
        <v>89</v>
      </c>
      <c r="B23" s="97" t="s">
        <v>57</v>
      </c>
      <c r="C23" s="97">
        <v>300</v>
      </c>
      <c r="D23" s="97">
        <v>960</v>
      </c>
      <c r="E23" s="265">
        <v>0.313</v>
      </c>
      <c r="F23" s="160">
        <v>1</v>
      </c>
      <c r="G23" s="265">
        <v>0.219</v>
      </c>
      <c r="H23" s="97">
        <v>5</v>
      </c>
      <c r="I23" s="265">
        <v>0.188</v>
      </c>
      <c r="J23" s="97">
        <v>3</v>
      </c>
      <c r="K23" s="265">
        <v>0.253</v>
      </c>
      <c r="L23" s="97">
        <v>6</v>
      </c>
      <c r="M23" s="97"/>
      <c r="N23" s="97"/>
      <c r="O23" s="97"/>
      <c r="P23" s="97"/>
      <c r="Q23" s="97"/>
      <c r="R23" s="97"/>
      <c r="S23" s="97"/>
      <c r="T23" s="97"/>
      <c r="U23" s="97"/>
      <c r="V23" s="97"/>
      <c r="W23" s="97"/>
      <c r="X23" s="97"/>
    </row>
    <row r="24" spans="1:24" ht="14.4" x14ac:dyDescent="0.3">
      <c r="A24" s="97" t="s">
        <v>166</v>
      </c>
      <c r="B24" s="97" t="s">
        <v>57</v>
      </c>
      <c r="C24" s="97">
        <v>170</v>
      </c>
      <c r="D24" s="97">
        <v>540</v>
      </c>
      <c r="E24" s="265">
        <v>0.315</v>
      </c>
      <c r="F24" s="160">
        <v>1</v>
      </c>
      <c r="G24" s="265">
        <v>0.22</v>
      </c>
      <c r="H24" s="97">
        <v>5</v>
      </c>
      <c r="I24" s="265">
        <v>0.189</v>
      </c>
      <c r="J24" s="97">
        <v>3</v>
      </c>
      <c r="K24" s="265">
        <v>0.255</v>
      </c>
      <c r="L24" s="97">
        <v>6</v>
      </c>
      <c r="M24" s="97"/>
      <c r="N24" s="97"/>
      <c r="O24" s="97"/>
      <c r="P24" s="97"/>
      <c r="Q24" s="97"/>
      <c r="R24" s="97"/>
      <c r="S24" s="97"/>
      <c r="T24" s="97"/>
      <c r="U24" s="97"/>
      <c r="V24" s="97"/>
      <c r="W24" s="97"/>
      <c r="X24" s="97"/>
    </row>
    <row r="25" spans="1:24" ht="14.4" x14ac:dyDescent="0.3">
      <c r="A25" s="97" t="s">
        <v>218</v>
      </c>
      <c r="B25" s="97" t="s">
        <v>57</v>
      </c>
      <c r="C25" s="97">
        <v>340</v>
      </c>
      <c r="D25" s="97">
        <v>1080</v>
      </c>
      <c r="E25" s="265">
        <v>0.315</v>
      </c>
      <c r="F25" s="160">
        <v>1</v>
      </c>
      <c r="G25" s="265">
        <v>0.22</v>
      </c>
      <c r="H25" s="97">
        <v>5</v>
      </c>
      <c r="I25" s="265">
        <v>0.189</v>
      </c>
      <c r="J25" s="97">
        <v>3</v>
      </c>
      <c r="K25" s="265">
        <v>0.255</v>
      </c>
      <c r="L25" s="97">
        <v>6</v>
      </c>
      <c r="M25" s="97"/>
      <c r="N25" s="97"/>
      <c r="O25" s="97"/>
      <c r="P25" s="97"/>
      <c r="Q25" s="97"/>
      <c r="R25" s="97"/>
      <c r="S25" s="97"/>
      <c r="T25" s="97"/>
      <c r="U25" s="97"/>
      <c r="V25" s="97"/>
      <c r="W25" s="97"/>
      <c r="X25" s="97"/>
    </row>
    <row r="26" spans="1:24" ht="14.4" x14ac:dyDescent="0.3">
      <c r="A26" s="97" t="s">
        <v>83</v>
      </c>
      <c r="B26" s="97" t="s">
        <v>57</v>
      </c>
      <c r="C26" s="97">
        <v>280</v>
      </c>
      <c r="D26" s="97">
        <v>870</v>
      </c>
      <c r="E26" s="265">
        <v>0.32200000000000001</v>
      </c>
      <c r="F26" s="160">
        <v>1</v>
      </c>
      <c r="G26" s="265">
        <v>0.22500000000000001</v>
      </c>
      <c r="H26" s="97">
        <v>5</v>
      </c>
      <c r="I26" s="265">
        <v>0.193</v>
      </c>
      <c r="J26" s="97">
        <v>4</v>
      </c>
      <c r="K26" s="265">
        <v>0.26100000000000001</v>
      </c>
      <c r="L26" s="97">
        <v>7</v>
      </c>
      <c r="M26" s="97"/>
      <c r="N26" s="97"/>
      <c r="O26" s="97"/>
      <c r="P26" s="97"/>
      <c r="Q26" s="97"/>
      <c r="R26" s="97"/>
      <c r="S26" s="97"/>
      <c r="T26" s="97"/>
      <c r="U26" s="97"/>
      <c r="V26" s="97"/>
      <c r="W26" s="97"/>
      <c r="X26" s="97"/>
    </row>
    <row r="27" spans="1:24" ht="14.4" x14ac:dyDescent="0.3">
      <c r="A27" s="97" t="s">
        <v>56</v>
      </c>
      <c r="B27" s="97" t="s">
        <v>57</v>
      </c>
      <c r="C27" s="97">
        <v>125</v>
      </c>
      <c r="D27" s="97">
        <v>385</v>
      </c>
      <c r="E27" s="265">
        <v>0.32500000000000001</v>
      </c>
      <c r="F27" s="160">
        <v>1</v>
      </c>
      <c r="G27" s="265">
        <v>0.22700000000000001</v>
      </c>
      <c r="H27" s="97">
        <v>5</v>
      </c>
      <c r="I27" s="265">
        <v>0.19500000000000001</v>
      </c>
      <c r="J27" s="97">
        <v>4</v>
      </c>
      <c r="K27" s="265">
        <v>0.26300000000000001</v>
      </c>
      <c r="L27" s="97">
        <v>7</v>
      </c>
      <c r="M27" s="97"/>
      <c r="N27" s="97"/>
      <c r="O27" s="97"/>
      <c r="P27" s="97"/>
      <c r="Q27" s="97"/>
      <c r="R27" s="97"/>
      <c r="S27" s="97"/>
      <c r="T27" s="97"/>
      <c r="U27" s="97"/>
      <c r="V27" s="97"/>
      <c r="W27" s="97"/>
      <c r="X27" s="97"/>
    </row>
    <row r="28" spans="1:24" ht="14.4" x14ac:dyDescent="0.3">
      <c r="A28" s="97" t="s">
        <v>47</v>
      </c>
      <c r="B28" s="97" t="s">
        <v>48</v>
      </c>
      <c r="C28" s="97">
        <v>10</v>
      </c>
      <c r="D28" s="97">
        <v>30</v>
      </c>
      <c r="E28" s="265">
        <v>0.33300000000000002</v>
      </c>
      <c r="F28" s="160">
        <v>1</v>
      </c>
      <c r="G28" s="265">
        <v>0.23300000000000001</v>
      </c>
      <c r="H28" s="97">
        <v>5</v>
      </c>
      <c r="I28" s="265">
        <v>0.2</v>
      </c>
      <c r="J28" s="97">
        <v>4</v>
      </c>
      <c r="K28" s="265">
        <v>0.27</v>
      </c>
      <c r="L28" s="97">
        <v>7</v>
      </c>
      <c r="M28" s="97"/>
      <c r="N28" s="97"/>
      <c r="O28" s="97"/>
      <c r="P28" s="97"/>
      <c r="Q28" s="97"/>
      <c r="R28" s="97"/>
      <c r="S28" s="97"/>
      <c r="T28" s="97"/>
      <c r="U28" s="97"/>
      <c r="V28" s="97"/>
      <c r="W28" s="97"/>
      <c r="X28" s="97"/>
    </row>
    <row r="29" spans="1:24" ht="14.4" x14ac:dyDescent="0.3">
      <c r="A29" s="97" t="s">
        <v>203</v>
      </c>
      <c r="B29" s="97" t="s">
        <v>48</v>
      </c>
      <c r="C29" s="97">
        <v>20</v>
      </c>
      <c r="D29" s="97">
        <v>60</v>
      </c>
      <c r="E29" s="265">
        <v>0.33300000000000002</v>
      </c>
      <c r="F29" s="160">
        <v>1</v>
      </c>
      <c r="G29" s="265">
        <v>0.23300000000000001</v>
      </c>
      <c r="H29" s="97">
        <v>5</v>
      </c>
      <c r="I29" s="265">
        <v>0.2</v>
      </c>
      <c r="J29" s="97">
        <v>4</v>
      </c>
      <c r="K29" s="265">
        <v>0.27</v>
      </c>
      <c r="L29" s="97">
        <v>7</v>
      </c>
      <c r="M29" s="97"/>
      <c r="N29" s="97"/>
      <c r="O29" s="97"/>
      <c r="P29" s="97"/>
      <c r="Q29" s="97"/>
      <c r="R29" s="97"/>
      <c r="S29" s="97"/>
      <c r="T29" s="97"/>
      <c r="U29" s="97"/>
      <c r="V29" s="97"/>
      <c r="W29" s="97"/>
      <c r="X29" s="97"/>
    </row>
    <row r="30" spans="1:24" ht="14.4" x14ac:dyDescent="0.3">
      <c r="A30" s="97" t="s">
        <v>274</v>
      </c>
      <c r="B30" s="97" t="s">
        <v>57</v>
      </c>
      <c r="C30" s="97">
        <v>10</v>
      </c>
      <c r="D30" s="97">
        <v>30</v>
      </c>
      <c r="E30" s="265">
        <v>0.33300000000000002</v>
      </c>
      <c r="F30" s="160">
        <v>1</v>
      </c>
      <c r="G30" s="265">
        <v>0.23300000000000001</v>
      </c>
      <c r="H30" s="97">
        <v>5</v>
      </c>
      <c r="I30" s="265">
        <v>0.2</v>
      </c>
      <c r="J30" s="97">
        <v>4</v>
      </c>
      <c r="K30" s="265">
        <v>0.27</v>
      </c>
      <c r="L30" s="97">
        <v>7</v>
      </c>
      <c r="M30" s="97"/>
      <c r="N30" s="97"/>
      <c r="O30" s="97"/>
      <c r="P30" s="97"/>
      <c r="Q30" s="97"/>
      <c r="R30" s="97"/>
      <c r="S30" s="97"/>
      <c r="T30" s="97"/>
      <c r="U30" s="97"/>
      <c r="V30" s="97"/>
      <c r="W30" s="97"/>
      <c r="X30" s="97"/>
    </row>
    <row r="31" spans="1:24" ht="14.4" x14ac:dyDescent="0.3">
      <c r="A31" s="97" t="s">
        <v>302</v>
      </c>
      <c r="B31" s="97" t="s">
        <v>57</v>
      </c>
      <c r="C31" s="97">
        <v>250</v>
      </c>
      <c r="D31" s="97">
        <v>750</v>
      </c>
      <c r="E31" s="265">
        <v>0.33300000000000002</v>
      </c>
      <c r="F31" s="160">
        <v>1</v>
      </c>
      <c r="G31" s="265">
        <v>0.23300000000000001</v>
      </c>
      <c r="H31" s="97">
        <v>5</v>
      </c>
      <c r="I31" s="265">
        <v>0.2</v>
      </c>
      <c r="J31" s="97">
        <v>4</v>
      </c>
      <c r="K31" s="265">
        <v>0.27</v>
      </c>
      <c r="L31" s="97">
        <v>7</v>
      </c>
      <c r="M31" s="97"/>
      <c r="N31" s="97"/>
      <c r="O31" s="97"/>
      <c r="P31" s="97"/>
      <c r="Q31" s="97"/>
      <c r="R31" s="97"/>
      <c r="S31" s="97"/>
      <c r="T31" s="97"/>
      <c r="U31" s="97"/>
      <c r="V31" s="97"/>
      <c r="W31" s="97"/>
      <c r="X31" s="97"/>
    </row>
    <row r="32" spans="1:24" ht="14.4" x14ac:dyDescent="0.3">
      <c r="A32" s="97" t="s">
        <v>213</v>
      </c>
      <c r="B32" s="97" t="s">
        <v>57</v>
      </c>
      <c r="C32" s="97">
        <v>195</v>
      </c>
      <c r="D32" s="97">
        <v>575</v>
      </c>
      <c r="E32" s="265">
        <v>0.33900000000000002</v>
      </c>
      <c r="F32" s="160">
        <v>3</v>
      </c>
      <c r="G32" s="265">
        <v>0.23699999999999999</v>
      </c>
      <c r="H32" s="97">
        <v>6</v>
      </c>
      <c r="I32" s="265">
        <v>0.20300000000000001</v>
      </c>
      <c r="J32" s="97">
        <v>4</v>
      </c>
      <c r="K32" s="265">
        <v>0.27500000000000002</v>
      </c>
      <c r="L32" s="97">
        <v>7</v>
      </c>
      <c r="M32" s="97"/>
      <c r="N32" s="97"/>
      <c r="O32" s="97"/>
      <c r="P32" s="97"/>
      <c r="Q32" s="97"/>
      <c r="R32" s="97"/>
      <c r="S32" s="97"/>
      <c r="T32" s="97"/>
      <c r="U32" s="97"/>
      <c r="V32" s="97"/>
      <c r="W32" s="97"/>
      <c r="X32" s="97"/>
    </row>
    <row r="33" spans="1:24" ht="14.4" x14ac:dyDescent="0.3">
      <c r="A33" s="97" t="s">
        <v>200</v>
      </c>
      <c r="B33" s="97" t="s">
        <v>65</v>
      </c>
      <c r="C33" s="97">
        <v>822</v>
      </c>
      <c r="D33" s="97">
        <v>2400</v>
      </c>
      <c r="E33" s="265">
        <v>0.34300000000000003</v>
      </c>
      <c r="F33" s="160">
        <v>3</v>
      </c>
      <c r="G33" s="265">
        <v>0.24</v>
      </c>
      <c r="H33" s="97">
        <v>6</v>
      </c>
      <c r="I33" s="265">
        <v>0.20599999999999999</v>
      </c>
      <c r="J33" s="97">
        <v>4</v>
      </c>
      <c r="K33" s="265">
        <v>0.27700000000000002</v>
      </c>
      <c r="L33" s="97">
        <v>7</v>
      </c>
      <c r="M33" s="97"/>
      <c r="N33" s="97"/>
      <c r="O33" s="97"/>
      <c r="P33" s="97"/>
      <c r="Q33" s="97"/>
      <c r="R33" s="97"/>
      <c r="S33" s="97"/>
      <c r="T33" s="97"/>
      <c r="U33" s="97"/>
      <c r="V33" s="97"/>
      <c r="W33" s="97"/>
      <c r="X33" s="97"/>
    </row>
    <row r="34" spans="1:24" ht="14.4" x14ac:dyDescent="0.3">
      <c r="A34" s="97" t="s">
        <v>236</v>
      </c>
      <c r="B34" s="97" t="s">
        <v>57</v>
      </c>
      <c r="C34" s="97">
        <v>470</v>
      </c>
      <c r="D34" s="97">
        <v>1358</v>
      </c>
      <c r="E34" s="265">
        <v>0.34599999999999997</v>
      </c>
      <c r="F34" s="160">
        <v>3</v>
      </c>
      <c r="G34" s="265">
        <v>0.24199999999999999</v>
      </c>
      <c r="H34" s="97">
        <v>6</v>
      </c>
      <c r="I34" s="265">
        <v>0.20799999999999999</v>
      </c>
      <c r="J34" s="97">
        <v>4</v>
      </c>
      <c r="K34" s="265">
        <v>0.28000000000000003</v>
      </c>
      <c r="L34" s="97">
        <v>7</v>
      </c>
      <c r="M34" s="97"/>
      <c r="N34" s="90"/>
      <c r="O34" s="97"/>
      <c r="P34" s="97"/>
      <c r="Q34" s="97"/>
      <c r="R34" s="97"/>
      <c r="S34" s="97"/>
      <c r="T34" s="97"/>
      <c r="U34" s="97"/>
      <c r="V34" s="97"/>
      <c r="W34" s="97"/>
      <c r="X34" s="97"/>
    </row>
    <row r="35" spans="1:24" ht="14.4" x14ac:dyDescent="0.3">
      <c r="A35" s="97" t="s">
        <v>72</v>
      </c>
      <c r="B35" s="97" t="s">
        <v>48</v>
      </c>
      <c r="C35" s="97">
        <v>100</v>
      </c>
      <c r="D35" s="97">
        <v>286</v>
      </c>
      <c r="E35" s="265">
        <v>0.35</v>
      </c>
      <c r="F35" s="160">
        <v>3</v>
      </c>
      <c r="G35" s="265">
        <v>0.245</v>
      </c>
      <c r="H35" s="97">
        <v>6</v>
      </c>
      <c r="I35" s="265">
        <v>0.21</v>
      </c>
      <c r="J35" s="97">
        <v>4</v>
      </c>
      <c r="K35" s="265">
        <v>0.28299999999999997</v>
      </c>
      <c r="L35" s="97">
        <v>8</v>
      </c>
      <c r="M35" s="97"/>
      <c r="N35" s="97"/>
      <c r="O35" s="97"/>
      <c r="P35" s="97"/>
      <c r="Q35" s="97"/>
      <c r="R35" s="97"/>
      <c r="S35" s="97"/>
      <c r="T35" s="97"/>
      <c r="U35" s="97"/>
      <c r="V35" s="97"/>
      <c r="W35" s="97"/>
      <c r="X35" s="97"/>
    </row>
    <row r="36" spans="1:24" ht="14.4" x14ac:dyDescent="0.3">
      <c r="A36" s="97" t="s">
        <v>146</v>
      </c>
      <c r="B36" s="97" t="s">
        <v>65</v>
      </c>
      <c r="C36" s="97">
        <v>35</v>
      </c>
      <c r="D36" s="97">
        <v>100</v>
      </c>
      <c r="E36" s="265">
        <v>0.35</v>
      </c>
      <c r="F36" s="160">
        <v>3</v>
      </c>
      <c r="G36" s="265">
        <v>0.245</v>
      </c>
      <c r="H36" s="97">
        <v>6</v>
      </c>
      <c r="I36" s="265">
        <v>0.21</v>
      </c>
      <c r="J36" s="97">
        <v>4</v>
      </c>
      <c r="K36" s="265">
        <v>0.28399999999999997</v>
      </c>
      <c r="L36" s="97">
        <v>8</v>
      </c>
      <c r="M36" s="97"/>
      <c r="N36" s="97"/>
      <c r="O36" s="97"/>
      <c r="P36" s="97"/>
      <c r="Q36" s="97"/>
      <c r="R36" s="97"/>
      <c r="S36" s="97"/>
      <c r="T36" s="97"/>
      <c r="U36" s="97"/>
      <c r="V36" s="97"/>
      <c r="W36" s="97"/>
      <c r="X36" s="97"/>
    </row>
    <row r="37" spans="1:24" ht="14.4" x14ac:dyDescent="0.3">
      <c r="A37" s="97" t="s">
        <v>158</v>
      </c>
      <c r="B37" s="97" t="s">
        <v>57</v>
      </c>
      <c r="C37" s="97">
        <v>350</v>
      </c>
      <c r="D37" s="97">
        <v>1000</v>
      </c>
      <c r="E37" s="265">
        <v>0.35</v>
      </c>
      <c r="F37" s="160">
        <v>3</v>
      </c>
      <c r="G37" s="265">
        <v>0.245</v>
      </c>
      <c r="H37" s="97">
        <v>6</v>
      </c>
      <c r="I37" s="265">
        <v>0.21</v>
      </c>
      <c r="J37" s="97">
        <v>4</v>
      </c>
      <c r="K37" s="265">
        <v>0.28399999999999997</v>
      </c>
      <c r="L37" s="97">
        <v>8</v>
      </c>
      <c r="M37" s="97"/>
      <c r="N37" s="97"/>
      <c r="O37" s="97"/>
      <c r="P37" s="97"/>
      <c r="Q37" s="97"/>
      <c r="R37" s="97"/>
      <c r="S37" s="97"/>
      <c r="T37" s="97"/>
      <c r="U37" s="97"/>
      <c r="V37" s="97"/>
      <c r="W37" s="97"/>
      <c r="X37" s="97"/>
    </row>
    <row r="38" spans="1:24" ht="14.4" x14ac:dyDescent="0.3">
      <c r="A38" s="97" t="s">
        <v>283</v>
      </c>
      <c r="B38" s="97" t="s">
        <v>48</v>
      </c>
      <c r="C38" s="97">
        <v>100</v>
      </c>
      <c r="D38" s="97">
        <v>280</v>
      </c>
      <c r="E38" s="265">
        <v>0.35699999999999998</v>
      </c>
      <c r="F38" s="160">
        <v>5</v>
      </c>
      <c r="G38" s="265">
        <v>0.25</v>
      </c>
      <c r="H38" s="97">
        <v>6</v>
      </c>
      <c r="I38" s="265">
        <v>0.214</v>
      </c>
      <c r="J38" s="97">
        <v>4</v>
      </c>
      <c r="K38" s="265">
        <v>0.28899999999999998</v>
      </c>
      <c r="L38" s="97">
        <v>8</v>
      </c>
      <c r="M38" s="97"/>
      <c r="N38" s="97"/>
      <c r="O38" s="97"/>
      <c r="P38" s="97"/>
      <c r="Q38" s="97"/>
      <c r="R38" s="97"/>
      <c r="S38" s="97"/>
      <c r="T38" s="97"/>
      <c r="U38" s="97"/>
      <c r="V38" s="97"/>
      <c r="W38" s="97"/>
      <c r="X38" s="97"/>
    </row>
    <row r="39" spans="1:24" ht="14.4" x14ac:dyDescent="0.3">
      <c r="A39" s="97" t="s">
        <v>247</v>
      </c>
      <c r="B39" s="97" t="s">
        <v>48</v>
      </c>
      <c r="C39" s="97">
        <v>55</v>
      </c>
      <c r="D39" s="97">
        <v>140</v>
      </c>
      <c r="E39" s="265">
        <v>0.39300000000000002</v>
      </c>
      <c r="F39" s="160">
        <v>9</v>
      </c>
      <c r="G39" s="265">
        <v>0.27500000000000002</v>
      </c>
      <c r="H39" s="97">
        <v>7</v>
      </c>
      <c r="I39" s="265">
        <v>0.23599999999999999</v>
      </c>
      <c r="J39" s="97">
        <v>5</v>
      </c>
      <c r="K39" s="265">
        <v>0.318</v>
      </c>
      <c r="L39" s="97">
        <v>9</v>
      </c>
      <c r="M39" s="97"/>
      <c r="N39" s="90"/>
      <c r="O39" s="97"/>
      <c r="P39" s="97"/>
      <c r="Q39" s="97"/>
      <c r="R39" s="97"/>
      <c r="S39" s="97"/>
      <c r="T39" s="97"/>
      <c r="U39" s="97"/>
      <c r="V39" s="97"/>
      <c r="W39" s="97"/>
      <c r="X39" s="97"/>
    </row>
    <row r="40" spans="1:24" ht="14.4" x14ac:dyDescent="0.3">
      <c r="A40" s="97" t="s">
        <v>104</v>
      </c>
      <c r="B40" s="97" t="s">
        <v>105</v>
      </c>
      <c r="C40" s="97">
        <v>100</v>
      </c>
      <c r="D40" s="97">
        <v>250</v>
      </c>
      <c r="E40" s="265">
        <v>0.4</v>
      </c>
      <c r="F40" s="160">
        <v>9</v>
      </c>
      <c r="G40" s="265">
        <v>0.28000000000000003</v>
      </c>
      <c r="H40" s="97">
        <v>7</v>
      </c>
      <c r="I40" s="265">
        <v>0.24</v>
      </c>
      <c r="J40" s="97">
        <v>6</v>
      </c>
      <c r="K40" s="265">
        <v>0.32400000000000001</v>
      </c>
      <c r="L40" s="97">
        <v>9</v>
      </c>
      <c r="M40" s="97"/>
      <c r="N40" s="97"/>
      <c r="O40" s="97"/>
      <c r="P40" s="97"/>
      <c r="Q40" s="97"/>
      <c r="R40" s="97"/>
      <c r="S40" s="97"/>
      <c r="T40" s="97"/>
      <c r="U40" s="97"/>
      <c r="V40" s="97"/>
      <c r="W40" s="97"/>
      <c r="X40" s="97"/>
    </row>
    <row r="41" spans="1:24" ht="14.4" x14ac:dyDescent="0.3">
      <c r="A41" s="97" t="s">
        <v>191</v>
      </c>
      <c r="B41" s="97" t="s">
        <v>105</v>
      </c>
      <c r="C41" s="97">
        <v>1200</v>
      </c>
      <c r="D41" s="97">
        <v>3000</v>
      </c>
      <c r="E41" s="265">
        <v>0.4</v>
      </c>
      <c r="F41" s="160">
        <v>9</v>
      </c>
      <c r="G41" s="265">
        <v>0.28000000000000003</v>
      </c>
      <c r="H41" s="97">
        <v>7</v>
      </c>
      <c r="I41" s="265">
        <v>0.24</v>
      </c>
      <c r="J41" s="97">
        <v>6</v>
      </c>
      <c r="K41" s="265">
        <v>0.32400000000000001</v>
      </c>
      <c r="L41" s="97">
        <v>9</v>
      </c>
      <c r="M41" s="97"/>
      <c r="N41" s="97"/>
      <c r="O41" s="97"/>
      <c r="P41" s="97"/>
      <c r="Q41" s="97"/>
      <c r="R41" s="97"/>
      <c r="S41" s="97"/>
      <c r="T41" s="97"/>
      <c r="U41" s="97"/>
      <c r="V41" s="97"/>
      <c r="W41" s="97"/>
      <c r="X41" s="97"/>
    </row>
    <row r="42" spans="1:24" ht="14.4" x14ac:dyDescent="0.3">
      <c r="A42" s="97" t="s">
        <v>263</v>
      </c>
      <c r="B42" s="97" t="s">
        <v>105</v>
      </c>
      <c r="C42" s="97">
        <v>16</v>
      </c>
      <c r="D42" s="97">
        <v>40</v>
      </c>
      <c r="E42" s="265">
        <v>0.4</v>
      </c>
      <c r="F42" s="160">
        <v>9</v>
      </c>
      <c r="G42" s="265">
        <v>0.28000000000000003</v>
      </c>
      <c r="H42" s="97">
        <v>7</v>
      </c>
      <c r="I42" s="265">
        <v>0.24</v>
      </c>
      <c r="J42" s="97">
        <v>6</v>
      </c>
      <c r="K42" s="265">
        <v>0.32400000000000001</v>
      </c>
      <c r="L42" s="97">
        <v>9</v>
      </c>
      <c r="M42" s="97"/>
      <c r="N42" s="97"/>
      <c r="O42" s="97"/>
      <c r="P42" s="97"/>
      <c r="Q42" s="97"/>
      <c r="R42" s="97"/>
      <c r="S42" s="97"/>
      <c r="T42" s="97"/>
      <c r="U42" s="97"/>
      <c r="V42" s="97"/>
      <c r="W42" s="97"/>
      <c r="X42" s="97"/>
    </row>
    <row r="43" spans="1:24" ht="14.4" x14ac:dyDescent="0.3">
      <c r="A43" s="97" t="s">
        <v>269</v>
      </c>
      <c r="B43" s="97" t="s">
        <v>105</v>
      </c>
      <c r="C43" s="97">
        <v>300</v>
      </c>
      <c r="D43" s="97">
        <v>750</v>
      </c>
      <c r="E43" s="265">
        <v>0.4</v>
      </c>
      <c r="F43" s="160">
        <v>9</v>
      </c>
      <c r="G43" s="265">
        <v>0.28000000000000003</v>
      </c>
      <c r="H43" s="97">
        <v>7</v>
      </c>
      <c r="I43" s="265">
        <v>0.24</v>
      </c>
      <c r="J43" s="97">
        <v>6</v>
      </c>
      <c r="K43" s="265">
        <v>0.32400000000000001</v>
      </c>
      <c r="L43" s="97">
        <v>9</v>
      </c>
      <c r="M43" s="97"/>
      <c r="N43" s="97"/>
      <c r="O43" s="97"/>
      <c r="P43" s="97"/>
      <c r="Q43" s="97"/>
      <c r="R43" s="97"/>
      <c r="S43" s="97"/>
      <c r="T43" s="97"/>
      <c r="U43" s="97"/>
      <c r="V43" s="97"/>
      <c r="W43" s="97"/>
      <c r="X43" s="97"/>
    </row>
    <row r="44" spans="1:24" ht="14.4" x14ac:dyDescent="0.3">
      <c r="A44" s="97" t="s">
        <v>279</v>
      </c>
      <c r="B44" s="97" t="s">
        <v>65</v>
      </c>
      <c r="C44" s="97">
        <v>60</v>
      </c>
      <c r="D44" s="97">
        <v>150</v>
      </c>
      <c r="E44" s="265">
        <v>0.4</v>
      </c>
      <c r="F44" s="160">
        <v>9</v>
      </c>
      <c r="G44" s="265">
        <v>0.28000000000000003</v>
      </c>
      <c r="H44" s="97">
        <v>7</v>
      </c>
      <c r="I44" s="265">
        <v>0.24</v>
      </c>
      <c r="J44" s="97">
        <v>6</v>
      </c>
      <c r="K44" s="265">
        <v>0.32400000000000001</v>
      </c>
      <c r="L44" s="97">
        <v>9</v>
      </c>
      <c r="M44" s="97"/>
      <c r="N44" s="97"/>
      <c r="O44" s="97"/>
      <c r="P44" s="97"/>
      <c r="Q44" s="97"/>
      <c r="R44" s="97"/>
      <c r="S44" s="97"/>
      <c r="T44" s="97"/>
      <c r="U44" s="97"/>
      <c r="V44" s="97"/>
      <c r="W44" s="97"/>
      <c r="X44" s="97"/>
    </row>
    <row r="45" spans="1:24" ht="14.4" x14ac:dyDescent="0.3">
      <c r="A45" s="97" t="s">
        <v>297</v>
      </c>
      <c r="B45" s="97" t="s">
        <v>105</v>
      </c>
      <c r="C45" s="97">
        <v>120</v>
      </c>
      <c r="D45" s="97">
        <v>300</v>
      </c>
      <c r="E45" s="265">
        <v>0.4</v>
      </c>
      <c r="F45" s="160">
        <v>9</v>
      </c>
      <c r="G45" s="265">
        <v>0.28000000000000003</v>
      </c>
      <c r="H45" s="97">
        <v>7</v>
      </c>
      <c r="I45" s="265">
        <v>0.24</v>
      </c>
      <c r="J45" s="97">
        <v>6</v>
      </c>
      <c r="K45" s="265">
        <v>0.32400000000000001</v>
      </c>
      <c r="L45" s="97">
        <v>9</v>
      </c>
      <c r="M45" s="97"/>
      <c r="N45" s="97"/>
      <c r="O45" s="97"/>
      <c r="P45" s="97"/>
      <c r="Q45" s="97"/>
      <c r="R45" s="97"/>
      <c r="S45" s="97"/>
      <c r="T45" s="97"/>
      <c r="U45" s="97"/>
      <c r="V45" s="97"/>
      <c r="W45" s="97"/>
      <c r="X45" s="97"/>
    </row>
    <row r="46" spans="1:24" ht="14.4" x14ac:dyDescent="0.3">
      <c r="A46" s="97" t="s">
        <v>196</v>
      </c>
      <c r="B46" s="97" t="s">
        <v>65</v>
      </c>
      <c r="C46" s="97">
        <v>87</v>
      </c>
      <c r="D46" s="97">
        <v>215</v>
      </c>
      <c r="E46" s="265">
        <v>0.40500000000000003</v>
      </c>
      <c r="F46" s="160">
        <v>9</v>
      </c>
      <c r="G46" s="265">
        <v>0.28299999999999997</v>
      </c>
      <c r="H46" s="97">
        <v>8</v>
      </c>
      <c r="I46" s="265">
        <v>0.24299999999999999</v>
      </c>
      <c r="J46" s="97">
        <v>6</v>
      </c>
      <c r="K46" s="265">
        <v>0.32800000000000001</v>
      </c>
      <c r="L46" s="97">
        <v>10</v>
      </c>
      <c r="M46" s="97"/>
      <c r="N46" s="97"/>
      <c r="O46" s="97"/>
      <c r="P46" s="97"/>
      <c r="Q46" s="97"/>
      <c r="R46" s="97"/>
      <c r="S46" s="97"/>
      <c r="T46" s="97"/>
      <c r="U46" s="97"/>
      <c r="V46" s="97"/>
      <c r="W46" s="97"/>
      <c r="X46" s="97"/>
    </row>
    <row r="47" spans="1:24" ht="14.4" x14ac:dyDescent="0.3">
      <c r="A47" s="97" t="s">
        <v>224</v>
      </c>
      <c r="B47" s="97" t="s">
        <v>65</v>
      </c>
      <c r="C47" s="97">
        <v>165</v>
      </c>
      <c r="D47" s="97">
        <v>400</v>
      </c>
      <c r="E47" s="265">
        <v>0.41299999999999998</v>
      </c>
      <c r="F47" s="160">
        <v>9</v>
      </c>
      <c r="G47" s="265">
        <v>0.28899999999999998</v>
      </c>
      <c r="H47" s="97">
        <v>8</v>
      </c>
      <c r="I47" s="265">
        <v>0.248</v>
      </c>
      <c r="J47" s="97">
        <v>6</v>
      </c>
      <c r="K47" s="265">
        <v>0.33400000000000002</v>
      </c>
      <c r="L47" s="97">
        <v>10</v>
      </c>
      <c r="M47" s="97"/>
      <c r="N47" s="97"/>
      <c r="O47" s="97"/>
      <c r="P47" s="97"/>
      <c r="Q47" s="97"/>
      <c r="R47" s="97"/>
      <c r="S47" s="97"/>
      <c r="T47" s="97"/>
      <c r="U47" s="97"/>
      <c r="V47" s="97"/>
      <c r="W47" s="97"/>
      <c r="X47" s="97"/>
    </row>
    <row r="48" spans="1:24" ht="14.4" x14ac:dyDescent="0.3">
      <c r="A48" s="97" t="s">
        <v>316</v>
      </c>
      <c r="B48" s="97" t="s">
        <v>65</v>
      </c>
      <c r="C48" s="140">
        <v>82.5</v>
      </c>
      <c r="D48" s="97">
        <v>200</v>
      </c>
      <c r="E48" s="265">
        <v>0.41299999999999998</v>
      </c>
      <c r="F48" s="160">
        <v>9</v>
      </c>
      <c r="G48" s="265">
        <v>0.28899999999999998</v>
      </c>
      <c r="H48" s="97">
        <v>8</v>
      </c>
      <c r="I48" s="265">
        <v>0.248</v>
      </c>
      <c r="J48" s="97">
        <v>6</v>
      </c>
      <c r="K48" s="265">
        <v>0.33400000000000002</v>
      </c>
      <c r="L48" s="97">
        <v>10</v>
      </c>
      <c r="M48" s="97"/>
      <c r="N48" s="97"/>
      <c r="O48" s="97"/>
      <c r="P48" s="97"/>
      <c r="Q48" s="97"/>
      <c r="R48" s="97"/>
      <c r="S48" s="97"/>
      <c r="T48" s="97"/>
      <c r="U48" s="97"/>
      <c r="V48" s="97"/>
      <c r="W48" s="97"/>
      <c r="X48" s="97"/>
    </row>
    <row r="49" spans="1:24" ht="14.4" x14ac:dyDescent="0.3">
      <c r="A49" s="97" t="s">
        <v>184</v>
      </c>
      <c r="B49" s="97" t="s">
        <v>48</v>
      </c>
      <c r="C49" s="97">
        <v>200</v>
      </c>
      <c r="D49" s="97">
        <v>480</v>
      </c>
      <c r="E49" s="265">
        <v>0.41699999999999998</v>
      </c>
      <c r="F49" s="160">
        <v>9</v>
      </c>
      <c r="G49" s="265">
        <v>0.29199999999999998</v>
      </c>
      <c r="H49" s="97">
        <v>8</v>
      </c>
      <c r="I49" s="265">
        <v>0.25</v>
      </c>
      <c r="J49" s="97">
        <v>6</v>
      </c>
      <c r="K49" s="265">
        <v>0.33800000000000002</v>
      </c>
      <c r="L49" s="97">
        <v>10</v>
      </c>
      <c r="M49" s="97"/>
      <c r="N49" s="97"/>
      <c r="O49" s="97"/>
      <c r="P49" s="97"/>
      <c r="Q49" s="97"/>
      <c r="R49" s="97"/>
      <c r="S49" s="97"/>
      <c r="T49" s="97"/>
      <c r="U49" s="97"/>
      <c r="V49" s="97"/>
      <c r="W49" s="97"/>
      <c r="X49" s="97"/>
    </row>
    <row r="50" spans="1:24" ht="14.4" x14ac:dyDescent="0.3">
      <c r="A50" s="97" t="s">
        <v>188</v>
      </c>
      <c r="B50" s="97" t="s">
        <v>105</v>
      </c>
      <c r="C50" s="97">
        <v>250</v>
      </c>
      <c r="D50" s="97">
        <v>600</v>
      </c>
      <c r="E50" s="265">
        <v>0.41699999999999998</v>
      </c>
      <c r="F50" s="160">
        <v>9</v>
      </c>
      <c r="G50" s="265">
        <v>0.29199999999999998</v>
      </c>
      <c r="H50" s="97">
        <v>8</v>
      </c>
      <c r="I50" s="265">
        <v>0.25</v>
      </c>
      <c r="J50" s="97">
        <v>6</v>
      </c>
      <c r="K50" s="265">
        <v>0.33800000000000002</v>
      </c>
      <c r="L50" s="97">
        <v>10</v>
      </c>
      <c r="M50" s="97"/>
      <c r="N50" s="97"/>
      <c r="O50" s="97"/>
      <c r="P50" s="97"/>
      <c r="Q50" s="97"/>
      <c r="R50" s="97"/>
      <c r="S50" s="97"/>
      <c r="T50" s="97"/>
      <c r="U50" s="97"/>
      <c r="V50" s="97"/>
      <c r="W50" s="97"/>
      <c r="X50" s="97"/>
    </row>
    <row r="51" spans="1:24" ht="14.4" x14ac:dyDescent="0.3">
      <c r="A51" s="97" t="s">
        <v>153</v>
      </c>
      <c r="B51" s="97" t="s">
        <v>65</v>
      </c>
      <c r="C51" s="97">
        <v>210</v>
      </c>
      <c r="D51" s="97">
        <v>500</v>
      </c>
      <c r="E51" s="265">
        <v>0.42</v>
      </c>
      <c r="F51" s="160">
        <v>9</v>
      </c>
      <c r="G51" s="265">
        <v>0.29399999999999998</v>
      </c>
      <c r="H51" s="97">
        <v>8</v>
      </c>
      <c r="I51" s="265">
        <v>0.252</v>
      </c>
      <c r="J51" s="97">
        <v>6</v>
      </c>
      <c r="K51" s="265">
        <v>0.34</v>
      </c>
      <c r="L51" s="97">
        <v>10</v>
      </c>
      <c r="M51" s="97"/>
      <c r="N51" s="97"/>
      <c r="O51" s="97"/>
      <c r="P51" s="97"/>
      <c r="Q51" s="97"/>
      <c r="R51" s="97"/>
      <c r="S51" s="97"/>
      <c r="T51" s="97"/>
      <c r="U51" s="97"/>
      <c r="V51" s="97"/>
      <c r="W51" s="97"/>
      <c r="X51" s="97"/>
    </row>
    <row r="52" spans="1:24" ht="14.4" x14ac:dyDescent="0.3">
      <c r="A52" s="97" t="s">
        <v>259</v>
      </c>
      <c r="B52" s="97" t="s">
        <v>105</v>
      </c>
      <c r="C52" s="97">
        <v>168</v>
      </c>
      <c r="D52" s="97">
        <v>400</v>
      </c>
      <c r="E52" s="265">
        <v>0.42</v>
      </c>
      <c r="F52" s="160">
        <v>9</v>
      </c>
      <c r="G52" s="265">
        <v>0.29399999999999998</v>
      </c>
      <c r="H52" s="97">
        <v>8</v>
      </c>
      <c r="I52" s="265">
        <v>0.252</v>
      </c>
      <c r="J52" s="97">
        <v>6</v>
      </c>
      <c r="K52" s="265">
        <v>0.34</v>
      </c>
      <c r="L52" s="97">
        <v>10</v>
      </c>
      <c r="M52" s="97"/>
      <c r="N52" s="97"/>
      <c r="O52" s="97"/>
      <c r="P52" s="97"/>
      <c r="Q52" s="97"/>
      <c r="R52" s="97"/>
      <c r="S52" s="97"/>
      <c r="T52" s="97"/>
      <c r="U52" s="97"/>
      <c r="V52" s="97"/>
      <c r="W52" s="97"/>
      <c r="X52" s="97"/>
    </row>
    <row r="53" spans="1:24" ht="14.4" x14ac:dyDescent="0.3">
      <c r="A53" s="97" t="s">
        <v>208</v>
      </c>
      <c r="B53" s="97" t="s">
        <v>105</v>
      </c>
      <c r="C53" s="97">
        <v>100</v>
      </c>
      <c r="D53" s="97">
        <v>236</v>
      </c>
      <c r="E53" s="265">
        <v>0.42399999999999999</v>
      </c>
      <c r="F53" s="160">
        <v>9</v>
      </c>
      <c r="G53" s="265">
        <v>0.29699999999999999</v>
      </c>
      <c r="H53" s="97">
        <v>8</v>
      </c>
      <c r="I53" s="265">
        <v>0.254</v>
      </c>
      <c r="J53" s="97">
        <v>6</v>
      </c>
      <c r="K53" s="265">
        <v>0.34300000000000003</v>
      </c>
      <c r="L53" s="97">
        <v>10</v>
      </c>
      <c r="M53" s="97"/>
      <c r="N53" s="97"/>
      <c r="O53" s="97"/>
      <c r="P53" s="97"/>
      <c r="Q53" s="97"/>
      <c r="R53" s="97"/>
      <c r="S53" s="97"/>
      <c r="T53" s="97"/>
      <c r="U53" s="97"/>
      <c r="V53" s="97"/>
      <c r="W53" s="97"/>
      <c r="X53" s="97"/>
    </row>
    <row r="54" spans="1:24" ht="14.4" x14ac:dyDescent="0.3">
      <c r="A54" s="97" t="s">
        <v>77</v>
      </c>
      <c r="B54" s="97" t="s">
        <v>48</v>
      </c>
      <c r="C54" s="97">
        <v>300</v>
      </c>
      <c r="D54" s="97">
        <v>700</v>
      </c>
      <c r="E54" s="265">
        <v>0.42899999999999999</v>
      </c>
      <c r="F54" s="160">
        <v>9</v>
      </c>
      <c r="G54" s="265">
        <v>0.3</v>
      </c>
      <c r="H54" s="97">
        <v>8</v>
      </c>
      <c r="I54" s="265">
        <v>0.25700000000000001</v>
      </c>
      <c r="J54" s="97">
        <v>6</v>
      </c>
      <c r="K54" s="265">
        <v>0.34699999999999998</v>
      </c>
      <c r="L54" s="97">
        <v>10</v>
      </c>
      <c r="M54" s="97"/>
      <c r="N54" s="97"/>
      <c r="O54" s="97"/>
      <c r="P54" s="97"/>
      <c r="Q54" s="97"/>
      <c r="R54" s="97"/>
      <c r="S54" s="97"/>
      <c r="T54" s="97"/>
      <c r="U54" s="97"/>
      <c r="V54" s="97"/>
      <c r="W54" s="97"/>
      <c r="X54" s="97"/>
    </row>
    <row r="55" spans="1:24" ht="14.4" x14ac:dyDescent="0.3">
      <c r="A55" s="97" t="s">
        <v>243</v>
      </c>
      <c r="B55" s="97" t="s">
        <v>65</v>
      </c>
      <c r="C55" s="97">
        <v>272</v>
      </c>
      <c r="D55" s="97">
        <v>625</v>
      </c>
      <c r="E55" s="265">
        <v>0.435</v>
      </c>
      <c r="F55" s="160">
        <v>9</v>
      </c>
      <c r="G55" s="265">
        <v>0.30499999999999999</v>
      </c>
      <c r="H55" s="97">
        <v>9</v>
      </c>
      <c r="I55" s="265">
        <v>0.26100000000000001</v>
      </c>
      <c r="J55" s="97">
        <v>7</v>
      </c>
      <c r="K55" s="265">
        <v>0.35299999999999998</v>
      </c>
      <c r="L55" s="97">
        <v>10</v>
      </c>
      <c r="M55" s="97"/>
      <c r="N55" s="90"/>
      <c r="O55" s="97"/>
      <c r="P55" s="97"/>
      <c r="Q55" s="97"/>
      <c r="R55" s="97"/>
      <c r="S55" s="97"/>
      <c r="T55" s="97"/>
      <c r="U55" s="97"/>
      <c r="V55" s="97"/>
      <c r="W55" s="97"/>
      <c r="X55" s="97"/>
    </row>
    <row r="56" spans="1:24" ht="14.4" x14ac:dyDescent="0.3">
      <c r="A56" s="97" t="s">
        <v>179</v>
      </c>
      <c r="B56" s="97" t="s">
        <v>105</v>
      </c>
      <c r="C56" s="97">
        <v>140</v>
      </c>
      <c r="D56" s="97">
        <v>320</v>
      </c>
      <c r="E56" s="265">
        <v>0.438</v>
      </c>
      <c r="F56" s="160">
        <v>9</v>
      </c>
      <c r="G56" s="265">
        <v>0.30599999999999999</v>
      </c>
      <c r="H56" s="97">
        <v>9</v>
      </c>
      <c r="I56" s="265">
        <v>0.26300000000000001</v>
      </c>
      <c r="J56" s="97">
        <v>7</v>
      </c>
      <c r="K56" s="265">
        <v>0.35399999999999998</v>
      </c>
      <c r="L56" s="97">
        <v>10</v>
      </c>
      <c r="M56" s="97"/>
      <c r="N56" s="97"/>
      <c r="O56" s="97"/>
      <c r="P56" s="97"/>
      <c r="Q56" s="97"/>
      <c r="R56" s="97"/>
      <c r="S56" s="97"/>
      <c r="T56" s="97"/>
      <c r="U56" s="97"/>
      <c r="V56" s="97"/>
      <c r="W56" s="97"/>
      <c r="X56" s="97"/>
    </row>
    <row r="57" spans="1:24" ht="14.4" x14ac:dyDescent="0.3">
      <c r="A57" s="97" t="s">
        <v>130</v>
      </c>
      <c r="B57" s="97" t="s">
        <v>105</v>
      </c>
      <c r="C57" s="97">
        <v>200</v>
      </c>
      <c r="D57" s="97">
        <v>450</v>
      </c>
      <c r="E57" s="265">
        <v>0.44400000000000001</v>
      </c>
      <c r="F57" s="160">
        <v>9</v>
      </c>
      <c r="G57" s="265">
        <v>0.311</v>
      </c>
      <c r="H57" s="97">
        <v>9</v>
      </c>
      <c r="I57" s="265">
        <v>0.26700000000000002</v>
      </c>
      <c r="J57" s="97">
        <v>7</v>
      </c>
      <c r="K57" s="265">
        <v>0.36</v>
      </c>
      <c r="L57" s="97">
        <v>10</v>
      </c>
      <c r="M57" s="97"/>
      <c r="N57" s="90"/>
      <c r="O57" s="97"/>
      <c r="P57" s="97"/>
      <c r="Q57" s="97"/>
      <c r="R57" s="97"/>
      <c r="S57" s="97"/>
      <c r="T57" s="97"/>
      <c r="U57" s="97"/>
      <c r="V57" s="97"/>
      <c r="W57" s="97"/>
      <c r="X57" s="97"/>
    </row>
    <row r="58" spans="1:24" ht="14.4" x14ac:dyDescent="0.3">
      <c r="A58" s="97" t="s">
        <v>292</v>
      </c>
      <c r="B58" s="97" t="s">
        <v>105</v>
      </c>
      <c r="C58" s="97">
        <v>250</v>
      </c>
      <c r="D58" s="97">
        <v>557</v>
      </c>
      <c r="E58" s="265">
        <v>0.44900000000000001</v>
      </c>
      <c r="F58" s="160">
        <v>10</v>
      </c>
      <c r="G58" s="265">
        <v>0.314</v>
      </c>
      <c r="H58" s="97">
        <v>9</v>
      </c>
      <c r="I58" s="265">
        <v>0.26900000000000002</v>
      </c>
      <c r="J58" s="97">
        <v>7</v>
      </c>
      <c r="K58" s="265">
        <v>0.36399999999999999</v>
      </c>
      <c r="L58" s="90">
        <v>10</v>
      </c>
      <c r="M58" s="97"/>
      <c r="N58" s="97"/>
      <c r="O58" s="97"/>
      <c r="P58" s="97"/>
      <c r="Q58" s="97"/>
      <c r="R58" s="97"/>
      <c r="S58" s="97"/>
      <c r="T58" s="97"/>
      <c r="U58" s="97"/>
      <c r="V58" s="97"/>
      <c r="W58" s="97"/>
      <c r="X58" s="97"/>
    </row>
    <row r="59" spans="1:24" ht="14.4" x14ac:dyDescent="0.3">
      <c r="A59" s="97" t="s">
        <v>309</v>
      </c>
      <c r="B59" s="97" t="s">
        <v>48</v>
      </c>
      <c r="C59" s="97">
        <v>450</v>
      </c>
      <c r="D59" s="97">
        <v>950</v>
      </c>
      <c r="E59" s="265">
        <v>0.47399999999999998</v>
      </c>
      <c r="F59" s="160">
        <v>10</v>
      </c>
      <c r="G59" s="265">
        <v>0.33200000000000002</v>
      </c>
      <c r="H59" s="97">
        <v>10</v>
      </c>
      <c r="I59" s="265">
        <v>0.28399999999999997</v>
      </c>
      <c r="J59" s="97">
        <v>8</v>
      </c>
      <c r="K59" s="265">
        <v>0.38400000000000001</v>
      </c>
      <c r="L59" s="90">
        <v>10</v>
      </c>
      <c r="M59" s="97"/>
      <c r="N59" s="97"/>
      <c r="O59" s="97"/>
      <c r="P59" s="97"/>
      <c r="Q59" s="97"/>
      <c r="R59" s="97"/>
      <c r="S59" s="97"/>
      <c r="T59" s="97"/>
      <c r="U59" s="97"/>
      <c r="V59" s="97"/>
      <c r="W59" s="97"/>
      <c r="X59" s="97"/>
    </row>
    <row r="60" spans="1:24" ht="14.4" x14ac:dyDescent="0.3">
      <c r="A60" s="97" t="s">
        <v>139</v>
      </c>
      <c r="B60" s="97" t="s">
        <v>65</v>
      </c>
      <c r="C60" s="97">
        <v>288</v>
      </c>
      <c r="D60" s="97">
        <v>600</v>
      </c>
      <c r="E60" s="265">
        <v>0.48</v>
      </c>
      <c r="F60" s="160">
        <v>10</v>
      </c>
      <c r="G60" s="265">
        <v>0.33600000000000002</v>
      </c>
      <c r="H60" s="97">
        <v>10</v>
      </c>
      <c r="I60" s="265">
        <v>0.28799999999999998</v>
      </c>
      <c r="J60" s="97">
        <v>8</v>
      </c>
      <c r="K60" s="265">
        <v>0.38900000000000001</v>
      </c>
      <c r="L60" s="90">
        <v>10</v>
      </c>
      <c r="M60" s="97"/>
      <c r="N60" s="97"/>
      <c r="O60" s="97"/>
      <c r="P60" s="97"/>
      <c r="Q60" s="97"/>
      <c r="R60" s="97"/>
      <c r="S60" s="97"/>
      <c r="T60" s="97"/>
      <c r="U60" s="97"/>
      <c r="V60" s="97"/>
      <c r="W60" s="97"/>
      <c r="X60" s="97"/>
    </row>
    <row r="61" spans="1:24" ht="14.4" x14ac:dyDescent="0.3">
      <c r="A61" s="90" t="s">
        <v>64</v>
      </c>
      <c r="B61" s="90" t="s">
        <v>65</v>
      </c>
      <c r="C61" s="90">
        <v>50</v>
      </c>
      <c r="D61" s="90">
        <v>100</v>
      </c>
      <c r="E61" s="263">
        <v>0.5</v>
      </c>
      <c r="F61" s="161">
        <v>10</v>
      </c>
      <c r="G61" s="265">
        <v>0.35</v>
      </c>
      <c r="H61" s="97">
        <v>10</v>
      </c>
      <c r="I61" s="265">
        <v>0.3</v>
      </c>
      <c r="J61" s="97">
        <v>8</v>
      </c>
      <c r="K61" s="265">
        <v>0.40500000000000003</v>
      </c>
      <c r="L61" s="93">
        <v>10</v>
      </c>
      <c r="M61" s="97"/>
      <c r="N61" s="97"/>
      <c r="O61" s="97"/>
      <c r="P61" s="97"/>
      <c r="Q61" s="97"/>
      <c r="R61" s="97"/>
      <c r="S61" s="97"/>
      <c r="T61" s="97"/>
      <c r="U61" s="97"/>
      <c r="V61" s="97"/>
      <c r="W61" s="97"/>
      <c r="X61" s="97"/>
    </row>
    <row r="62" spans="1:24" ht="14.4" x14ac:dyDescent="0.3">
      <c r="A62" s="90" t="s">
        <v>127</v>
      </c>
      <c r="B62" s="90" t="s">
        <v>65</v>
      </c>
      <c r="C62" s="90">
        <v>50</v>
      </c>
      <c r="D62" s="90">
        <v>100</v>
      </c>
      <c r="E62" s="263">
        <v>0.5</v>
      </c>
      <c r="F62" s="161">
        <v>10</v>
      </c>
      <c r="G62" s="265">
        <v>0.35</v>
      </c>
      <c r="H62" s="97">
        <v>10</v>
      </c>
      <c r="I62" s="265">
        <v>0.3</v>
      </c>
      <c r="J62" s="97">
        <v>8</v>
      </c>
      <c r="K62" s="265">
        <v>0.40500000000000003</v>
      </c>
      <c r="L62" s="93">
        <v>10</v>
      </c>
      <c r="M62" s="97"/>
      <c r="N62" s="97"/>
      <c r="O62" s="97"/>
      <c r="P62" s="97"/>
      <c r="Q62" s="97"/>
      <c r="R62" s="97"/>
      <c r="S62" s="97"/>
      <c r="T62" s="97"/>
      <c r="U62" s="97"/>
      <c r="V62" s="97"/>
      <c r="W62" s="97"/>
      <c r="X62" s="97"/>
    </row>
    <row r="63" spans="1:24" ht="14.4" x14ac:dyDescent="0.3">
      <c r="A63" s="90" t="s">
        <v>135</v>
      </c>
      <c r="B63" s="90" t="s">
        <v>65</v>
      </c>
      <c r="C63" s="90">
        <v>300</v>
      </c>
      <c r="D63" s="90">
        <v>600</v>
      </c>
      <c r="E63" s="263">
        <v>0.5</v>
      </c>
      <c r="F63" s="161">
        <v>10</v>
      </c>
      <c r="G63" s="265">
        <v>0.35</v>
      </c>
      <c r="H63" s="97">
        <v>10</v>
      </c>
      <c r="I63" s="265">
        <v>0.3</v>
      </c>
      <c r="J63" s="97">
        <v>8</v>
      </c>
      <c r="K63" s="265">
        <v>0.40500000000000003</v>
      </c>
      <c r="L63" s="93">
        <v>10</v>
      </c>
      <c r="M63" s="97"/>
      <c r="N63" s="97"/>
      <c r="O63" s="97"/>
      <c r="P63" s="97"/>
      <c r="Q63" s="97"/>
      <c r="R63" s="97"/>
      <c r="S63" s="97"/>
      <c r="T63" s="97"/>
      <c r="U63" s="97"/>
      <c r="V63" s="97"/>
      <c r="W63" s="97"/>
      <c r="X63" s="97"/>
    </row>
    <row r="64" spans="1:24" ht="14.4" x14ac:dyDescent="0.3">
      <c r="A64" s="90" t="s">
        <v>121</v>
      </c>
      <c r="B64" s="90" t="s">
        <v>65</v>
      </c>
      <c r="C64" s="90">
        <v>265</v>
      </c>
      <c r="D64" s="90">
        <v>500</v>
      </c>
      <c r="E64" s="263">
        <v>0.53</v>
      </c>
      <c r="F64" s="161">
        <v>10</v>
      </c>
      <c r="G64" s="265">
        <v>0.371</v>
      </c>
      <c r="H64" s="90">
        <v>10</v>
      </c>
      <c r="I64" s="265">
        <v>0.318</v>
      </c>
      <c r="J64" s="97">
        <v>9</v>
      </c>
      <c r="K64" s="265">
        <v>0.42899999999999999</v>
      </c>
      <c r="L64" s="93">
        <v>10</v>
      </c>
      <c r="M64" s="97"/>
      <c r="N64" s="97"/>
      <c r="O64" s="97"/>
      <c r="P64" s="97"/>
      <c r="Q64" s="97"/>
      <c r="R64" s="97"/>
      <c r="S64" s="97"/>
      <c r="T64" s="97"/>
      <c r="U64" s="97"/>
      <c r="V64" s="97"/>
      <c r="W64" s="97"/>
      <c r="X64" s="97"/>
    </row>
    <row r="65" spans="1:24" ht="14.4" x14ac:dyDescent="0.3">
      <c r="A65" s="93" t="s">
        <v>161</v>
      </c>
      <c r="B65" s="93" t="s">
        <v>105</v>
      </c>
      <c r="C65" s="93">
        <v>390</v>
      </c>
      <c r="D65" s="93">
        <v>440</v>
      </c>
      <c r="E65" s="266">
        <v>0.88600000000000001</v>
      </c>
      <c r="F65" s="162">
        <v>10</v>
      </c>
      <c r="G65" s="265">
        <v>0.62</v>
      </c>
      <c r="H65" s="93">
        <v>10</v>
      </c>
      <c r="I65" s="265">
        <v>0.53200000000000003</v>
      </c>
      <c r="J65" s="93">
        <v>10</v>
      </c>
      <c r="K65" s="265">
        <v>0.71799999999999997</v>
      </c>
      <c r="L65" s="93">
        <v>10</v>
      </c>
      <c r="M65" s="97"/>
      <c r="N65" s="97"/>
      <c r="O65" s="97"/>
      <c r="P65" s="97"/>
      <c r="Q65" s="97"/>
      <c r="R65" s="97"/>
      <c r="S65" s="97"/>
      <c r="T65" s="97"/>
      <c r="U65" s="97"/>
      <c r="V65" s="97"/>
      <c r="W65" s="97"/>
      <c r="X65" s="97"/>
    </row>
    <row r="66" spans="1:24" ht="14.4" x14ac:dyDescent="0.3">
      <c r="A66" s="97"/>
      <c r="B66" s="97"/>
      <c r="C66" s="97"/>
      <c r="D66" s="97"/>
      <c r="E66" s="97"/>
      <c r="F66" s="97"/>
      <c r="G66" s="97"/>
      <c r="H66" s="97"/>
      <c r="I66" s="97"/>
      <c r="J66" s="97"/>
      <c r="K66" s="97"/>
      <c r="L66" s="97"/>
      <c r="M66" s="97"/>
      <c r="N66" s="97"/>
      <c r="O66" s="97"/>
      <c r="P66" s="97"/>
      <c r="Q66" s="97"/>
      <c r="R66" s="97"/>
      <c r="S66" s="97"/>
      <c r="T66" s="97"/>
      <c r="U66" s="97"/>
      <c r="V66" s="97"/>
      <c r="W66" s="97"/>
      <c r="X66" s="97"/>
    </row>
    <row r="68" spans="1:24" ht="15" customHeight="1" x14ac:dyDescent="0.3">
      <c r="E68" s="262"/>
    </row>
    <row r="69" spans="1:24" ht="15" customHeight="1" x14ac:dyDescent="0.3">
      <c r="E69" s="267"/>
    </row>
  </sheetData>
  <autoFilter ref="A2:L2" xr:uid="{FDDEAF95-94E0-4BE6-AFC1-918DA66812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A7951-3408-4C43-B9CE-235FDEE8A60D}">
  <dimension ref="A1:I65"/>
  <sheetViews>
    <sheetView topLeftCell="A18" zoomScale="70" zoomScaleNormal="70" workbookViewId="0">
      <selection activeCell="L6" sqref="L6"/>
    </sheetView>
  </sheetViews>
  <sheetFormatPr baseColWidth="10" defaultColWidth="11.44140625" defaultRowHeight="14.4" x14ac:dyDescent="0.3"/>
  <sheetData>
    <row r="1" spans="1:9" x14ac:dyDescent="0.3">
      <c r="A1" s="268" t="s">
        <v>890</v>
      </c>
      <c r="B1" s="269"/>
      <c r="C1" s="269"/>
      <c r="D1" s="269"/>
      <c r="E1" s="269"/>
      <c r="F1" s="269"/>
      <c r="G1" s="269"/>
      <c r="H1" s="269"/>
      <c r="I1" s="269" t="s">
        <v>337</v>
      </c>
    </row>
    <row r="2" spans="1:9" ht="15" thickBot="1" x14ac:dyDescent="0.35">
      <c r="A2" s="275" t="s">
        <v>39</v>
      </c>
      <c r="B2" s="276"/>
      <c r="C2" s="276"/>
      <c r="D2" s="276"/>
      <c r="E2" s="276"/>
      <c r="F2" s="276"/>
      <c r="G2" s="276"/>
      <c r="H2" s="276"/>
      <c r="I2" s="276" t="s">
        <v>46</v>
      </c>
    </row>
    <row r="3" spans="1:9" ht="15" thickTop="1" x14ac:dyDescent="0.3">
      <c r="A3" s="273" t="s">
        <v>47</v>
      </c>
      <c r="B3" s="274"/>
      <c r="C3" s="274"/>
      <c r="D3" s="274"/>
      <c r="E3" s="274"/>
      <c r="F3" s="274"/>
      <c r="G3" s="274"/>
      <c r="H3" s="274"/>
      <c r="I3" s="274"/>
    </row>
    <row r="4" spans="1:9" x14ac:dyDescent="0.3">
      <c r="A4" s="272" t="s">
        <v>56</v>
      </c>
      <c r="B4" s="271"/>
      <c r="C4" s="271"/>
      <c r="D4" s="271"/>
      <c r="E4" s="271"/>
      <c r="F4" s="271"/>
      <c r="G4" s="271"/>
      <c r="H4" s="271"/>
      <c r="I4" s="271"/>
    </row>
    <row r="5" spans="1:9" x14ac:dyDescent="0.3">
      <c r="A5" s="272" t="s">
        <v>64</v>
      </c>
      <c r="B5" s="271"/>
      <c r="C5" s="271"/>
      <c r="D5" s="271"/>
      <c r="E5" s="271"/>
      <c r="F5" s="271"/>
      <c r="G5" s="271"/>
      <c r="H5" s="271"/>
      <c r="I5" s="271"/>
    </row>
    <row r="6" spans="1:9" x14ac:dyDescent="0.3">
      <c r="A6" s="270" t="s">
        <v>72</v>
      </c>
      <c r="B6" s="271"/>
      <c r="C6" s="271"/>
      <c r="D6" s="271"/>
      <c r="E6" s="271"/>
      <c r="F6" s="271"/>
      <c r="G6" s="271"/>
      <c r="H6" s="271"/>
      <c r="I6" s="271"/>
    </row>
    <row r="7" spans="1:9" x14ac:dyDescent="0.3">
      <c r="A7" s="270" t="s">
        <v>77</v>
      </c>
      <c r="B7" s="271"/>
      <c r="C7" s="271"/>
      <c r="D7" s="271"/>
      <c r="E7" s="271"/>
      <c r="F7" s="271"/>
      <c r="G7" s="271"/>
      <c r="H7" s="271"/>
      <c r="I7" s="271"/>
    </row>
    <row r="8" spans="1:9" x14ac:dyDescent="0.3">
      <c r="A8" s="272" t="s">
        <v>83</v>
      </c>
      <c r="B8" s="271"/>
      <c r="C8" s="271"/>
      <c r="D8" s="271"/>
      <c r="E8" s="271"/>
      <c r="F8" s="271"/>
      <c r="G8" s="271"/>
      <c r="H8" s="271"/>
      <c r="I8" s="271"/>
    </row>
    <row r="9" spans="1:9" x14ac:dyDescent="0.3">
      <c r="A9" s="272" t="s">
        <v>89</v>
      </c>
      <c r="B9" s="271"/>
      <c r="C9" s="271"/>
      <c r="D9" s="271"/>
      <c r="E9" s="271"/>
      <c r="F9" s="271"/>
      <c r="G9" s="271"/>
      <c r="H9" s="271"/>
      <c r="I9" s="271"/>
    </row>
    <row r="10" spans="1:9" x14ac:dyDescent="0.3">
      <c r="A10" s="272" t="s">
        <v>95</v>
      </c>
      <c r="B10" s="271"/>
      <c r="C10" s="271"/>
      <c r="D10" s="271"/>
      <c r="E10" s="271"/>
      <c r="F10" s="271"/>
      <c r="G10" s="271"/>
      <c r="H10" s="271"/>
      <c r="I10" s="271"/>
    </row>
    <row r="11" spans="1:9" x14ac:dyDescent="0.3">
      <c r="A11" s="272" t="s">
        <v>100</v>
      </c>
      <c r="B11" s="271"/>
      <c r="C11" s="271"/>
      <c r="D11" s="271"/>
      <c r="E11" s="271"/>
      <c r="F11" s="271"/>
      <c r="G11" s="271"/>
      <c r="H11" s="271"/>
      <c r="I11" s="271"/>
    </row>
    <row r="12" spans="1:9" x14ac:dyDescent="0.3">
      <c r="A12" s="272" t="s">
        <v>104</v>
      </c>
      <c r="B12" s="271"/>
      <c r="C12" s="271"/>
      <c r="D12" s="271"/>
      <c r="E12" s="271"/>
      <c r="F12" s="271"/>
      <c r="G12" s="271"/>
      <c r="H12" s="271"/>
      <c r="I12" s="271"/>
    </row>
    <row r="13" spans="1:9" x14ac:dyDescent="0.3">
      <c r="A13" s="272" t="s">
        <v>112</v>
      </c>
      <c r="B13" s="271"/>
      <c r="C13" s="271"/>
      <c r="D13" s="271"/>
      <c r="E13" s="271"/>
      <c r="F13" s="271"/>
      <c r="G13" s="271"/>
      <c r="H13" s="271"/>
      <c r="I13" s="271"/>
    </row>
    <row r="14" spans="1:9" x14ac:dyDescent="0.3">
      <c r="A14" s="272" t="s">
        <v>117</v>
      </c>
      <c r="B14" s="271"/>
      <c r="C14" s="271"/>
      <c r="D14" s="271"/>
      <c r="E14" s="271"/>
      <c r="F14" s="271"/>
      <c r="G14" s="271"/>
      <c r="H14" s="271"/>
      <c r="I14" s="271"/>
    </row>
    <row r="15" spans="1:9" x14ac:dyDescent="0.3">
      <c r="A15" s="272" t="s">
        <v>121</v>
      </c>
      <c r="B15" s="271"/>
      <c r="C15" s="271"/>
      <c r="D15" s="271"/>
      <c r="E15" s="271"/>
      <c r="F15" s="271"/>
      <c r="G15" s="271"/>
      <c r="H15" s="271"/>
      <c r="I15" s="271"/>
    </row>
    <row r="16" spans="1:9" x14ac:dyDescent="0.3">
      <c r="A16" s="272" t="s">
        <v>127</v>
      </c>
      <c r="B16" s="271"/>
      <c r="C16" s="271"/>
      <c r="D16" s="271"/>
      <c r="E16" s="271"/>
      <c r="F16" s="271"/>
      <c r="G16" s="271"/>
      <c r="H16" s="271"/>
      <c r="I16" s="271"/>
    </row>
    <row r="17" spans="1:9" x14ac:dyDescent="0.3">
      <c r="A17" s="272" t="s">
        <v>130</v>
      </c>
      <c r="B17" s="271"/>
      <c r="C17" s="271"/>
      <c r="D17" s="271"/>
      <c r="E17" s="271"/>
      <c r="F17" s="271"/>
      <c r="G17" s="271"/>
      <c r="H17" s="271"/>
      <c r="I17" s="271"/>
    </row>
    <row r="18" spans="1:9" x14ac:dyDescent="0.3">
      <c r="A18" s="272" t="s">
        <v>135</v>
      </c>
      <c r="B18" s="271"/>
      <c r="C18" s="271"/>
      <c r="D18" s="271"/>
      <c r="E18" s="271"/>
      <c r="F18" s="271"/>
      <c r="G18" s="271"/>
      <c r="H18" s="271"/>
      <c r="I18" s="271"/>
    </row>
    <row r="19" spans="1:9" x14ac:dyDescent="0.3">
      <c r="A19" s="272" t="s">
        <v>139</v>
      </c>
      <c r="B19" s="271"/>
      <c r="C19" s="271"/>
      <c r="D19" s="271"/>
      <c r="E19" s="271"/>
      <c r="F19" s="271"/>
      <c r="G19" s="271"/>
      <c r="H19" s="271"/>
      <c r="I19" s="271"/>
    </row>
    <row r="20" spans="1:9" x14ac:dyDescent="0.3">
      <c r="A20" s="272" t="s">
        <v>143</v>
      </c>
      <c r="B20" s="271"/>
      <c r="C20" s="271"/>
      <c r="D20" s="271"/>
      <c r="E20" s="271"/>
      <c r="F20" s="271"/>
      <c r="G20" s="271"/>
      <c r="H20" s="271"/>
      <c r="I20" s="271"/>
    </row>
    <row r="21" spans="1:9" x14ac:dyDescent="0.3">
      <c r="A21" s="272" t="s">
        <v>146</v>
      </c>
      <c r="B21" s="271"/>
      <c r="C21" s="271"/>
      <c r="D21" s="271"/>
      <c r="E21" s="271"/>
      <c r="F21" s="271"/>
      <c r="G21" s="271"/>
      <c r="H21" s="271"/>
      <c r="I21" s="271"/>
    </row>
    <row r="22" spans="1:9" x14ac:dyDescent="0.3">
      <c r="A22" s="272" t="s">
        <v>149</v>
      </c>
      <c r="B22" s="271"/>
      <c r="C22" s="271"/>
      <c r="D22" s="271"/>
      <c r="E22" s="271"/>
      <c r="F22" s="271"/>
      <c r="G22" s="271"/>
      <c r="H22" s="271"/>
      <c r="I22" s="271"/>
    </row>
    <row r="23" spans="1:9" x14ac:dyDescent="0.3">
      <c r="A23" s="272" t="s">
        <v>153</v>
      </c>
      <c r="B23" s="271"/>
      <c r="C23" s="271"/>
      <c r="D23" s="271"/>
      <c r="E23" s="271"/>
      <c r="F23" s="271"/>
      <c r="G23" s="271"/>
      <c r="H23" s="271"/>
      <c r="I23" s="271"/>
    </row>
    <row r="24" spans="1:9" x14ac:dyDescent="0.3">
      <c r="A24" s="272" t="s">
        <v>155</v>
      </c>
      <c r="B24" s="271"/>
      <c r="C24" s="271"/>
      <c r="D24" s="271"/>
      <c r="E24" s="271"/>
      <c r="F24" s="271"/>
      <c r="G24" s="271"/>
      <c r="H24" s="271"/>
      <c r="I24" s="271"/>
    </row>
    <row r="25" spans="1:9" x14ac:dyDescent="0.3">
      <c r="A25" s="272" t="s">
        <v>158</v>
      </c>
      <c r="B25" s="271"/>
      <c r="C25" s="271"/>
      <c r="D25" s="271"/>
      <c r="E25" s="271"/>
      <c r="F25" s="271"/>
      <c r="G25" s="271"/>
      <c r="H25" s="271"/>
      <c r="I25" s="271"/>
    </row>
    <row r="26" spans="1:9" x14ac:dyDescent="0.3">
      <c r="A26" s="272" t="s">
        <v>161</v>
      </c>
      <c r="B26" s="271"/>
      <c r="C26" s="271"/>
      <c r="D26" s="271"/>
      <c r="E26" s="271"/>
      <c r="F26" s="271"/>
      <c r="G26" s="271"/>
      <c r="H26" s="271"/>
      <c r="I26" s="271"/>
    </row>
    <row r="27" spans="1:9" x14ac:dyDescent="0.3">
      <c r="A27" s="272" t="s">
        <v>166</v>
      </c>
      <c r="B27" s="271"/>
      <c r="C27" s="271"/>
      <c r="D27" s="271"/>
      <c r="E27" s="271"/>
      <c r="F27" s="271"/>
      <c r="G27" s="271"/>
      <c r="H27" s="271"/>
      <c r="I27" s="271"/>
    </row>
    <row r="28" spans="1:9" x14ac:dyDescent="0.3">
      <c r="A28" s="272" t="s">
        <v>170</v>
      </c>
      <c r="B28" s="271"/>
      <c r="C28" s="271"/>
      <c r="D28" s="271"/>
      <c r="E28" s="271"/>
      <c r="F28" s="271"/>
      <c r="G28" s="271"/>
      <c r="H28" s="271"/>
      <c r="I28" s="271"/>
    </row>
    <row r="29" spans="1:9" x14ac:dyDescent="0.3">
      <c r="A29" s="272" t="s">
        <v>174</v>
      </c>
      <c r="B29" s="271"/>
      <c r="C29" s="271"/>
      <c r="D29" s="271"/>
      <c r="E29" s="271"/>
      <c r="F29" s="271"/>
      <c r="G29" s="271"/>
      <c r="H29" s="271"/>
      <c r="I29" s="271"/>
    </row>
    <row r="30" spans="1:9" x14ac:dyDescent="0.3">
      <c r="A30" s="272" t="s">
        <v>177</v>
      </c>
      <c r="B30" s="271"/>
      <c r="C30" s="271"/>
      <c r="D30" s="271"/>
      <c r="E30" s="271"/>
      <c r="F30" s="271"/>
      <c r="G30" s="271"/>
      <c r="H30" s="271"/>
      <c r="I30" s="271"/>
    </row>
    <row r="31" spans="1:9" x14ac:dyDescent="0.3">
      <c r="A31" s="272" t="s">
        <v>179</v>
      </c>
      <c r="B31" s="271"/>
      <c r="C31" s="271"/>
      <c r="D31" s="271"/>
      <c r="E31" s="271"/>
      <c r="F31" s="271"/>
      <c r="G31" s="271"/>
      <c r="H31" s="271"/>
      <c r="I31" s="271"/>
    </row>
    <row r="32" spans="1:9" x14ac:dyDescent="0.3">
      <c r="A32" s="270" t="s">
        <v>184</v>
      </c>
      <c r="B32" s="271"/>
      <c r="C32" s="271"/>
      <c r="D32" s="271"/>
      <c r="E32" s="271"/>
      <c r="F32" s="271"/>
      <c r="G32" s="271"/>
      <c r="H32" s="271"/>
      <c r="I32" s="271"/>
    </row>
    <row r="33" spans="1:9" x14ac:dyDescent="0.3">
      <c r="A33" s="272" t="s">
        <v>188</v>
      </c>
      <c r="B33" s="271"/>
      <c r="C33" s="271"/>
      <c r="D33" s="271"/>
      <c r="E33" s="271"/>
      <c r="F33" s="271"/>
      <c r="G33" s="271"/>
      <c r="H33" s="271"/>
      <c r="I33" s="271"/>
    </row>
    <row r="34" spans="1:9" x14ac:dyDescent="0.3">
      <c r="A34" s="272" t="s">
        <v>191</v>
      </c>
      <c r="B34" s="271"/>
      <c r="C34" s="271"/>
      <c r="D34" s="271"/>
      <c r="E34" s="271"/>
      <c r="F34" s="271"/>
      <c r="G34" s="271"/>
      <c r="H34" s="271"/>
      <c r="I34" s="271"/>
    </row>
    <row r="35" spans="1:9" x14ac:dyDescent="0.3">
      <c r="A35" s="272" t="s">
        <v>196</v>
      </c>
      <c r="B35" s="271"/>
      <c r="C35" s="271"/>
      <c r="D35" s="271"/>
      <c r="E35" s="271"/>
      <c r="F35" s="271"/>
      <c r="G35" s="271"/>
      <c r="H35" s="271"/>
      <c r="I35" s="271"/>
    </row>
    <row r="36" spans="1:9" x14ac:dyDescent="0.3">
      <c r="A36" s="272" t="s">
        <v>200</v>
      </c>
      <c r="B36" s="271"/>
      <c r="C36" s="271"/>
      <c r="D36" s="271"/>
      <c r="E36" s="271"/>
      <c r="F36" s="271"/>
      <c r="G36" s="271"/>
      <c r="H36" s="271"/>
      <c r="I36" s="271"/>
    </row>
    <row r="37" spans="1:9" x14ac:dyDescent="0.3">
      <c r="A37" s="270" t="s">
        <v>203</v>
      </c>
      <c r="B37" s="271"/>
      <c r="C37" s="271"/>
      <c r="D37" s="271"/>
      <c r="E37" s="271"/>
      <c r="F37" s="271"/>
      <c r="G37" s="271"/>
      <c r="H37" s="271"/>
      <c r="I37" s="271"/>
    </row>
    <row r="38" spans="1:9" x14ac:dyDescent="0.3">
      <c r="A38" s="272" t="s">
        <v>208</v>
      </c>
      <c r="B38" s="271"/>
      <c r="C38" s="271"/>
      <c r="D38" s="271"/>
      <c r="E38" s="271"/>
      <c r="F38" s="271"/>
      <c r="G38" s="271"/>
      <c r="H38" s="271"/>
      <c r="I38" s="271"/>
    </row>
    <row r="39" spans="1:9" x14ac:dyDescent="0.3">
      <c r="A39" s="272" t="s">
        <v>213</v>
      </c>
      <c r="B39" s="271"/>
      <c r="C39" s="271"/>
      <c r="D39" s="271"/>
      <c r="E39" s="271"/>
      <c r="F39" s="271"/>
      <c r="G39" s="271"/>
      <c r="H39" s="271"/>
      <c r="I39" s="271"/>
    </row>
    <row r="40" spans="1:9" x14ac:dyDescent="0.3">
      <c r="A40" s="272" t="s">
        <v>215</v>
      </c>
      <c r="B40" s="271"/>
      <c r="C40" s="271"/>
      <c r="D40" s="271"/>
      <c r="E40" s="271"/>
      <c r="F40" s="271"/>
      <c r="G40" s="271"/>
      <c r="H40" s="271"/>
      <c r="I40" s="271"/>
    </row>
    <row r="41" spans="1:9" x14ac:dyDescent="0.3">
      <c r="A41" s="272" t="s">
        <v>218</v>
      </c>
      <c r="B41" s="271"/>
      <c r="C41" s="271"/>
      <c r="D41" s="271"/>
      <c r="E41" s="271"/>
      <c r="F41" s="271"/>
      <c r="G41" s="271"/>
      <c r="H41" s="271"/>
      <c r="I41" s="271"/>
    </row>
    <row r="42" spans="1:9" x14ac:dyDescent="0.3">
      <c r="A42" s="272" t="s">
        <v>221</v>
      </c>
      <c r="B42" s="271"/>
      <c r="C42" s="271"/>
      <c r="D42" s="271"/>
      <c r="E42" s="271"/>
      <c r="F42" s="271"/>
      <c r="G42" s="271"/>
      <c r="H42" s="271"/>
      <c r="I42" s="271"/>
    </row>
    <row r="43" spans="1:9" x14ac:dyDescent="0.3">
      <c r="A43" s="272" t="s">
        <v>224</v>
      </c>
      <c r="B43" s="271"/>
      <c r="C43" s="271"/>
      <c r="D43" s="271"/>
      <c r="E43" s="271"/>
      <c r="F43" s="271"/>
      <c r="G43" s="271"/>
      <c r="H43" s="271"/>
      <c r="I43" s="271"/>
    </row>
    <row r="44" spans="1:9" x14ac:dyDescent="0.3">
      <c r="A44" s="272" t="s">
        <v>227</v>
      </c>
      <c r="B44" s="271"/>
      <c r="C44" s="271"/>
      <c r="D44" s="271"/>
      <c r="E44" s="271"/>
      <c r="F44" s="271"/>
      <c r="G44" s="271"/>
      <c r="H44" s="271"/>
      <c r="I44" s="271"/>
    </row>
    <row r="45" spans="1:9" x14ac:dyDescent="0.3">
      <c r="A45" s="272" t="s">
        <v>231</v>
      </c>
      <c r="B45" s="271"/>
      <c r="C45" s="271"/>
      <c r="D45" s="271"/>
      <c r="E45" s="271"/>
      <c r="F45" s="271"/>
      <c r="G45" s="271"/>
      <c r="H45" s="271"/>
      <c r="I45" s="271"/>
    </row>
    <row r="46" spans="1:9" x14ac:dyDescent="0.3">
      <c r="A46" s="272" t="s">
        <v>236</v>
      </c>
      <c r="B46" s="271"/>
      <c r="C46" s="271"/>
      <c r="D46" s="271"/>
      <c r="E46" s="271"/>
      <c r="F46" s="271"/>
      <c r="G46" s="271"/>
      <c r="H46" s="271"/>
      <c r="I46" s="271"/>
    </row>
    <row r="47" spans="1:9" x14ac:dyDescent="0.3">
      <c r="A47" s="272" t="s">
        <v>240</v>
      </c>
      <c r="B47" s="271"/>
      <c r="C47" s="271"/>
      <c r="D47" s="271"/>
      <c r="E47" s="271"/>
      <c r="F47" s="271"/>
      <c r="G47" s="271"/>
      <c r="H47" s="271"/>
      <c r="I47" s="271"/>
    </row>
    <row r="48" spans="1:9" x14ac:dyDescent="0.3">
      <c r="A48" s="272" t="s">
        <v>243</v>
      </c>
      <c r="B48" s="271"/>
      <c r="C48" s="271"/>
      <c r="D48" s="271"/>
      <c r="E48" s="271"/>
      <c r="F48" s="271"/>
      <c r="G48" s="271"/>
      <c r="H48" s="271"/>
      <c r="I48" s="271"/>
    </row>
    <row r="49" spans="1:9" x14ac:dyDescent="0.3">
      <c r="A49" s="270" t="s">
        <v>247</v>
      </c>
      <c r="B49" s="271"/>
      <c r="C49" s="271"/>
      <c r="D49" s="271"/>
      <c r="E49" s="271"/>
      <c r="F49" s="271"/>
      <c r="G49" s="271"/>
      <c r="H49" s="271"/>
      <c r="I49" s="271"/>
    </row>
    <row r="50" spans="1:9" x14ac:dyDescent="0.3">
      <c r="A50" s="272" t="s">
        <v>252</v>
      </c>
      <c r="B50" s="271"/>
      <c r="C50" s="271"/>
      <c r="D50" s="271"/>
      <c r="E50" s="271"/>
      <c r="F50" s="271"/>
      <c r="G50" s="271"/>
      <c r="H50" s="271"/>
      <c r="I50" s="271"/>
    </row>
    <row r="51" spans="1:9" x14ac:dyDescent="0.3">
      <c r="A51" s="272" t="s">
        <v>256</v>
      </c>
      <c r="B51" s="271"/>
      <c r="C51" s="271"/>
      <c r="D51" s="271"/>
      <c r="E51" s="271"/>
      <c r="F51" s="271"/>
      <c r="G51" s="271"/>
      <c r="H51" s="271"/>
      <c r="I51" s="271"/>
    </row>
    <row r="52" spans="1:9" x14ac:dyDescent="0.3">
      <c r="A52" s="272" t="s">
        <v>259</v>
      </c>
      <c r="B52" s="271"/>
      <c r="C52" s="271"/>
      <c r="D52" s="271"/>
      <c r="E52" s="271"/>
      <c r="F52" s="271"/>
      <c r="G52" s="271"/>
      <c r="H52" s="271"/>
      <c r="I52" s="271"/>
    </row>
    <row r="53" spans="1:9" x14ac:dyDescent="0.3">
      <c r="A53" s="272" t="s">
        <v>263</v>
      </c>
      <c r="B53" s="271"/>
      <c r="C53" s="271"/>
      <c r="D53" s="271"/>
      <c r="E53" s="271"/>
      <c r="F53" s="271"/>
      <c r="G53" s="271"/>
      <c r="H53" s="271"/>
      <c r="I53" s="271"/>
    </row>
    <row r="54" spans="1:9" x14ac:dyDescent="0.3">
      <c r="A54" s="272" t="s">
        <v>269</v>
      </c>
      <c r="B54" s="271"/>
      <c r="C54" s="271"/>
      <c r="D54" s="271"/>
      <c r="E54" s="271"/>
      <c r="F54" s="271"/>
      <c r="G54" s="271"/>
      <c r="H54" s="271"/>
      <c r="I54" s="271"/>
    </row>
    <row r="55" spans="1:9" x14ac:dyDescent="0.3">
      <c r="A55" s="272" t="s">
        <v>274</v>
      </c>
      <c r="B55" s="271"/>
      <c r="C55" s="271"/>
      <c r="D55" s="271"/>
      <c r="E55" s="271"/>
      <c r="F55" s="271"/>
      <c r="G55" s="271"/>
      <c r="H55" s="271"/>
      <c r="I55" s="271"/>
    </row>
    <row r="56" spans="1:9" x14ac:dyDescent="0.3">
      <c r="A56" s="272" t="s">
        <v>279</v>
      </c>
      <c r="B56" s="271"/>
      <c r="C56" s="271"/>
      <c r="D56" s="271"/>
      <c r="E56" s="271"/>
      <c r="F56" s="271"/>
      <c r="G56" s="271"/>
      <c r="H56" s="271"/>
      <c r="I56" s="271"/>
    </row>
    <row r="57" spans="1:9" x14ac:dyDescent="0.3">
      <c r="A57" s="270" t="s">
        <v>283</v>
      </c>
      <c r="B57" s="271"/>
      <c r="C57" s="271"/>
      <c r="D57" s="271"/>
      <c r="E57" s="271"/>
      <c r="F57" s="271"/>
      <c r="G57" s="271"/>
      <c r="H57" s="271"/>
      <c r="I57" s="271"/>
    </row>
    <row r="58" spans="1:9" x14ac:dyDescent="0.3">
      <c r="A58" s="272" t="s">
        <v>287</v>
      </c>
      <c r="B58" s="271"/>
      <c r="C58" s="271"/>
      <c r="D58" s="271"/>
      <c r="E58" s="271"/>
      <c r="F58" s="271"/>
      <c r="G58" s="271"/>
      <c r="H58" s="271"/>
      <c r="I58" s="271"/>
    </row>
    <row r="59" spans="1:9" x14ac:dyDescent="0.3">
      <c r="A59" s="272" t="s">
        <v>292</v>
      </c>
      <c r="B59" s="271"/>
      <c r="C59" s="271"/>
      <c r="D59" s="271"/>
      <c r="E59" s="271"/>
      <c r="F59" s="271"/>
      <c r="G59" s="271"/>
      <c r="H59" s="271"/>
      <c r="I59" s="271"/>
    </row>
    <row r="60" spans="1:9" x14ac:dyDescent="0.3">
      <c r="A60" s="272" t="s">
        <v>297</v>
      </c>
      <c r="B60" s="271"/>
      <c r="C60" s="271"/>
      <c r="D60" s="271"/>
      <c r="E60" s="271"/>
      <c r="F60" s="271"/>
      <c r="G60" s="271"/>
      <c r="H60" s="271"/>
      <c r="I60" s="271"/>
    </row>
    <row r="61" spans="1:9" x14ac:dyDescent="0.3">
      <c r="A61" s="272" t="s">
        <v>302</v>
      </c>
      <c r="B61" s="271"/>
      <c r="C61" s="271"/>
      <c r="D61" s="271"/>
      <c r="E61" s="271"/>
      <c r="F61" s="271"/>
      <c r="G61" s="271"/>
      <c r="H61" s="271"/>
      <c r="I61" s="271"/>
    </row>
    <row r="62" spans="1:9" x14ac:dyDescent="0.3">
      <c r="A62" s="272" t="s">
        <v>305</v>
      </c>
      <c r="B62" s="271"/>
      <c r="C62" s="271"/>
      <c r="D62" s="271"/>
      <c r="E62" s="271"/>
      <c r="F62" s="271"/>
      <c r="G62" s="271"/>
      <c r="H62" s="271"/>
      <c r="I62" s="271"/>
    </row>
    <row r="63" spans="1:9" x14ac:dyDescent="0.3">
      <c r="A63" s="270" t="s">
        <v>309</v>
      </c>
      <c r="B63" s="271"/>
      <c r="C63" s="271"/>
      <c r="D63" s="271"/>
      <c r="E63" s="271"/>
      <c r="F63" s="271"/>
      <c r="G63" s="271"/>
      <c r="H63" s="271"/>
      <c r="I63" s="271"/>
    </row>
    <row r="64" spans="1:9" x14ac:dyDescent="0.3">
      <c r="A64" s="272" t="s">
        <v>313</v>
      </c>
      <c r="B64" s="271"/>
      <c r="C64" s="271"/>
      <c r="D64" s="271"/>
      <c r="E64" s="271"/>
      <c r="F64" s="271"/>
      <c r="G64" s="271"/>
      <c r="H64" s="271"/>
      <c r="I64" s="271"/>
    </row>
    <row r="65" spans="1:9" x14ac:dyDescent="0.3">
      <c r="A65" s="272" t="s">
        <v>316</v>
      </c>
      <c r="B65" s="271"/>
      <c r="C65" s="271"/>
      <c r="D65" s="271"/>
      <c r="E65" s="271"/>
      <c r="F65" s="271"/>
      <c r="G65" s="271"/>
      <c r="H65" s="271"/>
      <c r="I65" s="27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D19A6-958C-47E4-ABFD-8004255D6935}">
  <dimension ref="A1:H65"/>
  <sheetViews>
    <sheetView zoomScale="55" zoomScaleNormal="55" workbookViewId="0">
      <selection activeCell="F7" sqref="F7"/>
    </sheetView>
  </sheetViews>
  <sheetFormatPr baseColWidth="10" defaultColWidth="8.88671875" defaultRowHeight="14.4" x14ac:dyDescent="0.3"/>
  <cols>
    <col min="1" max="1" width="32.44140625" bestFit="1" customWidth="1"/>
    <col min="2" max="2" width="10.109375" style="101" bestFit="1" customWidth="1"/>
    <col min="3" max="3" width="12" style="94" bestFit="1" customWidth="1"/>
    <col min="4" max="4" width="63.33203125" bestFit="1" customWidth="1"/>
    <col min="5" max="5" width="18" customWidth="1"/>
    <col min="8" max="8" width="9.6640625" bestFit="1" customWidth="1"/>
    <col min="10" max="10" width="9.88671875" customWidth="1"/>
    <col min="11" max="11" width="10.33203125" customWidth="1"/>
  </cols>
  <sheetData>
    <row r="1" spans="1:8" x14ac:dyDescent="0.3">
      <c r="A1" s="43" t="s">
        <v>7</v>
      </c>
      <c r="B1" s="100" t="s">
        <v>534</v>
      </c>
      <c r="C1" s="109" t="s">
        <v>337</v>
      </c>
      <c r="D1" s="43" t="s">
        <v>535</v>
      </c>
      <c r="E1" t="s">
        <v>536</v>
      </c>
    </row>
    <row r="2" spans="1:8" ht="16.2" customHeight="1" x14ac:dyDescent="0.3">
      <c r="A2" s="102" t="s">
        <v>39</v>
      </c>
      <c r="B2" s="103" t="s">
        <v>537</v>
      </c>
      <c r="C2" s="102" t="s">
        <v>46</v>
      </c>
      <c r="D2" s="102" t="s">
        <v>538</v>
      </c>
    </row>
    <row r="3" spans="1:8" x14ac:dyDescent="0.3">
      <c r="A3" s="104" t="s">
        <v>56</v>
      </c>
      <c r="B3" s="105">
        <v>200000</v>
      </c>
      <c r="C3" s="110">
        <v>2.5</v>
      </c>
      <c r="D3" s="106"/>
      <c r="E3">
        <v>5</v>
      </c>
      <c r="H3" s="111" t="s">
        <v>539</v>
      </c>
    </row>
    <row r="4" spans="1:8" x14ac:dyDescent="0.3">
      <c r="A4" s="104" t="s">
        <v>100</v>
      </c>
      <c r="B4" s="105">
        <v>36000</v>
      </c>
      <c r="C4" s="110">
        <f t="shared" ref="C4:C64" si="0">7.5/(B4/20000)</f>
        <v>4.166666666666667</v>
      </c>
      <c r="D4" s="106"/>
      <c r="E4">
        <v>5</v>
      </c>
      <c r="H4" t="s">
        <v>540</v>
      </c>
    </row>
    <row r="5" spans="1:8" x14ac:dyDescent="0.3">
      <c r="A5" s="104" t="s">
        <v>256</v>
      </c>
      <c r="B5" s="105">
        <v>28000</v>
      </c>
      <c r="C5" s="110">
        <f t="shared" si="0"/>
        <v>5.3571428571428577</v>
      </c>
      <c r="D5" s="106"/>
      <c r="E5">
        <v>5</v>
      </c>
    </row>
    <row r="6" spans="1:8" x14ac:dyDescent="0.3">
      <c r="A6" s="104" t="s">
        <v>305</v>
      </c>
      <c r="B6" s="105">
        <v>140000</v>
      </c>
      <c r="C6" s="110">
        <v>2.5</v>
      </c>
      <c r="D6" s="106"/>
      <c r="E6">
        <v>5</v>
      </c>
      <c r="H6" s="101"/>
    </row>
    <row r="7" spans="1:8" x14ac:dyDescent="0.3">
      <c r="A7" s="104" t="s">
        <v>231</v>
      </c>
      <c r="B7" s="105">
        <f>90000/4</f>
        <v>22500</v>
      </c>
      <c r="C7" s="110">
        <f t="shared" si="0"/>
        <v>6.666666666666667</v>
      </c>
      <c r="D7" s="106" t="s">
        <v>541</v>
      </c>
      <c r="E7">
        <v>5</v>
      </c>
    </row>
    <row r="8" spans="1:8" x14ac:dyDescent="0.3">
      <c r="A8" s="104" t="s">
        <v>143</v>
      </c>
      <c r="B8" s="105">
        <v>1150</v>
      </c>
      <c r="C8" s="110">
        <v>7.5</v>
      </c>
      <c r="D8" s="106"/>
      <c r="E8">
        <v>5</v>
      </c>
      <c r="H8" s="101"/>
    </row>
    <row r="9" spans="1:8" x14ac:dyDescent="0.3">
      <c r="A9" s="104" t="s">
        <v>83</v>
      </c>
      <c r="B9" s="105">
        <v>9800</v>
      </c>
      <c r="C9" s="110">
        <v>7.5</v>
      </c>
      <c r="D9" s="106"/>
      <c r="E9">
        <v>5</v>
      </c>
      <c r="H9" s="101"/>
    </row>
    <row r="10" spans="1:8" x14ac:dyDescent="0.3">
      <c r="A10" s="104" t="s">
        <v>236</v>
      </c>
      <c r="B10" s="105">
        <v>40000</v>
      </c>
      <c r="C10" s="110">
        <f t="shared" si="0"/>
        <v>3.75</v>
      </c>
      <c r="D10" s="106"/>
      <c r="E10">
        <v>5</v>
      </c>
    </row>
    <row r="11" spans="1:8" x14ac:dyDescent="0.3">
      <c r="A11" s="104" t="s">
        <v>302</v>
      </c>
      <c r="B11" s="105">
        <v>40000</v>
      </c>
      <c r="C11" s="110">
        <f t="shared" si="0"/>
        <v>3.75</v>
      </c>
      <c r="D11" s="106"/>
      <c r="E11">
        <v>5</v>
      </c>
      <c r="F11">
        <v>4.5</v>
      </c>
      <c r="G11">
        <v>5.5</v>
      </c>
    </row>
    <row r="12" spans="1:8" x14ac:dyDescent="0.3">
      <c r="A12" s="104" t="s">
        <v>252</v>
      </c>
      <c r="B12" s="105">
        <v>90000</v>
      </c>
      <c r="C12" s="110">
        <v>2.5</v>
      </c>
      <c r="D12" s="106"/>
      <c r="E12">
        <v>5</v>
      </c>
    </row>
    <row r="13" spans="1:8" x14ac:dyDescent="0.3">
      <c r="A13" s="104" t="s">
        <v>221</v>
      </c>
      <c r="B13" s="105">
        <v>2023</v>
      </c>
      <c r="C13" s="110">
        <v>7.5</v>
      </c>
      <c r="D13" s="106"/>
      <c r="E13">
        <v>5</v>
      </c>
    </row>
    <row r="14" spans="1:8" x14ac:dyDescent="0.3">
      <c r="A14" s="104" t="s">
        <v>313</v>
      </c>
      <c r="B14" s="105">
        <v>65000</v>
      </c>
      <c r="C14" s="110">
        <v>2.5</v>
      </c>
      <c r="D14" s="106"/>
      <c r="E14">
        <v>5</v>
      </c>
    </row>
    <row r="15" spans="1:8" x14ac:dyDescent="0.3">
      <c r="A15" s="104" t="s">
        <v>158</v>
      </c>
      <c r="B15" s="105">
        <v>4900</v>
      </c>
      <c r="C15" s="110">
        <v>7.5</v>
      </c>
      <c r="D15" s="106"/>
      <c r="E15">
        <v>5</v>
      </c>
    </row>
    <row r="16" spans="1:8" x14ac:dyDescent="0.3">
      <c r="A16" s="104" t="s">
        <v>287</v>
      </c>
      <c r="B16" s="105">
        <v>2000</v>
      </c>
      <c r="C16" s="110">
        <v>7.5</v>
      </c>
      <c r="D16" s="106"/>
      <c r="E16">
        <v>5</v>
      </c>
    </row>
    <row r="17" spans="1:5" x14ac:dyDescent="0.3">
      <c r="A17" s="104" t="s">
        <v>240</v>
      </c>
      <c r="B17" s="105">
        <v>100000</v>
      </c>
      <c r="C17" s="110">
        <v>2.5</v>
      </c>
      <c r="D17" s="106"/>
      <c r="E17">
        <v>5</v>
      </c>
    </row>
    <row r="18" spans="1:5" x14ac:dyDescent="0.3">
      <c r="A18" s="104" t="s">
        <v>177</v>
      </c>
      <c r="B18" s="105">
        <v>9000</v>
      </c>
      <c r="C18" s="110">
        <v>7.5</v>
      </c>
      <c r="D18" s="106"/>
      <c r="E18">
        <v>5</v>
      </c>
    </row>
    <row r="19" spans="1:5" x14ac:dyDescent="0.3">
      <c r="A19" s="104" t="s">
        <v>218</v>
      </c>
      <c r="B19" s="105">
        <v>3500</v>
      </c>
      <c r="C19" s="110">
        <v>7.5</v>
      </c>
      <c r="D19" s="106" t="s">
        <v>542</v>
      </c>
      <c r="E19">
        <v>5</v>
      </c>
    </row>
    <row r="20" spans="1:5" x14ac:dyDescent="0.3">
      <c r="A20" s="104" t="s">
        <v>89</v>
      </c>
      <c r="B20" s="105">
        <v>21000</v>
      </c>
      <c r="C20" s="110">
        <f t="shared" si="0"/>
        <v>7.1428571428571423</v>
      </c>
      <c r="D20" s="106"/>
      <c r="E20">
        <v>5</v>
      </c>
    </row>
    <row r="21" spans="1:5" x14ac:dyDescent="0.3">
      <c r="A21" s="104" t="s">
        <v>213</v>
      </c>
      <c r="B21" s="105">
        <v>157000</v>
      </c>
      <c r="C21" s="110">
        <v>2.5</v>
      </c>
      <c r="D21" s="106"/>
      <c r="E21">
        <v>5</v>
      </c>
    </row>
    <row r="22" spans="1:5" x14ac:dyDescent="0.3">
      <c r="A22" s="104" t="s">
        <v>166</v>
      </c>
      <c r="B22" s="107"/>
      <c r="C22" s="110">
        <v>5</v>
      </c>
      <c r="D22" s="106"/>
      <c r="E22">
        <v>5</v>
      </c>
    </row>
    <row r="23" spans="1:5" x14ac:dyDescent="0.3">
      <c r="A23" s="104" t="s">
        <v>174</v>
      </c>
      <c r="B23" s="105">
        <v>22500</v>
      </c>
      <c r="C23" s="110">
        <f t="shared" si="0"/>
        <v>6.666666666666667</v>
      </c>
      <c r="D23" s="106"/>
      <c r="E23">
        <v>5</v>
      </c>
    </row>
    <row r="24" spans="1:5" x14ac:dyDescent="0.3">
      <c r="A24" s="104" t="s">
        <v>117</v>
      </c>
      <c r="B24" s="105">
        <v>100000</v>
      </c>
      <c r="C24" s="110">
        <v>2.5</v>
      </c>
      <c r="D24" s="106"/>
      <c r="E24">
        <v>5</v>
      </c>
    </row>
    <row r="25" spans="1:5" x14ac:dyDescent="0.3">
      <c r="A25" s="104" t="s">
        <v>215</v>
      </c>
      <c r="B25" s="107"/>
      <c r="C25" s="110">
        <v>5</v>
      </c>
      <c r="D25" s="106"/>
      <c r="E25">
        <v>5</v>
      </c>
    </row>
    <row r="26" spans="1:5" x14ac:dyDescent="0.3">
      <c r="A26" s="104" t="s">
        <v>95</v>
      </c>
      <c r="B26" s="107"/>
      <c r="C26" s="110">
        <v>5</v>
      </c>
      <c r="D26" s="106"/>
      <c r="E26">
        <v>5</v>
      </c>
    </row>
    <row r="27" spans="1:5" x14ac:dyDescent="0.3">
      <c r="A27" s="104" t="s">
        <v>274</v>
      </c>
      <c r="B27" s="105">
        <v>36000</v>
      </c>
      <c r="C27" s="110">
        <f t="shared" si="0"/>
        <v>4.166666666666667</v>
      </c>
      <c r="D27" s="106"/>
      <c r="E27">
        <v>5</v>
      </c>
    </row>
    <row r="28" spans="1:5" x14ac:dyDescent="0.3">
      <c r="A28" s="104" t="s">
        <v>279</v>
      </c>
      <c r="B28" s="105">
        <v>10000</v>
      </c>
      <c r="C28" s="110">
        <v>7.5</v>
      </c>
      <c r="D28" s="106"/>
      <c r="E28">
        <v>5</v>
      </c>
    </row>
    <row r="29" spans="1:5" x14ac:dyDescent="0.3">
      <c r="A29" s="104" t="s">
        <v>153</v>
      </c>
      <c r="B29" s="105">
        <v>256100</v>
      </c>
      <c r="C29" s="110">
        <v>2.5</v>
      </c>
      <c r="D29" s="106"/>
      <c r="E29">
        <v>5</v>
      </c>
    </row>
    <row r="30" spans="1:5" x14ac:dyDescent="0.3">
      <c r="A30" s="104" t="s">
        <v>191</v>
      </c>
      <c r="B30" s="107"/>
      <c r="C30" s="110">
        <v>5</v>
      </c>
      <c r="D30" s="106" t="s">
        <v>543</v>
      </c>
      <c r="E30">
        <v>5</v>
      </c>
    </row>
    <row r="31" spans="1:5" x14ac:dyDescent="0.3">
      <c r="A31" s="104" t="s">
        <v>297</v>
      </c>
      <c r="B31" s="107"/>
      <c r="C31" s="110">
        <v>5</v>
      </c>
      <c r="D31" s="106"/>
      <c r="E31">
        <v>5</v>
      </c>
    </row>
    <row r="32" spans="1:5" x14ac:dyDescent="0.3">
      <c r="A32" s="104" t="s">
        <v>170</v>
      </c>
      <c r="B32" s="105">
        <v>150</v>
      </c>
      <c r="C32" s="110">
        <v>7.5</v>
      </c>
      <c r="D32" s="106"/>
      <c r="E32">
        <v>5</v>
      </c>
    </row>
    <row r="33" spans="1:5" x14ac:dyDescent="0.3">
      <c r="A33" s="104" t="s">
        <v>135</v>
      </c>
      <c r="B33" s="105">
        <f>62500/4</f>
        <v>15625</v>
      </c>
      <c r="C33" s="110">
        <v>7.5</v>
      </c>
      <c r="D33" s="106" t="s">
        <v>544</v>
      </c>
      <c r="E33">
        <v>5</v>
      </c>
    </row>
    <row r="34" spans="1:5" x14ac:dyDescent="0.3">
      <c r="A34" s="104" t="s">
        <v>200</v>
      </c>
      <c r="B34" s="107"/>
      <c r="C34" s="110">
        <v>5</v>
      </c>
      <c r="D34" s="106"/>
      <c r="E34">
        <v>5</v>
      </c>
    </row>
    <row r="35" spans="1:5" x14ac:dyDescent="0.3">
      <c r="A35" s="104" t="s">
        <v>243</v>
      </c>
      <c r="B35" s="105">
        <v>8000</v>
      </c>
      <c r="C35" s="110">
        <v>7.5</v>
      </c>
      <c r="D35" s="106"/>
      <c r="E35">
        <v>5</v>
      </c>
    </row>
    <row r="36" spans="1:5" x14ac:dyDescent="0.3">
      <c r="A36" s="104" t="s">
        <v>139</v>
      </c>
      <c r="B36" s="105">
        <v>9110</v>
      </c>
      <c r="C36" s="110">
        <v>7.5</v>
      </c>
      <c r="D36" s="106"/>
      <c r="E36">
        <v>5</v>
      </c>
    </row>
    <row r="37" spans="1:5" x14ac:dyDescent="0.3">
      <c r="A37" s="104" t="s">
        <v>292</v>
      </c>
      <c r="B37" s="105">
        <v>10854</v>
      </c>
      <c r="C37" s="110">
        <v>7.5</v>
      </c>
      <c r="D37" s="106"/>
      <c r="E37">
        <v>5</v>
      </c>
    </row>
    <row r="38" spans="1:5" x14ac:dyDescent="0.3">
      <c r="A38" s="104" t="s">
        <v>121</v>
      </c>
      <c r="B38" s="105">
        <f>90000/4</f>
        <v>22500</v>
      </c>
      <c r="C38" s="110">
        <f t="shared" si="0"/>
        <v>6.666666666666667</v>
      </c>
      <c r="D38" s="106" t="s">
        <v>545</v>
      </c>
      <c r="E38">
        <v>5</v>
      </c>
    </row>
    <row r="39" spans="1:5" x14ac:dyDescent="0.3">
      <c r="A39" s="104" t="s">
        <v>130</v>
      </c>
      <c r="B39" s="105">
        <v>5000</v>
      </c>
      <c r="C39" s="110">
        <f t="shared" si="0"/>
        <v>30</v>
      </c>
      <c r="D39" s="106"/>
      <c r="E39">
        <v>5</v>
      </c>
    </row>
    <row r="40" spans="1:5" x14ac:dyDescent="0.3">
      <c r="A40" s="104" t="s">
        <v>161</v>
      </c>
      <c r="B40" s="105">
        <v>45000</v>
      </c>
      <c r="C40" s="110">
        <f t="shared" si="0"/>
        <v>3.3333333333333335</v>
      </c>
      <c r="D40" s="106"/>
      <c r="E40">
        <v>5</v>
      </c>
    </row>
    <row r="41" spans="1:5" x14ac:dyDescent="0.3">
      <c r="A41" s="104" t="s">
        <v>224</v>
      </c>
      <c r="B41" s="105">
        <v>4200</v>
      </c>
      <c r="C41" s="110">
        <v>7.5</v>
      </c>
      <c r="D41" s="106" t="s">
        <v>546</v>
      </c>
      <c r="E41">
        <v>5</v>
      </c>
    </row>
    <row r="42" spans="1:5" x14ac:dyDescent="0.3">
      <c r="A42" s="104" t="s">
        <v>259</v>
      </c>
      <c r="B42" s="105">
        <v>40000</v>
      </c>
      <c r="C42" s="110">
        <f t="shared" si="0"/>
        <v>3.75</v>
      </c>
      <c r="D42" s="106"/>
      <c r="E42">
        <v>5</v>
      </c>
    </row>
    <row r="43" spans="1:5" x14ac:dyDescent="0.3">
      <c r="A43" s="104" t="s">
        <v>208</v>
      </c>
      <c r="B43" s="105">
        <v>45000</v>
      </c>
      <c r="C43" s="110">
        <f t="shared" si="0"/>
        <v>3.3333333333333335</v>
      </c>
      <c r="D43" s="106"/>
      <c r="E43">
        <v>5</v>
      </c>
    </row>
    <row r="44" spans="1:5" x14ac:dyDescent="0.3">
      <c r="A44" s="104" t="s">
        <v>196</v>
      </c>
      <c r="B44" s="107"/>
      <c r="C44" s="110">
        <v>5</v>
      </c>
      <c r="D44" s="106" t="s">
        <v>547</v>
      </c>
      <c r="E44">
        <v>5</v>
      </c>
    </row>
    <row r="45" spans="1:5" x14ac:dyDescent="0.3">
      <c r="A45" s="108" t="s">
        <v>309</v>
      </c>
      <c r="B45" s="105">
        <v>40000</v>
      </c>
      <c r="C45" s="110">
        <f t="shared" si="0"/>
        <v>3.75</v>
      </c>
      <c r="D45" s="106" t="s">
        <v>548</v>
      </c>
      <c r="E45">
        <v>5</v>
      </c>
    </row>
    <row r="46" spans="1:5" x14ac:dyDescent="0.3">
      <c r="A46" s="108" t="s">
        <v>72</v>
      </c>
      <c r="B46" s="105">
        <v>56000</v>
      </c>
      <c r="C46" s="110">
        <f t="shared" si="0"/>
        <v>2.6785714285714288</v>
      </c>
      <c r="D46" s="106"/>
      <c r="E46">
        <v>5</v>
      </c>
    </row>
    <row r="47" spans="1:5" x14ac:dyDescent="0.3">
      <c r="A47" s="108" t="s">
        <v>47</v>
      </c>
      <c r="B47" s="105">
        <v>157000</v>
      </c>
      <c r="C47" s="110">
        <v>2.5</v>
      </c>
      <c r="D47" s="106"/>
      <c r="E47">
        <v>5</v>
      </c>
    </row>
    <row r="48" spans="1:5" x14ac:dyDescent="0.3">
      <c r="A48" s="108" t="s">
        <v>203</v>
      </c>
      <c r="B48" s="107"/>
      <c r="C48" s="110">
        <v>5</v>
      </c>
      <c r="D48" s="106"/>
      <c r="E48">
        <v>5</v>
      </c>
    </row>
    <row r="49" spans="1:5" x14ac:dyDescent="0.3">
      <c r="A49" s="108" t="s">
        <v>77</v>
      </c>
      <c r="B49" s="105">
        <v>6400</v>
      </c>
      <c r="C49" s="110">
        <v>7.5</v>
      </c>
      <c r="D49" s="106"/>
      <c r="E49">
        <v>5</v>
      </c>
    </row>
    <row r="50" spans="1:5" x14ac:dyDescent="0.3">
      <c r="A50" s="108" t="s">
        <v>184</v>
      </c>
      <c r="B50" s="105">
        <v>1100</v>
      </c>
      <c r="C50" s="110">
        <v>7.5</v>
      </c>
      <c r="D50" s="106" t="s">
        <v>549</v>
      </c>
      <c r="E50">
        <v>5</v>
      </c>
    </row>
    <row r="51" spans="1:5" x14ac:dyDescent="0.3">
      <c r="A51" s="108" t="s">
        <v>283</v>
      </c>
      <c r="B51" s="105">
        <v>150000</v>
      </c>
      <c r="C51" s="110">
        <v>2.5</v>
      </c>
      <c r="D51" s="106"/>
      <c r="E51">
        <v>5</v>
      </c>
    </row>
    <row r="52" spans="1:5" x14ac:dyDescent="0.3">
      <c r="A52" s="108" t="s">
        <v>247</v>
      </c>
      <c r="B52" s="105">
        <v>20000</v>
      </c>
      <c r="C52" s="110">
        <f t="shared" si="0"/>
        <v>7.5</v>
      </c>
      <c r="D52" s="106" t="s">
        <v>550</v>
      </c>
      <c r="E52">
        <v>5</v>
      </c>
    </row>
    <row r="53" spans="1:5" x14ac:dyDescent="0.3">
      <c r="A53" s="104" t="s">
        <v>316</v>
      </c>
      <c r="B53" s="105">
        <v>32725</v>
      </c>
      <c r="C53" s="110">
        <f t="shared" si="0"/>
        <v>4.5836516424751723</v>
      </c>
      <c r="D53" s="106" t="s">
        <v>551</v>
      </c>
      <c r="E53">
        <v>5</v>
      </c>
    </row>
    <row r="54" spans="1:5" x14ac:dyDescent="0.3">
      <c r="A54" s="104" t="s">
        <v>64</v>
      </c>
      <c r="B54" s="107"/>
      <c r="C54" s="110">
        <v>5</v>
      </c>
      <c r="D54" s="106" t="s">
        <v>552</v>
      </c>
      <c r="E54">
        <v>5</v>
      </c>
    </row>
    <row r="55" spans="1:5" x14ac:dyDescent="0.3">
      <c r="A55" s="104" t="s">
        <v>146</v>
      </c>
      <c r="B55" s="105">
        <v>5000</v>
      </c>
      <c r="C55" s="110">
        <v>7.5</v>
      </c>
      <c r="D55" s="106" t="s">
        <v>553</v>
      </c>
      <c r="E55">
        <v>5</v>
      </c>
    </row>
    <row r="56" spans="1:5" x14ac:dyDescent="0.3">
      <c r="A56" s="104" t="s">
        <v>127</v>
      </c>
      <c r="B56" s="105">
        <f>38000/4</f>
        <v>9500</v>
      </c>
      <c r="C56" s="110">
        <v>7.5</v>
      </c>
      <c r="D56" s="106" t="s">
        <v>554</v>
      </c>
      <c r="E56">
        <v>5</v>
      </c>
    </row>
    <row r="57" spans="1:5" x14ac:dyDescent="0.3">
      <c r="A57" s="104" t="s">
        <v>269</v>
      </c>
      <c r="B57" s="105">
        <v>22500</v>
      </c>
      <c r="C57" s="110">
        <f t="shared" si="0"/>
        <v>6.666666666666667</v>
      </c>
      <c r="D57" s="106"/>
      <c r="E57">
        <v>5</v>
      </c>
    </row>
    <row r="58" spans="1:5" x14ac:dyDescent="0.3">
      <c r="A58" s="104" t="s">
        <v>188</v>
      </c>
      <c r="B58" s="107"/>
      <c r="C58" s="110">
        <v>5</v>
      </c>
      <c r="D58" s="106"/>
      <c r="E58">
        <v>5</v>
      </c>
    </row>
    <row r="59" spans="1:5" x14ac:dyDescent="0.3">
      <c r="A59" s="104" t="s">
        <v>112</v>
      </c>
      <c r="B59" s="105">
        <v>2500</v>
      </c>
      <c r="C59" s="110">
        <v>7.5</v>
      </c>
      <c r="D59" s="106"/>
      <c r="E59">
        <v>5</v>
      </c>
    </row>
    <row r="60" spans="1:5" x14ac:dyDescent="0.3">
      <c r="A60" s="104" t="s">
        <v>227</v>
      </c>
      <c r="B60" s="105">
        <v>24000</v>
      </c>
      <c r="C60" s="110">
        <f t="shared" si="0"/>
        <v>6.25</v>
      </c>
      <c r="D60" s="106"/>
      <c r="E60">
        <v>5</v>
      </c>
    </row>
    <row r="61" spans="1:5" x14ac:dyDescent="0.3">
      <c r="A61" s="104" t="s">
        <v>263</v>
      </c>
      <c r="B61" s="105">
        <v>100</v>
      </c>
      <c r="C61" s="110">
        <v>7.5</v>
      </c>
      <c r="D61" s="106" t="s">
        <v>555</v>
      </c>
      <c r="E61">
        <v>5</v>
      </c>
    </row>
    <row r="62" spans="1:5" x14ac:dyDescent="0.3">
      <c r="A62" s="104" t="s">
        <v>179</v>
      </c>
      <c r="B62" s="107"/>
      <c r="C62" s="110">
        <v>5</v>
      </c>
      <c r="D62" s="106"/>
      <c r="E62">
        <v>5</v>
      </c>
    </row>
    <row r="63" spans="1:5" x14ac:dyDescent="0.3">
      <c r="A63" s="104" t="s">
        <v>104</v>
      </c>
      <c r="B63" s="105">
        <v>5000</v>
      </c>
      <c r="C63" s="110">
        <v>7.5</v>
      </c>
      <c r="D63" s="106" t="s">
        <v>556</v>
      </c>
      <c r="E63">
        <v>5</v>
      </c>
    </row>
    <row r="64" spans="1:5" x14ac:dyDescent="0.3">
      <c r="A64" s="104" t="s">
        <v>155</v>
      </c>
      <c r="B64" s="105">
        <v>60000</v>
      </c>
      <c r="C64" s="110">
        <f t="shared" si="0"/>
        <v>2.5</v>
      </c>
      <c r="D64" s="106"/>
      <c r="E64">
        <v>5</v>
      </c>
    </row>
    <row r="65" spans="1:5" x14ac:dyDescent="0.3">
      <c r="A65" s="104" t="s">
        <v>149</v>
      </c>
      <c r="B65" s="105">
        <v>13000</v>
      </c>
      <c r="C65" s="110">
        <v>7.5</v>
      </c>
      <c r="D65" s="106"/>
      <c r="E65">
        <v>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1E757-B804-4215-A5E9-FE0A729BD88C}">
  <dimension ref="A1:R66"/>
  <sheetViews>
    <sheetView tabSelected="1" zoomScale="85" zoomScaleNormal="85" workbookViewId="0">
      <selection activeCell="E11" sqref="E11"/>
    </sheetView>
  </sheetViews>
  <sheetFormatPr baseColWidth="10" defaultColWidth="11.44140625" defaultRowHeight="14.4" x14ac:dyDescent="0.3"/>
  <cols>
    <col min="1" max="1" width="15.6640625" style="94" customWidth="1"/>
    <col min="2" max="2" width="25.109375" style="94" customWidth="1"/>
    <col min="3" max="3" width="11.44140625" style="94"/>
    <col min="4" max="4" width="13.88671875" customWidth="1"/>
  </cols>
  <sheetData>
    <row r="1" spans="1:18" ht="28.8" x14ac:dyDescent="0.3">
      <c r="A1" s="109" t="s">
        <v>7</v>
      </c>
      <c r="B1" s="96" t="s">
        <v>403</v>
      </c>
      <c r="C1" s="96" t="s">
        <v>363</v>
      </c>
      <c r="D1" s="144"/>
      <c r="E1" s="95"/>
      <c r="F1" s="95"/>
      <c r="M1" s="201"/>
      <c r="N1" s="201"/>
      <c r="O1" s="201"/>
      <c r="P1" s="201"/>
      <c r="Q1" s="201"/>
      <c r="R1" s="201"/>
    </row>
    <row r="2" spans="1:18" x14ac:dyDescent="0.3">
      <c r="A2" s="102" t="s">
        <v>39</v>
      </c>
      <c r="B2" s="102" t="s">
        <v>404</v>
      </c>
      <c r="C2" s="102" t="s">
        <v>46</v>
      </c>
      <c r="D2" s="94"/>
      <c r="E2" s="95"/>
      <c r="F2" s="95"/>
      <c r="M2" s="201"/>
      <c r="N2" s="201"/>
      <c r="O2" s="201"/>
      <c r="P2" s="201"/>
      <c r="Q2" s="201"/>
      <c r="R2" s="201"/>
    </row>
    <row r="3" spans="1:18" x14ac:dyDescent="0.3">
      <c r="A3" s="145" t="s">
        <v>56</v>
      </c>
      <c r="B3" s="145">
        <v>0</v>
      </c>
      <c r="C3" s="146">
        <v>4.5</v>
      </c>
      <c r="D3" s="95"/>
      <c r="E3" s="95"/>
      <c r="F3" s="95"/>
      <c r="M3" s="201"/>
      <c r="N3" s="201"/>
      <c r="O3" s="201"/>
      <c r="P3" s="201"/>
      <c r="Q3" s="201"/>
      <c r="R3" s="201"/>
    </row>
    <row r="4" spans="1:18" ht="14.4" customHeight="1" x14ac:dyDescent="0.3">
      <c r="A4" s="145" t="s">
        <v>100</v>
      </c>
      <c r="B4" s="145">
        <v>0</v>
      </c>
      <c r="C4" s="146">
        <v>4.5</v>
      </c>
      <c r="D4" s="95"/>
      <c r="M4" s="201"/>
      <c r="N4" s="201"/>
      <c r="O4" s="201"/>
      <c r="P4" s="201"/>
      <c r="Q4" s="201"/>
      <c r="R4" s="201"/>
    </row>
    <row r="5" spans="1:18" ht="14.4" customHeight="1" x14ac:dyDescent="0.3">
      <c r="A5" s="145" t="s">
        <v>256</v>
      </c>
      <c r="B5" s="145">
        <v>0</v>
      </c>
      <c r="C5" s="146">
        <v>4.5</v>
      </c>
      <c r="D5" s="95"/>
      <c r="F5" s="95"/>
      <c r="M5" s="201"/>
      <c r="N5" s="201"/>
      <c r="O5" s="201"/>
      <c r="P5" s="201"/>
      <c r="Q5" s="201"/>
      <c r="R5" s="201"/>
    </row>
    <row r="6" spans="1:18" ht="14.4" customHeight="1" x14ac:dyDescent="0.3">
      <c r="A6" s="145" t="s">
        <v>305</v>
      </c>
      <c r="B6" s="145">
        <v>0</v>
      </c>
      <c r="C6" s="146">
        <v>4.5</v>
      </c>
      <c r="D6" s="95"/>
      <c r="F6" s="95"/>
      <c r="M6" s="201"/>
      <c r="N6" s="201"/>
      <c r="O6" s="201"/>
      <c r="P6" s="201"/>
      <c r="Q6" s="201"/>
      <c r="R6" s="201"/>
    </row>
    <row r="7" spans="1:18" ht="14.4" customHeight="1" x14ac:dyDescent="0.3">
      <c r="A7" s="145" t="s">
        <v>231</v>
      </c>
      <c r="B7" s="145">
        <v>0</v>
      </c>
      <c r="C7" s="146">
        <v>4.5</v>
      </c>
      <c r="D7" s="95"/>
      <c r="M7" s="201"/>
      <c r="N7" s="201"/>
      <c r="O7" s="201"/>
      <c r="P7" s="201"/>
      <c r="Q7" s="201"/>
      <c r="R7" s="201"/>
    </row>
    <row r="8" spans="1:18" ht="14.4" customHeight="1" x14ac:dyDescent="0.3">
      <c r="A8" s="145" t="s">
        <v>143</v>
      </c>
      <c r="B8" s="145">
        <v>0</v>
      </c>
      <c r="C8" s="146">
        <v>4.5</v>
      </c>
      <c r="D8" s="95"/>
      <c r="M8" s="201"/>
      <c r="N8" s="201"/>
      <c r="O8" s="201"/>
      <c r="P8" s="201"/>
      <c r="Q8" s="201"/>
      <c r="R8" s="201"/>
    </row>
    <row r="9" spans="1:18" ht="14.4" customHeight="1" x14ac:dyDescent="0.3">
      <c r="A9" s="145" t="s">
        <v>83</v>
      </c>
      <c r="B9" s="145">
        <v>0</v>
      </c>
      <c r="C9" s="146">
        <v>4.5</v>
      </c>
      <c r="D9" s="95"/>
      <c r="M9" s="201"/>
      <c r="N9" s="201"/>
      <c r="O9" s="201"/>
      <c r="P9" s="201"/>
      <c r="Q9" s="201"/>
      <c r="R9" s="201"/>
    </row>
    <row r="10" spans="1:18" ht="14.4" customHeight="1" x14ac:dyDescent="0.3">
      <c r="A10" s="145" t="s">
        <v>236</v>
      </c>
      <c r="B10" s="145">
        <v>0</v>
      </c>
      <c r="C10" s="146">
        <v>4.5</v>
      </c>
      <c r="D10" s="95"/>
      <c r="M10" s="201"/>
      <c r="N10" s="201"/>
      <c r="O10" s="201"/>
      <c r="P10" s="201"/>
      <c r="Q10" s="201"/>
      <c r="R10" s="201"/>
    </row>
    <row r="11" spans="1:18" ht="14.4" customHeight="1" x14ac:dyDescent="0.3">
      <c r="A11" s="145" t="s">
        <v>302</v>
      </c>
      <c r="B11" s="145">
        <v>0</v>
      </c>
      <c r="C11" s="146">
        <v>4.5</v>
      </c>
      <c r="D11" s="95"/>
      <c r="M11" s="201"/>
      <c r="N11" s="201"/>
      <c r="O11" s="201"/>
      <c r="P11" s="201"/>
      <c r="Q11" s="201"/>
      <c r="R11" s="201"/>
    </row>
    <row r="12" spans="1:18" ht="14.4" customHeight="1" x14ac:dyDescent="0.3">
      <c r="A12" s="145" t="s">
        <v>252</v>
      </c>
      <c r="B12" s="145">
        <v>0</v>
      </c>
      <c r="C12" s="146">
        <v>4.5</v>
      </c>
      <c r="D12" s="95"/>
      <c r="M12" s="201"/>
      <c r="N12" s="201"/>
      <c r="O12" s="201"/>
      <c r="P12" s="201"/>
      <c r="Q12" s="201"/>
      <c r="R12" s="201"/>
    </row>
    <row r="13" spans="1:18" ht="14.4" customHeight="1" x14ac:dyDescent="0.3">
      <c r="A13" s="145" t="s">
        <v>221</v>
      </c>
      <c r="B13" s="145">
        <v>0</v>
      </c>
      <c r="C13" s="146">
        <v>4.5</v>
      </c>
      <c r="D13" s="95"/>
      <c r="M13" s="201"/>
      <c r="N13" s="201"/>
      <c r="O13" s="201"/>
      <c r="P13" s="201"/>
      <c r="Q13" s="201"/>
      <c r="R13" s="201"/>
    </row>
    <row r="14" spans="1:18" x14ac:dyDescent="0.3">
      <c r="A14" s="145" t="s">
        <v>313</v>
      </c>
      <c r="B14" s="145">
        <v>0</v>
      </c>
      <c r="C14" s="146">
        <v>4.5</v>
      </c>
      <c r="D14" s="95"/>
      <c r="M14" s="201"/>
      <c r="N14" s="201"/>
      <c r="O14" s="201"/>
      <c r="P14" s="201"/>
      <c r="Q14" s="201"/>
      <c r="R14" s="201"/>
    </row>
    <row r="15" spans="1:18" x14ac:dyDescent="0.3">
      <c r="A15" s="145" t="s">
        <v>158</v>
      </c>
      <c r="B15" s="145">
        <v>0</v>
      </c>
      <c r="C15" s="146">
        <v>4.5</v>
      </c>
      <c r="D15" s="95"/>
      <c r="M15" s="201"/>
      <c r="N15" s="201"/>
      <c r="O15" s="201"/>
      <c r="P15" s="201"/>
      <c r="Q15" s="201"/>
      <c r="R15" s="201"/>
    </row>
    <row r="16" spans="1:18" ht="14.4" customHeight="1" x14ac:dyDescent="0.3">
      <c r="A16" s="145" t="s">
        <v>287</v>
      </c>
      <c r="B16" s="145">
        <v>0</v>
      </c>
      <c r="C16" s="146">
        <v>4.5</v>
      </c>
      <c r="D16" s="95"/>
      <c r="M16" s="201"/>
      <c r="N16" s="201"/>
      <c r="O16" s="201"/>
      <c r="P16" s="201"/>
      <c r="Q16" s="201"/>
      <c r="R16" s="201"/>
    </row>
    <row r="17" spans="1:18" ht="14.4" customHeight="1" x14ac:dyDescent="0.3">
      <c r="A17" s="145" t="s">
        <v>240</v>
      </c>
      <c r="B17" s="145">
        <v>0</v>
      </c>
      <c r="C17" s="146">
        <v>4.5</v>
      </c>
      <c r="D17" s="95"/>
      <c r="M17" s="201"/>
      <c r="N17" s="201"/>
      <c r="O17" s="201"/>
      <c r="P17" s="201"/>
      <c r="Q17" s="201"/>
      <c r="R17" s="201"/>
    </row>
    <row r="18" spans="1:18" x14ac:dyDescent="0.3">
      <c r="A18" s="145" t="s">
        <v>177</v>
      </c>
      <c r="B18" s="145">
        <v>0</v>
      </c>
      <c r="C18" s="146">
        <v>4.5</v>
      </c>
      <c r="D18" s="95"/>
    </row>
    <row r="19" spans="1:18" x14ac:dyDescent="0.3">
      <c r="A19" s="145" t="s">
        <v>218</v>
      </c>
      <c r="B19" s="145">
        <v>1</v>
      </c>
      <c r="C19" s="146">
        <v>5.5</v>
      </c>
      <c r="D19" s="95"/>
    </row>
    <row r="20" spans="1:18" x14ac:dyDescent="0.3">
      <c r="A20" s="145" t="s">
        <v>89</v>
      </c>
      <c r="B20" s="145">
        <v>0</v>
      </c>
      <c r="C20" s="146">
        <v>4.5</v>
      </c>
      <c r="D20" s="95"/>
    </row>
    <row r="21" spans="1:18" x14ac:dyDescent="0.3">
      <c r="A21" s="145" t="s">
        <v>213</v>
      </c>
      <c r="B21" s="145">
        <v>0</v>
      </c>
      <c r="C21" s="146">
        <v>4.5</v>
      </c>
      <c r="D21" s="95"/>
    </row>
    <row r="22" spans="1:18" x14ac:dyDescent="0.3">
      <c r="A22" s="145" t="s">
        <v>166</v>
      </c>
      <c r="B22" s="145">
        <v>0</v>
      </c>
      <c r="C22" s="146">
        <v>4.5</v>
      </c>
      <c r="D22" s="95"/>
    </row>
    <row r="23" spans="1:18" x14ac:dyDescent="0.3">
      <c r="A23" s="145" t="s">
        <v>174</v>
      </c>
      <c r="B23" s="145">
        <v>0</v>
      </c>
      <c r="C23" s="146">
        <v>4.5</v>
      </c>
      <c r="D23" s="95"/>
    </row>
    <row r="24" spans="1:18" x14ac:dyDescent="0.3">
      <c r="A24" s="145" t="s">
        <v>117</v>
      </c>
      <c r="B24" s="145">
        <v>0</v>
      </c>
      <c r="C24" s="146">
        <v>4.5</v>
      </c>
      <c r="D24" s="95"/>
    </row>
    <row r="25" spans="1:18" x14ac:dyDescent="0.3">
      <c r="A25" s="145" t="s">
        <v>215</v>
      </c>
      <c r="B25" s="145">
        <v>0</v>
      </c>
      <c r="C25" s="146">
        <v>4.5</v>
      </c>
      <c r="D25" s="95"/>
    </row>
    <row r="26" spans="1:18" x14ac:dyDescent="0.3">
      <c r="A26" s="145" t="s">
        <v>95</v>
      </c>
      <c r="B26" s="145">
        <v>0</v>
      </c>
      <c r="C26" s="146">
        <v>4.5</v>
      </c>
      <c r="D26" s="95"/>
    </row>
    <row r="27" spans="1:18" x14ac:dyDescent="0.3">
      <c r="A27" s="145" t="s">
        <v>274</v>
      </c>
      <c r="B27" s="145">
        <v>0</v>
      </c>
      <c r="C27" s="146">
        <v>4.5</v>
      </c>
      <c r="D27" s="95"/>
    </row>
    <row r="28" spans="1:18" x14ac:dyDescent="0.3">
      <c r="A28" s="145" t="s">
        <v>279</v>
      </c>
      <c r="B28" s="94">
        <v>1</v>
      </c>
      <c r="C28" s="146">
        <v>5.5</v>
      </c>
      <c r="D28" s="95"/>
    </row>
    <row r="29" spans="1:18" x14ac:dyDescent="0.3">
      <c r="A29" s="145" t="s">
        <v>153</v>
      </c>
      <c r="B29" s="145">
        <v>1</v>
      </c>
      <c r="C29" s="146">
        <v>5.5</v>
      </c>
      <c r="D29" s="95"/>
    </row>
    <row r="30" spans="1:18" x14ac:dyDescent="0.3">
      <c r="A30" s="145" t="s">
        <v>191</v>
      </c>
      <c r="B30" s="94">
        <v>0</v>
      </c>
      <c r="C30" s="146">
        <v>4.5</v>
      </c>
      <c r="D30" s="95"/>
    </row>
    <row r="31" spans="1:18" x14ac:dyDescent="0.3">
      <c r="A31" s="145" t="s">
        <v>297</v>
      </c>
      <c r="B31" s="94">
        <v>0</v>
      </c>
      <c r="C31" s="146">
        <v>4.5</v>
      </c>
      <c r="D31" s="95"/>
    </row>
    <row r="32" spans="1:18" x14ac:dyDescent="0.3">
      <c r="A32" s="145" t="s">
        <v>170</v>
      </c>
      <c r="B32" s="94">
        <v>0</v>
      </c>
      <c r="C32" s="146">
        <v>4.5</v>
      </c>
      <c r="D32" s="95"/>
    </row>
    <row r="33" spans="1:4" x14ac:dyDescent="0.3">
      <c r="A33" s="145" t="s">
        <v>135</v>
      </c>
      <c r="B33" s="94">
        <v>0</v>
      </c>
      <c r="C33" s="146">
        <v>4.5</v>
      </c>
      <c r="D33" s="95"/>
    </row>
    <row r="34" spans="1:4" x14ac:dyDescent="0.3">
      <c r="A34" s="145" t="s">
        <v>200</v>
      </c>
      <c r="B34" s="94">
        <v>1</v>
      </c>
      <c r="C34" s="146">
        <v>5.5</v>
      </c>
      <c r="D34" s="95"/>
    </row>
    <row r="35" spans="1:4" x14ac:dyDescent="0.3">
      <c r="A35" s="145" t="s">
        <v>243</v>
      </c>
      <c r="B35" s="94">
        <v>0</v>
      </c>
      <c r="C35" s="146">
        <v>5.5</v>
      </c>
      <c r="D35" s="95"/>
    </row>
    <row r="36" spans="1:4" x14ac:dyDescent="0.3">
      <c r="A36" s="145" t="s">
        <v>139</v>
      </c>
      <c r="B36" s="94">
        <v>0</v>
      </c>
      <c r="C36" s="146">
        <v>5.5</v>
      </c>
      <c r="D36" s="95"/>
    </row>
    <row r="37" spans="1:4" x14ac:dyDescent="0.3">
      <c r="A37" s="145" t="s">
        <v>292</v>
      </c>
      <c r="B37" s="94">
        <v>0</v>
      </c>
      <c r="C37" s="146">
        <v>4.5</v>
      </c>
      <c r="D37" s="95"/>
    </row>
    <row r="38" spans="1:4" x14ac:dyDescent="0.3">
      <c r="A38" s="145" t="s">
        <v>121</v>
      </c>
      <c r="B38" s="94">
        <v>0</v>
      </c>
      <c r="C38" s="146">
        <v>4.5</v>
      </c>
      <c r="D38" s="95"/>
    </row>
    <row r="39" spans="1:4" x14ac:dyDescent="0.3">
      <c r="A39" s="145" t="s">
        <v>130</v>
      </c>
      <c r="B39" s="94">
        <v>0</v>
      </c>
      <c r="C39" s="146">
        <v>4.5</v>
      </c>
      <c r="D39" s="95"/>
    </row>
    <row r="40" spans="1:4" x14ac:dyDescent="0.3">
      <c r="A40" s="145" t="s">
        <v>161</v>
      </c>
      <c r="B40" s="94">
        <v>0</v>
      </c>
      <c r="C40" s="146">
        <v>4.5</v>
      </c>
      <c r="D40" s="95"/>
    </row>
    <row r="41" spans="1:4" x14ac:dyDescent="0.3">
      <c r="A41" s="145" t="s">
        <v>224</v>
      </c>
      <c r="B41" s="94">
        <v>0</v>
      </c>
      <c r="C41" s="146">
        <v>4.5</v>
      </c>
      <c r="D41" s="95"/>
    </row>
    <row r="42" spans="1:4" x14ac:dyDescent="0.3">
      <c r="A42" s="145" t="s">
        <v>259</v>
      </c>
      <c r="B42" s="94">
        <v>0</v>
      </c>
      <c r="C42" s="146">
        <v>4.5</v>
      </c>
      <c r="D42" s="95"/>
    </row>
    <row r="43" spans="1:4" x14ac:dyDescent="0.3">
      <c r="A43" s="145" t="s">
        <v>208</v>
      </c>
      <c r="B43" s="94">
        <v>0</v>
      </c>
      <c r="C43" s="146">
        <v>4.5</v>
      </c>
      <c r="D43" s="95"/>
    </row>
    <row r="44" spans="1:4" x14ac:dyDescent="0.3">
      <c r="A44" s="145" t="s">
        <v>196</v>
      </c>
      <c r="B44" s="94">
        <v>0</v>
      </c>
      <c r="C44" s="146">
        <v>4.5</v>
      </c>
      <c r="D44" s="95"/>
    </row>
    <row r="45" spans="1:4" x14ac:dyDescent="0.3">
      <c r="A45" s="145" t="s">
        <v>309</v>
      </c>
      <c r="B45" s="94">
        <v>0</v>
      </c>
      <c r="C45" s="146">
        <v>4.5</v>
      </c>
      <c r="D45" s="95"/>
    </row>
    <row r="46" spans="1:4" x14ac:dyDescent="0.3">
      <c r="A46" s="145" t="s">
        <v>72</v>
      </c>
      <c r="B46" s="94">
        <v>0</v>
      </c>
      <c r="C46" s="146">
        <v>4.5</v>
      </c>
      <c r="D46" s="95"/>
    </row>
    <row r="47" spans="1:4" x14ac:dyDescent="0.3">
      <c r="A47" s="145" t="s">
        <v>47</v>
      </c>
      <c r="B47" s="94">
        <v>0</v>
      </c>
      <c r="C47" s="146">
        <v>4.5</v>
      </c>
      <c r="D47" s="95"/>
    </row>
    <row r="48" spans="1:4" x14ac:dyDescent="0.3">
      <c r="A48" s="145" t="s">
        <v>203</v>
      </c>
      <c r="B48" s="94">
        <v>0</v>
      </c>
      <c r="C48" s="146">
        <v>4.5</v>
      </c>
      <c r="D48" s="95"/>
    </row>
    <row r="49" spans="1:4" x14ac:dyDescent="0.3">
      <c r="A49" s="145" t="s">
        <v>77</v>
      </c>
      <c r="B49" s="94">
        <v>0</v>
      </c>
      <c r="C49" s="146">
        <v>4.5</v>
      </c>
      <c r="D49" s="95"/>
    </row>
    <row r="50" spans="1:4" x14ac:dyDescent="0.3">
      <c r="A50" s="145" t="s">
        <v>184</v>
      </c>
      <c r="B50" s="94">
        <v>0</v>
      </c>
      <c r="C50" s="146">
        <v>4.5</v>
      </c>
      <c r="D50" s="95"/>
    </row>
    <row r="51" spans="1:4" x14ac:dyDescent="0.3">
      <c r="A51" s="145" t="s">
        <v>283</v>
      </c>
      <c r="B51" s="94">
        <v>0</v>
      </c>
      <c r="C51" s="146">
        <v>4.5</v>
      </c>
      <c r="D51" s="95"/>
    </row>
    <row r="52" spans="1:4" x14ac:dyDescent="0.3">
      <c r="A52" s="145" t="s">
        <v>247</v>
      </c>
      <c r="B52" s="94">
        <v>0</v>
      </c>
      <c r="C52" s="146">
        <v>4.5</v>
      </c>
      <c r="D52" s="95"/>
    </row>
    <row r="53" spans="1:4" x14ac:dyDescent="0.3">
      <c r="A53" s="145" t="s">
        <v>336</v>
      </c>
      <c r="B53" s="94">
        <v>0</v>
      </c>
      <c r="C53" s="146">
        <v>4.5</v>
      </c>
      <c r="D53" s="95"/>
    </row>
    <row r="54" spans="1:4" x14ac:dyDescent="0.3">
      <c r="A54" s="145" t="s">
        <v>64</v>
      </c>
      <c r="B54" s="94">
        <v>0</v>
      </c>
      <c r="C54" s="146">
        <v>4.5</v>
      </c>
      <c r="D54" s="95"/>
    </row>
    <row r="55" spans="1:4" x14ac:dyDescent="0.3">
      <c r="A55" s="145" t="s">
        <v>146</v>
      </c>
      <c r="B55" s="94">
        <v>0</v>
      </c>
      <c r="C55" s="146">
        <v>4.5</v>
      </c>
      <c r="D55" s="95"/>
    </row>
    <row r="56" spans="1:4" x14ac:dyDescent="0.3">
      <c r="A56" s="145" t="s">
        <v>127</v>
      </c>
      <c r="B56" s="94">
        <v>0</v>
      </c>
      <c r="C56" s="146">
        <v>4.5</v>
      </c>
      <c r="D56" s="95"/>
    </row>
    <row r="57" spans="1:4" x14ac:dyDescent="0.3">
      <c r="A57" s="145" t="s">
        <v>269</v>
      </c>
      <c r="B57" s="94">
        <v>0</v>
      </c>
      <c r="C57" s="146">
        <v>4.5</v>
      </c>
      <c r="D57" s="95"/>
    </row>
    <row r="58" spans="1:4" x14ac:dyDescent="0.3">
      <c r="A58" s="145" t="s">
        <v>188</v>
      </c>
      <c r="B58" s="94">
        <v>0</v>
      </c>
      <c r="C58" s="146">
        <v>4.5</v>
      </c>
      <c r="D58" s="95"/>
    </row>
    <row r="59" spans="1:4" x14ac:dyDescent="0.3">
      <c r="A59" s="145" t="s">
        <v>112</v>
      </c>
      <c r="B59" s="94">
        <v>0</v>
      </c>
      <c r="C59" s="146">
        <v>4.5</v>
      </c>
      <c r="D59" s="95"/>
    </row>
    <row r="60" spans="1:4" x14ac:dyDescent="0.3">
      <c r="A60" s="145" t="s">
        <v>227</v>
      </c>
      <c r="B60" s="94">
        <v>0</v>
      </c>
      <c r="C60" s="146">
        <v>4.5</v>
      </c>
      <c r="D60" s="95"/>
    </row>
    <row r="61" spans="1:4" x14ac:dyDescent="0.3">
      <c r="A61" s="145" t="s">
        <v>263</v>
      </c>
      <c r="B61" s="94">
        <v>0</v>
      </c>
      <c r="C61" s="146">
        <v>4.5</v>
      </c>
      <c r="D61" s="95"/>
    </row>
    <row r="62" spans="1:4" x14ac:dyDescent="0.3">
      <c r="A62" s="145" t="s">
        <v>179</v>
      </c>
      <c r="B62" s="94">
        <v>0</v>
      </c>
      <c r="C62" s="146">
        <v>4.5</v>
      </c>
      <c r="D62" s="95"/>
    </row>
    <row r="63" spans="1:4" x14ac:dyDescent="0.3">
      <c r="A63" s="145" t="s">
        <v>104</v>
      </c>
      <c r="B63" s="94">
        <v>0</v>
      </c>
      <c r="C63" s="146">
        <v>4.5</v>
      </c>
      <c r="D63" s="95"/>
    </row>
    <row r="64" spans="1:4" x14ac:dyDescent="0.3">
      <c r="A64" s="145" t="s">
        <v>155</v>
      </c>
      <c r="B64" s="94">
        <v>0</v>
      </c>
      <c r="C64" s="146">
        <v>4.5</v>
      </c>
      <c r="D64" s="95"/>
    </row>
    <row r="65" spans="1:4" x14ac:dyDescent="0.3">
      <c r="A65" s="145" t="s">
        <v>149</v>
      </c>
      <c r="B65" s="94">
        <v>0</v>
      </c>
      <c r="C65" s="146">
        <v>4.5</v>
      </c>
      <c r="D65" s="95"/>
    </row>
    <row r="66" spans="1:4" x14ac:dyDescent="0.3">
      <c r="A66" s="94" t="s">
        <v>316</v>
      </c>
      <c r="B66" s="94">
        <v>0</v>
      </c>
      <c r="C66" s="146">
        <v>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E2802-D24D-4906-AD12-D56D1B7F48A1}">
  <dimension ref="A1:Y67"/>
  <sheetViews>
    <sheetView topLeftCell="A20" zoomScale="60" zoomScaleNormal="85" workbookViewId="0">
      <selection activeCell="A60" sqref="A60"/>
    </sheetView>
  </sheetViews>
  <sheetFormatPr baseColWidth="10" defaultColWidth="11.44140625" defaultRowHeight="14.4" x14ac:dyDescent="0.3"/>
  <cols>
    <col min="1" max="1" width="21.44140625" customWidth="1"/>
    <col min="2" max="2" width="24.88671875" bestFit="1" customWidth="1"/>
    <col min="3" max="3" width="27" bestFit="1" customWidth="1"/>
    <col min="4" max="4" width="50.88671875" style="13" bestFit="1" customWidth="1"/>
    <col min="5" max="5" width="17.88671875" style="143" customWidth="1"/>
    <col min="6" max="6" width="13" style="143" customWidth="1"/>
    <col min="7" max="7" width="35.44140625" customWidth="1"/>
    <col min="8" max="8" width="14.109375" style="143" customWidth="1"/>
    <col min="9" max="9" width="12" bestFit="1" customWidth="1"/>
    <col min="12" max="12" width="39.6640625" bestFit="1" customWidth="1"/>
    <col min="13" max="13" width="11.5546875" bestFit="1" customWidth="1"/>
    <col min="23" max="23" width="24.109375" bestFit="1" customWidth="1"/>
  </cols>
  <sheetData>
    <row r="1" spans="1:25" x14ac:dyDescent="0.3">
      <c r="A1" s="43" t="s">
        <v>7</v>
      </c>
      <c r="B1" s="43" t="s">
        <v>8</v>
      </c>
      <c r="C1" s="43" t="s">
        <v>12</v>
      </c>
      <c r="D1" s="147" t="s">
        <v>13</v>
      </c>
      <c r="E1" s="156" t="s">
        <v>405</v>
      </c>
      <c r="F1" s="156" t="s">
        <v>406</v>
      </c>
      <c r="G1" s="156" t="s">
        <v>407</v>
      </c>
      <c r="H1" s="156" t="s">
        <v>408</v>
      </c>
      <c r="I1">
        <f>10/9</f>
        <v>1.1111111111111112</v>
      </c>
      <c r="W1" t="s">
        <v>409</v>
      </c>
      <c r="X1" t="s">
        <v>410</v>
      </c>
      <c r="Y1" t="s">
        <v>411</v>
      </c>
    </row>
    <row r="2" spans="1:25" ht="14.4" customHeight="1" x14ac:dyDescent="0.3">
      <c r="A2" s="46" t="s">
        <v>56</v>
      </c>
      <c r="B2" t="s">
        <v>57</v>
      </c>
      <c r="C2" s="46" t="s">
        <v>61</v>
      </c>
      <c r="D2" s="47" t="s">
        <v>412</v>
      </c>
      <c r="E2" s="94">
        <v>8</v>
      </c>
      <c r="F2" s="143">
        <v>8</v>
      </c>
      <c r="G2" t="s">
        <v>80</v>
      </c>
      <c r="H2" s="157">
        <f>F2*$I$1</f>
        <v>8.8888888888888893</v>
      </c>
      <c r="L2" s="198" t="s">
        <v>413</v>
      </c>
      <c r="M2" s="198" t="s">
        <v>414</v>
      </c>
      <c r="W2" t="s">
        <v>57</v>
      </c>
      <c r="X2" t="s">
        <v>415</v>
      </c>
      <c r="Y2">
        <v>4.8</v>
      </c>
    </row>
    <row r="3" spans="1:25" x14ac:dyDescent="0.3">
      <c r="A3" s="46" t="s">
        <v>100</v>
      </c>
      <c r="B3" t="s">
        <v>57</v>
      </c>
      <c r="C3" s="46" t="s">
        <v>61</v>
      </c>
      <c r="D3" s="47" t="s">
        <v>103</v>
      </c>
      <c r="E3" s="94">
        <v>8</v>
      </c>
      <c r="F3" s="143">
        <v>8</v>
      </c>
      <c r="G3" t="s">
        <v>80</v>
      </c>
      <c r="H3" s="157">
        <f t="shared" ref="H3:H64" si="0">F3*$I$1</f>
        <v>8.8888888888888893</v>
      </c>
      <c r="L3" t="s">
        <v>281</v>
      </c>
      <c r="M3" s="143">
        <v>1</v>
      </c>
      <c r="W3" t="s">
        <v>65</v>
      </c>
      <c r="X3" t="s">
        <v>416</v>
      </c>
      <c r="Y3" s="158">
        <v>4.3684210526315788</v>
      </c>
    </row>
    <row r="4" spans="1:25" x14ac:dyDescent="0.3">
      <c r="A4" s="148" t="s">
        <v>256</v>
      </c>
      <c r="B4" t="s">
        <v>57</v>
      </c>
      <c r="C4" s="148" t="s">
        <v>141</v>
      </c>
      <c r="D4" s="149" t="s">
        <v>417</v>
      </c>
      <c r="E4" s="94" t="s">
        <v>418</v>
      </c>
      <c r="F4" s="151">
        <v>5</v>
      </c>
      <c r="G4" s="52" t="s">
        <v>419</v>
      </c>
      <c r="H4" s="157">
        <f t="shared" si="0"/>
        <v>5.5555555555555554</v>
      </c>
      <c r="L4" s="46" t="s">
        <v>92</v>
      </c>
      <c r="M4" s="143">
        <v>2</v>
      </c>
      <c r="W4" t="s">
        <v>105</v>
      </c>
      <c r="X4" t="s">
        <v>420</v>
      </c>
      <c r="Y4" s="158">
        <v>4.0294117647058822</v>
      </c>
    </row>
    <row r="5" spans="1:25" x14ac:dyDescent="0.3">
      <c r="A5" s="46" t="s">
        <v>305</v>
      </c>
      <c r="B5" t="s">
        <v>57</v>
      </c>
      <c r="C5" s="46" t="s">
        <v>307</v>
      </c>
      <c r="D5" s="47" t="s">
        <v>421</v>
      </c>
      <c r="E5" s="94">
        <v>8</v>
      </c>
      <c r="F5" s="143">
        <v>8</v>
      </c>
      <c r="G5" t="s">
        <v>422</v>
      </c>
      <c r="H5" s="157">
        <f t="shared" si="0"/>
        <v>8.8888888888888893</v>
      </c>
      <c r="L5" s="46" t="s">
        <v>69</v>
      </c>
      <c r="M5" s="143">
        <v>3</v>
      </c>
      <c r="W5" t="s">
        <v>48</v>
      </c>
      <c r="X5" t="s">
        <v>423</v>
      </c>
      <c r="Y5">
        <v>4.5</v>
      </c>
    </row>
    <row r="6" spans="1:25" x14ac:dyDescent="0.3">
      <c r="A6" s="46" t="s">
        <v>231</v>
      </c>
      <c r="B6" t="s">
        <v>57</v>
      </c>
      <c r="C6" s="46" t="s">
        <v>233</v>
      </c>
      <c r="D6" s="47" t="s">
        <v>424</v>
      </c>
      <c r="E6" s="143" t="s">
        <v>425</v>
      </c>
      <c r="F6" s="143">
        <v>7</v>
      </c>
      <c r="G6" t="s">
        <v>426</v>
      </c>
      <c r="H6" s="157">
        <f t="shared" si="0"/>
        <v>7.7777777777777786</v>
      </c>
      <c r="L6" s="46" t="s">
        <v>427</v>
      </c>
      <c r="M6" s="143">
        <v>4</v>
      </c>
    </row>
    <row r="7" spans="1:25" x14ac:dyDescent="0.3">
      <c r="A7" s="46" t="s">
        <v>143</v>
      </c>
      <c r="B7" t="s">
        <v>57</v>
      </c>
      <c r="C7" s="46" t="s">
        <v>87</v>
      </c>
      <c r="D7" s="47" t="s">
        <v>145</v>
      </c>
      <c r="E7" s="143" t="s">
        <v>425</v>
      </c>
      <c r="F7" s="143">
        <v>6</v>
      </c>
      <c r="G7" t="s">
        <v>428</v>
      </c>
      <c r="H7" s="157">
        <f t="shared" si="0"/>
        <v>6.666666666666667</v>
      </c>
      <c r="L7" s="46" t="s">
        <v>141</v>
      </c>
      <c r="M7" s="143">
        <v>5</v>
      </c>
    </row>
    <row r="8" spans="1:25" x14ac:dyDescent="0.3">
      <c r="A8" s="46" t="s">
        <v>83</v>
      </c>
      <c r="B8" t="s">
        <v>57</v>
      </c>
      <c r="C8" s="46" t="s">
        <v>87</v>
      </c>
      <c r="D8" s="47" t="s">
        <v>88</v>
      </c>
      <c r="E8" s="143" t="s">
        <v>425</v>
      </c>
      <c r="F8" s="143">
        <v>7</v>
      </c>
      <c r="G8" t="s">
        <v>429</v>
      </c>
      <c r="H8" s="157">
        <f t="shared" si="0"/>
        <v>7.7777777777777786</v>
      </c>
      <c r="L8" s="46" t="s">
        <v>87</v>
      </c>
      <c r="M8" s="143">
        <v>6</v>
      </c>
    </row>
    <row r="9" spans="1:25" x14ac:dyDescent="0.3">
      <c r="A9" s="46" t="s">
        <v>236</v>
      </c>
      <c r="B9" t="s">
        <v>57</v>
      </c>
      <c r="C9" s="46" t="s">
        <v>87</v>
      </c>
      <c r="D9" s="47" t="s">
        <v>239</v>
      </c>
      <c r="E9" s="143" t="s">
        <v>425</v>
      </c>
      <c r="F9" s="143">
        <v>7</v>
      </c>
      <c r="G9" t="s">
        <v>430</v>
      </c>
      <c r="H9" s="157">
        <f t="shared" si="0"/>
        <v>7.7777777777777786</v>
      </c>
      <c r="L9" s="46" t="s">
        <v>233</v>
      </c>
      <c r="M9" s="143">
        <v>7</v>
      </c>
    </row>
    <row r="10" spans="1:25" x14ac:dyDescent="0.3">
      <c r="A10" s="148" t="s">
        <v>302</v>
      </c>
      <c r="B10" t="s">
        <v>57</v>
      </c>
      <c r="C10" s="46" t="s">
        <v>87</v>
      </c>
      <c r="D10" s="150" t="s">
        <v>431</v>
      </c>
      <c r="E10" s="143" t="s">
        <v>425</v>
      </c>
      <c r="F10" s="143">
        <v>4</v>
      </c>
      <c r="G10" t="s">
        <v>432</v>
      </c>
      <c r="H10" s="157">
        <f t="shared" si="0"/>
        <v>4.4444444444444446</v>
      </c>
      <c r="L10" s="46" t="s">
        <v>433</v>
      </c>
      <c r="M10" s="143">
        <v>8</v>
      </c>
    </row>
    <row r="11" spans="1:25" x14ac:dyDescent="0.3">
      <c r="A11" s="46" t="s">
        <v>252</v>
      </c>
      <c r="B11" t="s">
        <v>57</v>
      </c>
      <c r="C11" s="46" t="s">
        <v>87</v>
      </c>
      <c r="D11" s="47" t="s">
        <v>255</v>
      </c>
      <c r="E11" s="143" t="s">
        <v>425</v>
      </c>
      <c r="F11" s="143">
        <v>6</v>
      </c>
      <c r="G11" t="s">
        <v>434</v>
      </c>
      <c r="H11" s="157">
        <f t="shared" si="0"/>
        <v>6.666666666666667</v>
      </c>
      <c r="L11" s="46" t="s">
        <v>435</v>
      </c>
      <c r="M11" s="143">
        <v>9</v>
      </c>
    </row>
    <row r="12" spans="1:25" x14ac:dyDescent="0.3">
      <c r="A12" s="46" t="s">
        <v>221</v>
      </c>
      <c r="B12" t="s">
        <v>57</v>
      </c>
      <c r="C12" s="46" t="s">
        <v>87</v>
      </c>
      <c r="D12" s="47" t="s">
        <v>223</v>
      </c>
      <c r="E12" s="143" t="s">
        <v>425</v>
      </c>
      <c r="F12" s="152">
        <v>7</v>
      </c>
      <c r="G12" t="s">
        <v>436</v>
      </c>
      <c r="H12" s="157">
        <f t="shared" si="0"/>
        <v>7.7777777777777786</v>
      </c>
    </row>
    <row r="13" spans="1:25" x14ac:dyDescent="0.3">
      <c r="A13" s="46" t="s">
        <v>313</v>
      </c>
      <c r="B13" t="s">
        <v>57</v>
      </c>
      <c r="C13" s="46" t="s">
        <v>69</v>
      </c>
      <c r="D13" s="47" t="s">
        <v>315</v>
      </c>
      <c r="E13" s="94">
        <v>3</v>
      </c>
      <c r="F13" s="143">
        <v>3</v>
      </c>
      <c r="G13" t="s">
        <v>437</v>
      </c>
      <c r="H13" s="157">
        <f t="shared" si="0"/>
        <v>3.3333333333333335</v>
      </c>
    </row>
    <row r="14" spans="1:25" x14ac:dyDescent="0.3">
      <c r="A14" s="148" t="s">
        <v>158</v>
      </c>
      <c r="B14" t="s">
        <v>57</v>
      </c>
      <c r="C14" s="46" t="s">
        <v>69</v>
      </c>
      <c r="D14" s="150" t="s">
        <v>438</v>
      </c>
      <c r="E14" s="94">
        <v>3</v>
      </c>
      <c r="F14" s="143">
        <v>3</v>
      </c>
      <c r="G14" t="s">
        <v>437</v>
      </c>
      <c r="H14" s="157">
        <f t="shared" si="0"/>
        <v>3.3333333333333335</v>
      </c>
    </row>
    <row r="15" spans="1:25" x14ac:dyDescent="0.3">
      <c r="A15" s="46" t="s">
        <v>287</v>
      </c>
      <c r="B15" t="s">
        <v>57</v>
      </c>
      <c r="C15" s="46" t="s">
        <v>92</v>
      </c>
      <c r="D15" s="47" t="s">
        <v>291</v>
      </c>
      <c r="E15" s="94" t="s">
        <v>439</v>
      </c>
      <c r="F15" s="143">
        <v>4</v>
      </c>
      <c r="G15" t="s">
        <v>440</v>
      </c>
      <c r="H15" s="157">
        <f t="shared" si="0"/>
        <v>4.4444444444444446</v>
      </c>
    </row>
    <row r="16" spans="1:25" x14ac:dyDescent="0.3">
      <c r="A16" s="46" t="s">
        <v>240</v>
      </c>
      <c r="B16" t="s">
        <v>57</v>
      </c>
      <c r="C16" s="46" t="s">
        <v>92</v>
      </c>
      <c r="D16" s="47" t="s">
        <v>242</v>
      </c>
      <c r="E16" s="94" t="s">
        <v>439</v>
      </c>
      <c r="F16" s="143">
        <v>3</v>
      </c>
      <c r="G16" t="s">
        <v>437</v>
      </c>
      <c r="H16" s="157">
        <f t="shared" si="0"/>
        <v>3.3333333333333335</v>
      </c>
    </row>
    <row r="17" spans="1:8" x14ac:dyDescent="0.3">
      <c r="A17" s="46" t="s">
        <v>177</v>
      </c>
      <c r="B17" t="s">
        <v>57</v>
      </c>
      <c r="C17" s="46" t="s">
        <v>92</v>
      </c>
      <c r="D17" s="47" t="s">
        <v>176</v>
      </c>
      <c r="E17" s="94" t="s">
        <v>439</v>
      </c>
      <c r="F17" s="143">
        <v>2</v>
      </c>
      <c r="G17" t="s">
        <v>441</v>
      </c>
      <c r="H17" s="157">
        <f t="shared" si="0"/>
        <v>2.2222222222222223</v>
      </c>
    </row>
    <row r="18" spans="1:8" x14ac:dyDescent="0.3">
      <c r="A18" s="46" t="s">
        <v>218</v>
      </c>
      <c r="B18" t="s">
        <v>57</v>
      </c>
      <c r="C18" s="46" t="s">
        <v>92</v>
      </c>
      <c r="D18" s="47" t="s">
        <v>220</v>
      </c>
      <c r="E18" s="94" t="s">
        <v>439</v>
      </c>
      <c r="F18" s="143">
        <v>4</v>
      </c>
      <c r="G18" t="s">
        <v>442</v>
      </c>
      <c r="H18" s="157">
        <f t="shared" si="0"/>
        <v>4.4444444444444446</v>
      </c>
    </row>
    <row r="19" spans="1:8" x14ac:dyDescent="0.3">
      <c r="A19" s="46" t="s">
        <v>89</v>
      </c>
      <c r="B19" t="s">
        <v>57</v>
      </c>
      <c r="C19" s="46" t="s">
        <v>92</v>
      </c>
      <c r="D19" s="47" t="s">
        <v>93</v>
      </c>
      <c r="E19" s="94" t="s">
        <v>439</v>
      </c>
      <c r="F19" s="143">
        <v>3</v>
      </c>
      <c r="G19" t="s">
        <v>443</v>
      </c>
      <c r="H19" s="157">
        <f t="shared" si="0"/>
        <v>3.3333333333333335</v>
      </c>
    </row>
    <row r="20" spans="1:8" x14ac:dyDescent="0.3">
      <c r="A20" s="46" t="s">
        <v>213</v>
      </c>
      <c r="B20" t="s">
        <v>57</v>
      </c>
      <c r="C20" s="46" t="s">
        <v>92</v>
      </c>
      <c r="D20" s="47" t="s">
        <v>444</v>
      </c>
      <c r="E20" s="94" t="s">
        <v>439</v>
      </c>
      <c r="F20" s="143">
        <v>2</v>
      </c>
      <c r="G20" t="s">
        <v>445</v>
      </c>
      <c r="H20" s="157">
        <f t="shared" si="0"/>
        <v>2.2222222222222223</v>
      </c>
    </row>
    <row r="21" spans="1:8" x14ac:dyDescent="0.3">
      <c r="A21" s="46" t="s">
        <v>166</v>
      </c>
      <c r="B21" t="s">
        <v>57</v>
      </c>
      <c r="C21" s="46" t="s">
        <v>92</v>
      </c>
      <c r="D21" s="47" t="s">
        <v>169</v>
      </c>
      <c r="E21" s="94" t="s">
        <v>439</v>
      </c>
      <c r="F21" s="143">
        <v>3</v>
      </c>
      <c r="G21" t="s">
        <v>446</v>
      </c>
      <c r="H21" s="157">
        <f t="shared" si="0"/>
        <v>3.3333333333333335</v>
      </c>
    </row>
    <row r="22" spans="1:8" x14ac:dyDescent="0.3">
      <c r="A22" s="46" t="s">
        <v>174</v>
      </c>
      <c r="B22" t="s">
        <v>57</v>
      </c>
      <c r="C22" s="46" t="s">
        <v>92</v>
      </c>
      <c r="D22" s="47" t="s">
        <v>176</v>
      </c>
      <c r="E22" s="94" t="s">
        <v>439</v>
      </c>
      <c r="F22" s="143">
        <v>2</v>
      </c>
      <c r="G22" t="s">
        <v>447</v>
      </c>
      <c r="H22" s="157">
        <f t="shared" si="0"/>
        <v>2.2222222222222223</v>
      </c>
    </row>
    <row r="23" spans="1:8" x14ac:dyDescent="0.3">
      <c r="A23" s="46" t="s">
        <v>117</v>
      </c>
      <c r="B23" t="s">
        <v>57</v>
      </c>
      <c r="C23" s="46" t="s">
        <v>98</v>
      </c>
      <c r="D23" s="47" t="s">
        <v>120</v>
      </c>
      <c r="E23" s="94" t="s">
        <v>418</v>
      </c>
      <c r="F23" s="143">
        <v>5</v>
      </c>
      <c r="G23" t="s">
        <v>448</v>
      </c>
      <c r="H23" s="157">
        <f t="shared" si="0"/>
        <v>5.5555555555555554</v>
      </c>
    </row>
    <row r="24" spans="1:8" x14ac:dyDescent="0.3">
      <c r="A24" s="46" t="s">
        <v>215</v>
      </c>
      <c r="B24" t="s">
        <v>57</v>
      </c>
      <c r="C24" s="46" t="s">
        <v>98</v>
      </c>
      <c r="D24" s="47" t="s">
        <v>217</v>
      </c>
      <c r="E24" s="94" t="s">
        <v>418</v>
      </c>
      <c r="F24" s="143">
        <v>4</v>
      </c>
      <c r="G24" t="s">
        <v>449</v>
      </c>
      <c r="H24" s="157">
        <f t="shared" si="0"/>
        <v>4.4444444444444446</v>
      </c>
    </row>
    <row r="25" spans="1:8" x14ac:dyDescent="0.3">
      <c r="A25" s="46" t="s">
        <v>95</v>
      </c>
      <c r="B25" t="s">
        <v>57</v>
      </c>
      <c r="C25" s="46" t="s">
        <v>98</v>
      </c>
      <c r="D25" s="47" t="s">
        <v>99</v>
      </c>
      <c r="E25" s="94" t="s">
        <v>418</v>
      </c>
      <c r="F25" s="143">
        <v>4</v>
      </c>
      <c r="G25" t="s">
        <v>450</v>
      </c>
      <c r="H25" s="157">
        <f t="shared" si="0"/>
        <v>4.4444444444444446</v>
      </c>
    </row>
    <row r="26" spans="1:8" x14ac:dyDescent="0.3">
      <c r="A26" s="46" t="s">
        <v>274</v>
      </c>
      <c r="B26" t="s">
        <v>57</v>
      </c>
      <c r="C26" s="46" t="s">
        <v>98</v>
      </c>
      <c r="D26" s="47" t="s">
        <v>278</v>
      </c>
      <c r="E26" s="94" t="s">
        <v>418</v>
      </c>
      <c r="F26" s="143">
        <v>5</v>
      </c>
      <c r="G26" t="s">
        <v>451</v>
      </c>
      <c r="H26" s="157">
        <f t="shared" si="0"/>
        <v>5.5555555555555554</v>
      </c>
    </row>
    <row r="27" spans="1:8" x14ac:dyDescent="0.3">
      <c r="A27" s="46" t="s">
        <v>279</v>
      </c>
      <c r="B27" t="s">
        <v>65</v>
      </c>
      <c r="C27" t="s">
        <v>281</v>
      </c>
      <c r="D27" s="13" t="s">
        <v>282</v>
      </c>
      <c r="E27" s="94">
        <v>1</v>
      </c>
      <c r="F27" s="143">
        <v>2</v>
      </c>
      <c r="G27" t="s">
        <v>282</v>
      </c>
      <c r="H27" s="157">
        <f t="shared" si="0"/>
        <v>2.2222222222222223</v>
      </c>
    </row>
    <row r="28" spans="1:8" x14ac:dyDescent="0.3">
      <c r="A28" s="46" t="s">
        <v>153</v>
      </c>
      <c r="B28" t="s">
        <v>65</v>
      </c>
      <c r="C28" s="46" t="s">
        <v>154</v>
      </c>
      <c r="D28" s="47">
        <v>2022</v>
      </c>
      <c r="E28" s="94">
        <v>9</v>
      </c>
      <c r="F28" s="143">
        <v>9</v>
      </c>
      <c r="G28" t="s">
        <v>452</v>
      </c>
      <c r="H28" s="157">
        <f t="shared" si="0"/>
        <v>10</v>
      </c>
    </row>
    <row r="29" spans="1:8" x14ac:dyDescent="0.3">
      <c r="A29" s="46" t="s">
        <v>191</v>
      </c>
      <c r="B29" t="s">
        <v>105</v>
      </c>
      <c r="C29" t="s">
        <v>187</v>
      </c>
      <c r="D29" s="13" t="s">
        <v>194</v>
      </c>
      <c r="E29" s="94" t="s">
        <v>439</v>
      </c>
      <c r="F29" s="143">
        <v>2</v>
      </c>
      <c r="G29" t="s">
        <v>453</v>
      </c>
      <c r="H29" s="157">
        <f t="shared" si="0"/>
        <v>2.2222222222222223</v>
      </c>
    </row>
    <row r="30" spans="1:8" x14ac:dyDescent="0.3">
      <c r="A30" s="46" t="s">
        <v>297</v>
      </c>
      <c r="B30" t="s">
        <v>105</v>
      </c>
      <c r="C30" t="s">
        <v>187</v>
      </c>
      <c r="D30" s="13" t="s">
        <v>300</v>
      </c>
      <c r="E30" s="94" t="s">
        <v>439</v>
      </c>
      <c r="F30" s="143">
        <v>3</v>
      </c>
      <c r="G30" t="s">
        <v>454</v>
      </c>
      <c r="H30" s="157">
        <f t="shared" si="0"/>
        <v>3.3333333333333335</v>
      </c>
    </row>
    <row r="31" spans="1:8" x14ac:dyDescent="0.3">
      <c r="A31" s="46" t="s">
        <v>170</v>
      </c>
      <c r="B31" t="s">
        <v>65</v>
      </c>
      <c r="C31" t="s">
        <v>87</v>
      </c>
      <c r="D31" s="13" t="s">
        <v>455</v>
      </c>
      <c r="E31" s="143" t="s">
        <v>425</v>
      </c>
      <c r="F31" s="143">
        <v>7</v>
      </c>
      <c r="G31" t="s">
        <v>456</v>
      </c>
      <c r="H31" s="157">
        <f t="shared" si="0"/>
        <v>7.7777777777777786</v>
      </c>
    </row>
    <row r="32" spans="1:8" x14ac:dyDescent="0.3">
      <c r="A32" s="46" t="s">
        <v>135</v>
      </c>
      <c r="B32" t="s">
        <v>65</v>
      </c>
      <c r="C32" t="s">
        <v>98</v>
      </c>
      <c r="D32" s="13" t="s">
        <v>138</v>
      </c>
      <c r="E32" s="94" t="s">
        <v>418</v>
      </c>
      <c r="F32" s="143">
        <v>5</v>
      </c>
      <c r="G32" t="s">
        <v>457</v>
      </c>
      <c r="H32" s="157">
        <f t="shared" si="0"/>
        <v>5.5555555555555554</v>
      </c>
    </row>
    <row r="33" spans="1:8" x14ac:dyDescent="0.3">
      <c r="A33" s="46" t="s">
        <v>200</v>
      </c>
      <c r="B33" t="s">
        <v>65</v>
      </c>
      <c r="C33" t="s">
        <v>92</v>
      </c>
      <c r="D33" s="13" t="s">
        <v>458</v>
      </c>
      <c r="E33" s="94" t="s">
        <v>439</v>
      </c>
      <c r="F33" s="143">
        <v>3</v>
      </c>
      <c r="G33" t="s">
        <v>459</v>
      </c>
      <c r="H33" s="157">
        <f t="shared" si="0"/>
        <v>3.3333333333333335</v>
      </c>
    </row>
    <row r="34" spans="1:8" x14ac:dyDescent="0.3">
      <c r="A34" s="46" t="s">
        <v>243</v>
      </c>
      <c r="B34" t="s">
        <v>65</v>
      </c>
      <c r="C34" t="s">
        <v>245</v>
      </c>
      <c r="D34" s="13" t="s">
        <v>246</v>
      </c>
      <c r="E34" s="94" t="s">
        <v>418</v>
      </c>
      <c r="F34" s="143">
        <v>5</v>
      </c>
      <c r="G34" t="s">
        <v>460</v>
      </c>
      <c r="H34" s="157">
        <f t="shared" si="0"/>
        <v>5.5555555555555554</v>
      </c>
    </row>
    <row r="35" spans="1:8" x14ac:dyDescent="0.3">
      <c r="A35" s="46" t="s">
        <v>139</v>
      </c>
      <c r="B35" t="s">
        <v>65</v>
      </c>
      <c r="C35" t="s">
        <v>141</v>
      </c>
      <c r="D35" s="13" t="s">
        <v>142</v>
      </c>
      <c r="E35" s="94" t="s">
        <v>418</v>
      </c>
      <c r="F35" s="143">
        <v>5</v>
      </c>
      <c r="G35" t="s">
        <v>461</v>
      </c>
      <c r="H35" s="157">
        <f t="shared" si="0"/>
        <v>5.5555555555555554</v>
      </c>
    </row>
    <row r="36" spans="1:8" x14ac:dyDescent="0.3">
      <c r="A36" s="46" t="s">
        <v>292</v>
      </c>
      <c r="B36" t="s">
        <v>105</v>
      </c>
      <c r="C36" t="s">
        <v>462</v>
      </c>
      <c r="D36" s="13" t="s">
        <v>295</v>
      </c>
      <c r="E36" s="94" t="s">
        <v>418</v>
      </c>
      <c r="F36" s="143">
        <v>5</v>
      </c>
      <c r="G36" t="s">
        <v>463</v>
      </c>
      <c r="H36" s="157">
        <f t="shared" si="0"/>
        <v>5.5555555555555554</v>
      </c>
    </row>
    <row r="37" spans="1:8" x14ac:dyDescent="0.3">
      <c r="A37" s="46" t="s">
        <v>121</v>
      </c>
      <c r="B37" t="s">
        <v>65</v>
      </c>
      <c r="C37" t="s">
        <v>92</v>
      </c>
      <c r="D37" s="13" t="s">
        <v>125</v>
      </c>
      <c r="E37" s="94" t="s">
        <v>439</v>
      </c>
      <c r="F37" s="143">
        <v>3</v>
      </c>
      <c r="G37" t="s">
        <v>464</v>
      </c>
      <c r="H37" s="157">
        <f t="shared" si="0"/>
        <v>3.3333333333333335</v>
      </c>
    </row>
    <row r="38" spans="1:8" x14ac:dyDescent="0.3">
      <c r="A38" s="46" t="s">
        <v>130</v>
      </c>
      <c r="B38" t="s">
        <v>105</v>
      </c>
      <c r="C38" t="s">
        <v>462</v>
      </c>
      <c r="D38" s="13" t="s">
        <v>465</v>
      </c>
      <c r="E38" s="94" t="s">
        <v>418</v>
      </c>
      <c r="F38" s="143">
        <v>5</v>
      </c>
      <c r="G38" t="s">
        <v>466</v>
      </c>
      <c r="H38" s="157">
        <f t="shared" si="0"/>
        <v>5.5555555555555554</v>
      </c>
    </row>
    <row r="39" spans="1:8" x14ac:dyDescent="0.3">
      <c r="A39" s="46" t="s">
        <v>161</v>
      </c>
      <c r="B39" t="s">
        <v>105</v>
      </c>
      <c r="C39" t="s">
        <v>52</v>
      </c>
      <c r="D39" s="13" t="s">
        <v>164</v>
      </c>
      <c r="E39" s="143" t="s">
        <v>425</v>
      </c>
      <c r="F39" s="143">
        <v>7</v>
      </c>
      <c r="G39" t="s">
        <v>164</v>
      </c>
      <c r="H39" s="157">
        <f t="shared" si="0"/>
        <v>7.7777777777777786</v>
      </c>
    </row>
    <row r="40" spans="1:8" x14ac:dyDescent="0.3">
      <c r="A40" s="46" t="s">
        <v>224</v>
      </c>
      <c r="B40" t="s">
        <v>65</v>
      </c>
      <c r="C40" t="s">
        <v>141</v>
      </c>
      <c r="D40" s="13" t="s">
        <v>467</v>
      </c>
      <c r="E40" s="94" t="s">
        <v>418</v>
      </c>
      <c r="F40" s="143">
        <v>4</v>
      </c>
      <c r="G40" t="s">
        <v>468</v>
      </c>
      <c r="H40" s="157">
        <f t="shared" si="0"/>
        <v>4.4444444444444446</v>
      </c>
    </row>
    <row r="41" spans="1:8" x14ac:dyDescent="0.3">
      <c r="A41" s="46" t="s">
        <v>259</v>
      </c>
      <c r="B41" t="s">
        <v>105</v>
      </c>
      <c r="C41" t="s">
        <v>469</v>
      </c>
      <c r="D41" s="13" t="s">
        <v>261</v>
      </c>
      <c r="E41" s="94">
        <v>1</v>
      </c>
      <c r="F41" s="143">
        <v>1</v>
      </c>
      <c r="G41" t="s">
        <v>470</v>
      </c>
      <c r="H41" s="157">
        <f t="shared" si="0"/>
        <v>1.1111111111111112</v>
      </c>
    </row>
    <row r="42" spans="1:8" x14ac:dyDescent="0.3">
      <c r="A42" s="46" t="s">
        <v>208</v>
      </c>
      <c r="B42" t="s">
        <v>105</v>
      </c>
      <c r="C42" t="s">
        <v>469</v>
      </c>
      <c r="D42" s="13" t="s">
        <v>212</v>
      </c>
      <c r="E42" s="94">
        <v>1</v>
      </c>
      <c r="F42" s="143">
        <v>1</v>
      </c>
      <c r="G42" t="s">
        <v>437</v>
      </c>
      <c r="H42" s="157">
        <f t="shared" si="0"/>
        <v>1.1111111111111112</v>
      </c>
    </row>
    <row r="43" spans="1:8" x14ac:dyDescent="0.3">
      <c r="A43" s="46" t="s">
        <v>196</v>
      </c>
      <c r="B43" t="s">
        <v>65</v>
      </c>
      <c r="C43" t="s">
        <v>92</v>
      </c>
      <c r="D43" s="13" t="s">
        <v>199</v>
      </c>
      <c r="E43" s="94" t="s">
        <v>439</v>
      </c>
      <c r="F43" s="143">
        <v>3</v>
      </c>
      <c r="G43" t="s">
        <v>471</v>
      </c>
      <c r="H43" s="157">
        <f t="shared" si="0"/>
        <v>3.3333333333333335</v>
      </c>
    </row>
    <row r="44" spans="1:8" x14ac:dyDescent="0.3">
      <c r="A44" s="47" t="s">
        <v>309</v>
      </c>
      <c r="B44" t="s">
        <v>48</v>
      </c>
      <c r="C44" s="47" t="s">
        <v>187</v>
      </c>
      <c r="D44" s="47" t="s">
        <v>311</v>
      </c>
      <c r="E44" s="94" t="s">
        <v>439</v>
      </c>
      <c r="F44" s="143">
        <v>3</v>
      </c>
      <c r="G44" t="s">
        <v>472</v>
      </c>
      <c r="H44" s="157">
        <f t="shared" si="0"/>
        <v>3.3333333333333335</v>
      </c>
    </row>
    <row r="45" spans="1:8" x14ac:dyDescent="0.3">
      <c r="A45" s="47" t="s">
        <v>72</v>
      </c>
      <c r="B45" t="s">
        <v>48</v>
      </c>
      <c r="C45" s="47" t="s">
        <v>75</v>
      </c>
      <c r="D45" s="47" t="s">
        <v>76</v>
      </c>
      <c r="E45" s="94" t="s">
        <v>418</v>
      </c>
      <c r="F45" s="143">
        <v>5</v>
      </c>
      <c r="G45" t="s">
        <v>473</v>
      </c>
      <c r="H45" s="157">
        <f t="shared" si="0"/>
        <v>5.5555555555555554</v>
      </c>
    </row>
    <row r="46" spans="1:8" x14ac:dyDescent="0.3">
      <c r="A46" s="47" t="s">
        <v>47</v>
      </c>
      <c r="B46" t="s">
        <v>48</v>
      </c>
      <c r="C46" s="47" t="s">
        <v>52</v>
      </c>
      <c r="D46" s="47" t="s">
        <v>474</v>
      </c>
      <c r="E46" s="143" t="s">
        <v>425</v>
      </c>
      <c r="F46" s="143">
        <v>6</v>
      </c>
      <c r="G46" t="s">
        <v>475</v>
      </c>
      <c r="H46" s="157">
        <f t="shared" si="0"/>
        <v>6.666666666666667</v>
      </c>
    </row>
    <row r="47" spans="1:8" x14ac:dyDescent="0.3">
      <c r="A47" s="47" t="s">
        <v>203</v>
      </c>
      <c r="B47" t="s">
        <v>48</v>
      </c>
      <c r="C47" s="47" t="s">
        <v>187</v>
      </c>
      <c r="D47" s="47" t="s">
        <v>206</v>
      </c>
      <c r="E47" s="94" t="s">
        <v>439</v>
      </c>
      <c r="F47" s="143">
        <v>2</v>
      </c>
      <c r="G47" t="s">
        <v>476</v>
      </c>
      <c r="H47" s="157">
        <f t="shared" si="0"/>
        <v>2.2222222222222223</v>
      </c>
    </row>
    <row r="48" spans="1:8" x14ac:dyDescent="0.3">
      <c r="A48" s="47" t="s">
        <v>77</v>
      </c>
      <c r="B48" t="s">
        <v>48</v>
      </c>
      <c r="C48" s="47" t="s">
        <v>80</v>
      </c>
      <c r="D48" s="47" t="s">
        <v>81</v>
      </c>
      <c r="E48" s="94">
        <v>8</v>
      </c>
      <c r="F48" s="143">
        <v>8</v>
      </c>
      <c r="G48" t="s">
        <v>80</v>
      </c>
      <c r="H48" s="157">
        <f t="shared" si="0"/>
        <v>8.8888888888888893</v>
      </c>
    </row>
    <row r="49" spans="1:8" x14ac:dyDescent="0.3">
      <c r="A49" s="47" t="s">
        <v>184</v>
      </c>
      <c r="B49" t="s">
        <v>48</v>
      </c>
      <c r="C49" s="47" t="s">
        <v>187</v>
      </c>
      <c r="D49" s="47" t="s">
        <v>444</v>
      </c>
      <c r="E49" s="94" t="s">
        <v>439</v>
      </c>
      <c r="F49" s="143">
        <v>2</v>
      </c>
      <c r="G49" t="s">
        <v>477</v>
      </c>
      <c r="H49" s="157">
        <f t="shared" si="0"/>
        <v>2.2222222222222223</v>
      </c>
    </row>
    <row r="50" spans="1:8" x14ac:dyDescent="0.3">
      <c r="A50" s="47" t="s">
        <v>283</v>
      </c>
      <c r="B50" t="s">
        <v>48</v>
      </c>
      <c r="C50" s="47" t="s">
        <v>52</v>
      </c>
      <c r="D50" s="47" t="s">
        <v>285</v>
      </c>
      <c r="E50" s="143" t="s">
        <v>425</v>
      </c>
      <c r="F50" s="143">
        <v>7</v>
      </c>
      <c r="G50" t="s">
        <v>478</v>
      </c>
      <c r="H50" s="157">
        <f t="shared" si="0"/>
        <v>7.7777777777777786</v>
      </c>
    </row>
    <row r="51" spans="1:8" x14ac:dyDescent="0.3">
      <c r="A51" s="47" t="s">
        <v>247</v>
      </c>
      <c r="B51" t="s">
        <v>48</v>
      </c>
      <c r="C51" t="s">
        <v>187</v>
      </c>
      <c r="D51" s="47" t="s">
        <v>479</v>
      </c>
      <c r="E51" s="94" t="s">
        <v>439</v>
      </c>
      <c r="F51" s="143">
        <v>3</v>
      </c>
      <c r="G51" t="s">
        <v>480</v>
      </c>
      <c r="H51" s="157">
        <f t="shared" si="0"/>
        <v>3.3333333333333335</v>
      </c>
    </row>
    <row r="52" spans="1:8" x14ac:dyDescent="0.3">
      <c r="A52" s="46" t="s">
        <v>316</v>
      </c>
      <c r="B52" t="s">
        <v>65</v>
      </c>
      <c r="C52" t="s">
        <v>98</v>
      </c>
      <c r="D52" s="13" t="s">
        <v>318</v>
      </c>
      <c r="E52" s="94" t="s">
        <v>418</v>
      </c>
      <c r="F52" s="143">
        <v>5</v>
      </c>
      <c r="G52" t="s">
        <v>481</v>
      </c>
      <c r="H52" s="157">
        <f t="shared" si="0"/>
        <v>5.5555555555555554</v>
      </c>
    </row>
    <row r="53" spans="1:8" x14ac:dyDescent="0.3">
      <c r="A53" s="46" t="s">
        <v>64</v>
      </c>
      <c r="B53" t="s">
        <v>65</v>
      </c>
      <c r="C53" t="s">
        <v>69</v>
      </c>
      <c r="D53" s="13" t="s">
        <v>70</v>
      </c>
      <c r="E53" s="94">
        <v>3</v>
      </c>
      <c r="F53" s="143">
        <v>3</v>
      </c>
      <c r="G53" t="s">
        <v>482</v>
      </c>
      <c r="H53" s="157">
        <f t="shared" si="0"/>
        <v>3.3333333333333335</v>
      </c>
    </row>
    <row r="54" spans="1:8" x14ac:dyDescent="0.3">
      <c r="A54" s="46" t="s">
        <v>146</v>
      </c>
      <c r="B54" t="s">
        <v>65</v>
      </c>
      <c r="C54" t="s">
        <v>98</v>
      </c>
      <c r="D54" s="13" t="s">
        <v>148</v>
      </c>
      <c r="E54" s="94" t="s">
        <v>418</v>
      </c>
      <c r="F54" s="143">
        <v>4</v>
      </c>
      <c r="G54" t="s">
        <v>483</v>
      </c>
      <c r="H54" s="157">
        <f t="shared" si="0"/>
        <v>4.4444444444444446</v>
      </c>
    </row>
    <row r="55" spans="1:8" x14ac:dyDescent="0.3">
      <c r="A55" s="46" t="s">
        <v>127</v>
      </c>
      <c r="B55" t="s">
        <v>65</v>
      </c>
      <c r="C55" t="s">
        <v>187</v>
      </c>
      <c r="D55" s="13" t="s">
        <v>129</v>
      </c>
      <c r="E55" s="94" t="s">
        <v>439</v>
      </c>
      <c r="F55" s="143">
        <v>4</v>
      </c>
      <c r="G55" t="s">
        <v>484</v>
      </c>
      <c r="H55" s="157">
        <f t="shared" si="0"/>
        <v>4.4444444444444446</v>
      </c>
    </row>
    <row r="56" spans="1:8" x14ac:dyDescent="0.3">
      <c r="A56" s="46" t="s">
        <v>269</v>
      </c>
      <c r="B56" t="s">
        <v>105</v>
      </c>
      <c r="C56" t="s">
        <v>187</v>
      </c>
      <c r="D56" s="13" t="s">
        <v>485</v>
      </c>
      <c r="E56" s="94" t="s">
        <v>439</v>
      </c>
      <c r="F56" s="143">
        <v>3</v>
      </c>
      <c r="G56" t="s">
        <v>486</v>
      </c>
      <c r="H56" s="157">
        <f t="shared" si="0"/>
        <v>3.3333333333333335</v>
      </c>
    </row>
    <row r="57" spans="1:8" x14ac:dyDescent="0.3">
      <c r="A57" s="46" t="s">
        <v>188</v>
      </c>
      <c r="B57" t="s">
        <v>105</v>
      </c>
      <c r="C57" t="s">
        <v>187</v>
      </c>
      <c r="D57" s="47" t="s">
        <v>444</v>
      </c>
      <c r="E57" s="94" t="s">
        <v>439</v>
      </c>
      <c r="F57" s="143">
        <v>2</v>
      </c>
      <c r="G57" t="s">
        <v>487</v>
      </c>
      <c r="H57" s="157">
        <f t="shared" si="0"/>
        <v>2.2222222222222223</v>
      </c>
    </row>
    <row r="58" spans="1:8" x14ac:dyDescent="0.3">
      <c r="A58" s="46" t="s">
        <v>112</v>
      </c>
      <c r="B58" t="s">
        <v>105</v>
      </c>
      <c r="C58" t="s">
        <v>52</v>
      </c>
      <c r="D58" s="13" t="s">
        <v>115</v>
      </c>
      <c r="E58" s="143" t="s">
        <v>425</v>
      </c>
      <c r="F58" s="143">
        <v>7</v>
      </c>
      <c r="G58" t="s">
        <v>488</v>
      </c>
      <c r="H58" s="157">
        <f t="shared" si="0"/>
        <v>7.7777777777777786</v>
      </c>
    </row>
    <row r="59" spans="1:8" x14ac:dyDescent="0.3">
      <c r="A59" s="46" t="s">
        <v>227</v>
      </c>
      <c r="B59" t="s">
        <v>65</v>
      </c>
      <c r="C59" t="s">
        <v>92</v>
      </c>
      <c r="D59" s="13" t="s">
        <v>230</v>
      </c>
      <c r="E59" s="94" t="s">
        <v>439</v>
      </c>
      <c r="F59" s="143">
        <v>2</v>
      </c>
      <c r="G59" t="s">
        <v>489</v>
      </c>
      <c r="H59" s="157">
        <f t="shared" si="0"/>
        <v>2.2222222222222223</v>
      </c>
    </row>
    <row r="60" spans="1:8" x14ac:dyDescent="0.3">
      <c r="A60" s="46" t="s">
        <v>263</v>
      </c>
      <c r="B60" t="s">
        <v>105</v>
      </c>
      <c r="C60" t="s">
        <v>490</v>
      </c>
      <c r="D60" s="13" t="s">
        <v>491</v>
      </c>
      <c r="E60" s="94" t="s">
        <v>418</v>
      </c>
      <c r="F60" s="143">
        <v>5</v>
      </c>
      <c r="G60" t="s">
        <v>492</v>
      </c>
      <c r="H60" s="157">
        <f t="shared" si="0"/>
        <v>5.5555555555555554</v>
      </c>
    </row>
    <row r="61" spans="1:8" x14ac:dyDescent="0.3">
      <c r="A61" s="46" t="s">
        <v>179</v>
      </c>
      <c r="B61" t="s">
        <v>105</v>
      </c>
      <c r="C61" t="s">
        <v>187</v>
      </c>
      <c r="D61" s="13" t="s">
        <v>493</v>
      </c>
      <c r="E61" s="94" t="s">
        <v>439</v>
      </c>
      <c r="F61" s="143">
        <v>4</v>
      </c>
      <c r="G61" t="s">
        <v>493</v>
      </c>
      <c r="H61" s="157">
        <f t="shared" si="0"/>
        <v>4.4444444444444446</v>
      </c>
    </row>
    <row r="62" spans="1:8" x14ac:dyDescent="0.3">
      <c r="A62" s="46" t="s">
        <v>104</v>
      </c>
      <c r="B62" t="s">
        <v>105</v>
      </c>
      <c r="C62" t="s">
        <v>187</v>
      </c>
      <c r="D62" s="13" t="s">
        <v>110</v>
      </c>
      <c r="E62" s="94" t="s">
        <v>439</v>
      </c>
      <c r="F62" s="143">
        <v>3</v>
      </c>
      <c r="G62" t="s">
        <v>494</v>
      </c>
      <c r="H62" s="157">
        <f t="shared" si="0"/>
        <v>3.3333333333333335</v>
      </c>
    </row>
    <row r="63" spans="1:8" x14ac:dyDescent="0.3">
      <c r="A63" s="46" t="s">
        <v>155</v>
      </c>
      <c r="B63" t="s">
        <v>65</v>
      </c>
      <c r="C63" t="s">
        <v>154</v>
      </c>
      <c r="D63" s="13" t="s">
        <v>157</v>
      </c>
      <c r="E63" s="94">
        <v>9</v>
      </c>
      <c r="F63" s="143">
        <v>9</v>
      </c>
      <c r="G63" t="s">
        <v>495</v>
      </c>
      <c r="H63" s="157">
        <f t="shared" si="0"/>
        <v>10</v>
      </c>
    </row>
    <row r="64" spans="1:8" x14ac:dyDescent="0.3">
      <c r="A64" s="46" t="s">
        <v>149</v>
      </c>
      <c r="B64" t="s">
        <v>65</v>
      </c>
      <c r="C64" t="s">
        <v>151</v>
      </c>
      <c r="D64" s="13" t="s">
        <v>152</v>
      </c>
      <c r="E64" s="94">
        <v>9</v>
      </c>
      <c r="F64" s="143">
        <v>9</v>
      </c>
      <c r="G64" t="s">
        <v>496</v>
      </c>
      <c r="H64" s="157">
        <f t="shared" si="0"/>
        <v>10</v>
      </c>
    </row>
    <row r="65" spans="7:7" x14ac:dyDescent="0.3">
      <c r="G65" s="153"/>
    </row>
    <row r="66" spans="7:7" x14ac:dyDescent="0.3">
      <c r="G66" s="154"/>
    </row>
    <row r="67" spans="7:7" x14ac:dyDescent="0.3">
      <c r="G67" s="155"/>
    </row>
  </sheetData>
  <conditionalFormatting sqref="F2:F1048576">
    <cfRule type="colorScale" priority="2">
      <colorScale>
        <cfvo type="num" val="1"/>
        <cfvo type="num" val="5"/>
        <cfvo type="num" val="9"/>
        <color rgb="FFF8696B"/>
        <color rgb="FFFFEB84"/>
        <color rgb="FF63BE7B"/>
      </colorScale>
    </cfRule>
  </conditionalFormatting>
  <conditionalFormatting sqref="M3:M11">
    <cfRule type="colorScale" priority="1">
      <colorScale>
        <cfvo type="num" val="0"/>
        <cfvo type="percentile" val="50"/>
        <cfvo type="num" val="9"/>
        <color rgb="FFFF0000"/>
        <color rgb="FFFFC000"/>
        <color rgb="FF63BE7B"/>
      </colorScale>
    </cfRule>
  </conditionalFormatting>
  <dataValidations count="1">
    <dataValidation allowBlank="1" showInputMessage="1" showErrorMessage="1" sqref="B2:B64 W2:W5" xr:uid="{3CFBE45E-BC80-4EC9-8613-B60D69061006}"/>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2EED8-B103-4DE7-9C2D-D7ADE789A7BC}">
  <dimension ref="A1:AJ157"/>
  <sheetViews>
    <sheetView topLeftCell="A47" zoomScale="57" zoomScaleNormal="70" workbookViewId="0">
      <selection activeCell="C10" sqref="C10"/>
    </sheetView>
  </sheetViews>
  <sheetFormatPr baseColWidth="10" defaultColWidth="11.44140625" defaultRowHeight="14.4" x14ac:dyDescent="0.3"/>
  <cols>
    <col min="1" max="1" width="29.88671875" bestFit="1" customWidth="1"/>
    <col min="2" max="2" width="23.6640625" bestFit="1" customWidth="1"/>
    <col min="5" max="5" width="26" hidden="1" customWidth="1"/>
    <col min="6" max="6" width="30.44140625" bestFit="1" customWidth="1"/>
    <col min="7" max="7" width="7.6640625" bestFit="1" customWidth="1"/>
    <col min="8" max="8" width="5.33203125" customWidth="1"/>
    <col min="9" max="9" width="7.6640625" customWidth="1"/>
    <col min="10" max="10" width="6.5546875" customWidth="1"/>
    <col min="11" max="11" width="16.44140625" bestFit="1" customWidth="1"/>
    <col min="12" max="26" width="3.88671875" bestFit="1" customWidth="1"/>
    <col min="27" max="27" width="4.6640625" bestFit="1" customWidth="1"/>
    <col min="28" max="28" width="7.5546875" bestFit="1" customWidth="1"/>
    <col min="30" max="30" width="4.5546875" bestFit="1" customWidth="1"/>
    <col min="31" max="31" width="7.6640625" bestFit="1" customWidth="1"/>
    <col min="32" max="33" width="8.6640625" bestFit="1" customWidth="1"/>
    <col min="34" max="34" width="3.88671875" bestFit="1" customWidth="1"/>
  </cols>
  <sheetData>
    <row r="1" spans="1:27" x14ac:dyDescent="0.3">
      <c r="A1" s="126" t="str">
        <f>'SMR (Main)'!A1</f>
        <v>Project Name</v>
      </c>
      <c r="B1" s="126" t="str">
        <f>'SMR (Main)'!E1</f>
        <v>Country</v>
      </c>
      <c r="C1" s="126" t="s">
        <v>319</v>
      </c>
      <c r="E1" s="127"/>
    </row>
    <row r="2" spans="1:27" x14ac:dyDescent="0.3">
      <c r="A2" s="126" t="str">
        <f>'SMR (Main)'!A2</f>
        <v>Units</v>
      </c>
      <c r="B2" s="126">
        <f>'SMR (Main)'!E2</f>
        <v>0</v>
      </c>
      <c r="C2" s="126" t="s">
        <v>46</v>
      </c>
      <c r="E2" s="127"/>
      <c r="L2" s="282" t="s">
        <v>320</v>
      </c>
      <c r="M2" s="282"/>
      <c r="N2" s="282"/>
      <c r="O2" s="282"/>
      <c r="P2" s="282" t="s">
        <v>321</v>
      </c>
      <c r="Q2" s="282"/>
      <c r="R2" s="282"/>
      <c r="S2" s="282" t="s">
        <v>322</v>
      </c>
      <c r="T2" s="281"/>
      <c r="U2" s="281"/>
      <c r="V2" s="282" t="s">
        <v>323</v>
      </c>
      <c r="W2" s="281"/>
      <c r="X2" s="281"/>
      <c r="Y2" s="282" t="s">
        <v>324</v>
      </c>
      <c r="Z2" s="281"/>
      <c r="AA2" s="281"/>
    </row>
    <row r="3" spans="1:27" ht="14.4" customHeight="1" x14ac:dyDescent="0.3">
      <c r="A3" t="str">
        <f>'SMR (Main)'!A65</f>
        <v>Xe-100</v>
      </c>
      <c r="B3" t="str">
        <f>'SMR (Main)'!E65</f>
        <v>USA</v>
      </c>
      <c r="C3">
        <f>VLOOKUP(B3, $F$7:$G$26, 2, FALSE)</f>
        <v>6.6229999999999993</v>
      </c>
      <c r="L3" s="282"/>
      <c r="M3" s="282"/>
      <c r="N3" s="282"/>
      <c r="O3" s="282"/>
      <c r="P3" s="282"/>
      <c r="Q3" s="282"/>
      <c r="R3" s="282"/>
      <c r="S3" s="281"/>
      <c r="T3" s="281"/>
      <c r="U3" s="281"/>
      <c r="V3" s="281"/>
      <c r="W3" s="281"/>
      <c r="X3" s="281"/>
      <c r="Y3" s="281"/>
      <c r="Z3" s="281"/>
      <c r="AA3" s="281"/>
    </row>
    <row r="4" spans="1:27" x14ac:dyDescent="0.3">
      <c r="A4" t="str">
        <f>'SMR (Main)'!A3</f>
        <v xml:space="preserve">4S </v>
      </c>
      <c r="B4" t="str">
        <f>'SMR (Main)'!E3</f>
        <v>Japan</v>
      </c>
      <c r="C4">
        <f>VLOOKUP(B4, $F$7:$G$26, 2, FALSE)</f>
        <v>7.6970000000000001</v>
      </c>
      <c r="L4" s="282"/>
      <c r="M4" s="282"/>
      <c r="N4" s="282"/>
      <c r="O4" s="282"/>
      <c r="P4" s="282"/>
      <c r="Q4" s="282"/>
      <c r="R4" s="282"/>
      <c r="S4" s="281"/>
      <c r="T4" s="281"/>
      <c r="U4" s="281"/>
      <c r="V4" s="281"/>
      <c r="W4" s="281"/>
      <c r="X4" s="281"/>
      <c r="Y4" s="281"/>
      <c r="Z4" s="281"/>
      <c r="AA4" s="281"/>
    </row>
    <row r="5" spans="1:27" ht="14.4" customHeight="1" x14ac:dyDescent="0.3">
      <c r="A5" t="str">
        <f>'SMR (Main)'!A4</f>
        <v>ACP100</v>
      </c>
      <c r="B5" t="str">
        <f>'SMR (Main)'!E4</f>
        <v>China</v>
      </c>
      <c r="C5">
        <f t="shared" ref="C5:C65" si="0">VLOOKUP(B5, $F$7:$G$26, 2, FALSE)</f>
        <v>3.4459999999999997</v>
      </c>
      <c r="I5" s="281" t="s">
        <v>325</v>
      </c>
      <c r="J5" s="281"/>
      <c r="K5" s="282" t="s">
        <v>326</v>
      </c>
      <c r="L5" s="282"/>
      <c r="M5" s="282"/>
      <c r="N5" s="282"/>
      <c r="O5" s="282"/>
      <c r="P5" s="282"/>
      <c r="Q5" s="282"/>
      <c r="R5" s="282"/>
      <c r="S5" s="281"/>
      <c r="T5" s="281"/>
      <c r="U5" s="281"/>
      <c r="V5" s="281"/>
      <c r="W5" s="281"/>
      <c r="X5" s="281"/>
      <c r="Y5" s="281"/>
      <c r="Z5" s="281"/>
      <c r="AA5" s="281"/>
    </row>
    <row r="6" spans="1:27" x14ac:dyDescent="0.3">
      <c r="A6" t="str">
        <f>'SMR (Main)'!A5</f>
        <v>AHTR-100</v>
      </c>
      <c r="B6" t="str">
        <f>'SMR (Main)'!E5</f>
        <v>South Africa</v>
      </c>
      <c r="C6">
        <f t="shared" si="0"/>
        <v>1.9360000000000004</v>
      </c>
      <c r="G6" t="s">
        <v>327</v>
      </c>
      <c r="I6" t="s">
        <v>328</v>
      </c>
      <c r="J6" t="s">
        <v>329</v>
      </c>
      <c r="K6" s="281"/>
      <c r="L6" s="282"/>
      <c r="M6" s="282"/>
      <c r="N6" s="282"/>
      <c r="O6" s="282"/>
      <c r="P6" s="282"/>
      <c r="Q6" s="282"/>
      <c r="R6" s="282"/>
      <c r="S6" s="281"/>
      <c r="T6" s="281"/>
      <c r="U6" s="281"/>
      <c r="V6" s="281"/>
      <c r="W6" s="281"/>
      <c r="X6" s="281"/>
      <c r="Y6" s="281"/>
      <c r="Z6" s="281"/>
      <c r="AA6" s="281"/>
    </row>
    <row r="7" spans="1:27" x14ac:dyDescent="0.3">
      <c r="A7" t="str">
        <f>'SMR (Main)'!A6</f>
        <v xml:space="preserve">ARC-100 </v>
      </c>
      <c r="B7" t="str">
        <f>'SMR (Main)'!E6</f>
        <v>Canada</v>
      </c>
      <c r="C7">
        <f t="shared" si="0"/>
        <v>8.44</v>
      </c>
      <c r="E7" t="str" cm="1">
        <f t="array" ref="E7:E26">_xlfn.UNIQUE(B3:B65)</f>
        <v>USA</v>
      </c>
      <c r="F7" t="s">
        <v>60</v>
      </c>
      <c r="G7">
        <f t="shared" ref="G7:G26" si="1">2+L7+P7+K7-I7-J7-S7+V7+Y7</f>
        <v>3.4459999999999997</v>
      </c>
      <c r="I7">
        <v>1</v>
      </c>
      <c r="J7">
        <v>1</v>
      </c>
      <c r="K7">
        <v>1</v>
      </c>
      <c r="L7" s="281">
        <f>AC53</f>
        <v>3</v>
      </c>
      <c r="M7" s="281"/>
      <c r="N7" s="281"/>
      <c r="O7" s="281"/>
      <c r="P7" s="281">
        <v>-0.44</v>
      </c>
      <c r="Q7" s="281"/>
      <c r="R7" s="281"/>
      <c r="S7" s="281">
        <v>2.1139999999999999</v>
      </c>
      <c r="T7" s="281"/>
      <c r="U7" s="281"/>
      <c r="V7" s="281">
        <v>1</v>
      </c>
      <c r="W7" s="281"/>
      <c r="X7" s="281"/>
      <c r="Y7" s="281">
        <v>1</v>
      </c>
      <c r="Z7" s="281"/>
      <c r="AA7" s="281"/>
    </row>
    <row r="8" spans="1:27" x14ac:dyDescent="0.3">
      <c r="A8" t="str">
        <f>'SMR (Main)'!A7</f>
        <v xml:space="preserve">BREST-OD-300 </v>
      </c>
      <c r="B8" t="str">
        <f>'SMR (Main)'!E7</f>
        <v>Russia</v>
      </c>
      <c r="C8">
        <f t="shared" si="0"/>
        <v>8.7000000000000188E-2</v>
      </c>
      <c r="E8" t="str">
        <v>Japan</v>
      </c>
      <c r="F8" t="s">
        <v>102</v>
      </c>
      <c r="G8">
        <f t="shared" si="1"/>
        <v>2.9550000000000001</v>
      </c>
      <c r="I8">
        <v>0</v>
      </c>
      <c r="J8">
        <v>0</v>
      </c>
      <c r="K8">
        <v>0</v>
      </c>
      <c r="L8" s="281">
        <f t="shared" ref="L8:L26" si="2">AC54</f>
        <v>3</v>
      </c>
      <c r="M8" s="281"/>
      <c r="N8" s="281"/>
      <c r="O8" s="281"/>
      <c r="P8" s="281">
        <v>-0.1</v>
      </c>
      <c r="Q8" s="281"/>
      <c r="R8" s="281"/>
      <c r="S8" s="281">
        <v>1.9450000000000001</v>
      </c>
      <c r="T8" s="281"/>
      <c r="U8" s="281"/>
      <c r="V8" s="281">
        <v>0</v>
      </c>
      <c r="W8" s="281"/>
      <c r="X8" s="281"/>
      <c r="Y8" s="281">
        <v>0</v>
      </c>
      <c r="Z8" s="281"/>
      <c r="AA8" s="281"/>
    </row>
    <row r="9" spans="1:27" x14ac:dyDescent="0.3">
      <c r="A9" t="str">
        <f>'SMR (Main)'!A8</f>
        <v>BWRX-300</v>
      </c>
      <c r="B9" t="str">
        <f>'SMR (Main)'!E8</f>
        <v>USA &amp; Japan</v>
      </c>
      <c r="C9">
        <f t="shared" si="0"/>
        <v>7.8260000000000005</v>
      </c>
      <c r="E9" t="str">
        <v>China</v>
      </c>
      <c r="F9" t="s">
        <v>124</v>
      </c>
      <c r="G9">
        <f t="shared" si="1"/>
        <v>6.6229999999999993</v>
      </c>
      <c r="I9">
        <v>0</v>
      </c>
      <c r="J9">
        <v>0</v>
      </c>
      <c r="K9">
        <v>1</v>
      </c>
      <c r="L9" s="281">
        <f t="shared" si="2"/>
        <v>4</v>
      </c>
      <c r="M9" s="281"/>
      <c r="N9" s="281"/>
      <c r="O9" s="281"/>
      <c r="P9" s="281">
        <v>-0.04</v>
      </c>
      <c r="Q9" s="281"/>
      <c r="R9" s="281"/>
      <c r="S9" s="281">
        <v>2.3370000000000002</v>
      </c>
      <c r="T9" s="281"/>
      <c r="U9" s="281"/>
      <c r="V9" s="281">
        <v>2</v>
      </c>
      <c r="W9" s="281"/>
      <c r="X9" s="281"/>
      <c r="Y9" s="281">
        <v>0</v>
      </c>
      <c r="Z9" s="281"/>
      <c r="AA9" s="281"/>
    </row>
    <row r="10" spans="1:27" x14ac:dyDescent="0.3">
      <c r="A10" t="str">
        <f>'SMR (Main)'!A9</f>
        <v>CANDU SMR</v>
      </c>
      <c r="B10" t="str">
        <f>'SMR (Main)'!E9</f>
        <v>Canada</v>
      </c>
      <c r="C10">
        <f>VLOOKUP(B10, $F$7:$G$26, 2, FALSE)</f>
        <v>8.44</v>
      </c>
      <c r="E10" t="str">
        <v>South Africa</v>
      </c>
      <c r="F10" t="s">
        <v>79</v>
      </c>
      <c r="G10">
        <f t="shared" si="1"/>
        <v>8.7000000000000188E-2</v>
      </c>
      <c r="I10">
        <v>1</v>
      </c>
      <c r="J10">
        <v>1</v>
      </c>
      <c r="K10">
        <v>1</v>
      </c>
      <c r="L10" s="281">
        <f t="shared" si="2"/>
        <v>3</v>
      </c>
      <c r="M10" s="281"/>
      <c r="N10" s="281"/>
      <c r="O10" s="281"/>
      <c r="P10" s="281">
        <v>-0.92</v>
      </c>
      <c r="Q10" s="281"/>
      <c r="R10" s="281"/>
      <c r="S10" s="281">
        <v>2.9929999999999999</v>
      </c>
      <c r="T10" s="281"/>
      <c r="U10" s="281"/>
      <c r="V10" s="281">
        <v>0</v>
      </c>
      <c r="W10" s="281"/>
      <c r="X10" s="281"/>
      <c r="Y10" s="281">
        <v>0</v>
      </c>
      <c r="Z10" s="281"/>
      <c r="AA10" s="281"/>
    </row>
    <row r="11" spans="1:27" x14ac:dyDescent="0.3">
      <c r="A11" t="str">
        <f>'SMR (Main)'!A10</f>
        <v>CAP200</v>
      </c>
      <c r="B11" t="str">
        <f>'SMR (Main)'!E10</f>
        <v>China</v>
      </c>
      <c r="C11">
        <f t="shared" si="0"/>
        <v>3.4459999999999997</v>
      </c>
      <c r="E11" t="str">
        <v>Canada</v>
      </c>
      <c r="F11" t="s">
        <v>86</v>
      </c>
      <c r="G11">
        <f t="shared" si="1"/>
        <v>7.8260000000000005</v>
      </c>
      <c r="I11">
        <v>0</v>
      </c>
      <c r="J11">
        <v>0</v>
      </c>
      <c r="K11">
        <v>1</v>
      </c>
      <c r="L11" s="281">
        <f t="shared" si="2"/>
        <v>3</v>
      </c>
      <c r="M11" s="281"/>
      <c r="N11" s="281"/>
      <c r="O11" s="281"/>
      <c r="P11" s="281">
        <f>AVERAGE(P8,P14)</f>
        <v>0.48500000000000004</v>
      </c>
      <c r="Q11" s="281"/>
      <c r="R11" s="281"/>
      <c r="S11" s="281">
        <f>AVERAGE(S8,S14)</f>
        <v>1.659</v>
      </c>
      <c r="T11" s="281"/>
      <c r="U11" s="281"/>
      <c r="V11" s="281">
        <v>2</v>
      </c>
      <c r="W11" s="281"/>
      <c r="X11" s="281"/>
      <c r="Y11" s="281">
        <v>1</v>
      </c>
      <c r="Z11" s="281"/>
      <c r="AA11" s="281"/>
    </row>
    <row r="12" spans="1:27" x14ac:dyDescent="0.3">
      <c r="A12" t="str">
        <f>'SMR (Main)'!A11</f>
        <v>CAREM</v>
      </c>
      <c r="B12" t="str">
        <f>'SMR (Main)'!E11</f>
        <v>Argentina</v>
      </c>
      <c r="C12">
        <f t="shared" si="0"/>
        <v>2.9550000000000001</v>
      </c>
      <c r="E12" t="str">
        <v>Russia</v>
      </c>
      <c r="F12" t="s">
        <v>238</v>
      </c>
      <c r="G12">
        <f t="shared" si="1"/>
        <v>4.8420000000000005</v>
      </c>
      <c r="I12">
        <v>0</v>
      </c>
      <c r="J12">
        <v>0</v>
      </c>
      <c r="K12">
        <v>0</v>
      </c>
      <c r="L12" s="281">
        <f t="shared" si="2"/>
        <v>2</v>
      </c>
      <c r="M12" s="281"/>
      <c r="N12" s="281"/>
      <c r="O12" s="281"/>
      <c r="P12" s="281">
        <v>0.5</v>
      </c>
      <c r="Q12" s="281"/>
      <c r="R12" s="281"/>
      <c r="S12" s="281">
        <v>1.6579999999999999</v>
      </c>
      <c r="T12" s="281"/>
      <c r="U12" s="281"/>
      <c r="V12" s="281">
        <v>2</v>
      </c>
      <c r="W12" s="281"/>
      <c r="X12" s="281"/>
      <c r="Y12" s="281">
        <v>0</v>
      </c>
      <c r="Z12" s="281"/>
      <c r="AA12" s="281"/>
    </row>
    <row r="13" spans="1:27" x14ac:dyDescent="0.3">
      <c r="A13" t="str">
        <f>'SMR (Main)'!A12</f>
        <v xml:space="preserve">CMSR </v>
      </c>
      <c r="B13" t="str">
        <f>'SMR (Main)'!E12</f>
        <v>Denmark</v>
      </c>
      <c r="C13">
        <f t="shared" si="0"/>
        <v>4.6139999999999999</v>
      </c>
      <c r="E13" t="str">
        <v>USA &amp; Japan</v>
      </c>
      <c r="F13" s="46" t="s">
        <v>254</v>
      </c>
      <c r="G13">
        <f t="shared" si="1"/>
        <v>5.9935</v>
      </c>
      <c r="I13">
        <v>1</v>
      </c>
      <c r="J13">
        <v>0</v>
      </c>
      <c r="K13">
        <v>1</v>
      </c>
      <c r="L13" s="281">
        <f t="shared" si="2"/>
        <v>3</v>
      </c>
      <c r="M13" s="281"/>
      <c r="N13" s="281"/>
      <c r="O13" s="281"/>
      <c r="P13" s="281">
        <v>0.12</v>
      </c>
      <c r="Q13" s="281"/>
      <c r="R13" s="281"/>
      <c r="S13" s="281">
        <f>AVERAGE(2.376,S18)</f>
        <v>2.1265000000000001</v>
      </c>
      <c r="T13" s="281"/>
      <c r="U13" s="281"/>
      <c r="V13" s="281">
        <v>2</v>
      </c>
      <c r="W13" s="281"/>
      <c r="X13" s="281"/>
      <c r="Y13" s="281">
        <v>1</v>
      </c>
      <c r="Z13" s="281"/>
      <c r="AA13" s="281"/>
    </row>
    <row r="14" spans="1:27" x14ac:dyDescent="0.3">
      <c r="A14" t="str">
        <f>'SMR (Main)'!A13</f>
        <v xml:space="preserve">Copenhagen Atomics Waste Burner </v>
      </c>
      <c r="B14" t="str">
        <f>'SMR (Main)'!E13</f>
        <v>Denmark</v>
      </c>
      <c r="C14">
        <f t="shared" si="0"/>
        <v>4.6139999999999999</v>
      </c>
      <c r="E14" t="str">
        <v>Argentina</v>
      </c>
      <c r="F14" t="s">
        <v>51</v>
      </c>
      <c r="G14">
        <f t="shared" si="1"/>
        <v>7.6970000000000001</v>
      </c>
      <c r="I14">
        <v>0</v>
      </c>
      <c r="J14">
        <v>0</v>
      </c>
      <c r="K14">
        <v>0</v>
      </c>
      <c r="L14" s="281">
        <f t="shared" si="2"/>
        <v>3</v>
      </c>
      <c r="M14" s="281"/>
      <c r="N14" s="281"/>
      <c r="O14" s="281"/>
      <c r="P14" s="281">
        <v>1.07</v>
      </c>
      <c r="Q14" s="281"/>
      <c r="R14" s="281"/>
      <c r="S14" s="281">
        <v>1.373</v>
      </c>
      <c r="T14" s="281"/>
      <c r="U14" s="281"/>
      <c r="V14" s="281">
        <v>2</v>
      </c>
      <c r="W14" s="281"/>
      <c r="X14" s="281"/>
      <c r="Y14" s="281">
        <v>1</v>
      </c>
      <c r="Z14" s="281"/>
      <c r="AA14" s="281"/>
    </row>
    <row r="15" spans="1:27" x14ac:dyDescent="0.3">
      <c r="A15" t="str">
        <f>'SMR (Main)'!A14</f>
        <v>DHR400</v>
      </c>
      <c r="B15" t="str">
        <f>'SMR (Main)'!E14</f>
        <v>China</v>
      </c>
      <c r="C15">
        <f t="shared" si="0"/>
        <v>3.4459999999999997</v>
      </c>
      <c r="E15" t="str">
        <v>Denmark</v>
      </c>
      <c r="F15" s="46" t="s">
        <v>290</v>
      </c>
      <c r="G15">
        <f t="shared" si="1"/>
        <v>6.4910000000000005</v>
      </c>
      <c r="I15">
        <v>0</v>
      </c>
      <c r="J15">
        <v>0</v>
      </c>
      <c r="K15">
        <v>1</v>
      </c>
      <c r="L15" s="281">
        <f t="shared" si="2"/>
        <v>2</v>
      </c>
      <c r="M15" s="281"/>
      <c r="N15" s="281"/>
      <c r="O15" s="281"/>
      <c r="P15" s="281">
        <v>0.82</v>
      </c>
      <c r="Q15" s="281"/>
      <c r="R15" s="281"/>
      <c r="S15" s="281">
        <v>1.329</v>
      </c>
      <c r="T15" s="281"/>
      <c r="U15" s="281"/>
      <c r="V15" s="281">
        <v>2</v>
      </c>
      <c r="W15" s="281"/>
      <c r="X15" s="281"/>
      <c r="Y15" s="281">
        <v>0</v>
      </c>
      <c r="Z15" s="281"/>
      <c r="AA15" s="281"/>
    </row>
    <row r="16" spans="1:27" x14ac:dyDescent="0.3">
      <c r="A16" t="str">
        <f>'SMR (Main)'!A15</f>
        <v>EM^2</v>
      </c>
      <c r="B16" t="str">
        <f>'SMR (Main)'!E15</f>
        <v>USA</v>
      </c>
      <c r="C16">
        <f t="shared" si="0"/>
        <v>6.6229999999999993</v>
      </c>
      <c r="E16" t="str">
        <v>Rep. of Korea</v>
      </c>
      <c r="F16" t="s">
        <v>172</v>
      </c>
      <c r="G16">
        <f t="shared" si="1"/>
        <v>8.4619999999999997</v>
      </c>
      <c r="I16">
        <v>0</v>
      </c>
      <c r="J16">
        <v>0</v>
      </c>
      <c r="K16">
        <v>1</v>
      </c>
      <c r="L16" s="281">
        <f t="shared" si="2"/>
        <v>5</v>
      </c>
      <c r="M16" s="281"/>
      <c r="N16" s="281"/>
      <c r="O16" s="281"/>
      <c r="P16" s="281">
        <v>0.33</v>
      </c>
      <c r="Q16" s="281"/>
      <c r="R16" s="281"/>
      <c r="S16" s="281">
        <v>1.8680000000000001</v>
      </c>
      <c r="T16" s="281"/>
      <c r="U16" s="281"/>
      <c r="V16" s="281">
        <v>2</v>
      </c>
      <c r="W16" s="281"/>
      <c r="X16" s="281"/>
      <c r="Y16" s="281">
        <v>0</v>
      </c>
      <c r="Z16" s="281"/>
      <c r="AA16" s="281"/>
    </row>
    <row r="17" spans="1:27" x14ac:dyDescent="0.3">
      <c r="A17" t="str">
        <f>'SMR (Main)'!A16</f>
        <v>FMR</v>
      </c>
      <c r="B17" t="str">
        <f>'SMR (Main)'!E16</f>
        <v>USA</v>
      </c>
      <c r="C17">
        <f t="shared" si="0"/>
        <v>6.6229999999999993</v>
      </c>
      <c r="E17" t="str">
        <v>France</v>
      </c>
      <c r="F17" s="46" t="s">
        <v>74</v>
      </c>
      <c r="G17">
        <f t="shared" si="1"/>
        <v>8.44</v>
      </c>
      <c r="I17">
        <v>0</v>
      </c>
      <c r="J17">
        <v>0</v>
      </c>
      <c r="K17">
        <v>1</v>
      </c>
      <c r="L17" s="281">
        <f t="shared" si="2"/>
        <v>4</v>
      </c>
      <c r="M17" s="281"/>
      <c r="N17" s="281"/>
      <c r="O17" s="281"/>
      <c r="P17" s="281">
        <v>0.77</v>
      </c>
      <c r="Q17" s="281"/>
      <c r="R17" s="281"/>
      <c r="S17" s="281">
        <v>1.33</v>
      </c>
      <c r="T17" s="281"/>
      <c r="U17" s="281"/>
      <c r="V17" s="281">
        <v>2</v>
      </c>
      <c r="W17" s="281"/>
      <c r="X17" s="281"/>
      <c r="Y17" s="281">
        <v>0</v>
      </c>
      <c r="Z17" s="281"/>
      <c r="AA17" s="281"/>
    </row>
    <row r="18" spans="1:27" x14ac:dyDescent="0.3">
      <c r="A18" t="str">
        <f>'SMR (Main)'!A17</f>
        <v xml:space="preserve">FUJI </v>
      </c>
      <c r="B18" t="str">
        <f>'SMR (Main)'!E17</f>
        <v>Japan</v>
      </c>
      <c r="C18">
        <f t="shared" si="0"/>
        <v>7.6970000000000001</v>
      </c>
      <c r="E18" t="str">
        <v>Italy</v>
      </c>
      <c r="F18" t="s">
        <v>330</v>
      </c>
      <c r="G18">
        <f t="shared" si="1"/>
        <v>8.6829999999999998</v>
      </c>
      <c r="I18">
        <v>0</v>
      </c>
      <c r="J18">
        <v>0</v>
      </c>
      <c r="K18">
        <v>1</v>
      </c>
      <c r="L18" s="281">
        <f t="shared" si="2"/>
        <v>4</v>
      </c>
      <c r="M18" s="281"/>
      <c r="N18" s="281"/>
      <c r="O18" s="281"/>
      <c r="P18" s="281">
        <v>0.56000000000000005</v>
      </c>
      <c r="Q18" s="281"/>
      <c r="R18" s="281"/>
      <c r="S18" s="281">
        <v>1.877</v>
      </c>
      <c r="T18" s="281"/>
      <c r="U18" s="281"/>
      <c r="V18" s="281">
        <v>2</v>
      </c>
      <c r="W18" s="281"/>
      <c r="X18" s="281"/>
      <c r="Y18" s="281">
        <v>1</v>
      </c>
      <c r="Z18" s="281"/>
      <c r="AA18" s="281"/>
    </row>
    <row r="19" spans="1:27" x14ac:dyDescent="0.3">
      <c r="A19" t="str">
        <f>'SMR (Main)'!A18</f>
        <v>GTHTR300</v>
      </c>
      <c r="B19" t="str">
        <f>'SMR (Main)'!E18</f>
        <v>Japan</v>
      </c>
      <c r="C19">
        <f t="shared" si="0"/>
        <v>7.6970000000000001</v>
      </c>
      <c r="E19" t="str">
        <v>Indonesia</v>
      </c>
      <c r="F19" s="46" t="s">
        <v>277</v>
      </c>
      <c r="G19">
        <f t="shared" si="1"/>
        <v>4.8369999999999997</v>
      </c>
      <c r="I19">
        <v>0</v>
      </c>
      <c r="J19">
        <v>0</v>
      </c>
      <c r="K19">
        <v>0</v>
      </c>
      <c r="L19" s="281">
        <f t="shared" si="2"/>
        <v>1</v>
      </c>
      <c r="M19" s="281"/>
      <c r="N19" s="281"/>
      <c r="O19" s="281"/>
      <c r="P19" s="281">
        <v>1.1599999999999999</v>
      </c>
      <c r="Q19" s="281"/>
      <c r="R19" s="281"/>
      <c r="S19" s="281">
        <v>1.323</v>
      </c>
      <c r="T19" s="281"/>
      <c r="U19" s="281"/>
      <c r="V19" s="281">
        <v>2</v>
      </c>
      <c r="W19" s="281"/>
      <c r="X19" s="281"/>
      <c r="Y19" s="281">
        <v>0</v>
      </c>
      <c r="Z19" s="281"/>
      <c r="AA19" s="281"/>
    </row>
    <row r="20" spans="1:27" x14ac:dyDescent="0.3">
      <c r="A20" t="str">
        <f>'SMR (Main)'!A19</f>
        <v>GT-MHR</v>
      </c>
      <c r="B20" t="str">
        <f>'SMR (Main)'!E19</f>
        <v>Russia</v>
      </c>
      <c r="C20">
        <f t="shared" si="0"/>
        <v>8.7000000000000188E-2</v>
      </c>
      <c r="E20" t="str">
        <v>UK</v>
      </c>
      <c r="F20" t="s">
        <v>299</v>
      </c>
      <c r="G20">
        <f t="shared" si="1"/>
        <v>4.2139999999999995</v>
      </c>
      <c r="I20">
        <v>0</v>
      </c>
      <c r="J20">
        <v>0</v>
      </c>
      <c r="K20">
        <v>0</v>
      </c>
      <c r="L20" s="281">
        <f t="shared" si="2"/>
        <v>1</v>
      </c>
      <c r="M20" s="281"/>
      <c r="N20" s="281"/>
      <c r="O20" s="281"/>
      <c r="P20" s="281">
        <v>0.72</v>
      </c>
      <c r="Q20" s="281"/>
      <c r="R20" s="281"/>
      <c r="S20" s="281">
        <v>1.506</v>
      </c>
      <c r="T20" s="281"/>
      <c r="U20" s="281"/>
      <c r="V20" s="281">
        <v>2</v>
      </c>
      <c r="W20" s="281"/>
      <c r="X20" s="281"/>
      <c r="Y20" s="281">
        <v>0</v>
      </c>
      <c r="Z20" s="281"/>
      <c r="AA20" s="281"/>
    </row>
    <row r="21" spans="1:27" x14ac:dyDescent="0.3">
      <c r="A21" t="str">
        <f>'SMR (Main)'!A20</f>
        <v>HAPPY200</v>
      </c>
      <c r="B21" t="str">
        <f>'SMR (Main)'!E20</f>
        <v>China</v>
      </c>
      <c r="C21">
        <f t="shared" si="0"/>
        <v>3.4459999999999997</v>
      </c>
      <c r="E21" t="str">
        <v>Sweden</v>
      </c>
      <c r="F21" t="s">
        <v>294</v>
      </c>
      <c r="G21">
        <f t="shared" si="1"/>
        <v>5.6999999999999993</v>
      </c>
      <c r="I21">
        <v>1</v>
      </c>
      <c r="J21">
        <v>0</v>
      </c>
      <c r="K21">
        <v>1</v>
      </c>
      <c r="L21" s="281">
        <f t="shared" si="2"/>
        <v>3</v>
      </c>
      <c r="M21" s="281"/>
      <c r="N21" s="281"/>
      <c r="O21" s="281"/>
      <c r="P21" s="281">
        <f>AVERAGE(P9,P26)</f>
        <v>-0.24</v>
      </c>
      <c r="Q21" s="281"/>
      <c r="R21" s="281"/>
      <c r="S21" s="281">
        <f>AVERAGE(S9,S26)</f>
        <v>2.06</v>
      </c>
      <c r="T21" s="281"/>
      <c r="U21" s="281"/>
      <c r="V21" s="281">
        <v>2</v>
      </c>
      <c r="W21" s="281"/>
      <c r="X21" s="281"/>
      <c r="Y21" s="281">
        <v>1</v>
      </c>
      <c r="Z21" s="281"/>
      <c r="AA21" s="281"/>
    </row>
    <row r="22" spans="1:27" x14ac:dyDescent="0.3">
      <c r="A22" t="str">
        <f>'SMR (Main)'!A21</f>
        <v>HTMR100</v>
      </c>
      <c r="B22" t="str">
        <f>'SMR (Main)'!E21</f>
        <v>South Africa</v>
      </c>
      <c r="C22">
        <f t="shared" si="0"/>
        <v>1.9360000000000004</v>
      </c>
      <c r="E22" t="str">
        <v>Rep. of Korea &amp; Saudi Arabia</v>
      </c>
      <c r="F22" t="s">
        <v>68</v>
      </c>
      <c r="G22">
        <f t="shared" si="1"/>
        <v>1.9360000000000004</v>
      </c>
      <c r="I22">
        <v>0</v>
      </c>
      <c r="J22">
        <v>0</v>
      </c>
      <c r="K22">
        <v>0</v>
      </c>
      <c r="L22" s="281">
        <f t="shared" si="2"/>
        <v>2</v>
      </c>
      <c r="M22" s="281"/>
      <c r="N22" s="281"/>
      <c r="O22" s="281"/>
      <c r="P22" s="281">
        <v>-0.72</v>
      </c>
      <c r="Q22" s="281"/>
      <c r="R22" s="281"/>
      <c r="S22" s="281">
        <v>2.3439999999999999</v>
      </c>
      <c r="T22" s="281"/>
      <c r="U22" s="281"/>
      <c r="V22" s="281">
        <v>1</v>
      </c>
      <c r="W22" s="281"/>
      <c r="X22" s="281"/>
      <c r="Y22" s="281">
        <v>0</v>
      </c>
      <c r="Z22" s="281"/>
      <c r="AA22" s="281"/>
    </row>
    <row r="23" spans="1:27" x14ac:dyDescent="0.3">
      <c r="A23" t="str">
        <f>'SMR (Main)'!A22</f>
        <v>HTR-10</v>
      </c>
      <c r="B23" t="str">
        <f>'SMR (Main)'!E22</f>
        <v>China</v>
      </c>
      <c r="C23">
        <f t="shared" si="0"/>
        <v>3.4459999999999997</v>
      </c>
      <c r="E23" t="str">
        <v>Switzerland</v>
      </c>
      <c r="F23" t="s">
        <v>186</v>
      </c>
      <c r="G23">
        <f t="shared" si="1"/>
        <v>4.758</v>
      </c>
      <c r="I23">
        <v>0</v>
      </c>
      <c r="J23">
        <v>0</v>
      </c>
      <c r="K23">
        <v>0</v>
      </c>
      <c r="L23" s="281">
        <f t="shared" si="2"/>
        <v>2</v>
      </c>
      <c r="M23" s="281"/>
      <c r="N23" s="281"/>
      <c r="O23" s="281"/>
      <c r="P23" s="281">
        <v>0.41</v>
      </c>
      <c r="Q23" s="281"/>
      <c r="R23" s="281"/>
      <c r="S23" s="281">
        <v>1.6519999999999999</v>
      </c>
      <c r="T23" s="281"/>
      <c r="U23" s="281"/>
      <c r="V23" s="281">
        <v>2</v>
      </c>
      <c r="W23" s="281"/>
      <c r="X23" s="281"/>
      <c r="Y23" s="281">
        <v>0</v>
      </c>
      <c r="Z23" s="281"/>
      <c r="AA23" s="281"/>
    </row>
    <row r="24" spans="1:27" x14ac:dyDescent="0.3">
      <c r="A24" t="str">
        <f>'SMR (Main)'!A23</f>
        <v>HTR-PM</v>
      </c>
      <c r="B24" t="str">
        <f>'SMR (Main)'!E23</f>
        <v>China</v>
      </c>
      <c r="C24">
        <f t="shared" si="0"/>
        <v>3.4459999999999997</v>
      </c>
      <c r="E24" t="str">
        <v>Czech Rep.</v>
      </c>
      <c r="F24" t="s">
        <v>250</v>
      </c>
      <c r="G24">
        <f t="shared" si="1"/>
        <v>4.4399999999999995</v>
      </c>
      <c r="I24">
        <v>0</v>
      </c>
      <c r="J24">
        <v>0</v>
      </c>
      <c r="K24">
        <v>0</v>
      </c>
      <c r="L24" s="281">
        <f t="shared" si="2"/>
        <v>1</v>
      </c>
      <c r="M24" s="281"/>
      <c r="N24" s="281"/>
      <c r="O24" s="281"/>
      <c r="P24" s="281">
        <v>0.9</v>
      </c>
      <c r="Q24" s="281"/>
      <c r="R24" s="281"/>
      <c r="S24" s="281">
        <v>1.46</v>
      </c>
      <c r="T24" s="281"/>
      <c r="U24" s="281"/>
      <c r="V24" s="281">
        <v>2</v>
      </c>
      <c r="W24" s="281"/>
      <c r="X24" s="281"/>
      <c r="Y24" s="281">
        <v>0</v>
      </c>
      <c r="Z24" s="281"/>
      <c r="AA24" s="281"/>
    </row>
    <row r="25" spans="1:27" x14ac:dyDescent="0.3">
      <c r="A25" t="str">
        <f>'SMR (Main)'!A24</f>
        <v>HTTR</v>
      </c>
      <c r="B25" t="str">
        <f>'SMR (Main)'!E24</f>
        <v>Japan</v>
      </c>
      <c r="C25">
        <f t="shared" si="0"/>
        <v>7.6970000000000001</v>
      </c>
      <c r="E25" t="str">
        <v>USA and Indonesia</v>
      </c>
      <c r="F25" t="s">
        <v>108</v>
      </c>
      <c r="G25">
        <f t="shared" si="1"/>
        <v>4.6139999999999999</v>
      </c>
      <c r="I25">
        <v>0</v>
      </c>
      <c r="J25">
        <v>0</v>
      </c>
      <c r="K25">
        <v>0</v>
      </c>
      <c r="L25" s="281">
        <f t="shared" si="2"/>
        <v>1</v>
      </c>
      <c r="M25" s="281"/>
      <c r="N25" s="281"/>
      <c r="O25" s="281"/>
      <c r="P25" s="281">
        <v>0.87</v>
      </c>
      <c r="Q25" s="281"/>
      <c r="R25" s="281"/>
      <c r="S25" s="281">
        <v>1.256</v>
      </c>
      <c r="T25" s="281"/>
      <c r="U25" s="281"/>
      <c r="V25" s="281">
        <v>2</v>
      </c>
      <c r="W25" s="281"/>
      <c r="X25" s="281"/>
      <c r="Y25" s="281">
        <v>0</v>
      </c>
      <c r="Z25" s="281"/>
      <c r="AA25" s="281"/>
    </row>
    <row r="26" spans="1:27" x14ac:dyDescent="0.3">
      <c r="A26" t="str">
        <f>'SMR (Main)'!A25</f>
        <v>IMR</v>
      </c>
      <c r="B26" t="str">
        <f>'SMR (Main)'!E25</f>
        <v>Japan</v>
      </c>
      <c r="C26">
        <f t="shared" si="0"/>
        <v>7.6970000000000001</v>
      </c>
      <c r="E26" t="str">
        <v>Netherlands</v>
      </c>
      <c r="F26" t="s">
        <v>229</v>
      </c>
      <c r="G26">
        <f t="shared" si="1"/>
        <v>3.7769999999999997</v>
      </c>
      <c r="I26">
        <v>1</v>
      </c>
      <c r="J26">
        <v>0</v>
      </c>
      <c r="K26">
        <v>0</v>
      </c>
      <c r="L26" s="281">
        <f t="shared" si="2"/>
        <v>3</v>
      </c>
      <c r="M26" s="281"/>
      <c r="N26" s="281"/>
      <c r="O26" s="281"/>
      <c r="P26" s="281">
        <v>-0.44</v>
      </c>
      <c r="Q26" s="281"/>
      <c r="R26" s="281"/>
      <c r="S26" s="281">
        <v>1.7829999999999999</v>
      </c>
      <c r="T26" s="281"/>
      <c r="U26" s="281"/>
      <c r="V26" s="281">
        <v>1</v>
      </c>
      <c r="W26" s="281"/>
      <c r="X26" s="281"/>
      <c r="Y26" s="281">
        <v>1</v>
      </c>
      <c r="Z26" s="281"/>
      <c r="AA26" s="281"/>
    </row>
    <row r="27" spans="1:27" x14ac:dyDescent="0.3">
      <c r="A27" t="str">
        <f>'SMR (Main)'!A26</f>
        <v xml:space="preserve">IMSR400 </v>
      </c>
      <c r="B27" t="str">
        <f>'SMR (Main)'!E26</f>
        <v>Canada</v>
      </c>
      <c r="C27">
        <f t="shared" si="0"/>
        <v>8.44</v>
      </c>
    </row>
    <row r="28" spans="1:27" x14ac:dyDescent="0.3">
      <c r="A28" t="str">
        <f>'SMR (Main)'!A27</f>
        <v>i-SMR</v>
      </c>
      <c r="B28" t="str">
        <f>'SMR (Main)'!E27</f>
        <v>Rep. of Korea</v>
      </c>
      <c r="C28">
        <f t="shared" si="0"/>
        <v>8.6829999999999998</v>
      </c>
    </row>
    <row r="29" spans="1:27" x14ac:dyDescent="0.3">
      <c r="A29" t="str">
        <f>'SMR (Main)'!A28</f>
        <v>Jimmy</v>
      </c>
      <c r="B29" t="str">
        <f>'SMR (Main)'!E28</f>
        <v>France</v>
      </c>
      <c r="C29">
        <f t="shared" si="0"/>
        <v>8.4619999999999997</v>
      </c>
    </row>
    <row r="30" spans="1:27" x14ac:dyDescent="0.3">
      <c r="A30" t="str">
        <f>'SMR (Main)'!A29</f>
        <v>KARAT-100</v>
      </c>
      <c r="B30" t="str">
        <f>'SMR (Main)'!E29</f>
        <v>Russia</v>
      </c>
      <c r="C30">
        <f t="shared" si="0"/>
        <v>8.7000000000000188E-2</v>
      </c>
    </row>
    <row r="31" spans="1:27" x14ac:dyDescent="0.3">
      <c r="A31" t="str">
        <f>'SMR (Main)'!A30</f>
        <v>KARAT-45</v>
      </c>
      <c r="B31" t="str">
        <f>'SMR (Main)'!E30</f>
        <v>Russia</v>
      </c>
      <c r="C31">
        <f t="shared" si="0"/>
        <v>8.7000000000000188E-2</v>
      </c>
    </row>
    <row r="32" spans="1:27" x14ac:dyDescent="0.3">
      <c r="A32" t="str">
        <f>'SMR (Main)'!A31</f>
        <v xml:space="preserve">KP-FHR </v>
      </c>
      <c r="B32" t="str">
        <f>'SMR (Main)'!E31</f>
        <v>USA</v>
      </c>
      <c r="C32">
        <f t="shared" si="0"/>
        <v>6.6229999999999993</v>
      </c>
    </row>
    <row r="33" spans="1:28" x14ac:dyDescent="0.3">
      <c r="A33" t="str">
        <f>'SMR (Main)'!A32</f>
        <v xml:space="preserve">LFR-AS-200 </v>
      </c>
      <c r="B33" t="str">
        <f>'SMR (Main)'!E32</f>
        <v>Italy</v>
      </c>
      <c r="C33">
        <f t="shared" si="0"/>
        <v>4.758</v>
      </c>
    </row>
    <row r="34" spans="1:28" x14ac:dyDescent="0.3">
      <c r="A34" t="str">
        <f>'SMR (Main)'!A33</f>
        <v xml:space="preserve">LFTR </v>
      </c>
      <c r="B34" t="str">
        <f>'SMR (Main)'!E33</f>
        <v>USA</v>
      </c>
      <c r="C34">
        <f t="shared" si="0"/>
        <v>6.6229999999999993</v>
      </c>
    </row>
    <row r="35" spans="1:28" x14ac:dyDescent="0.3">
      <c r="A35" t="str">
        <f>'SMR (Main)'!A34</f>
        <v xml:space="preserve">MCSFR </v>
      </c>
      <c r="B35" t="str">
        <f>'SMR (Main)'!E34</f>
        <v>USA</v>
      </c>
      <c r="C35">
        <f t="shared" si="0"/>
        <v>6.6229999999999993</v>
      </c>
      <c r="G35" s="128"/>
      <c r="H35" s="128"/>
      <c r="I35" s="128"/>
      <c r="J35" s="128"/>
      <c r="K35" s="128"/>
      <c r="L35" s="128"/>
      <c r="M35" s="128"/>
      <c r="N35" s="128"/>
      <c r="O35" s="128"/>
      <c r="P35" s="128"/>
      <c r="Q35" s="128"/>
      <c r="R35" s="128"/>
      <c r="S35" s="128"/>
      <c r="T35" s="128"/>
      <c r="U35" s="128"/>
      <c r="V35" s="128"/>
      <c r="W35" s="128"/>
      <c r="X35" s="128"/>
      <c r="Y35" s="128"/>
      <c r="Z35" s="128"/>
    </row>
    <row r="36" spans="1:28" x14ac:dyDescent="0.3">
      <c r="A36" t="str">
        <f>'SMR (Main)'!A35</f>
        <v>MHR-100</v>
      </c>
      <c r="B36" t="str">
        <f>'SMR (Main)'!E35</f>
        <v>Russia</v>
      </c>
      <c r="C36">
        <f t="shared" si="0"/>
        <v>8.7000000000000188E-2</v>
      </c>
      <c r="AB36" s="129"/>
    </row>
    <row r="37" spans="1:28" x14ac:dyDescent="0.3">
      <c r="A37" t="str">
        <f>'SMR (Main)'!A36</f>
        <v>MHR-T</v>
      </c>
      <c r="B37" t="str">
        <f>'SMR (Main)'!E36</f>
        <v>Russia</v>
      </c>
      <c r="C37">
        <f t="shared" si="0"/>
        <v>8.7000000000000188E-2</v>
      </c>
      <c r="AB37" s="129"/>
    </row>
    <row r="38" spans="1:28" x14ac:dyDescent="0.3">
      <c r="A38" t="str">
        <f>'SMR (Main)'!A37</f>
        <v xml:space="preserve">MicroURANUS </v>
      </c>
      <c r="B38" t="str">
        <f>'SMR (Main)'!E37</f>
        <v>Rep. of Korea</v>
      </c>
      <c r="C38">
        <f t="shared" si="0"/>
        <v>8.6829999999999998</v>
      </c>
    </row>
    <row r="39" spans="1:28" x14ac:dyDescent="0.3">
      <c r="A39" t="str">
        <f>'SMR (Main)'!A38</f>
        <v xml:space="preserve">Mk1 PB-FHR </v>
      </c>
      <c r="B39" t="str">
        <f>'SMR (Main)'!E38</f>
        <v>USA</v>
      </c>
      <c r="C39">
        <f t="shared" si="0"/>
        <v>6.6229999999999993</v>
      </c>
    </row>
    <row r="40" spans="1:28" x14ac:dyDescent="0.3">
      <c r="A40" t="str">
        <f>'SMR (Main)'!A39</f>
        <v>mPower</v>
      </c>
      <c r="B40" t="str">
        <f>'SMR (Main)'!E39</f>
        <v>USA</v>
      </c>
      <c r="C40">
        <f t="shared" si="0"/>
        <v>6.6229999999999993</v>
      </c>
    </row>
    <row r="41" spans="1:28" x14ac:dyDescent="0.3">
      <c r="A41" t="str">
        <f>'SMR (Main)'!A40</f>
        <v>NHR200-II</v>
      </c>
      <c r="B41" t="str">
        <f>'SMR (Main)'!E40</f>
        <v>China</v>
      </c>
      <c r="C41">
        <f t="shared" si="0"/>
        <v>3.4459999999999997</v>
      </c>
    </row>
    <row r="42" spans="1:28" x14ac:dyDescent="0.3">
      <c r="A42" t="str">
        <f>'SMR (Main)'!A41</f>
        <v>NUWARD</v>
      </c>
      <c r="B42" t="str">
        <f>'SMR (Main)'!E41</f>
        <v>France</v>
      </c>
      <c r="C42">
        <f t="shared" si="0"/>
        <v>8.4619999999999997</v>
      </c>
    </row>
    <row r="43" spans="1:28" x14ac:dyDescent="0.3">
      <c r="A43" t="str">
        <f>'SMR (Main)'!A42</f>
        <v>OPEN20</v>
      </c>
      <c r="B43" t="str">
        <f>'SMR (Main)'!E42</f>
        <v>USA</v>
      </c>
      <c r="C43">
        <f t="shared" si="0"/>
        <v>6.6229999999999993</v>
      </c>
    </row>
    <row r="44" spans="1:28" x14ac:dyDescent="0.3">
      <c r="A44" t="str">
        <f>'SMR (Main)'!A43</f>
        <v>PBMR-400</v>
      </c>
      <c r="B44" t="str">
        <f>'SMR (Main)'!E43</f>
        <v>South Africa</v>
      </c>
      <c r="C44">
        <f t="shared" si="0"/>
        <v>1.9360000000000004</v>
      </c>
    </row>
    <row r="45" spans="1:28" x14ac:dyDescent="0.3">
      <c r="A45" t="str">
        <f>'SMR (Main)'!A44</f>
        <v>PeLUIt / RDE</v>
      </c>
      <c r="B45" t="str">
        <f>'SMR (Main)'!E44</f>
        <v>Indonesia</v>
      </c>
      <c r="C45">
        <f t="shared" si="0"/>
        <v>3.7769999999999997</v>
      </c>
    </row>
    <row r="46" spans="1:28" x14ac:dyDescent="0.3">
      <c r="A46" t="str">
        <f>'SMR (Main)'!A45</f>
        <v>RITM-200N</v>
      </c>
      <c r="B46" t="str">
        <f>'SMR (Main)'!E45</f>
        <v>Russia</v>
      </c>
      <c r="C46">
        <f t="shared" si="0"/>
        <v>8.7000000000000188E-2</v>
      </c>
    </row>
    <row r="47" spans="1:28" x14ac:dyDescent="0.3">
      <c r="A47" t="str">
        <f>'SMR (Main)'!A46</f>
        <v>RR SMR</v>
      </c>
      <c r="B47" t="str">
        <f>'SMR (Main)'!E46</f>
        <v>UK</v>
      </c>
      <c r="C47">
        <f t="shared" si="0"/>
        <v>4.8420000000000005</v>
      </c>
    </row>
    <row r="48" spans="1:28" x14ac:dyDescent="0.3">
      <c r="A48" t="str">
        <f>'SMR (Main)'!A47</f>
        <v>RUTA-70</v>
      </c>
      <c r="B48" t="str">
        <f>'SMR (Main)'!E47</f>
        <v>Russia</v>
      </c>
      <c r="C48">
        <f t="shared" si="0"/>
        <v>8.7000000000000188E-2</v>
      </c>
    </row>
    <row r="49" spans="1:36" x14ac:dyDescent="0.3">
      <c r="A49" t="str">
        <f>'SMR (Main)'!A48</f>
        <v>SC-HTGR</v>
      </c>
      <c r="B49" t="str">
        <f>'SMR (Main)'!E48</f>
        <v>USA</v>
      </c>
      <c r="C49">
        <f t="shared" si="0"/>
        <v>6.6229999999999993</v>
      </c>
    </row>
    <row r="50" spans="1:36" x14ac:dyDescent="0.3">
      <c r="A50" t="str">
        <f>'SMR (Main)'!A49</f>
        <v xml:space="preserve">SEALER-55 </v>
      </c>
      <c r="B50" t="str">
        <f>'SMR (Main)'!E49</f>
        <v>Sweden</v>
      </c>
      <c r="C50">
        <f t="shared" si="0"/>
        <v>4.4399999999999995</v>
      </c>
    </row>
    <row r="51" spans="1:36" x14ac:dyDescent="0.3">
      <c r="A51" t="str">
        <f>'SMR (Main)'!A50</f>
        <v>SMART</v>
      </c>
      <c r="B51" t="str">
        <f>'SMR (Main)'!E50</f>
        <v>Rep. of Korea &amp; Saudi Arabia</v>
      </c>
      <c r="C51">
        <f t="shared" si="0"/>
        <v>5.9935</v>
      </c>
    </row>
    <row r="52" spans="1:36" ht="127.8" x14ac:dyDescent="0.3">
      <c r="A52" t="str">
        <f>'SMR (Main)'!A51</f>
        <v>SMR-160</v>
      </c>
      <c r="B52" t="str">
        <f>'SMR (Main)'!E51</f>
        <v>USA</v>
      </c>
      <c r="C52">
        <f t="shared" si="0"/>
        <v>6.6229999999999993</v>
      </c>
      <c r="G52" s="128" t="str" cm="1">
        <f t="array" ref="G52:Z52">TRANSPOSE(F53:F72)</f>
        <v>China</v>
      </c>
      <c r="H52" s="128" t="str">
        <v>Argentina</v>
      </c>
      <c r="I52" s="128" t="str">
        <v>USA</v>
      </c>
      <c r="J52" s="128" t="str">
        <v>Russia</v>
      </c>
      <c r="K52" s="128" t="str">
        <v>USA &amp; Japan</v>
      </c>
      <c r="L52" s="128" t="str">
        <v>UK</v>
      </c>
      <c r="M52" s="128" t="str">
        <v>Rep. of Korea &amp; Saudi Arabia</v>
      </c>
      <c r="N52" s="128" t="str">
        <v>Japan</v>
      </c>
      <c r="O52" s="128" t="str">
        <v>Czech Rep.</v>
      </c>
      <c r="P52" s="128" t="str">
        <v>France</v>
      </c>
      <c r="Q52" s="128" t="str">
        <v>Canada</v>
      </c>
      <c r="R52" s="128" t="str">
        <v>Rep. Of Korea</v>
      </c>
      <c r="S52" s="128" t="str">
        <v>Switzerland</v>
      </c>
      <c r="T52" s="128" t="str">
        <v>Netherlands</v>
      </c>
      <c r="U52" s="128" t="str">
        <v>USA and Indonesia</v>
      </c>
      <c r="V52" s="128" t="str">
        <v>South Africa</v>
      </c>
      <c r="W52" s="128" t="str">
        <v>Italy</v>
      </c>
      <c r="X52" s="128" t="str">
        <v>Sweden</v>
      </c>
      <c r="Y52" s="128" t="str">
        <v>Denmark</v>
      </c>
      <c r="Z52" s="128" t="str">
        <v>Indonesia</v>
      </c>
      <c r="AB52" t="s">
        <v>331</v>
      </c>
    </row>
    <row r="53" spans="1:36" x14ac:dyDescent="0.3">
      <c r="A53" t="str">
        <f>'SMR (Main)'!A52</f>
        <v xml:space="preserve">smTMSR-400 </v>
      </c>
      <c r="B53" t="str">
        <f>'SMR (Main)'!E52</f>
        <v>China</v>
      </c>
      <c r="C53">
        <f t="shared" si="0"/>
        <v>3.4459999999999997</v>
      </c>
      <c r="E53" t="str" cm="1">
        <f t="array" ref="E53:E73">_xlfn.UNIQUE(B3:B111)</f>
        <v>USA</v>
      </c>
      <c r="F53" t="s">
        <v>60</v>
      </c>
      <c r="G53" s="130"/>
      <c r="H53">
        <v>0</v>
      </c>
      <c r="I53">
        <v>0</v>
      </c>
      <c r="J53">
        <v>1</v>
      </c>
      <c r="K53">
        <v>0</v>
      </c>
      <c r="L53">
        <v>1</v>
      </c>
      <c r="M53" s="95">
        <v>0</v>
      </c>
      <c r="N53">
        <v>0</v>
      </c>
      <c r="O53">
        <v>0</v>
      </c>
      <c r="P53">
        <v>1</v>
      </c>
      <c r="Q53">
        <v>1</v>
      </c>
      <c r="R53">
        <v>0</v>
      </c>
      <c r="S53">
        <v>0</v>
      </c>
      <c r="T53">
        <v>0</v>
      </c>
      <c r="U53">
        <v>0</v>
      </c>
      <c r="V53">
        <v>1</v>
      </c>
      <c r="W53">
        <v>0</v>
      </c>
      <c r="X53">
        <v>0</v>
      </c>
      <c r="Y53">
        <v>0</v>
      </c>
      <c r="Z53">
        <v>0</v>
      </c>
      <c r="AB53">
        <f>SUM(G53:Z53)</f>
        <v>5</v>
      </c>
      <c r="AC53">
        <v>3</v>
      </c>
      <c r="AE53" s="283" t="s">
        <v>332</v>
      </c>
      <c r="AF53" s="284"/>
      <c r="AG53" s="284"/>
      <c r="AH53" s="284"/>
      <c r="AI53" s="284"/>
      <c r="AJ53" s="284"/>
    </row>
    <row r="54" spans="1:36" x14ac:dyDescent="0.3">
      <c r="A54" t="str">
        <f>'SMR (Main)'!A53</f>
        <v xml:space="preserve">SSR-U </v>
      </c>
      <c r="B54" t="str">
        <f>'SMR (Main)'!E53</f>
        <v>UK</v>
      </c>
      <c r="C54">
        <f t="shared" si="0"/>
        <v>4.8420000000000005</v>
      </c>
      <c r="E54" t="str">
        <v>Japan</v>
      </c>
      <c r="F54" t="s">
        <v>102</v>
      </c>
      <c r="G54">
        <v>0</v>
      </c>
      <c r="H54" s="130"/>
      <c r="I54">
        <v>1</v>
      </c>
      <c r="J54">
        <v>1</v>
      </c>
      <c r="K54">
        <v>0</v>
      </c>
      <c r="L54">
        <v>0</v>
      </c>
      <c r="M54">
        <v>0</v>
      </c>
      <c r="N54">
        <v>0</v>
      </c>
      <c r="O54">
        <v>0</v>
      </c>
      <c r="P54">
        <v>1</v>
      </c>
      <c r="Q54">
        <v>1</v>
      </c>
      <c r="R54">
        <v>1</v>
      </c>
      <c r="S54">
        <v>0</v>
      </c>
      <c r="T54">
        <v>0</v>
      </c>
      <c r="U54">
        <v>0</v>
      </c>
      <c r="V54">
        <v>0</v>
      </c>
      <c r="W54">
        <v>0</v>
      </c>
      <c r="X54">
        <v>0</v>
      </c>
      <c r="Y54">
        <v>0</v>
      </c>
      <c r="Z54">
        <v>0</v>
      </c>
      <c r="AB54">
        <f t="shared" ref="AB54:AB72" si="3">SUM(G54:Z54)</f>
        <v>5</v>
      </c>
      <c r="AC54">
        <v>3</v>
      </c>
      <c r="AE54" s="284"/>
      <c r="AF54" s="284"/>
      <c r="AG54" s="284"/>
      <c r="AH54" s="284"/>
      <c r="AI54" s="284"/>
      <c r="AJ54" s="284"/>
    </row>
    <row r="55" spans="1:36" x14ac:dyDescent="0.3">
      <c r="A55" t="str">
        <f>'SMR (Main)'!A54</f>
        <v xml:space="preserve">SSR-W </v>
      </c>
      <c r="B55" t="str">
        <f>'SMR (Main)'!E54</f>
        <v>Canada</v>
      </c>
      <c r="C55">
        <f t="shared" si="0"/>
        <v>8.44</v>
      </c>
      <c r="E55" t="str">
        <v>China</v>
      </c>
      <c r="F55" t="s">
        <v>124</v>
      </c>
      <c r="G55">
        <v>0</v>
      </c>
      <c r="H55">
        <v>1</v>
      </c>
      <c r="I55" s="130"/>
      <c r="J55">
        <v>0</v>
      </c>
      <c r="K55">
        <v>1</v>
      </c>
      <c r="L55">
        <v>1</v>
      </c>
      <c r="M55">
        <v>1</v>
      </c>
      <c r="N55">
        <v>1</v>
      </c>
      <c r="O55">
        <v>0</v>
      </c>
      <c r="P55">
        <v>1</v>
      </c>
      <c r="Q55">
        <v>0</v>
      </c>
      <c r="R55">
        <v>1</v>
      </c>
      <c r="S55">
        <v>0</v>
      </c>
      <c r="T55">
        <v>0</v>
      </c>
      <c r="U55">
        <v>0</v>
      </c>
      <c r="V55">
        <v>0</v>
      </c>
      <c r="W55">
        <v>0</v>
      </c>
      <c r="X55">
        <v>0</v>
      </c>
      <c r="Y55">
        <v>0</v>
      </c>
      <c r="Z55">
        <v>0</v>
      </c>
      <c r="AB55">
        <f t="shared" si="3"/>
        <v>7</v>
      </c>
      <c r="AC55">
        <v>4</v>
      </c>
      <c r="AE55" s="284"/>
      <c r="AF55" s="284"/>
      <c r="AG55" s="284"/>
      <c r="AH55" s="284"/>
      <c r="AI55" s="284"/>
      <c r="AJ55" s="284"/>
    </row>
    <row r="56" spans="1:36" x14ac:dyDescent="0.3">
      <c r="A56" t="str">
        <f>'SMR (Main)'!A55</f>
        <v>STAR</v>
      </c>
      <c r="B56" t="str">
        <f>'SMR (Main)'!E55</f>
        <v>Switzerland</v>
      </c>
      <c r="C56">
        <f t="shared" si="0"/>
        <v>4.8369999999999997</v>
      </c>
      <c r="E56" t="str">
        <v>South Africa</v>
      </c>
      <c r="F56" t="s">
        <v>79</v>
      </c>
      <c r="G56">
        <v>1</v>
      </c>
      <c r="H56">
        <v>1</v>
      </c>
      <c r="I56">
        <v>0</v>
      </c>
      <c r="J56" s="130"/>
      <c r="K56">
        <v>0</v>
      </c>
      <c r="L56">
        <v>0</v>
      </c>
      <c r="M56">
        <v>0</v>
      </c>
      <c r="N56">
        <v>0</v>
      </c>
      <c r="O56">
        <v>0</v>
      </c>
      <c r="P56">
        <v>1</v>
      </c>
      <c r="Q56">
        <v>0</v>
      </c>
      <c r="R56">
        <v>0</v>
      </c>
      <c r="S56">
        <v>0</v>
      </c>
      <c r="T56">
        <v>0</v>
      </c>
      <c r="U56">
        <v>0</v>
      </c>
      <c r="V56">
        <v>0</v>
      </c>
      <c r="W56">
        <v>0</v>
      </c>
      <c r="X56">
        <v>0</v>
      </c>
      <c r="Y56">
        <v>0</v>
      </c>
      <c r="Z56">
        <v>1</v>
      </c>
      <c r="AB56">
        <f t="shared" si="3"/>
        <v>4</v>
      </c>
      <c r="AC56">
        <v>3</v>
      </c>
      <c r="AE56" s="284"/>
      <c r="AF56" s="284"/>
      <c r="AG56" s="284"/>
      <c r="AH56" s="284"/>
      <c r="AI56" s="284"/>
      <c r="AJ56" s="284"/>
    </row>
    <row r="57" spans="1:36" x14ac:dyDescent="0.3">
      <c r="A57" t="str">
        <f>'SMR (Main)'!A56</f>
        <v>Starcore</v>
      </c>
      <c r="B57" t="str">
        <f>'SMR (Main)'!E56</f>
        <v>Canada</v>
      </c>
      <c r="C57">
        <f t="shared" si="0"/>
        <v>8.44</v>
      </c>
      <c r="E57" t="str">
        <v>Canada</v>
      </c>
      <c r="F57" t="s">
        <v>86</v>
      </c>
      <c r="G57">
        <v>0</v>
      </c>
      <c r="H57">
        <v>0</v>
      </c>
      <c r="I57">
        <v>1</v>
      </c>
      <c r="J57">
        <v>0</v>
      </c>
      <c r="K57" s="130"/>
      <c r="L57">
        <v>0</v>
      </c>
      <c r="M57">
        <v>0</v>
      </c>
      <c r="N57">
        <v>1</v>
      </c>
      <c r="O57">
        <v>0</v>
      </c>
      <c r="P57">
        <v>1</v>
      </c>
      <c r="Q57">
        <v>0</v>
      </c>
      <c r="R57">
        <v>0</v>
      </c>
      <c r="S57">
        <v>0</v>
      </c>
      <c r="T57">
        <v>0</v>
      </c>
      <c r="U57">
        <v>1</v>
      </c>
      <c r="V57">
        <v>0</v>
      </c>
      <c r="W57">
        <v>0</v>
      </c>
      <c r="X57">
        <v>0</v>
      </c>
      <c r="Y57">
        <v>0</v>
      </c>
      <c r="Z57">
        <v>0</v>
      </c>
      <c r="AB57">
        <f t="shared" si="3"/>
        <v>4</v>
      </c>
      <c r="AC57">
        <v>3</v>
      </c>
      <c r="AE57" s="284"/>
      <c r="AF57" s="284"/>
      <c r="AG57" s="284"/>
      <c r="AH57" s="284"/>
      <c r="AI57" s="284"/>
      <c r="AJ57" s="284"/>
    </row>
    <row r="58" spans="1:36" x14ac:dyDescent="0.3">
      <c r="A58" t="str">
        <f>'SMR (Main)'!A57</f>
        <v xml:space="preserve">SVBR </v>
      </c>
      <c r="B58" t="str">
        <f>'SMR (Main)'!E57</f>
        <v>Russia</v>
      </c>
      <c r="C58">
        <f t="shared" si="0"/>
        <v>8.7000000000000188E-2</v>
      </c>
      <c r="E58" t="str">
        <v>Russia</v>
      </c>
      <c r="F58" t="s">
        <v>238</v>
      </c>
      <c r="G58">
        <v>1</v>
      </c>
      <c r="H58">
        <v>0</v>
      </c>
      <c r="I58">
        <v>0</v>
      </c>
      <c r="J58">
        <v>0</v>
      </c>
      <c r="K58">
        <v>0</v>
      </c>
      <c r="L58" s="130"/>
      <c r="M58">
        <v>0</v>
      </c>
      <c r="N58">
        <v>0</v>
      </c>
      <c r="O58">
        <v>0</v>
      </c>
      <c r="P58">
        <v>1</v>
      </c>
      <c r="Q58">
        <v>0</v>
      </c>
      <c r="R58">
        <v>0</v>
      </c>
      <c r="S58">
        <v>0</v>
      </c>
      <c r="T58">
        <v>0</v>
      </c>
      <c r="U58">
        <v>0</v>
      </c>
      <c r="V58">
        <v>0</v>
      </c>
      <c r="W58">
        <v>0</v>
      </c>
      <c r="X58">
        <v>0</v>
      </c>
      <c r="Y58">
        <v>0</v>
      </c>
      <c r="Z58">
        <v>0</v>
      </c>
      <c r="AB58">
        <f t="shared" si="3"/>
        <v>2</v>
      </c>
      <c r="AC58">
        <v>2</v>
      </c>
      <c r="AE58" s="284"/>
      <c r="AF58" s="284"/>
      <c r="AG58" s="284"/>
      <c r="AH58" s="284"/>
      <c r="AI58" s="284"/>
      <c r="AJ58" s="284"/>
    </row>
    <row r="59" spans="1:36" x14ac:dyDescent="0.3">
      <c r="A59" t="str">
        <f>'SMR (Main)'!A58</f>
        <v>TEPLATOR</v>
      </c>
      <c r="B59" t="str">
        <f>'SMR (Main)'!E58</f>
        <v>Czech Rep.</v>
      </c>
      <c r="C59">
        <f t="shared" si="0"/>
        <v>6.4910000000000005</v>
      </c>
      <c r="E59" t="str">
        <v>USA &amp; Japan</v>
      </c>
      <c r="F59" s="46" t="s">
        <v>254</v>
      </c>
      <c r="G59">
        <v>0</v>
      </c>
      <c r="H59">
        <v>0</v>
      </c>
      <c r="I59">
        <v>1</v>
      </c>
      <c r="J59">
        <v>0</v>
      </c>
      <c r="K59">
        <v>0</v>
      </c>
      <c r="L59">
        <v>0</v>
      </c>
      <c r="M59" s="130"/>
      <c r="N59">
        <v>0</v>
      </c>
      <c r="O59">
        <v>1</v>
      </c>
      <c r="P59">
        <v>1</v>
      </c>
      <c r="Q59">
        <v>1</v>
      </c>
      <c r="R59">
        <v>1</v>
      </c>
      <c r="S59">
        <v>0</v>
      </c>
      <c r="T59">
        <v>0</v>
      </c>
      <c r="U59">
        <v>0</v>
      </c>
      <c r="V59">
        <v>0</v>
      </c>
      <c r="W59">
        <v>0</v>
      </c>
      <c r="X59">
        <v>0</v>
      </c>
      <c r="Y59">
        <v>0</v>
      </c>
      <c r="Z59">
        <v>0</v>
      </c>
      <c r="AB59">
        <f t="shared" si="3"/>
        <v>5</v>
      </c>
      <c r="AC59">
        <v>3</v>
      </c>
      <c r="AE59" s="284"/>
      <c r="AF59" s="284"/>
      <c r="AG59" s="284"/>
      <c r="AH59" s="284"/>
      <c r="AI59" s="284"/>
      <c r="AJ59" s="284"/>
    </row>
    <row r="60" spans="1:36" x14ac:dyDescent="0.3">
      <c r="A60" t="str">
        <f>'SMR (Main)'!A59</f>
        <v xml:space="preserve">ThorCon </v>
      </c>
      <c r="B60" t="str">
        <f>'SMR (Main)'!E59</f>
        <v>USA and Indonesia</v>
      </c>
      <c r="C60">
        <f t="shared" si="0"/>
        <v>5.6999999999999993</v>
      </c>
      <c r="E60" t="str">
        <v>Argentina</v>
      </c>
      <c r="F60" t="s">
        <v>51</v>
      </c>
      <c r="G60">
        <v>0</v>
      </c>
      <c r="H60">
        <v>0</v>
      </c>
      <c r="I60">
        <v>1</v>
      </c>
      <c r="J60">
        <v>0</v>
      </c>
      <c r="K60">
        <v>1</v>
      </c>
      <c r="L60">
        <v>0</v>
      </c>
      <c r="M60">
        <v>0</v>
      </c>
      <c r="N60" s="130"/>
      <c r="O60">
        <v>0</v>
      </c>
      <c r="P60">
        <v>1</v>
      </c>
      <c r="Q60">
        <v>0</v>
      </c>
      <c r="R60">
        <v>0</v>
      </c>
      <c r="S60">
        <v>0</v>
      </c>
      <c r="T60">
        <v>0</v>
      </c>
      <c r="U60">
        <v>1</v>
      </c>
      <c r="V60">
        <v>0</v>
      </c>
      <c r="W60">
        <v>0</v>
      </c>
      <c r="X60">
        <v>0</v>
      </c>
      <c r="Y60">
        <v>0</v>
      </c>
      <c r="Z60">
        <v>1</v>
      </c>
      <c r="AB60">
        <f t="shared" si="3"/>
        <v>5</v>
      </c>
      <c r="AC60">
        <v>3</v>
      </c>
      <c r="AE60" s="284"/>
      <c r="AF60" s="284"/>
      <c r="AG60" s="284"/>
      <c r="AH60" s="284"/>
      <c r="AI60" s="284"/>
      <c r="AJ60" s="284"/>
    </row>
    <row r="61" spans="1:36" x14ac:dyDescent="0.3">
      <c r="A61" t="str">
        <f>'SMR (Main)'!A60</f>
        <v xml:space="preserve">THORIZON </v>
      </c>
      <c r="B61" t="str">
        <f>'SMR (Main)'!E60</f>
        <v>Netherlands</v>
      </c>
      <c r="C61">
        <f t="shared" si="0"/>
        <v>4.2139999999999995</v>
      </c>
      <c r="E61" t="str">
        <v>Denmark</v>
      </c>
      <c r="F61" s="46" t="s">
        <v>290</v>
      </c>
      <c r="G61">
        <v>0</v>
      </c>
      <c r="H61">
        <v>0</v>
      </c>
      <c r="I61">
        <v>0</v>
      </c>
      <c r="J61">
        <v>0</v>
      </c>
      <c r="K61">
        <v>0</v>
      </c>
      <c r="L61">
        <v>0</v>
      </c>
      <c r="M61">
        <v>1</v>
      </c>
      <c r="N61">
        <v>0</v>
      </c>
      <c r="O61" s="130"/>
      <c r="P61">
        <v>1</v>
      </c>
      <c r="Q61">
        <v>0</v>
      </c>
      <c r="R61">
        <v>1</v>
      </c>
      <c r="S61">
        <v>0</v>
      </c>
      <c r="T61">
        <v>0</v>
      </c>
      <c r="U61">
        <v>0</v>
      </c>
      <c r="V61">
        <v>0</v>
      </c>
      <c r="W61">
        <v>0</v>
      </c>
      <c r="X61">
        <v>0</v>
      </c>
      <c r="Y61">
        <v>0</v>
      </c>
      <c r="Z61">
        <v>0</v>
      </c>
      <c r="AB61">
        <f t="shared" si="3"/>
        <v>3</v>
      </c>
      <c r="AC61">
        <v>2</v>
      </c>
      <c r="AE61" s="284"/>
      <c r="AF61" s="284"/>
      <c r="AG61" s="284"/>
      <c r="AH61" s="284"/>
      <c r="AI61" s="284"/>
      <c r="AJ61" s="284"/>
    </row>
    <row r="62" spans="1:36" x14ac:dyDescent="0.3">
      <c r="A62" t="str">
        <f>'SMR (Main)'!A61</f>
        <v>VK-300</v>
      </c>
      <c r="B62" t="str">
        <f>'SMR (Main)'!E61</f>
        <v>Russia</v>
      </c>
      <c r="C62">
        <f t="shared" si="0"/>
        <v>8.7000000000000188E-2</v>
      </c>
      <c r="E62" t="str">
        <v>Rep. of Korea</v>
      </c>
      <c r="F62" t="s">
        <v>172</v>
      </c>
      <c r="G62">
        <v>1</v>
      </c>
      <c r="H62">
        <v>1</v>
      </c>
      <c r="I62">
        <v>1</v>
      </c>
      <c r="J62">
        <v>1</v>
      </c>
      <c r="K62">
        <v>1</v>
      </c>
      <c r="L62">
        <v>1</v>
      </c>
      <c r="M62">
        <v>1</v>
      </c>
      <c r="N62">
        <v>1</v>
      </c>
      <c r="O62">
        <v>1</v>
      </c>
      <c r="P62" s="130"/>
      <c r="Q62">
        <v>1</v>
      </c>
      <c r="R62">
        <v>1</v>
      </c>
      <c r="S62">
        <v>1</v>
      </c>
      <c r="T62">
        <v>1</v>
      </c>
      <c r="U62">
        <v>1</v>
      </c>
      <c r="V62">
        <v>1</v>
      </c>
      <c r="W62">
        <v>1</v>
      </c>
      <c r="X62">
        <v>1</v>
      </c>
      <c r="Y62">
        <v>1</v>
      </c>
      <c r="Z62">
        <v>1</v>
      </c>
      <c r="AB62">
        <f t="shared" si="3"/>
        <v>19</v>
      </c>
      <c r="AC62">
        <v>5</v>
      </c>
      <c r="AE62" s="284"/>
      <c r="AF62" s="284"/>
      <c r="AG62" s="284"/>
      <c r="AH62" s="284"/>
      <c r="AI62" s="284"/>
      <c r="AJ62" s="284"/>
    </row>
    <row r="63" spans="1:36" x14ac:dyDescent="0.3">
      <c r="A63" t="str">
        <f>'SMR (Main)'!A62</f>
        <v>VOYGR</v>
      </c>
      <c r="B63" t="str">
        <f>'SMR (Main)'!E62</f>
        <v>USA</v>
      </c>
      <c r="C63">
        <f t="shared" si="0"/>
        <v>6.6229999999999993</v>
      </c>
      <c r="E63" t="str">
        <v>France</v>
      </c>
      <c r="F63" s="46" t="s">
        <v>74</v>
      </c>
      <c r="G63">
        <v>1</v>
      </c>
      <c r="H63">
        <v>1</v>
      </c>
      <c r="I63">
        <v>0</v>
      </c>
      <c r="J63">
        <v>0</v>
      </c>
      <c r="K63">
        <v>0</v>
      </c>
      <c r="L63">
        <v>0</v>
      </c>
      <c r="M63">
        <v>1</v>
      </c>
      <c r="N63">
        <v>0</v>
      </c>
      <c r="O63">
        <v>0</v>
      </c>
      <c r="P63">
        <v>1</v>
      </c>
      <c r="Q63" s="130"/>
      <c r="R63">
        <v>1</v>
      </c>
      <c r="S63">
        <v>0</v>
      </c>
      <c r="T63">
        <v>0</v>
      </c>
      <c r="U63">
        <v>0</v>
      </c>
      <c r="V63">
        <v>0</v>
      </c>
      <c r="W63">
        <v>1</v>
      </c>
      <c r="X63">
        <v>0</v>
      </c>
      <c r="Y63">
        <v>0</v>
      </c>
      <c r="Z63">
        <v>0</v>
      </c>
      <c r="AB63">
        <f t="shared" si="3"/>
        <v>6</v>
      </c>
      <c r="AC63">
        <v>4</v>
      </c>
      <c r="AE63" s="284"/>
      <c r="AF63" s="284"/>
      <c r="AG63" s="284"/>
      <c r="AH63" s="284"/>
      <c r="AI63" s="284"/>
      <c r="AJ63" s="284"/>
    </row>
    <row r="64" spans="1:36" x14ac:dyDescent="0.3">
      <c r="A64" t="str">
        <f>'SMR (Main)'!A63</f>
        <v xml:space="preserve">Westinghouse LFR </v>
      </c>
      <c r="B64" t="str">
        <f>'SMR (Main)'!E63</f>
        <v>USA</v>
      </c>
      <c r="C64">
        <f t="shared" si="0"/>
        <v>6.6229999999999993</v>
      </c>
      <c r="E64" t="str">
        <v>Italy</v>
      </c>
      <c r="F64" t="s">
        <v>330</v>
      </c>
      <c r="G64">
        <v>0</v>
      </c>
      <c r="H64">
        <v>1</v>
      </c>
      <c r="I64">
        <v>1</v>
      </c>
      <c r="J64">
        <v>0</v>
      </c>
      <c r="K64">
        <v>0</v>
      </c>
      <c r="L64">
        <v>0</v>
      </c>
      <c r="M64">
        <v>1</v>
      </c>
      <c r="N64">
        <v>0</v>
      </c>
      <c r="O64">
        <v>1</v>
      </c>
      <c r="P64">
        <v>1</v>
      </c>
      <c r="Q64">
        <v>1</v>
      </c>
      <c r="R64" s="130"/>
      <c r="S64">
        <v>0</v>
      </c>
      <c r="T64">
        <v>0</v>
      </c>
      <c r="U64">
        <v>0</v>
      </c>
      <c r="V64">
        <v>0</v>
      </c>
      <c r="W64">
        <v>0</v>
      </c>
      <c r="X64">
        <v>0</v>
      </c>
      <c r="Y64">
        <v>0</v>
      </c>
      <c r="Z64">
        <v>0</v>
      </c>
      <c r="AB64">
        <f t="shared" si="3"/>
        <v>6</v>
      </c>
      <c r="AC64">
        <v>4</v>
      </c>
    </row>
    <row r="65" spans="1:29" x14ac:dyDescent="0.3">
      <c r="A65" t="str">
        <f>'SMR (Main)'!A64</f>
        <v>Westinghouse SMR</v>
      </c>
      <c r="B65" t="str">
        <f>'SMR (Main)'!E64</f>
        <v>USA</v>
      </c>
      <c r="C65">
        <f t="shared" si="0"/>
        <v>6.6229999999999993</v>
      </c>
      <c r="E65" t="str">
        <v>Indonesia</v>
      </c>
      <c r="F65" s="46" t="s">
        <v>277</v>
      </c>
      <c r="G65">
        <v>0</v>
      </c>
      <c r="H65">
        <v>0</v>
      </c>
      <c r="I65">
        <v>0</v>
      </c>
      <c r="J65">
        <v>0</v>
      </c>
      <c r="K65">
        <v>0</v>
      </c>
      <c r="L65">
        <v>0</v>
      </c>
      <c r="M65">
        <v>0</v>
      </c>
      <c r="N65">
        <v>0</v>
      </c>
      <c r="O65">
        <v>0</v>
      </c>
      <c r="P65">
        <v>1</v>
      </c>
      <c r="Q65">
        <v>0</v>
      </c>
      <c r="R65">
        <v>0</v>
      </c>
      <c r="S65" s="130"/>
      <c r="T65">
        <v>0</v>
      </c>
      <c r="U65">
        <v>0</v>
      </c>
      <c r="V65">
        <v>0</v>
      </c>
      <c r="W65">
        <v>0</v>
      </c>
      <c r="X65">
        <v>0</v>
      </c>
      <c r="Y65">
        <v>0</v>
      </c>
      <c r="Z65">
        <v>0</v>
      </c>
      <c r="AB65">
        <f t="shared" si="3"/>
        <v>1</v>
      </c>
      <c r="AC65">
        <v>1</v>
      </c>
    </row>
    <row r="66" spans="1:29" x14ac:dyDescent="0.3">
      <c r="E66" t="str">
        <v>UK</v>
      </c>
      <c r="F66" t="s">
        <v>299</v>
      </c>
      <c r="G66">
        <v>0</v>
      </c>
      <c r="H66">
        <v>0</v>
      </c>
      <c r="I66">
        <v>0</v>
      </c>
      <c r="J66">
        <v>0</v>
      </c>
      <c r="K66">
        <v>0</v>
      </c>
      <c r="L66">
        <v>0</v>
      </c>
      <c r="M66">
        <v>0</v>
      </c>
      <c r="N66">
        <v>0</v>
      </c>
      <c r="O66">
        <v>0</v>
      </c>
      <c r="P66">
        <v>1</v>
      </c>
      <c r="Q66">
        <v>0</v>
      </c>
      <c r="R66">
        <v>0</v>
      </c>
      <c r="S66">
        <v>0</v>
      </c>
      <c r="T66" s="130"/>
      <c r="U66">
        <v>0</v>
      </c>
      <c r="V66">
        <v>0</v>
      </c>
      <c r="W66">
        <v>0</v>
      </c>
      <c r="X66">
        <v>0</v>
      </c>
      <c r="Y66">
        <v>0</v>
      </c>
      <c r="Z66">
        <v>0</v>
      </c>
      <c r="AB66">
        <f t="shared" si="3"/>
        <v>1</v>
      </c>
      <c r="AC66">
        <v>1</v>
      </c>
    </row>
    <row r="67" spans="1:29" x14ac:dyDescent="0.3">
      <c r="E67" t="str">
        <v>Sweden</v>
      </c>
      <c r="F67" t="s">
        <v>294</v>
      </c>
      <c r="G67">
        <v>0</v>
      </c>
      <c r="H67">
        <v>0</v>
      </c>
      <c r="I67">
        <v>1</v>
      </c>
      <c r="J67">
        <v>0</v>
      </c>
      <c r="K67">
        <v>1</v>
      </c>
      <c r="L67">
        <v>0</v>
      </c>
      <c r="M67">
        <v>0</v>
      </c>
      <c r="N67">
        <v>1</v>
      </c>
      <c r="O67">
        <v>0</v>
      </c>
      <c r="P67">
        <v>1</v>
      </c>
      <c r="Q67">
        <v>0</v>
      </c>
      <c r="R67">
        <v>0</v>
      </c>
      <c r="S67">
        <v>0</v>
      </c>
      <c r="T67">
        <v>0</v>
      </c>
      <c r="U67" s="130"/>
      <c r="V67">
        <v>0</v>
      </c>
      <c r="W67">
        <v>0</v>
      </c>
      <c r="X67">
        <v>0</v>
      </c>
      <c r="Y67">
        <v>0</v>
      </c>
      <c r="Z67">
        <v>0</v>
      </c>
      <c r="AB67">
        <f t="shared" si="3"/>
        <v>4</v>
      </c>
      <c r="AC67">
        <v>3</v>
      </c>
    </row>
    <row r="68" spans="1:29" x14ac:dyDescent="0.3">
      <c r="E68" t="str">
        <v>Rep. of Korea &amp; Saudi Arabia</v>
      </c>
      <c r="F68" t="s">
        <v>68</v>
      </c>
      <c r="G68">
        <v>1</v>
      </c>
      <c r="H68">
        <v>0</v>
      </c>
      <c r="I68">
        <v>0</v>
      </c>
      <c r="J68">
        <v>0</v>
      </c>
      <c r="K68">
        <v>0</v>
      </c>
      <c r="L68">
        <v>0</v>
      </c>
      <c r="M68">
        <v>0</v>
      </c>
      <c r="N68">
        <v>0</v>
      </c>
      <c r="O68">
        <v>0</v>
      </c>
      <c r="P68">
        <v>1</v>
      </c>
      <c r="Q68">
        <v>0</v>
      </c>
      <c r="R68">
        <v>0</v>
      </c>
      <c r="S68">
        <v>0</v>
      </c>
      <c r="T68">
        <v>0</v>
      </c>
      <c r="U68">
        <v>0</v>
      </c>
      <c r="V68" s="130"/>
      <c r="W68">
        <v>0</v>
      </c>
      <c r="X68">
        <v>0</v>
      </c>
      <c r="Y68">
        <v>0</v>
      </c>
      <c r="Z68">
        <v>0</v>
      </c>
      <c r="AB68">
        <f t="shared" si="3"/>
        <v>2</v>
      </c>
      <c r="AC68">
        <v>2</v>
      </c>
    </row>
    <row r="69" spans="1:29" x14ac:dyDescent="0.3">
      <c r="E69" t="str">
        <v>Switzerland</v>
      </c>
      <c r="F69" t="s">
        <v>186</v>
      </c>
      <c r="G69">
        <v>0</v>
      </c>
      <c r="H69">
        <v>0</v>
      </c>
      <c r="I69">
        <v>0</v>
      </c>
      <c r="J69">
        <v>0</v>
      </c>
      <c r="K69">
        <v>0</v>
      </c>
      <c r="L69">
        <v>0</v>
      </c>
      <c r="M69">
        <v>0</v>
      </c>
      <c r="N69">
        <v>0</v>
      </c>
      <c r="O69">
        <v>0</v>
      </c>
      <c r="P69">
        <v>1</v>
      </c>
      <c r="Q69">
        <v>1</v>
      </c>
      <c r="R69">
        <v>0</v>
      </c>
      <c r="S69">
        <v>0</v>
      </c>
      <c r="T69">
        <v>0</v>
      </c>
      <c r="U69">
        <v>0</v>
      </c>
      <c r="V69">
        <v>0</v>
      </c>
      <c r="W69" s="130"/>
      <c r="X69">
        <v>0</v>
      </c>
      <c r="Y69">
        <v>0</v>
      </c>
      <c r="Z69">
        <v>0</v>
      </c>
      <c r="AB69">
        <f t="shared" si="3"/>
        <v>2</v>
      </c>
      <c r="AC69">
        <v>2</v>
      </c>
    </row>
    <row r="70" spans="1:29" x14ac:dyDescent="0.3">
      <c r="E70" t="str">
        <v>Czech Rep.</v>
      </c>
      <c r="F70" t="s">
        <v>250</v>
      </c>
      <c r="G70">
        <v>0</v>
      </c>
      <c r="H70">
        <v>0</v>
      </c>
      <c r="I70">
        <v>0</v>
      </c>
      <c r="J70">
        <v>0</v>
      </c>
      <c r="K70">
        <v>0</v>
      </c>
      <c r="L70">
        <v>0</v>
      </c>
      <c r="M70">
        <v>0</v>
      </c>
      <c r="N70">
        <v>0</v>
      </c>
      <c r="O70">
        <v>0</v>
      </c>
      <c r="P70">
        <v>1</v>
      </c>
      <c r="Q70">
        <v>0</v>
      </c>
      <c r="R70">
        <v>0</v>
      </c>
      <c r="S70">
        <v>0</v>
      </c>
      <c r="T70">
        <v>0</v>
      </c>
      <c r="U70">
        <v>0</v>
      </c>
      <c r="V70">
        <v>0</v>
      </c>
      <c r="W70">
        <v>0</v>
      </c>
      <c r="X70" s="130"/>
      <c r="Y70">
        <v>0</v>
      </c>
      <c r="Z70">
        <v>0</v>
      </c>
      <c r="AB70">
        <f t="shared" si="3"/>
        <v>1</v>
      </c>
      <c r="AC70">
        <v>1</v>
      </c>
    </row>
    <row r="71" spans="1:29" x14ac:dyDescent="0.3">
      <c r="E71" t="str">
        <v>USA and Indonesia</v>
      </c>
      <c r="F71" t="s">
        <v>108</v>
      </c>
      <c r="G71">
        <v>0</v>
      </c>
      <c r="H71">
        <v>0</v>
      </c>
      <c r="I71">
        <v>0</v>
      </c>
      <c r="J71">
        <v>0</v>
      </c>
      <c r="K71">
        <v>0</v>
      </c>
      <c r="L71">
        <v>0</v>
      </c>
      <c r="M71">
        <v>0</v>
      </c>
      <c r="N71">
        <v>0</v>
      </c>
      <c r="O71">
        <v>0</v>
      </c>
      <c r="P71">
        <v>1</v>
      </c>
      <c r="Q71">
        <v>0</v>
      </c>
      <c r="R71">
        <v>0</v>
      </c>
      <c r="S71">
        <v>0</v>
      </c>
      <c r="T71">
        <v>0</v>
      </c>
      <c r="U71">
        <v>0</v>
      </c>
      <c r="V71">
        <v>0</v>
      </c>
      <c r="W71">
        <v>0</v>
      </c>
      <c r="X71">
        <v>0</v>
      </c>
      <c r="Y71" s="130"/>
      <c r="Z71">
        <v>0</v>
      </c>
      <c r="AB71">
        <f t="shared" si="3"/>
        <v>1</v>
      </c>
      <c r="AC71">
        <v>1</v>
      </c>
    </row>
    <row r="72" spans="1:29" x14ac:dyDescent="0.3">
      <c r="E72" t="str">
        <v>Netherlands</v>
      </c>
      <c r="F72" t="s">
        <v>229</v>
      </c>
      <c r="G72">
        <v>0</v>
      </c>
      <c r="H72">
        <v>0</v>
      </c>
      <c r="I72">
        <v>1</v>
      </c>
      <c r="J72">
        <v>1</v>
      </c>
      <c r="K72">
        <v>0</v>
      </c>
      <c r="L72">
        <v>0</v>
      </c>
      <c r="M72">
        <v>0</v>
      </c>
      <c r="N72">
        <v>1</v>
      </c>
      <c r="O72">
        <v>0</v>
      </c>
      <c r="P72">
        <v>1</v>
      </c>
      <c r="Q72">
        <v>0</v>
      </c>
      <c r="R72">
        <v>0</v>
      </c>
      <c r="S72">
        <v>0</v>
      </c>
      <c r="T72">
        <v>0</v>
      </c>
      <c r="U72">
        <v>0</v>
      </c>
      <c r="V72">
        <v>0</v>
      </c>
      <c r="W72">
        <v>0</v>
      </c>
      <c r="X72">
        <v>0</v>
      </c>
      <c r="Y72">
        <v>0</v>
      </c>
      <c r="Z72" s="130"/>
      <c r="AB72">
        <f t="shared" si="3"/>
        <v>4</v>
      </c>
      <c r="AC72">
        <v>3</v>
      </c>
    </row>
    <row r="73" spans="1:29" x14ac:dyDescent="0.3">
      <c r="E73">
        <v>0</v>
      </c>
    </row>
    <row r="74" spans="1:29" x14ac:dyDescent="0.3">
      <c r="AA74" t="s">
        <v>333</v>
      </c>
      <c r="AB74">
        <f>MAX(AB53:AB72)</f>
        <v>19</v>
      </c>
    </row>
    <row r="95" spans="6:7" x14ac:dyDescent="0.3">
      <c r="F95" s="145" t="s">
        <v>56</v>
      </c>
      <c r="G95" t="s">
        <v>60</v>
      </c>
    </row>
    <row r="96" spans="6:7" x14ac:dyDescent="0.3">
      <c r="F96" s="145" t="s">
        <v>100</v>
      </c>
      <c r="G96" t="s">
        <v>102</v>
      </c>
    </row>
    <row r="97" spans="6:7" x14ac:dyDescent="0.3">
      <c r="F97" s="145" t="s">
        <v>256</v>
      </c>
      <c r="G97" t="s">
        <v>124</v>
      </c>
    </row>
    <row r="98" spans="6:7" x14ac:dyDescent="0.3">
      <c r="F98" s="145" t="s">
        <v>305</v>
      </c>
      <c r="G98" t="s">
        <v>124</v>
      </c>
    </row>
    <row r="99" spans="6:7" x14ac:dyDescent="0.3">
      <c r="F99" s="145" t="s">
        <v>231</v>
      </c>
      <c r="G99" t="s">
        <v>79</v>
      </c>
    </row>
    <row r="100" spans="6:7" x14ac:dyDescent="0.3">
      <c r="F100" s="145" t="s">
        <v>143</v>
      </c>
      <c r="G100" t="s">
        <v>60</v>
      </c>
    </row>
    <row r="101" spans="6:7" x14ac:dyDescent="0.3">
      <c r="F101" s="145" t="s">
        <v>83</v>
      </c>
      <c r="G101" t="s">
        <v>334</v>
      </c>
    </row>
    <row r="102" spans="6:7" x14ac:dyDescent="0.3">
      <c r="F102" s="145" t="s">
        <v>236</v>
      </c>
      <c r="G102" t="s">
        <v>238</v>
      </c>
    </row>
    <row r="103" spans="6:7" x14ac:dyDescent="0.3">
      <c r="F103" s="145" t="s">
        <v>302</v>
      </c>
      <c r="G103" t="s">
        <v>79</v>
      </c>
    </row>
    <row r="104" spans="6:7" x14ac:dyDescent="0.3">
      <c r="F104" s="145" t="s">
        <v>252</v>
      </c>
      <c r="G104" s="46" t="s">
        <v>254</v>
      </c>
    </row>
    <row r="105" spans="6:7" x14ac:dyDescent="0.3">
      <c r="F105" s="145" t="s">
        <v>221</v>
      </c>
      <c r="G105" t="s">
        <v>124</v>
      </c>
    </row>
    <row r="106" spans="6:7" x14ac:dyDescent="0.3">
      <c r="F106" s="145" t="s">
        <v>313</v>
      </c>
      <c r="G106" t="s">
        <v>124</v>
      </c>
    </row>
    <row r="107" spans="6:7" x14ac:dyDescent="0.3">
      <c r="F107" s="145" t="s">
        <v>158</v>
      </c>
      <c r="G107" t="s">
        <v>51</v>
      </c>
    </row>
    <row r="108" spans="6:7" x14ac:dyDescent="0.3">
      <c r="F108" s="145" t="s">
        <v>287</v>
      </c>
      <c r="G108" s="46" t="s">
        <v>290</v>
      </c>
    </row>
    <row r="109" spans="6:7" x14ac:dyDescent="0.3">
      <c r="F109" s="145" t="s">
        <v>240</v>
      </c>
      <c r="G109" t="s">
        <v>79</v>
      </c>
    </row>
    <row r="110" spans="6:7" x14ac:dyDescent="0.3">
      <c r="F110" s="145" t="s">
        <v>177</v>
      </c>
      <c r="G110" t="s">
        <v>79</v>
      </c>
    </row>
    <row r="111" spans="6:7" x14ac:dyDescent="0.3">
      <c r="F111" s="145" t="s">
        <v>218</v>
      </c>
      <c r="G111" t="s">
        <v>172</v>
      </c>
    </row>
    <row r="112" spans="6:7" x14ac:dyDescent="0.3">
      <c r="F112" s="145" t="s">
        <v>89</v>
      </c>
      <c r="G112" t="s">
        <v>74</v>
      </c>
    </row>
    <row r="113" spans="6:7" x14ac:dyDescent="0.3">
      <c r="F113" s="145" t="s">
        <v>213</v>
      </c>
      <c r="G113" t="s">
        <v>124</v>
      </c>
    </row>
    <row r="114" spans="6:7" x14ac:dyDescent="0.3">
      <c r="F114" s="145" t="s">
        <v>166</v>
      </c>
      <c r="G114" t="s">
        <v>330</v>
      </c>
    </row>
    <row r="115" spans="6:7" x14ac:dyDescent="0.3">
      <c r="F115" s="145" t="s">
        <v>174</v>
      </c>
      <c r="G115" t="s">
        <v>79</v>
      </c>
    </row>
    <row r="116" spans="6:7" x14ac:dyDescent="0.3">
      <c r="F116" s="145" t="s">
        <v>117</v>
      </c>
      <c r="G116" t="s">
        <v>60</v>
      </c>
    </row>
    <row r="117" spans="6:7" x14ac:dyDescent="0.3">
      <c r="F117" s="145" t="s">
        <v>215</v>
      </c>
      <c r="G117" t="s">
        <v>60</v>
      </c>
    </row>
    <row r="118" spans="6:7" x14ac:dyDescent="0.3">
      <c r="F118" s="145" t="s">
        <v>95</v>
      </c>
      <c r="G118" t="s">
        <v>60</v>
      </c>
    </row>
    <row r="119" spans="6:7" x14ac:dyDescent="0.3">
      <c r="F119" s="145" t="s">
        <v>274</v>
      </c>
      <c r="G119" t="s">
        <v>277</v>
      </c>
    </row>
    <row r="120" spans="6:7" x14ac:dyDescent="0.3">
      <c r="F120" s="145" t="s">
        <v>279</v>
      </c>
      <c r="G120" t="s">
        <v>74</v>
      </c>
    </row>
    <row r="121" spans="6:7" x14ac:dyDescent="0.3">
      <c r="F121" s="145" t="s">
        <v>153</v>
      </c>
      <c r="G121" t="s">
        <v>60</v>
      </c>
    </row>
    <row r="122" spans="6:7" x14ac:dyDescent="0.3">
      <c r="F122" s="145" t="s">
        <v>191</v>
      </c>
      <c r="G122" t="s">
        <v>124</v>
      </c>
    </row>
    <row r="123" spans="6:7" x14ac:dyDescent="0.3">
      <c r="F123" s="145" t="s">
        <v>297</v>
      </c>
      <c r="G123" t="s">
        <v>299</v>
      </c>
    </row>
    <row r="124" spans="6:7" x14ac:dyDescent="0.3">
      <c r="F124" s="145" t="s">
        <v>170</v>
      </c>
      <c r="G124" t="s">
        <v>172</v>
      </c>
    </row>
    <row r="125" spans="6:7" x14ac:dyDescent="0.3">
      <c r="F125" s="145" t="s">
        <v>135</v>
      </c>
      <c r="G125" t="s">
        <v>51</v>
      </c>
    </row>
    <row r="126" spans="6:7" x14ac:dyDescent="0.3">
      <c r="F126" s="145" t="s">
        <v>200</v>
      </c>
      <c r="G126" t="s">
        <v>79</v>
      </c>
    </row>
    <row r="127" spans="6:7" x14ac:dyDescent="0.3">
      <c r="F127" s="145" t="s">
        <v>243</v>
      </c>
      <c r="G127" t="s">
        <v>124</v>
      </c>
    </row>
    <row r="128" spans="6:7" x14ac:dyDescent="0.3">
      <c r="F128" s="145" t="s">
        <v>139</v>
      </c>
      <c r="G128" t="s">
        <v>79</v>
      </c>
    </row>
    <row r="129" spans="6:7" x14ac:dyDescent="0.3">
      <c r="F129" s="145" t="s">
        <v>292</v>
      </c>
      <c r="G129" t="s">
        <v>335</v>
      </c>
    </row>
    <row r="130" spans="6:7" x14ac:dyDescent="0.3">
      <c r="F130" s="145" t="s">
        <v>121</v>
      </c>
      <c r="G130" t="s">
        <v>124</v>
      </c>
    </row>
    <row r="131" spans="6:7" x14ac:dyDescent="0.3">
      <c r="F131" s="145" t="s">
        <v>130</v>
      </c>
      <c r="G131" t="s">
        <v>51</v>
      </c>
    </row>
    <row r="132" spans="6:7" x14ac:dyDescent="0.3">
      <c r="F132" s="145" t="s">
        <v>161</v>
      </c>
      <c r="G132" t="s">
        <v>74</v>
      </c>
    </row>
    <row r="133" spans="6:7" x14ac:dyDescent="0.3">
      <c r="F133" s="145" t="s">
        <v>224</v>
      </c>
      <c r="G133" t="s">
        <v>68</v>
      </c>
    </row>
    <row r="134" spans="6:7" x14ac:dyDescent="0.3">
      <c r="F134" s="145" t="s">
        <v>259</v>
      </c>
    </row>
    <row r="135" spans="6:7" x14ac:dyDescent="0.3">
      <c r="F135" s="145" t="s">
        <v>208</v>
      </c>
    </row>
    <row r="136" spans="6:7" x14ac:dyDescent="0.3">
      <c r="F136" s="145" t="s">
        <v>196</v>
      </c>
    </row>
    <row r="137" spans="6:7" x14ac:dyDescent="0.3">
      <c r="F137" s="145" t="s">
        <v>309</v>
      </c>
    </row>
    <row r="138" spans="6:7" x14ac:dyDescent="0.3">
      <c r="F138" s="145" t="s">
        <v>72</v>
      </c>
    </row>
    <row r="139" spans="6:7" x14ac:dyDescent="0.3">
      <c r="F139" s="145" t="s">
        <v>47</v>
      </c>
    </row>
    <row r="140" spans="6:7" x14ac:dyDescent="0.3">
      <c r="F140" s="145" t="s">
        <v>203</v>
      </c>
    </row>
    <row r="141" spans="6:7" x14ac:dyDescent="0.3">
      <c r="F141" s="145" t="s">
        <v>77</v>
      </c>
    </row>
    <row r="142" spans="6:7" x14ac:dyDescent="0.3">
      <c r="F142" s="145" t="s">
        <v>184</v>
      </c>
      <c r="G142" t="s">
        <v>186</v>
      </c>
    </row>
    <row r="143" spans="6:7" x14ac:dyDescent="0.3">
      <c r="F143" s="145" t="s">
        <v>283</v>
      </c>
    </row>
    <row r="144" spans="6:7" x14ac:dyDescent="0.3">
      <c r="F144" s="145" t="s">
        <v>247</v>
      </c>
      <c r="G144" t="s">
        <v>250</v>
      </c>
    </row>
    <row r="145" spans="6:7" x14ac:dyDescent="0.3">
      <c r="F145" s="145" t="s">
        <v>336</v>
      </c>
    </row>
    <row r="146" spans="6:7" x14ac:dyDescent="0.3">
      <c r="F146" s="145" t="s">
        <v>64</v>
      </c>
    </row>
    <row r="147" spans="6:7" x14ac:dyDescent="0.3">
      <c r="F147" s="145" t="s">
        <v>146</v>
      </c>
    </row>
    <row r="148" spans="6:7" x14ac:dyDescent="0.3">
      <c r="F148" s="145" t="s">
        <v>127</v>
      </c>
    </row>
    <row r="149" spans="6:7" x14ac:dyDescent="0.3">
      <c r="F149" s="145" t="s">
        <v>269</v>
      </c>
    </row>
    <row r="150" spans="6:7" x14ac:dyDescent="0.3">
      <c r="F150" s="145" t="s">
        <v>188</v>
      </c>
    </row>
    <row r="151" spans="6:7" x14ac:dyDescent="0.3">
      <c r="F151" s="145" t="s">
        <v>112</v>
      </c>
      <c r="G151" t="s">
        <v>108</v>
      </c>
    </row>
    <row r="152" spans="6:7" x14ac:dyDescent="0.3">
      <c r="F152" s="145" t="s">
        <v>227</v>
      </c>
    </row>
    <row r="153" spans="6:7" x14ac:dyDescent="0.3">
      <c r="F153" s="145" t="s">
        <v>263</v>
      </c>
    </row>
    <row r="154" spans="6:7" x14ac:dyDescent="0.3">
      <c r="F154" s="145" t="s">
        <v>179</v>
      </c>
    </row>
    <row r="155" spans="6:7" x14ac:dyDescent="0.3">
      <c r="F155" s="145" t="s">
        <v>104</v>
      </c>
      <c r="G155" t="s">
        <v>108</v>
      </c>
    </row>
    <row r="156" spans="6:7" x14ac:dyDescent="0.3">
      <c r="F156" s="145" t="s">
        <v>155</v>
      </c>
    </row>
    <row r="157" spans="6:7" x14ac:dyDescent="0.3">
      <c r="F157" s="145" t="s">
        <v>149</v>
      </c>
    </row>
  </sheetData>
  <mergeCells count="108">
    <mergeCell ref="I5:J5"/>
    <mergeCell ref="K5:K6"/>
    <mergeCell ref="L2:O6"/>
    <mergeCell ref="L7:O7"/>
    <mergeCell ref="L26:O26"/>
    <mergeCell ref="AE53:AJ63"/>
    <mergeCell ref="P2:R6"/>
    <mergeCell ref="P7:R7"/>
    <mergeCell ref="P8:R8"/>
    <mergeCell ref="P9:R9"/>
    <mergeCell ref="P10:R10"/>
    <mergeCell ref="P11:R11"/>
    <mergeCell ref="L20:O20"/>
    <mergeCell ref="L21:O21"/>
    <mergeCell ref="L22:O22"/>
    <mergeCell ref="L23:O23"/>
    <mergeCell ref="L24:O24"/>
    <mergeCell ref="L25:O25"/>
    <mergeCell ref="L14:O14"/>
    <mergeCell ref="L15:O15"/>
    <mergeCell ref="L16:O16"/>
    <mergeCell ref="L17:O17"/>
    <mergeCell ref="L18:O18"/>
    <mergeCell ref="L19:O19"/>
    <mergeCell ref="L8:O8"/>
    <mergeCell ref="L9:O9"/>
    <mergeCell ref="L10:O10"/>
    <mergeCell ref="L11:O11"/>
    <mergeCell ref="P24:R24"/>
    <mergeCell ref="P25:R25"/>
    <mergeCell ref="P26:R26"/>
    <mergeCell ref="P20:R20"/>
    <mergeCell ref="P21:R21"/>
    <mergeCell ref="P22:R22"/>
    <mergeCell ref="P23:R23"/>
    <mergeCell ref="L12:O12"/>
    <mergeCell ref="L13:O13"/>
    <mergeCell ref="S2:U6"/>
    <mergeCell ref="S7:U7"/>
    <mergeCell ref="S8:U8"/>
    <mergeCell ref="S9:U9"/>
    <mergeCell ref="S10:U10"/>
    <mergeCell ref="S11:U11"/>
    <mergeCell ref="S12:U12"/>
    <mergeCell ref="P18:R18"/>
    <mergeCell ref="P19:R19"/>
    <mergeCell ref="P12:R12"/>
    <mergeCell ref="P13:R13"/>
    <mergeCell ref="P14:R14"/>
    <mergeCell ref="P15:R15"/>
    <mergeCell ref="P16:R16"/>
    <mergeCell ref="P17:R17"/>
    <mergeCell ref="S25:U25"/>
    <mergeCell ref="S26:U26"/>
    <mergeCell ref="V2:X6"/>
    <mergeCell ref="V7:X7"/>
    <mergeCell ref="V8:X8"/>
    <mergeCell ref="V9:X9"/>
    <mergeCell ref="V10:X10"/>
    <mergeCell ref="V11:X11"/>
    <mergeCell ref="V12:X12"/>
    <mergeCell ref="V13:X13"/>
    <mergeCell ref="S19:U19"/>
    <mergeCell ref="S20:U20"/>
    <mergeCell ref="S21:U21"/>
    <mergeCell ref="S22:U22"/>
    <mergeCell ref="S23:U23"/>
    <mergeCell ref="S24:U24"/>
    <mergeCell ref="S13:U13"/>
    <mergeCell ref="S14:U14"/>
    <mergeCell ref="S15:U15"/>
    <mergeCell ref="S16:U16"/>
    <mergeCell ref="S17:U17"/>
    <mergeCell ref="S18:U18"/>
    <mergeCell ref="V26:X26"/>
    <mergeCell ref="V20:X20"/>
    <mergeCell ref="Y2:AA6"/>
    <mergeCell ref="Y7:AA7"/>
    <mergeCell ref="Y8:AA8"/>
    <mergeCell ref="Y9:AA9"/>
    <mergeCell ref="Y10:AA10"/>
    <mergeCell ref="Y11:AA11"/>
    <mergeCell ref="Y12:AA12"/>
    <mergeCell ref="Y13:AA13"/>
    <mergeCell ref="Y14:AA14"/>
    <mergeCell ref="V21:X21"/>
    <mergeCell ref="V22:X22"/>
    <mergeCell ref="V23:X23"/>
    <mergeCell ref="V24:X24"/>
    <mergeCell ref="V25:X25"/>
    <mergeCell ref="V14:X14"/>
    <mergeCell ref="V15:X15"/>
    <mergeCell ref="V16:X16"/>
    <mergeCell ref="V17:X17"/>
    <mergeCell ref="V18:X18"/>
    <mergeCell ref="V19:X19"/>
    <mergeCell ref="Y21:AA21"/>
    <mergeCell ref="Y22:AA22"/>
    <mergeCell ref="Y23:AA23"/>
    <mergeCell ref="Y24:AA24"/>
    <mergeCell ref="Y25:AA25"/>
    <mergeCell ref="Y26:AA26"/>
    <mergeCell ref="Y15:AA15"/>
    <mergeCell ref="Y16:AA16"/>
    <mergeCell ref="Y17:AA17"/>
    <mergeCell ref="Y18:AA18"/>
    <mergeCell ref="Y19:AA19"/>
    <mergeCell ref="Y20:AA20"/>
  </mergeCells>
  <dataValidations disablePrompts="1" count="1">
    <dataValidation type="list" allowBlank="1" showInputMessage="1" showErrorMessage="1" sqref="E2" xr:uid="{979623D1-CAC3-4806-8327-729988CAFCB4}">
      <formula1>$F$7:$F$26</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E11AB-4B00-409C-8518-93060204C4A1}">
  <dimension ref="A1:Z70"/>
  <sheetViews>
    <sheetView topLeftCell="A38" workbookViewId="0">
      <selection activeCell="I47" sqref="I47"/>
    </sheetView>
  </sheetViews>
  <sheetFormatPr baseColWidth="10" defaultColWidth="8.88671875" defaultRowHeight="14.4" x14ac:dyDescent="0.3"/>
  <cols>
    <col min="1" max="1" width="32.44140625" bestFit="1" customWidth="1"/>
    <col min="2" max="2" width="12.33203125" customWidth="1"/>
  </cols>
  <sheetData>
    <row r="1" spans="1:26" x14ac:dyDescent="0.3">
      <c r="A1" s="43" t="s">
        <v>7</v>
      </c>
      <c r="B1" s="44" t="s">
        <v>23</v>
      </c>
      <c r="C1" s="43"/>
      <c r="D1" s="44"/>
      <c r="E1" s="43"/>
      <c r="F1" s="44" t="s">
        <v>337</v>
      </c>
    </row>
    <row r="2" spans="1:26" x14ac:dyDescent="0.3">
      <c r="A2" s="45" t="s">
        <v>39</v>
      </c>
      <c r="B2" s="45" t="s">
        <v>45</v>
      </c>
      <c r="C2" s="45"/>
      <c r="D2" s="45"/>
      <c r="E2" s="45"/>
      <c r="F2" s="45" t="s">
        <v>46</v>
      </c>
    </row>
    <row r="3" spans="1:26" x14ac:dyDescent="0.3">
      <c r="A3" s="46" t="s">
        <v>56</v>
      </c>
      <c r="B3" s="46">
        <v>60</v>
      </c>
      <c r="F3">
        <f>10*B3/$B$69</f>
        <v>7.5</v>
      </c>
    </row>
    <row r="4" spans="1:26" x14ac:dyDescent="0.3">
      <c r="A4" s="46" t="s">
        <v>100</v>
      </c>
      <c r="B4" s="46">
        <v>40</v>
      </c>
      <c r="F4">
        <f>10*B4/$B$69</f>
        <v>5</v>
      </c>
    </row>
    <row r="5" spans="1:26" x14ac:dyDescent="0.3">
      <c r="A5" s="46" t="s">
        <v>256</v>
      </c>
      <c r="B5" s="46">
        <v>80</v>
      </c>
      <c r="F5">
        <f t="shared" ref="F5:F66" si="0">10*B5/$B$69</f>
        <v>10</v>
      </c>
      <c r="L5" s="285" t="s">
        <v>338</v>
      </c>
      <c r="M5" s="286"/>
      <c r="N5" s="286"/>
      <c r="O5" s="286"/>
      <c r="P5" s="286"/>
      <c r="Q5" s="286"/>
      <c r="R5" s="286"/>
      <c r="S5" s="286"/>
      <c r="T5" s="286"/>
      <c r="U5" s="286"/>
      <c r="V5" s="286"/>
      <c r="W5" s="286"/>
      <c r="X5" s="286"/>
      <c r="Y5" s="286"/>
      <c r="Z5" s="286"/>
    </row>
    <row r="6" spans="1:26" x14ac:dyDescent="0.3">
      <c r="A6" s="46" t="s">
        <v>305</v>
      </c>
      <c r="B6" s="46">
        <v>60</v>
      </c>
      <c r="F6">
        <f t="shared" si="0"/>
        <v>7.5</v>
      </c>
      <c r="L6" s="286"/>
      <c r="M6" s="286"/>
      <c r="N6" s="286"/>
      <c r="O6" s="286"/>
      <c r="P6" s="286"/>
      <c r="Q6" s="286"/>
      <c r="R6" s="286"/>
      <c r="S6" s="286"/>
      <c r="T6" s="286"/>
      <c r="U6" s="286"/>
      <c r="V6" s="286"/>
      <c r="W6" s="286"/>
      <c r="X6" s="286"/>
      <c r="Y6" s="286"/>
      <c r="Z6" s="286"/>
    </row>
    <row r="7" spans="1:26" x14ac:dyDescent="0.3">
      <c r="A7" s="46" t="s">
        <v>231</v>
      </c>
      <c r="B7" s="46">
        <v>60</v>
      </c>
      <c r="F7">
        <f t="shared" si="0"/>
        <v>7.5</v>
      </c>
      <c r="L7" s="286"/>
      <c r="M7" s="286"/>
      <c r="N7" s="286"/>
      <c r="O7" s="286"/>
      <c r="P7" s="286"/>
      <c r="Q7" s="286"/>
      <c r="R7" s="286"/>
      <c r="S7" s="286"/>
      <c r="T7" s="286"/>
      <c r="U7" s="286"/>
      <c r="V7" s="286"/>
      <c r="W7" s="286"/>
      <c r="X7" s="286"/>
      <c r="Y7" s="286"/>
      <c r="Z7" s="286"/>
    </row>
    <row r="8" spans="1:26" x14ac:dyDescent="0.3">
      <c r="A8" s="46" t="s">
        <v>143</v>
      </c>
      <c r="B8" s="46">
        <v>60</v>
      </c>
      <c r="F8">
        <f t="shared" si="0"/>
        <v>7.5</v>
      </c>
      <c r="L8" s="286"/>
      <c r="M8" s="286"/>
      <c r="N8" s="286"/>
      <c r="O8" s="286"/>
      <c r="P8" s="286"/>
      <c r="Q8" s="286"/>
      <c r="R8" s="286"/>
      <c r="S8" s="286"/>
      <c r="T8" s="286"/>
      <c r="U8" s="286"/>
      <c r="V8" s="286"/>
      <c r="W8" s="286"/>
      <c r="X8" s="286"/>
      <c r="Y8" s="286"/>
      <c r="Z8" s="286"/>
    </row>
    <row r="9" spans="1:26" x14ac:dyDescent="0.3">
      <c r="A9" s="46" t="s">
        <v>83</v>
      </c>
      <c r="B9" s="46">
        <v>60</v>
      </c>
      <c r="F9">
        <f t="shared" si="0"/>
        <v>7.5</v>
      </c>
      <c r="L9" s="286"/>
      <c r="M9" s="286"/>
      <c r="N9" s="286"/>
      <c r="O9" s="286"/>
      <c r="P9" s="286"/>
      <c r="Q9" s="286"/>
      <c r="R9" s="286"/>
      <c r="S9" s="286"/>
      <c r="T9" s="286"/>
      <c r="U9" s="286"/>
      <c r="V9" s="286"/>
      <c r="W9" s="286"/>
      <c r="X9" s="286"/>
      <c r="Y9" s="286"/>
      <c r="Z9" s="286"/>
    </row>
    <row r="10" spans="1:26" x14ac:dyDescent="0.3">
      <c r="A10" s="46" t="s">
        <v>236</v>
      </c>
      <c r="B10" s="46">
        <v>60</v>
      </c>
      <c r="F10">
        <f t="shared" si="0"/>
        <v>7.5</v>
      </c>
      <c r="L10" s="286"/>
      <c r="M10" s="286"/>
      <c r="N10" s="286"/>
      <c r="O10" s="286"/>
      <c r="P10" s="286"/>
      <c r="Q10" s="286"/>
      <c r="R10" s="286"/>
      <c r="S10" s="286"/>
      <c r="T10" s="286"/>
      <c r="U10" s="286"/>
      <c r="V10" s="286"/>
      <c r="W10" s="286"/>
      <c r="X10" s="286"/>
      <c r="Y10" s="286"/>
      <c r="Z10" s="286"/>
    </row>
    <row r="11" spans="1:26" x14ac:dyDescent="0.3">
      <c r="A11" s="46" t="s">
        <v>302</v>
      </c>
      <c r="B11" s="46">
        <v>60</v>
      </c>
      <c r="F11">
        <f t="shared" si="0"/>
        <v>7.5</v>
      </c>
      <c r="L11" s="286"/>
      <c r="M11" s="286"/>
      <c r="N11" s="286"/>
      <c r="O11" s="286"/>
      <c r="P11" s="286"/>
      <c r="Q11" s="286"/>
      <c r="R11" s="286"/>
      <c r="S11" s="286"/>
      <c r="T11" s="286"/>
      <c r="U11" s="286"/>
      <c r="V11" s="286"/>
      <c r="W11" s="286"/>
      <c r="X11" s="286"/>
      <c r="Y11" s="286"/>
      <c r="Z11" s="286"/>
    </row>
    <row r="12" spans="1:26" x14ac:dyDescent="0.3">
      <c r="A12" s="46" t="s">
        <v>252</v>
      </c>
      <c r="B12" s="46">
        <v>60</v>
      </c>
      <c r="F12">
        <f t="shared" si="0"/>
        <v>7.5</v>
      </c>
      <c r="L12" s="286"/>
      <c r="M12" s="286"/>
      <c r="N12" s="286"/>
      <c r="O12" s="286"/>
      <c r="P12" s="286"/>
      <c r="Q12" s="286"/>
      <c r="R12" s="286"/>
      <c r="S12" s="286"/>
      <c r="T12" s="286"/>
      <c r="U12" s="286"/>
      <c r="V12" s="286"/>
      <c r="W12" s="286"/>
      <c r="X12" s="286"/>
      <c r="Y12" s="286"/>
      <c r="Z12" s="286"/>
    </row>
    <row r="13" spans="1:26" x14ac:dyDescent="0.3">
      <c r="A13" s="46" t="s">
        <v>221</v>
      </c>
      <c r="B13" s="46">
        <v>40</v>
      </c>
      <c r="F13">
        <f t="shared" si="0"/>
        <v>5</v>
      </c>
      <c r="L13" s="286"/>
      <c r="M13" s="286"/>
      <c r="N13" s="286"/>
      <c r="O13" s="286"/>
      <c r="P13" s="286"/>
      <c r="Q13" s="286"/>
      <c r="R13" s="286"/>
      <c r="S13" s="286"/>
      <c r="T13" s="286"/>
      <c r="U13" s="286"/>
      <c r="V13" s="286"/>
      <c r="W13" s="286"/>
      <c r="X13" s="286"/>
      <c r="Y13" s="286"/>
      <c r="Z13" s="286"/>
    </row>
    <row r="14" spans="1:26" x14ac:dyDescent="0.3">
      <c r="A14" s="46" t="s">
        <v>313</v>
      </c>
      <c r="B14" s="46">
        <v>60</v>
      </c>
      <c r="F14">
        <f t="shared" si="0"/>
        <v>7.5</v>
      </c>
      <c r="L14" s="286"/>
      <c r="M14" s="286"/>
      <c r="N14" s="286"/>
      <c r="O14" s="286"/>
      <c r="P14" s="286"/>
      <c r="Q14" s="286"/>
      <c r="R14" s="286"/>
      <c r="S14" s="286"/>
      <c r="T14" s="286"/>
      <c r="U14" s="286"/>
      <c r="V14" s="286"/>
      <c r="W14" s="286"/>
      <c r="X14" s="286"/>
      <c r="Y14" s="286"/>
      <c r="Z14" s="286"/>
    </row>
    <row r="15" spans="1:26" x14ac:dyDescent="0.3">
      <c r="A15" s="46" t="s">
        <v>158</v>
      </c>
      <c r="B15" s="46">
        <v>60</v>
      </c>
      <c r="F15">
        <f t="shared" si="0"/>
        <v>7.5</v>
      </c>
      <c r="L15" s="286"/>
      <c r="M15" s="286"/>
      <c r="N15" s="286"/>
      <c r="O15" s="286"/>
      <c r="P15" s="286"/>
      <c r="Q15" s="286"/>
      <c r="R15" s="286"/>
      <c r="S15" s="286"/>
      <c r="T15" s="286"/>
      <c r="U15" s="286"/>
      <c r="V15" s="286"/>
      <c r="W15" s="286"/>
      <c r="X15" s="286"/>
      <c r="Y15" s="286"/>
      <c r="Z15" s="286"/>
    </row>
    <row r="16" spans="1:26" x14ac:dyDescent="0.3">
      <c r="A16" s="46" t="s">
        <v>287</v>
      </c>
      <c r="B16" s="46">
        <v>60</v>
      </c>
      <c r="F16">
        <f t="shared" si="0"/>
        <v>7.5</v>
      </c>
      <c r="L16" s="286"/>
      <c r="M16" s="286"/>
      <c r="N16" s="286"/>
      <c r="O16" s="286"/>
      <c r="P16" s="286"/>
      <c r="Q16" s="286"/>
      <c r="R16" s="286"/>
      <c r="S16" s="286"/>
      <c r="T16" s="286"/>
      <c r="U16" s="286"/>
      <c r="V16" s="286"/>
      <c r="W16" s="286"/>
      <c r="X16" s="286"/>
      <c r="Y16" s="286"/>
      <c r="Z16" s="286"/>
    </row>
    <row r="17" spans="1:26" x14ac:dyDescent="0.3">
      <c r="A17" s="46" t="s">
        <v>240</v>
      </c>
      <c r="B17" s="46">
        <v>60</v>
      </c>
      <c r="F17">
        <f t="shared" si="0"/>
        <v>7.5</v>
      </c>
      <c r="L17" s="286"/>
      <c r="M17" s="286"/>
      <c r="N17" s="286"/>
      <c r="O17" s="286"/>
      <c r="P17" s="286"/>
      <c r="Q17" s="286"/>
      <c r="R17" s="286"/>
      <c r="S17" s="286"/>
      <c r="T17" s="286"/>
      <c r="U17" s="286"/>
      <c r="V17" s="286"/>
      <c r="W17" s="286"/>
      <c r="X17" s="286"/>
      <c r="Y17" s="286"/>
      <c r="Z17" s="286"/>
    </row>
    <row r="18" spans="1:26" x14ac:dyDescent="0.3">
      <c r="A18" s="46" t="s">
        <v>177</v>
      </c>
      <c r="B18" s="46">
        <v>80</v>
      </c>
      <c r="F18">
        <f t="shared" si="0"/>
        <v>10</v>
      </c>
      <c r="L18" s="286"/>
      <c r="M18" s="286"/>
      <c r="N18" s="286"/>
      <c r="O18" s="286"/>
      <c r="P18" s="286"/>
      <c r="Q18" s="286"/>
      <c r="R18" s="286"/>
      <c r="S18" s="286"/>
      <c r="T18" s="286"/>
      <c r="U18" s="286"/>
      <c r="V18" s="286"/>
      <c r="W18" s="286"/>
      <c r="X18" s="286"/>
      <c r="Y18" s="286"/>
      <c r="Z18" s="286"/>
    </row>
    <row r="19" spans="1:26" x14ac:dyDescent="0.3">
      <c r="A19" s="46" t="s">
        <v>218</v>
      </c>
      <c r="B19" s="46">
        <v>60</v>
      </c>
      <c r="F19">
        <f t="shared" si="0"/>
        <v>7.5</v>
      </c>
      <c r="L19" s="286"/>
      <c r="M19" s="286"/>
      <c r="N19" s="286"/>
      <c r="O19" s="286"/>
      <c r="P19" s="286"/>
      <c r="Q19" s="286"/>
      <c r="R19" s="286"/>
      <c r="S19" s="286"/>
      <c r="T19" s="286"/>
      <c r="U19" s="286"/>
      <c r="V19" s="286"/>
      <c r="W19" s="286"/>
      <c r="X19" s="286"/>
      <c r="Y19" s="286"/>
      <c r="Z19" s="286"/>
    </row>
    <row r="20" spans="1:26" x14ac:dyDescent="0.3">
      <c r="A20" s="46" t="s">
        <v>89</v>
      </c>
      <c r="B20" s="46">
        <v>70</v>
      </c>
      <c r="F20">
        <f t="shared" si="0"/>
        <v>8.75</v>
      </c>
      <c r="L20" s="286"/>
      <c r="M20" s="286"/>
      <c r="N20" s="286"/>
      <c r="O20" s="286"/>
      <c r="P20" s="286"/>
      <c r="Q20" s="286"/>
      <c r="R20" s="286"/>
      <c r="S20" s="286"/>
      <c r="T20" s="286"/>
      <c r="U20" s="286"/>
      <c r="V20" s="286"/>
      <c r="W20" s="286"/>
      <c r="X20" s="286"/>
      <c r="Y20" s="286"/>
      <c r="Z20" s="286"/>
    </row>
    <row r="21" spans="1:26" x14ac:dyDescent="0.3">
      <c r="A21" s="46" t="s">
        <v>213</v>
      </c>
      <c r="B21" s="46">
        <v>60</v>
      </c>
      <c r="F21">
        <f t="shared" si="0"/>
        <v>7.5</v>
      </c>
      <c r="L21" s="286"/>
      <c r="M21" s="286"/>
      <c r="N21" s="286"/>
      <c r="O21" s="286"/>
      <c r="P21" s="286"/>
      <c r="Q21" s="286"/>
      <c r="R21" s="286"/>
      <c r="S21" s="286"/>
      <c r="T21" s="286"/>
      <c r="U21" s="286"/>
      <c r="V21" s="286"/>
      <c r="W21" s="286"/>
      <c r="X21" s="286"/>
      <c r="Y21" s="286"/>
      <c r="Z21" s="286"/>
    </row>
    <row r="22" spans="1:26" x14ac:dyDescent="0.3">
      <c r="A22" s="46" t="s">
        <v>166</v>
      </c>
      <c r="B22" s="46">
        <v>80</v>
      </c>
      <c r="F22">
        <f t="shared" si="0"/>
        <v>10</v>
      </c>
      <c r="L22" s="286"/>
      <c r="M22" s="286"/>
      <c r="N22" s="286"/>
      <c r="O22" s="286"/>
      <c r="P22" s="286"/>
      <c r="Q22" s="286"/>
      <c r="R22" s="286"/>
      <c r="S22" s="286"/>
      <c r="T22" s="286"/>
      <c r="U22" s="286"/>
      <c r="V22" s="286"/>
      <c r="W22" s="286"/>
      <c r="X22" s="286"/>
      <c r="Y22" s="286"/>
      <c r="Z22" s="286"/>
    </row>
    <row r="23" spans="1:26" x14ac:dyDescent="0.3">
      <c r="A23" s="46" t="s">
        <v>174</v>
      </c>
      <c r="B23" s="46">
        <v>80</v>
      </c>
      <c r="F23">
        <f t="shared" si="0"/>
        <v>10</v>
      </c>
      <c r="L23" s="286"/>
      <c r="M23" s="286"/>
      <c r="N23" s="286"/>
      <c r="O23" s="286"/>
      <c r="P23" s="286"/>
      <c r="Q23" s="286"/>
      <c r="R23" s="286"/>
      <c r="S23" s="286"/>
      <c r="T23" s="286"/>
      <c r="U23" s="286"/>
      <c r="V23" s="286"/>
      <c r="W23" s="286"/>
      <c r="X23" s="286"/>
      <c r="Y23" s="286"/>
      <c r="Z23" s="286"/>
    </row>
    <row r="24" spans="1:26" x14ac:dyDescent="0.3">
      <c r="A24" s="46" t="s">
        <v>117</v>
      </c>
      <c r="B24" s="46">
        <v>60</v>
      </c>
      <c r="F24">
        <f t="shared" si="0"/>
        <v>7.5</v>
      </c>
      <c r="L24" s="286"/>
      <c r="M24" s="286"/>
      <c r="N24" s="286"/>
      <c r="O24" s="286"/>
      <c r="P24" s="286"/>
      <c r="Q24" s="286"/>
      <c r="R24" s="286"/>
      <c r="S24" s="286"/>
      <c r="T24" s="286"/>
      <c r="U24" s="286"/>
      <c r="V24" s="286"/>
      <c r="W24" s="286"/>
      <c r="X24" s="286"/>
      <c r="Y24" s="286"/>
      <c r="Z24" s="286"/>
    </row>
    <row r="25" spans="1:26" x14ac:dyDescent="0.3">
      <c r="A25" s="46" t="s">
        <v>215</v>
      </c>
      <c r="B25" s="46">
        <v>60</v>
      </c>
      <c r="F25">
        <f t="shared" si="0"/>
        <v>7.5</v>
      </c>
      <c r="L25" s="286"/>
      <c r="M25" s="286"/>
      <c r="N25" s="286"/>
      <c r="O25" s="286"/>
      <c r="P25" s="286"/>
      <c r="Q25" s="286"/>
      <c r="R25" s="286"/>
      <c r="S25" s="286"/>
      <c r="T25" s="286"/>
      <c r="U25" s="286"/>
      <c r="V25" s="286"/>
      <c r="W25" s="286"/>
      <c r="X25" s="286"/>
      <c r="Y25" s="286"/>
      <c r="Z25" s="286"/>
    </row>
    <row r="26" spans="1:26" x14ac:dyDescent="0.3">
      <c r="A26" s="46" t="s">
        <v>95</v>
      </c>
      <c r="B26" s="46">
        <v>60</v>
      </c>
      <c r="F26">
        <f t="shared" si="0"/>
        <v>7.5</v>
      </c>
      <c r="L26" s="286"/>
      <c r="M26" s="286"/>
      <c r="N26" s="286"/>
      <c r="O26" s="286"/>
      <c r="P26" s="286"/>
      <c r="Q26" s="286"/>
      <c r="R26" s="286"/>
      <c r="S26" s="286"/>
      <c r="T26" s="286"/>
      <c r="U26" s="286"/>
      <c r="V26" s="286"/>
      <c r="W26" s="286"/>
      <c r="X26" s="286"/>
      <c r="Y26" s="286"/>
      <c r="Z26" s="286"/>
    </row>
    <row r="27" spans="1:26" x14ac:dyDescent="0.3">
      <c r="A27" s="46" t="s">
        <v>274</v>
      </c>
      <c r="B27" s="46">
        <v>60</v>
      </c>
      <c r="F27">
        <f t="shared" si="0"/>
        <v>7.5</v>
      </c>
      <c r="L27" s="286"/>
      <c r="M27" s="286"/>
      <c r="N27" s="286"/>
      <c r="O27" s="286"/>
      <c r="P27" s="286"/>
      <c r="Q27" s="286"/>
      <c r="R27" s="286"/>
      <c r="S27" s="286"/>
      <c r="T27" s="286"/>
      <c r="U27" s="286"/>
      <c r="V27" s="286"/>
      <c r="W27" s="286"/>
      <c r="X27" s="286"/>
      <c r="Y27" s="286"/>
      <c r="Z27" s="286"/>
    </row>
    <row r="28" spans="1:26" x14ac:dyDescent="0.3">
      <c r="A28" s="46" t="s">
        <v>279</v>
      </c>
      <c r="B28">
        <v>60</v>
      </c>
      <c r="F28">
        <f t="shared" si="0"/>
        <v>7.5</v>
      </c>
      <c r="L28" s="286"/>
      <c r="M28" s="286"/>
      <c r="N28" s="286"/>
      <c r="O28" s="286"/>
      <c r="P28" s="286"/>
      <c r="Q28" s="286"/>
      <c r="R28" s="286"/>
      <c r="S28" s="286"/>
      <c r="T28" s="286"/>
      <c r="U28" s="286"/>
      <c r="V28" s="286"/>
      <c r="W28" s="286"/>
      <c r="X28" s="286"/>
      <c r="Y28" s="286"/>
      <c r="Z28" s="286"/>
    </row>
    <row r="29" spans="1:26" x14ac:dyDescent="0.3">
      <c r="A29" s="46" t="s">
        <v>153</v>
      </c>
      <c r="B29" s="46">
        <v>40</v>
      </c>
      <c r="F29">
        <f t="shared" si="0"/>
        <v>5</v>
      </c>
      <c r="L29" s="286"/>
      <c r="M29" s="286"/>
      <c r="N29" s="286"/>
      <c r="O29" s="286"/>
      <c r="P29" s="286"/>
      <c r="Q29" s="286"/>
      <c r="R29" s="286"/>
      <c r="S29" s="286"/>
      <c r="T29" s="286"/>
      <c r="U29" s="286"/>
      <c r="V29" s="286"/>
      <c r="W29" s="286"/>
      <c r="X29" s="286"/>
      <c r="Y29" s="286"/>
      <c r="Z29" s="286"/>
    </row>
    <row r="30" spans="1:26" x14ac:dyDescent="0.3">
      <c r="A30" s="46" t="s">
        <v>191</v>
      </c>
      <c r="B30">
        <v>40</v>
      </c>
      <c r="F30">
        <f t="shared" si="0"/>
        <v>5</v>
      </c>
      <c r="L30" s="286"/>
      <c r="M30" s="286"/>
      <c r="N30" s="286"/>
      <c r="O30" s="286"/>
      <c r="P30" s="286"/>
      <c r="Q30" s="286"/>
      <c r="R30" s="286"/>
      <c r="S30" s="286"/>
      <c r="T30" s="286"/>
      <c r="U30" s="286"/>
      <c r="V30" s="286"/>
      <c r="W30" s="286"/>
      <c r="X30" s="286"/>
      <c r="Y30" s="286"/>
      <c r="Z30" s="286"/>
    </row>
    <row r="31" spans="1:26" x14ac:dyDescent="0.3">
      <c r="A31" s="46" t="s">
        <v>297</v>
      </c>
      <c r="B31">
        <v>60</v>
      </c>
      <c r="F31">
        <f t="shared" si="0"/>
        <v>7.5</v>
      </c>
      <c r="L31" s="286"/>
      <c r="M31" s="286"/>
      <c r="N31" s="286"/>
      <c r="O31" s="286"/>
      <c r="P31" s="286"/>
      <c r="Q31" s="286"/>
      <c r="R31" s="286"/>
      <c r="S31" s="286"/>
      <c r="T31" s="286"/>
      <c r="U31" s="286"/>
      <c r="V31" s="286"/>
      <c r="W31" s="286"/>
      <c r="X31" s="286"/>
      <c r="Y31" s="286"/>
      <c r="Z31" s="286"/>
    </row>
    <row r="32" spans="1:26" x14ac:dyDescent="0.3">
      <c r="A32" s="46" t="s">
        <v>170</v>
      </c>
      <c r="B32">
        <v>20</v>
      </c>
      <c r="F32">
        <f t="shared" si="0"/>
        <v>2.5</v>
      </c>
      <c r="L32" s="286"/>
      <c r="M32" s="286"/>
      <c r="N32" s="286"/>
      <c r="O32" s="286"/>
      <c r="P32" s="286"/>
      <c r="Q32" s="286"/>
      <c r="R32" s="286"/>
      <c r="S32" s="286"/>
      <c r="T32" s="286"/>
      <c r="U32" s="286"/>
      <c r="V32" s="286"/>
      <c r="W32" s="286"/>
      <c r="X32" s="286"/>
      <c r="Y32" s="286"/>
      <c r="Z32" s="286"/>
    </row>
    <row r="33" spans="1:26" x14ac:dyDescent="0.3">
      <c r="A33" s="46" t="s">
        <v>135</v>
      </c>
      <c r="B33">
        <v>60</v>
      </c>
      <c r="F33">
        <f t="shared" si="0"/>
        <v>7.5</v>
      </c>
      <c r="L33" s="286"/>
      <c r="M33" s="286"/>
      <c r="N33" s="286"/>
      <c r="O33" s="286"/>
      <c r="P33" s="286"/>
      <c r="Q33" s="286"/>
      <c r="R33" s="286"/>
      <c r="S33" s="286"/>
      <c r="T33" s="286"/>
      <c r="U33" s="286"/>
      <c r="V33" s="286"/>
      <c r="W33" s="286"/>
      <c r="X33" s="286"/>
      <c r="Y33" s="286"/>
      <c r="Z33" s="286"/>
    </row>
    <row r="34" spans="1:26" x14ac:dyDescent="0.3">
      <c r="A34" s="46" t="s">
        <v>200</v>
      </c>
      <c r="B34">
        <v>60</v>
      </c>
      <c r="F34">
        <f t="shared" si="0"/>
        <v>7.5</v>
      </c>
      <c r="L34" s="286"/>
      <c r="M34" s="286"/>
      <c r="N34" s="286"/>
      <c r="O34" s="286"/>
      <c r="P34" s="286"/>
      <c r="Q34" s="286"/>
      <c r="R34" s="286"/>
      <c r="S34" s="286"/>
      <c r="T34" s="286"/>
      <c r="U34" s="286"/>
      <c r="V34" s="286"/>
      <c r="W34" s="286"/>
      <c r="X34" s="286"/>
      <c r="Y34" s="286"/>
      <c r="Z34" s="286"/>
    </row>
    <row r="35" spans="1:26" x14ac:dyDescent="0.3">
      <c r="A35" s="46" t="s">
        <v>243</v>
      </c>
      <c r="B35">
        <v>80</v>
      </c>
      <c r="F35">
        <f t="shared" si="0"/>
        <v>10</v>
      </c>
    </row>
    <row r="36" spans="1:26" x14ac:dyDescent="0.3">
      <c r="A36" s="46" t="s">
        <v>139</v>
      </c>
      <c r="B36">
        <v>60</v>
      </c>
      <c r="F36">
        <f t="shared" si="0"/>
        <v>7.5</v>
      </c>
    </row>
    <row r="37" spans="1:26" x14ac:dyDescent="0.3">
      <c r="A37" s="46" t="s">
        <v>292</v>
      </c>
      <c r="B37">
        <v>80</v>
      </c>
      <c r="F37">
        <f t="shared" si="0"/>
        <v>10</v>
      </c>
    </row>
    <row r="38" spans="1:26" x14ac:dyDescent="0.3">
      <c r="A38" s="46" t="s">
        <v>121</v>
      </c>
      <c r="B38">
        <v>60</v>
      </c>
      <c r="F38">
        <f t="shared" si="0"/>
        <v>7.5</v>
      </c>
    </row>
    <row r="39" spans="1:26" x14ac:dyDescent="0.3">
      <c r="A39" s="46" t="s">
        <v>130</v>
      </c>
      <c r="B39">
        <v>30</v>
      </c>
      <c r="F39">
        <f t="shared" si="0"/>
        <v>3.75</v>
      </c>
    </row>
    <row r="40" spans="1:26" x14ac:dyDescent="0.3">
      <c r="A40" s="46" t="s">
        <v>161</v>
      </c>
      <c r="B40">
        <v>56</v>
      </c>
      <c r="F40">
        <f t="shared" si="0"/>
        <v>7</v>
      </c>
    </row>
    <row r="41" spans="1:26" x14ac:dyDescent="0.3">
      <c r="A41" s="46" t="s">
        <v>224</v>
      </c>
      <c r="B41">
        <v>40</v>
      </c>
      <c r="F41">
        <f t="shared" si="0"/>
        <v>5</v>
      </c>
    </row>
    <row r="42" spans="1:26" x14ac:dyDescent="0.3">
      <c r="A42" s="46" t="s">
        <v>259</v>
      </c>
      <c r="B42">
        <v>60</v>
      </c>
      <c r="F42">
        <f t="shared" si="0"/>
        <v>7.5</v>
      </c>
    </row>
    <row r="43" spans="1:26" x14ac:dyDescent="0.3">
      <c r="A43" s="46" t="s">
        <v>208</v>
      </c>
      <c r="B43">
        <v>60</v>
      </c>
      <c r="F43">
        <f t="shared" si="0"/>
        <v>7.5</v>
      </c>
    </row>
    <row r="44" spans="1:26" x14ac:dyDescent="0.3">
      <c r="A44" s="46" t="s">
        <v>196</v>
      </c>
      <c r="B44">
        <v>60</v>
      </c>
      <c r="F44">
        <f t="shared" si="0"/>
        <v>7.5</v>
      </c>
    </row>
    <row r="45" spans="1:26" x14ac:dyDescent="0.3">
      <c r="A45" s="47" t="s">
        <v>309</v>
      </c>
      <c r="B45">
        <v>80</v>
      </c>
      <c r="F45">
        <f t="shared" si="0"/>
        <v>10</v>
      </c>
    </row>
    <row r="46" spans="1:26" x14ac:dyDescent="0.3">
      <c r="A46" s="47" t="s">
        <v>72</v>
      </c>
      <c r="B46">
        <v>60</v>
      </c>
      <c r="F46">
        <f t="shared" si="0"/>
        <v>7.5</v>
      </c>
    </row>
    <row r="47" spans="1:26" x14ac:dyDescent="0.3">
      <c r="A47" s="47" t="s">
        <v>47</v>
      </c>
      <c r="B47">
        <v>60</v>
      </c>
      <c r="F47">
        <f t="shared" si="0"/>
        <v>7.5</v>
      </c>
    </row>
    <row r="48" spans="1:26" x14ac:dyDescent="0.3">
      <c r="A48" s="47" t="s">
        <v>203</v>
      </c>
      <c r="B48">
        <v>40</v>
      </c>
      <c r="F48">
        <f t="shared" si="0"/>
        <v>5</v>
      </c>
    </row>
    <row r="49" spans="1:6" x14ac:dyDescent="0.3">
      <c r="A49" s="47" t="s">
        <v>77</v>
      </c>
      <c r="B49">
        <v>30</v>
      </c>
      <c r="F49">
        <f t="shared" si="0"/>
        <v>3.75</v>
      </c>
    </row>
    <row r="50" spans="1:6" x14ac:dyDescent="0.3">
      <c r="A50" s="47" t="s">
        <v>184</v>
      </c>
      <c r="B50">
        <v>60</v>
      </c>
      <c r="F50">
        <f t="shared" si="0"/>
        <v>7.5</v>
      </c>
    </row>
    <row r="51" spans="1:6" x14ac:dyDescent="0.3">
      <c r="A51" s="47" t="s">
        <v>283</v>
      </c>
      <c r="B51">
        <v>60</v>
      </c>
      <c r="F51">
        <f t="shared" si="0"/>
        <v>7.5</v>
      </c>
    </row>
    <row r="52" spans="1:6" x14ac:dyDescent="0.3">
      <c r="A52" s="47" t="s">
        <v>247</v>
      </c>
      <c r="B52">
        <v>28</v>
      </c>
      <c r="F52">
        <f t="shared" si="0"/>
        <v>3.5</v>
      </c>
    </row>
    <row r="53" spans="1:6" x14ac:dyDescent="0.3">
      <c r="A53" s="46" t="s">
        <v>336</v>
      </c>
      <c r="B53">
        <v>60</v>
      </c>
      <c r="F53">
        <f t="shared" si="0"/>
        <v>7.5</v>
      </c>
    </row>
    <row r="54" spans="1:6" x14ac:dyDescent="0.3">
      <c r="A54" s="46" t="s">
        <v>64</v>
      </c>
      <c r="B54">
        <v>40</v>
      </c>
      <c r="F54">
        <f t="shared" si="0"/>
        <v>5</v>
      </c>
    </row>
    <row r="55" spans="1:6" x14ac:dyDescent="0.3">
      <c r="A55" s="46" t="s">
        <v>146</v>
      </c>
      <c r="B55">
        <v>40</v>
      </c>
      <c r="F55">
        <f t="shared" si="0"/>
        <v>5</v>
      </c>
    </row>
    <row r="56" spans="1:6" x14ac:dyDescent="0.3">
      <c r="A56" s="46" t="s">
        <v>127</v>
      </c>
      <c r="B56">
        <v>60</v>
      </c>
      <c r="F56">
        <f t="shared" si="0"/>
        <v>7.5</v>
      </c>
    </row>
    <row r="57" spans="1:6" x14ac:dyDescent="0.3">
      <c r="A57" s="46" t="s">
        <v>269</v>
      </c>
      <c r="B57">
        <v>60</v>
      </c>
      <c r="F57">
        <f t="shared" si="0"/>
        <v>7.5</v>
      </c>
    </row>
    <row r="58" spans="1:6" x14ac:dyDescent="0.3">
      <c r="A58" s="46" t="s">
        <v>188</v>
      </c>
      <c r="B58" s="52">
        <v>32</v>
      </c>
      <c r="F58">
        <f t="shared" si="0"/>
        <v>4</v>
      </c>
    </row>
    <row r="59" spans="1:6" x14ac:dyDescent="0.3">
      <c r="A59" s="46" t="s">
        <v>112</v>
      </c>
      <c r="B59">
        <v>5</v>
      </c>
      <c r="F59">
        <f t="shared" si="0"/>
        <v>0.625</v>
      </c>
    </row>
    <row r="60" spans="1:6" x14ac:dyDescent="0.3">
      <c r="A60" s="46" t="s">
        <v>227</v>
      </c>
      <c r="B60">
        <v>40</v>
      </c>
      <c r="F60">
        <f t="shared" si="0"/>
        <v>5</v>
      </c>
    </row>
    <row r="61" spans="1:6" x14ac:dyDescent="0.3">
      <c r="A61" s="46" t="s">
        <v>263</v>
      </c>
      <c r="B61">
        <v>60</v>
      </c>
      <c r="F61">
        <f t="shared" si="0"/>
        <v>7.5</v>
      </c>
    </row>
    <row r="62" spans="1:6" x14ac:dyDescent="0.3">
      <c r="A62" s="46" t="s">
        <v>179</v>
      </c>
      <c r="B62">
        <v>20</v>
      </c>
      <c r="F62">
        <f t="shared" si="0"/>
        <v>2.5</v>
      </c>
    </row>
    <row r="63" spans="1:6" x14ac:dyDescent="0.3">
      <c r="A63" s="46" t="s">
        <v>104</v>
      </c>
      <c r="B63">
        <v>12</v>
      </c>
      <c r="F63">
        <f t="shared" si="0"/>
        <v>1.5</v>
      </c>
    </row>
    <row r="64" spans="1:6" x14ac:dyDescent="0.3">
      <c r="A64" s="46" t="s">
        <v>155</v>
      </c>
      <c r="B64">
        <v>20</v>
      </c>
      <c r="F64">
        <f t="shared" si="0"/>
        <v>2.5</v>
      </c>
    </row>
    <row r="65" spans="1:6" x14ac:dyDescent="0.3">
      <c r="A65" s="46" t="s">
        <v>149</v>
      </c>
      <c r="B65">
        <v>20</v>
      </c>
      <c r="F65">
        <f t="shared" si="0"/>
        <v>2.5</v>
      </c>
    </row>
    <row r="66" spans="1:6" x14ac:dyDescent="0.3">
      <c r="A66" t="s">
        <v>316</v>
      </c>
      <c r="B66">
        <v>60</v>
      </c>
      <c r="F66">
        <f t="shared" si="0"/>
        <v>7.5</v>
      </c>
    </row>
    <row r="69" spans="1:6" x14ac:dyDescent="0.3">
      <c r="A69" t="s">
        <v>333</v>
      </c>
      <c r="B69">
        <f>MAX(B3:B66)</f>
        <v>80</v>
      </c>
    </row>
    <row r="70" spans="1:6" x14ac:dyDescent="0.3">
      <c r="A70" t="s">
        <v>339</v>
      </c>
      <c r="B70">
        <f>MIN(B3:B66)</f>
        <v>5</v>
      </c>
    </row>
  </sheetData>
  <mergeCells count="1">
    <mergeCell ref="L5:Z3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DFE3D-7943-455B-8F08-1F3F57151D77}">
  <sheetPr>
    <tabColor rgb="FFFF0000"/>
  </sheetPr>
  <dimension ref="A1"/>
  <sheetViews>
    <sheetView workbookViewId="0">
      <selection activeCell="H15" sqref="H15"/>
    </sheetView>
  </sheetViews>
  <sheetFormatPr baseColWidth="10" defaultColWidth="8.88671875" defaultRowHeight="14.4" x14ac:dyDescent="0.3"/>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4A3E5-8AD4-46C4-AB58-F7196C5771D9}">
  <dimension ref="A1:R66"/>
  <sheetViews>
    <sheetView workbookViewId="0">
      <selection activeCell="P10" sqref="P10"/>
    </sheetView>
  </sheetViews>
  <sheetFormatPr baseColWidth="10" defaultColWidth="11.44140625" defaultRowHeight="14.4" x14ac:dyDescent="0.3"/>
  <cols>
    <col min="1" max="1" width="15.6640625" customWidth="1"/>
    <col min="2" max="2" width="16.88671875" customWidth="1"/>
    <col min="4" max="4" width="13.88671875" customWidth="1"/>
    <col min="5" max="5" width="24.44140625" customWidth="1"/>
    <col min="13" max="13" width="38.44140625" customWidth="1"/>
    <col min="14" max="14" width="24.44140625" customWidth="1"/>
  </cols>
  <sheetData>
    <row r="1" spans="1:18" ht="43.2" x14ac:dyDescent="0.3">
      <c r="A1" s="182" t="s">
        <v>7</v>
      </c>
      <c r="B1" s="195" t="s">
        <v>17</v>
      </c>
      <c r="C1" s="195" t="s">
        <v>24</v>
      </c>
      <c r="D1" s="195" t="s">
        <v>360</v>
      </c>
      <c r="E1" s="195" t="s">
        <v>8</v>
      </c>
      <c r="F1" s="195" t="s">
        <v>361</v>
      </c>
      <c r="G1" s="195" t="s">
        <v>11</v>
      </c>
      <c r="H1" s="195" t="s">
        <v>362</v>
      </c>
      <c r="I1" s="195" t="s">
        <v>363</v>
      </c>
      <c r="M1" s="201"/>
      <c r="N1" s="201"/>
      <c r="O1" s="201"/>
      <c r="P1" s="201"/>
      <c r="Q1" s="201"/>
      <c r="R1" s="201"/>
    </row>
    <row r="2" spans="1:18" x14ac:dyDescent="0.3">
      <c r="A2" s="183" t="s">
        <v>39</v>
      </c>
      <c r="B2" s="196" t="s">
        <v>40</v>
      </c>
      <c r="C2" s="197" t="s">
        <v>364</v>
      </c>
      <c r="D2" s="196" t="s">
        <v>350</v>
      </c>
      <c r="E2" s="196" t="s">
        <v>350</v>
      </c>
      <c r="F2" s="197" t="s">
        <v>350</v>
      </c>
      <c r="G2" s="196" t="s">
        <v>350</v>
      </c>
      <c r="H2" s="196" t="s">
        <v>350</v>
      </c>
      <c r="I2" s="196" t="s">
        <v>350</v>
      </c>
      <c r="M2" s="201"/>
      <c r="N2" s="201"/>
      <c r="O2" s="201"/>
      <c r="P2" s="201"/>
      <c r="Q2" s="201"/>
      <c r="R2" s="201"/>
    </row>
    <row r="3" spans="1:18" ht="14.4" customHeight="1" x14ac:dyDescent="0.3">
      <c r="A3" s="190" t="s">
        <v>47</v>
      </c>
      <c r="B3" s="190">
        <v>10</v>
      </c>
      <c r="C3" s="191">
        <v>20</v>
      </c>
      <c r="D3" s="191">
        <v>10</v>
      </c>
      <c r="E3" s="190" t="s">
        <v>48</v>
      </c>
      <c r="F3" s="143">
        <f>IF(E3="Water Cooled SMR",4,IF(E3="High Temp Gas cooled SMR",3,IF(E3="Molten Salt SMR",2,IF(E3="Liquid Metal cooled",1))))</f>
        <v>1</v>
      </c>
      <c r="G3" s="190" t="s">
        <v>51</v>
      </c>
      <c r="H3" s="190">
        <v>2</v>
      </c>
      <c r="I3" s="157">
        <f>((D3 + F3 + H3) / 24) * 10</f>
        <v>5.4166666666666661</v>
      </c>
      <c r="M3" s="184" t="s">
        <v>365</v>
      </c>
      <c r="N3" s="185" t="s">
        <v>366</v>
      </c>
      <c r="O3" s="185" t="s">
        <v>367</v>
      </c>
      <c r="P3" s="185" t="s">
        <v>337</v>
      </c>
      <c r="Q3" s="201"/>
      <c r="R3" s="201"/>
    </row>
    <row r="4" spans="1:18" ht="14.4" customHeight="1" x14ac:dyDescent="0.3">
      <c r="A4" s="190" t="s">
        <v>56</v>
      </c>
      <c r="B4" s="190">
        <v>125</v>
      </c>
      <c r="C4" s="191">
        <v>250</v>
      </c>
      <c r="D4" s="191">
        <v>9</v>
      </c>
      <c r="E4" s="190" t="s">
        <v>57</v>
      </c>
      <c r="F4" s="143">
        <f t="shared" ref="F4:F65" si="0">IF(E4="Water Cooled SMR",4,IF(E4="High Temp Gas cooled SMR",3,IF(E4="Molten Salt SMR",2,IF(E4="Liquid Metal cooled",1))))</f>
        <v>4</v>
      </c>
      <c r="G4" s="190" t="s">
        <v>60</v>
      </c>
      <c r="H4" s="190">
        <v>1</v>
      </c>
      <c r="I4" s="157">
        <f t="shared" ref="I4:I65" si="1">((D4 + F4 + H4) / 24) * 10</f>
        <v>5.8333333333333339</v>
      </c>
      <c r="M4" s="186" t="s">
        <v>368</v>
      </c>
      <c r="N4" s="187" t="s">
        <v>369</v>
      </c>
      <c r="O4" s="188">
        <v>4500</v>
      </c>
      <c r="P4" s="189">
        <v>4</v>
      </c>
      <c r="Q4" s="201"/>
      <c r="R4" s="201"/>
    </row>
    <row r="5" spans="1:18" ht="14.4" customHeight="1" x14ac:dyDescent="0.3">
      <c r="A5" s="190" t="s">
        <v>64</v>
      </c>
      <c r="B5" s="190">
        <v>50</v>
      </c>
      <c r="C5" s="191">
        <v>100</v>
      </c>
      <c r="D5" s="191">
        <v>10</v>
      </c>
      <c r="E5" s="190" t="s">
        <v>65</v>
      </c>
      <c r="F5" s="143">
        <f t="shared" si="0"/>
        <v>3</v>
      </c>
      <c r="G5" s="190" t="s">
        <v>68</v>
      </c>
      <c r="H5" s="190">
        <v>2</v>
      </c>
      <c r="I5" s="157">
        <f t="shared" si="1"/>
        <v>6.25</v>
      </c>
      <c r="M5" s="186" t="s">
        <v>370</v>
      </c>
      <c r="N5" s="187" t="s">
        <v>371</v>
      </c>
      <c r="O5" s="188">
        <v>5500</v>
      </c>
      <c r="P5" s="189">
        <v>3</v>
      </c>
      <c r="Q5" s="201"/>
      <c r="R5" s="201"/>
    </row>
    <row r="6" spans="1:18" ht="14.4" customHeight="1" x14ac:dyDescent="0.3">
      <c r="A6" s="190" t="s">
        <v>72</v>
      </c>
      <c r="B6" s="190">
        <v>100</v>
      </c>
      <c r="C6" s="191">
        <v>200</v>
      </c>
      <c r="D6" s="191">
        <v>9</v>
      </c>
      <c r="E6" s="190" t="s">
        <v>48</v>
      </c>
      <c r="F6" s="143">
        <f t="shared" si="0"/>
        <v>1</v>
      </c>
      <c r="G6" s="190" t="s">
        <v>74</v>
      </c>
      <c r="H6" s="190">
        <v>1</v>
      </c>
      <c r="I6" s="157">
        <f t="shared" si="1"/>
        <v>4.583333333333333</v>
      </c>
      <c r="M6" s="186" t="s">
        <v>372</v>
      </c>
      <c r="N6" s="187" t="s">
        <v>373</v>
      </c>
      <c r="O6" s="188">
        <v>6500</v>
      </c>
      <c r="P6" s="189">
        <v>2</v>
      </c>
      <c r="Q6" s="201"/>
      <c r="R6" s="201"/>
    </row>
    <row r="7" spans="1:18" ht="14.4" customHeight="1" x14ac:dyDescent="0.3">
      <c r="A7" s="190" t="s">
        <v>77</v>
      </c>
      <c r="B7" s="190">
        <v>300</v>
      </c>
      <c r="C7" s="191">
        <v>600</v>
      </c>
      <c r="D7" s="191">
        <v>8</v>
      </c>
      <c r="E7" s="190" t="s">
        <v>48</v>
      </c>
      <c r="F7" s="143">
        <f t="shared" si="0"/>
        <v>1</v>
      </c>
      <c r="G7" s="190" t="s">
        <v>79</v>
      </c>
      <c r="H7" s="190">
        <v>3</v>
      </c>
      <c r="I7" s="157">
        <f t="shared" si="1"/>
        <v>5</v>
      </c>
      <c r="M7" s="186" t="s">
        <v>374</v>
      </c>
      <c r="N7" s="187" t="s">
        <v>375</v>
      </c>
      <c r="O7" s="188">
        <v>7000</v>
      </c>
      <c r="P7" s="189">
        <v>1</v>
      </c>
      <c r="Q7" s="201"/>
      <c r="R7" s="201"/>
    </row>
    <row r="8" spans="1:18" ht="14.4" customHeight="1" x14ac:dyDescent="0.3">
      <c r="A8" s="190" t="s">
        <v>83</v>
      </c>
      <c r="B8" s="190">
        <v>280</v>
      </c>
      <c r="C8" s="191">
        <v>560</v>
      </c>
      <c r="D8" s="191">
        <v>1</v>
      </c>
      <c r="E8" s="190" t="s">
        <v>57</v>
      </c>
      <c r="F8" s="143">
        <f t="shared" si="0"/>
        <v>4</v>
      </c>
      <c r="G8" s="190" t="s">
        <v>86</v>
      </c>
      <c r="H8" s="190">
        <v>2</v>
      </c>
      <c r="I8" s="157">
        <f t="shared" si="1"/>
        <v>2.916666666666667</v>
      </c>
      <c r="M8" s="190"/>
      <c r="N8" s="191"/>
      <c r="O8" s="191"/>
      <c r="P8" s="190"/>
      <c r="Q8" s="201"/>
      <c r="R8" s="201"/>
    </row>
    <row r="9" spans="1:18" ht="14.4" customHeight="1" x14ac:dyDescent="0.3">
      <c r="A9" s="190" t="s">
        <v>89</v>
      </c>
      <c r="B9" s="190">
        <v>300</v>
      </c>
      <c r="C9" s="191">
        <v>600</v>
      </c>
      <c r="D9" s="191">
        <v>8</v>
      </c>
      <c r="E9" s="190" t="s">
        <v>57</v>
      </c>
      <c r="F9" s="143">
        <f t="shared" si="0"/>
        <v>4</v>
      </c>
      <c r="G9" s="190" t="s">
        <v>74</v>
      </c>
      <c r="H9" s="190">
        <v>1</v>
      </c>
      <c r="I9" s="157">
        <f t="shared" si="1"/>
        <v>5.4166666666666661</v>
      </c>
      <c r="M9" s="191"/>
      <c r="N9" s="190"/>
      <c r="O9" s="190"/>
      <c r="P9" s="190"/>
      <c r="Q9" s="201"/>
      <c r="R9" s="201"/>
    </row>
    <row r="10" spans="1:18" ht="14.4" customHeight="1" x14ac:dyDescent="0.3">
      <c r="A10" s="190" t="s">
        <v>95</v>
      </c>
      <c r="B10" s="190">
        <v>200</v>
      </c>
      <c r="C10" s="191">
        <v>400</v>
      </c>
      <c r="D10" s="191">
        <v>9</v>
      </c>
      <c r="E10" s="190" t="s">
        <v>57</v>
      </c>
      <c r="F10" s="143">
        <f t="shared" si="0"/>
        <v>4</v>
      </c>
      <c r="G10" s="190" t="s">
        <v>60</v>
      </c>
      <c r="H10" s="190">
        <v>1</v>
      </c>
      <c r="I10" s="157">
        <f t="shared" si="1"/>
        <v>5.8333333333333339</v>
      </c>
      <c r="M10" s="184" t="s">
        <v>11</v>
      </c>
      <c r="N10" s="185" t="s">
        <v>376</v>
      </c>
      <c r="O10" s="185" t="s">
        <v>337</v>
      </c>
      <c r="P10" s="190"/>
      <c r="Q10" s="201"/>
      <c r="R10" s="201"/>
    </row>
    <row r="11" spans="1:18" ht="14.4" customHeight="1" x14ac:dyDescent="0.3">
      <c r="A11" s="190" t="s">
        <v>100</v>
      </c>
      <c r="B11" s="190">
        <v>30</v>
      </c>
      <c r="C11" s="191">
        <v>60</v>
      </c>
      <c r="D11" s="191">
        <v>10</v>
      </c>
      <c r="E11" s="190" t="s">
        <v>57</v>
      </c>
      <c r="F11" s="143">
        <f t="shared" si="0"/>
        <v>4</v>
      </c>
      <c r="G11" s="190" t="s">
        <v>102</v>
      </c>
      <c r="H11" s="190">
        <v>10</v>
      </c>
      <c r="I11" s="157">
        <f t="shared" si="1"/>
        <v>10</v>
      </c>
      <c r="M11" s="192" t="s">
        <v>102</v>
      </c>
      <c r="N11" s="193">
        <v>133.80000000000001</v>
      </c>
      <c r="O11" s="189">
        <v>10</v>
      </c>
      <c r="P11" s="190"/>
      <c r="Q11" s="201"/>
      <c r="R11" s="201"/>
    </row>
    <row r="12" spans="1:18" ht="14.4" customHeight="1" x14ac:dyDescent="0.3">
      <c r="A12" s="190" t="s">
        <v>104</v>
      </c>
      <c r="B12" s="190">
        <v>100</v>
      </c>
      <c r="C12" s="191">
        <v>200</v>
      </c>
      <c r="D12" s="191">
        <v>9</v>
      </c>
      <c r="E12" s="190" t="s">
        <v>105</v>
      </c>
      <c r="F12" s="143">
        <f t="shared" si="0"/>
        <v>2</v>
      </c>
      <c r="G12" s="190" t="s">
        <v>108</v>
      </c>
      <c r="H12" s="190">
        <v>0</v>
      </c>
      <c r="I12" s="157">
        <f t="shared" si="1"/>
        <v>4.583333333333333</v>
      </c>
      <c r="M12" s="192" t="s">
        <v>74</v>
      </c>
      <c r="N12" s="193">
        <v>1.6</v>
      </c>
      <c r="O12" s="189">
        <v>1</v>
      </c>
      <c r="P12" s="190"/>
      <c r="Q12" s="201"/>
      <c r="R12" s="201"/>
    </row>
    <row r="13" spans="1:18" x14ac:dyDescent="0.3">
      <c r="A13" s="190" t="s">
        <v>112</v>
      </c>
      <c r="B13" s="190">
        <v>0</v>
      </c>
      <c r="C13" s="191">
        <v>0</v>
      </c>
      <c r="D13" s="191">
        <v>10</v>
      </c>
      <c r="E13" s="190" t="s">
        <v>105</v>
      </c>
      <c r="F13" s="143">
        <f t="shared" si="0"/>
        <v>2</v>
      </c>
      <c r="G13" s="190" t="s">
        <v>108</v>
      </c>
      <c r="H13" s="190">
        <v>0</v>
      </c>
      <c r="I13" s="157">
        <f t="shared" si="1"/>
        <v>5</v>
      </c>
      <c r="M13" s="192" t="s">
        <v>60</v>
      </c>
      <c r="N13" s="193">
        <v>-0.5</v>
      </c>
      <c r="O13" s="189">
        <v>1</v>
      </c>
      <c r="P13" s="190"/>
      <c r="Q13" s="201"/>
      <c r="R13" s="201"/>
    </row>
    <row r="14" spans="1:18" x14ac:dyDescent="0.3">
      <c r="A14" s="190" t="s">
        <v>117</v>
      </c>
      <c r="B14" s="190">
        <v>0</v>
      </c>
      <c r="C14" s="191">
        <v>0</v>
      </c>
      <c r="D14" s="191">
        <v>10</v>
      </c>
      <c r="E14" s="190" t="s">
        <v>57</v>
      </c>
      <c r="F14" s="143">
        <f t="shared" si="0"/>
        <v>4</v>
      </c>
      <c r="G14" s="190" t="s">
        <v>60</v>
      </c>
      <c r="H14" s="190">
        <v>1</v>
      </c>
      <c r="I14" s="157">
        <f t="shared" si="1"/>
        <v>6.25</v>
      </c>
      <c r="M14" s="192" t="s">
        <v>290</v>
      </c>
      <c r="N14" s="193">
        <v>8.6</v>
      </c>
      <c r="O14" s="189">
        <v>4</v>
      </c>
      <c r="P14" s="190"/>
      <c r="Q14" s="201"/>
      <c r="R14" s="201"/>
    </row>
    <row r="15" spans="1:18" ht="14.4" customHeight="1" x14ac:dyDescent="0.3">
      <c r="A15" s="190" t="s">
        <v>121</v>
      </c>
      <c r="B15" s="190">
        <v>265</v>
      </c>
      <c r="C15" s="191">
        <v>530</v>
      </c>
      <c r="D15" s="191">
        <v>8</v>
      </c>
      <c r="E15" s="190" t="s">
        <v>65</v>
      </c>
      <c r="F15" s="143">
        <f t="shared" si="0"/>
        <v>3</v>
      </c>
      <c r="G15" s="190" t="s">
        <v>124</v>
      </c>
      <c r="H15" s="190">
        <v>2</v>
      </c>
      <c r="I15" s="157">
        <f t="shared" si="1"/>
        <v>5.4166666666666661</v>
      </c>
      <c r="M15" s="192" t="s">
        <v>108</v>
      </c>
      <c r="N15" s="193">
        <v>-3.5</v>
      </c>
      <c r="O15" s="189">
        <v>0</v>
      </c>
      <c r="P15" s="190"/>
      <c r="Q15" s="201"/>
      <c r="R15" s="201"/>
    </row>
    <row r="16" spans="1:18" ht="14.4" customHeight="1" x14ac:dyDescent="0.3">
      <c r="A16" s="190" t="s">
        <v>127</v>
      </c>
      <c r="B16" s="190">
        <v>50</v>
      </c>
      <c r="C16" s="191">
        <v>100</v>
      </c>
      <c r="D16" s="191">
        <v>1</v>
      </c>
      <c r="E16" s="190" t="s">
        <v>65</v>
      </c>
      <c r="F16" s="143">
        <f t="shared" si="0"/>
        <v>3</v>
      </c>
      <c r="G16" s="190" t="s">
        <v>124</v>
      </c>
      <c r="H16" s="190">
        <v>2</v>
      </c>
      <c r="I16" s="157">
        <f t="shared" si="1"/>
        <v>2.5</v>
      </c>
      <c r="M16" s="192" t="s">
        <v>172</v>
      </c>
      <c r="N16" s="193">
        <v>5.5</v>
      </c>
      <c r="O16" s="189">
        <v>3</v>
      </c>
      <c r="P16" s="190"/>
      <c r="Q16" s="201"/>
      <c r="R16" s="201"/>
    </row>
    <row r="17" spans="1:16" x14ac:dyDescent="0.3">
      <c r="A17" s="190" t="s">
        <v>130</v>
      </c>
      <c r="B17" s="190">
        <v>200</v>
      </c>
      <c r="C17" s="191">
        <v>400</v>
      </c>
      <c r="D17" s="191">
        <v>1</v>
      </c>
      <c r="E17" s="190" t="s">
        <v>105</v>
      </c>
      <c r="F17" s="143">
        <f t="shared" si="0"/>
        <v>2</v>
      </c>
      <c r="G17" s="190" t="s">
        <v>51</v>
      </c>
      <c r="H17" s="190">
        <v>2</v>
      </c>
      <c r="I17" s="157">
        <f t="shared" si="1"/>
        <v>2.0833333333333335</v>
      </c>
      <c r="M17" s="192" t="s">
        <v>229</v>
      </c>
      <c r="N17" s="193">
        <v>1.5</v>
      </c>
      <c r="O17" s="189">
        <v>1</v>
      </c>
      <c r="P17" s="190"/>
    </row>
    <row r="18" spans="1:16" x14ac:dyDescent="0.3">
      <c r="A18" s="190" t="s">
        <v>135</v>
      </c>
      <c r="B18" s="190">
        <v>300</v>
      </c>
      <c r="C18" s="191">
        <v>600</v>
      </c>
      <c r="D18" s="191">
        <v>8</v>
      </c>
      <c r="E18" s="190" t="s">
        <v>65</v>
      </c>
      <c r="F18" s="143">
        <f t="shared" si="0"/>
        <v>3</v>
      </c>
      <c r="G18" s="190" t="s">
        <v>51</v>
      </c>
      <c r="H18" s="190">
        <v>2</v>
      </c>
      <c r="I18" s="157">
        <f t="shared" si="1"/>
        <v>5.4166666666666661</v>
      </c>
      <c r="M18" s="192" t="s">
        <v>186</v>
      </c>
      <c r="N18" s="193">
        <v>5.3</v>
      </c>
      <c r="O18" s="189">
        <v>3</v>
      </c>
      <c r="P18" s="190"/>
    </row>
    <row r="19" spans="1:16" ht="16.5" customHeight="1" x14ac:dyDescent="0.3">
      <c r="A19" s="190" t="s">
        <v>139</v>
      </c>
      <c r="B19" s="190">
        <v>288</v>
      </c>
      <c r="C19" s="191">
        <v>576</v>
      </c>
      <c r="D19" s="191">
        <v>8</v>
      </c>
      <c r="E19" s="190" t="s">
        <v>65</v>
      </c>
      <c r="F19" s="143">
        <f t="shared" si="0"/>
        <v>3</v>
      </c>
      <c r="G19" s="190" t="s">
        <v>79</v>
      </c>
      <c r="H19" s="190">
        <v>3</v>
      </c>
      <c r="I19" s="157">
        <f t="shared" si="1"/>
        <v>5.8333333333333339</v>
      </c>
      <c r="M19" s="192" t="s">
        <v>51</v>
      </c>
      <c r="N19" s="193">
        <v>3.8</v>
      </c>
      <c r="O19" s="189">
        <v>2</v>
      </c>
      <c r="P19" s="190"/>
    </row>
    <row r="20" spans="1:16" ht="15" customHeight="1" x14ac:dyDescent="0.3">
      <c r="A20" s="190" t="s">
        <v>143</v>
      </c>
      <c r="B20" s="190">
        <v>0</v>
      </c>
      <c r="C20" s="191">
        <v>0</v>
      </c>
      <c r="D20" s="191">
        <v>10</v>
      </c>
      <c r="E20" s="190" t="s">
        <v>57</v>
      </c>
      <c r="F20" s="143">
        <f t="shared" si="0"/>
        <v>4</v>
      </c>
      <c r="G20" s="190" t="s">
        <v>60</v>
      </c>
      <c r="H20" s="190">
        <v>1</v>
      </c>
      <c r="I20" s="157">
        <f t="shared" si="1"/>
        <v>6.25</v>
      </c>
      <c r="M20" s="192" t="s">
        <v>299</v>
      </c>
      <c r="N20" s="193">
        <v>7.8</v>
      </c>
      <c r="O20" s="189">
        <v>3</v>
      </c>
      <c r="P20" s="190"/>
    </row>
    <row r="21" spans="1:16" ht="13.65" customHeight="1" x14ac:dyDescent="0.3">
      <c r="A21" s="190" t="s">
        <v>146</v>
      </c>
      <c r="B21" s="190">
        <v>35</v>
      </c>
      <c r="C21" s="191">
        <v>70</v>
      </c>
      <c r="D21" s="191">
        <v>10</v>
      </c>
      <c r="E21" s="190" t="s">
        <v>65</v>
      </c>
      <c r="F21" s="143">
        <f t="shared" si="0"/>
        <v>3</v>
      </c>
      <c r="G21" s="190" t="s">
        <v>68</v>
      </c>
      <c r="H21" s="190">
        <v>2</v>
      </c>
      <c r="I21" s="157">
        <f t="shared" si="1"/>
        <v>6.25</v>
      </c>
      <c r="M21" s="192" t="s">
        <v>168</v>
      </c>
      <c r="N21" s="193">
        <v>2.1</v>
      </c>
      <c r="O21" s="189">
        <v>2</v>
      </c>
      <c r="P21" s="190"/>
    </row>
    <row r="22" spans="1:16" ht="15.75" customHeight="1" x14ac:dyDescent="0.3">
      <c r="A22" s="190" t="s">
        <v>149</v>
      </c>
      <c r="B22" s="190">
        <v>2.5</v>
      </c>
      <c r="C22" s="191">
        <v>5</v>
      </c>
      <c r="D22" s="191">
        <v>10</v>
      </c>
      <c r="E22" s="190" t="s">
        <v>65</v>
      </c>
      <c r="F22" s="143">
        <f t="shared" si="0"/>
        <v>3</v>
      </c>
      <c r="G22" s="190" t="s">
        <v>60</v>
      </c>
      <c r="H22" s="190">
        <v>1</v>
      </c>
      <c r="I22" s="157">
        <f t="shared" si="1"/>
        <v>5.8333333333333339</v>
      </c>
      <c r="M22" s="192" t="s">
        <v>79</v>
      </c>
      <c r="N22" s="193">
        <v>7.1</v>
      </c>
      <c r="O22" s="189">
        <v>3</v>
      </c>
      <c r="P22" s="190"/>
    </row>
    <row r="23" spans="1:16" ht="18" customHeight="1" x14ac:dyDescent="0.3">
      <c r="A23" s="190" t="s">
        <v>153</v>
      </c>
      <c r="B23" s="190">
        <v>210</v>
      </c>
      <c r="C23" s="191">
        <v>420</v>
      </c>
      <c r="D23" s="191">
        <v>8</v>
      </c>
      <c r="E23" s="190" t="s">
        <v>65</v>
      </c>
      <c r="F23" s="143">
        <f t="shared" si="0"/>
        <v>3</v>
      </c>
      <c r="G23" s="190" t="s">
        <v>60</v>
      </c>
      <c r="H23" s="190">
        <v>1</v>
      </c>
      <c r="I23" s="157">
        <f t="shared" si="1"/>
        <v>5</v>
      </c>
      <c r="M23" s="192" t="s">
        <v>68</v>
      </c>
      <c r="N23" s="193">
        <v>4.5</v>
      </c>
      <c r="O23" s="189">
        <v>2</v>
      </c>
      <c r="P23" s="190"/>
    </row>
    <row r="24" spans="1:16" x14ac:dyDescent="0.3">
      <c r="A24" s="190" t="s">
        <v>155</v>
      </c>
      <c r="B24" s="190">
        <v>0</v>
      </c>
      <c r="C24" s="191">
        <v>0</v>
      </c>
      <c r="D24" s="191">
        <v>1</v>
      </c>
      <c r="E24" s="190" t="s">
        <v>65</v>
      </c>
      <c r="F24" s="143">
        <f t="shared" si="0"/>
        <v>3</v>
      </c>
      <c r="G24" s="190" t="s">
        <v>51</v>
      </c>
      <c r="H24" s="190">
        <v>2</v>
      </c>
      <c r="I24" s="157">
        <f t="shared" si="1"/>
        <v>2.5</v>
      </c>
      <c r="M24" s="192" t="s">
        <v>250</v>
      </c>
      <c r="N24" s="193">
        <v>5.6</v>
      </c>
      <c r="O24" s="189">
        <v>3</v>
      </c>
      <c r="P24" s="190"/>
    </row>
    <row r="25" spans="1:16" x14ac:dyDescent="0.3">
      <c r="A25" s="190" t="s">
        <v>158</v>
      </c>
      <c r="B25" s="190">
        <v>350</v>
      </c>
      <c r="C25" s="191">
        <v>700</v>
      </c>
      <c r="D25" s="191">
        <v>1</v>
      </c>
      <c r="E25" s="190" t="s">
        <v>57</v>
      </c>
      <c r="F25" s="143">
        <f t="shared" si="0"/>
        <v>4</v>
      </c>
      <c r="G25" s="190" t="s">
        <v>51</v>
      </c>
      <c r="H25" s="190">
        <v>2</v>
      </c>
      <c r="I25" s="157">
        <f t="shared" si="1"/>
        <v>2.916666666666667</v>
      </c>
      <c r="M25" s="192" t="s">
        <v>277</v>
      </c>
      <c r="N25" s="193">
        <v>1</v>
      </c>
      <c r="O25" s="189">
        <v>1</v>
      </c>
      <c r="P25" s="190"/>
    </row>
    <row r="26" spans="1:16" ht="18.75" customHeight="1" x14ac:dyDescent="0.3">
      <c r="A26" s="190" t="s">
        <v>161</v>
      </c>
      <c r="B26" s="190">
        <v>390</v>
      </c>
      <c r="C26" s="191">
        <v>780</v>
      </c>
      <c r="D26" s="191">
        <v>7</v>
      </c>
      <c r="E26" s="190" t="s">
        <v>105</v>
      </c>
      <c r="F26" s="143">
        <f t="shared" si="0"/>
        <v>2</v>
      </c>
      <c r="G26" s="190" t="s">
        <v>74</v>
      </c>
      <c r="H26" s="190">
        <v>1</v>
      </c>
      <c r="I26" s="157">
        <f t="shared" si="1"/>
        <v>4.166666666666667</v>
      </c>
      <c r="M26" s="192" t="s">
        <v>238</v>
      </c>
      <c r="N26" s="193">
        <v>7.1</v>
      </c>
      <c r="O26" s="189">
        <v>3</v>
      </c>
      <c r="P26" s="190"/>
    </row>
    <row r="27" spans="1:16" x14ac:dyDescent="0.3">
      <c r="A27" s="190" t="s">
        <v>166</v>
      </c>
      <c r="B27" s="190">
        <v>170</v>
      </c>
      <c r="C27" s="191">
        <v>340</v>
      </c>
      <c r="D27" s="191">
        <v>9</v>
      </c>
      <c r="E27" s="190" t="s">
        <v>57</v>
      </c>
      <c r="F27" s="143">
        <f t="shared" si="0"/>
        <v>4</v>
      </c>
      <c r="G27" s="190" t="s">
        <v>168</v>
      </c>
      <c r="H27" s="190">
        <v>2</v>
      </c>
      <c r="I27" s="157">
        <f t="shared" si="1"/>
        <v>6.25</v>
      </c>
      <c r="M27" s="194" t="s">
        <v>124</v>
      </c>
      <c r="N27" s="193">
        <v>3.6</v>
      </c>
      <c r="O27" s="189">
        <v>2</v>
      </c>
      <c r="P27" s="190"/>
    </row>
    <row r="28" spans="1:16" x14ac:dyDescent="0.3">
      <c r="A28" s="190" t="s">
        <v>170</v>
      </c>
      <c r="B28" s="190">
        <v>0</v>
      </c>
      <c r="C28" s="191">
        <v>0</v>
      </c>
      <c r="D28" s="191">
        <v>10</v>
      </c>
      <c r="E28" s="190" t="s">
        <v>65</v>
      </c>
      <c r="F28" s="143">
        <f t="shared" si="0"/>
        <v>3</v>
      </c>
      <c r="G28" s="190" t="s">
        <v>172</v>
      </c>
      <c r="H28" s="190">
        <v>3</v>
      </c>
      <c r="I28" s="157">
        <f t="shared" si="1"/>
        <v>6.6666666666666661</v>
      </c>
    </row>
    <row r="29" spans="1:16" x14ac:dyDescent="0.3">
      <c r="A29" s="190" t="s">
        <v>174</v>
      </c>
      <c r="B29" s="190">
        <v>100</v>
      </c>
      <c r="C29" s="191">
        <v>200</v>
      </c>
      <c r="D29" s="191">
        <v>9</v>
      </c>
      <c r="E29" s="190" t="s">
        <v>57</v>
      </c>
      <c r="F29" s="143">
        <f t="shared" si="0"/>
        <v>4</v>
      </c>
      <c r="G29" s="190" t="s">
        <v>79</v>
      </c>
      <c r="H29" s="190">
        <v>3</v>
      </c>
      <c r="I29" s="157">
        <f t="shared" si="1"/>
        <v>6.6666666666666661</v>
      </c>
    </row>
    <row r="30" spans="1:16" x14ac:dyDescent="0.3">
      <c r="A30" s="190" t="s">
        <v>177</v>
      </c>
      <c r="B30" s="190">
        <v>50</v>
      </c>
      <c r="C30" s="191">
        <v>100</v>
      </c>
      <c r="D30" s="191">
        <v>10</v>
      </c>
      <c r="E30" s="190" t="s">
        <v>57</v>
      </c>
      <c r="F30" s="143">
        <f t="shared" si="0"/>
        <v>4</v>
      </c>
      <c r="G30" s="190" t="s">
        <v>79</v>
      </c>
      <c r="H30" s="190">
        <v>3</v>
      </c>
      <c r="I30" s="157">
        <f t="shared" si="1"/>
        <v>7.0833333333333339</v>
      </c>
    </row>
    <row r="31" spans="1:16" x14ac:dyDescent="0.3">
      <c r="A31" s="190" t="s">
        <v>179</v>
      </c>
      <c r="B31" s="190">
        <v>140</v>
      </c>
      <c r="C31" s="191">
        <v>280</v>
      </c>
      <c r="D31" s="191">
        <v>9</v>
      </c>
      <c r="E31" s="190" t="s">
        <v>105</v>
      </c>
      <c r="F31" s="143">
        <f t="shared" si="0"/>
        <v>2</v>
      </c>
      <c r="G31" s="190" t="s">
        <v>124</v>
      </c>
      <c r="H31" s="190">
        <v>2</v>
      </c>
      <c r="I31" s="157">
        <f t="shared" si="1"/>
        <v>5.4166666666666661</v>
      </c>
    </row>
    <row r="32" spans="1:16" x14ac:dyDescent="0.3">
      <c r="A32" s="190" t="s">
        <v>184</v>
      </c>
      <c r="B32" s="190">
        <v>200</v>
      </c>
      <c r="C32" s="191">
        <v>400</v>
      </c>
      <c r="D32" s="191">
        <v>1</v>
      </c>
      <c r="E32" s="190" t="s">
        <v>48</v>
      </c>
      <c r="F32" s="143">
        <f t="shared" si="0"/>
        <v>1</v>
      </c>
      <c r="G32" s="190" t="s">
        <v>186</v>
      </c>
      <c r="H32" s="190">
        <v>3</v>
      </c>
      <c r="I32" s="157">
        <f t="shared" si="1"/>
        <v>2.0833333333333335</v>
      </c>
    </row>
    <row r="33" spans="1:9" x14ac:dyDescent="0.3">
      <c r="A33" s="190" t="s">
        <v>188</v>
      </c>
      <c r="B33" s="190">
        <v>250</v>
      </c>
      <c r="C33" s="191">
        <v>500</v>
      </c>
      <c r="D33" s="191">
        <v>8</v>
      </c>
      <c r="E33" s="190" t="s">
        <v>105</v>
      </c>
      <c r="F33" s="143">
        <f t="shared" si="0"/>
        <v>2</v>
      </c>
      <c r="G33" s="190" t="s">
        <v>124</v>
      </c>
      <c r="H33" s="190">
        <v>2</v>
      </c>
      <c r="I33" s="157">
        <f t="shared" si="1"/>
        <v>5</v>
      </c>
    </row>
    <row r="34" spans="1:9" x14ac:dyDescent="0.3">
      <c r="A34" s="190" t="s">
        <v>191</v>
      </c>
      <c r="B34" s="190">
        <v>1200</v>
      </c>
      <c r="C34" s="191">
        <v>2400</v>
      </c>
      <c r="D34" s="191">
        <v>1</v>
      </c>
      <c r="E34" s="190" t="s">
        <v>105</v>
      </c>
      <c r="F34" s="143">
        <f t="shared" si="0"/>
        <v>2</v>
      </c>
      <c r="G34" s="190" t="s">
        <v>124</v>
      </c>
      <c r="H34" s="190">
        <v>2</v>
      </c>
      <c r="I34" s="157">
        <f t="shared" si="1"/>
        <v>2.0833333333333335</v>
      </c>
    </row>
    <row r="35" spans="1:9" x14ac:dyDescent="0.3">
      <c r="A35" s="190" t="s">
        <v>196</v>
      </c>
      <c r="B35" s="190">
        <v>87</v>
      </c>
      <c r="C35" s="191">
        <v>174</v>
      </c>
      <c r="D35" s="191">
        <v>9</v>
      </c>
      <c r="E35" s="190" t="s">
        <v>65</v>
      </c>
      <c r="F35" s="143">
        <f t="shared" si="0"/>
        <v>3</v>
      </c>
      <c r="G35" s="190" t="s">
        <v>79</v>
      </c>
      <c r="H35" s="190">
        <v>3</v>
      </c>
      <c r="I35" s="157">
        <f t="shared" si="1"/>
        <v>6.25</v>
      </c>
    </row>
    <row r="36" spans="1:9" x14ac:dyDescent="0.3">
      <c r="A36" s="190" t="s">
        <v>200</v>
      </c>
      <c r="B36" s="190">
        <v>822</v>
      </c>
      <c r="C36" s="191">
        <v>1644</v>
      </c>
      <c r="D36" s="191">
        <v>4</v>
      </c>
      <c r="E36" s="190" t="s">
        <v>65</v>
      </c>
      <c r="F36" s="143">
        <f t="shared" si="0"/>
        <v>3</v>
      </c>
      <c r="G36" s="190" t="s">
        <v>79</v>
      </c>
      <c r="H36" s="190">
        <v>3</v>
      </c>
      <c r="I36" s="157">
        <f t="shared" si="1"/>
        <v>4.166666666666667</v>
      </c>
    </row>
    <row r="37" spans="1:9" x14ac:dyDescent="0.3">
      <c r="A37" s="190" t="s">
        <v>203</v>
      </c>
      <c r="B37" s="190">
        <v>20</v>
      </c>
      <c r="C37" s="191">
        <v>40</v>
      </c>
      <c r="D37" s="191">
        <v>10</v>
      </c>
      <c r="E37" s="190" t="s">
        <v>48</v>
      </c>
      <c r="F37" s="143">
        <f t="shared" si="0"/>
        <v>1</v>
      </c>
      <c r="G37" s="190" t="s">
        <v>168</v>
      </c>
      <c r="H37" s="190">
        <v>2</v>
      </c>
      <c r="I37" s="157">
        <f t="shared" si="1"/>
        <v>5.4166666666666661</v>
      </c>
    </row>
    <row r="38" spans="1:9" x14ac:dyDescent="0.3">
      <c r="A38" s="190" t="s">
        <v>208</v>
      </c>
      <c r="B38" s="190">
        <v>100</v>
      </c>
      <c r="C38" s="191">
        <v>200</v>
      </c>
      <c r="D38" s="191">
        <v>9</v>
      </c>
      <c r="E38" s="190" t="s">
        <v>105</v>
      </c>
      <c r="F38" s="143">
        <f t="shared" si="0"/>
        <v>2</v>
      </c>
      <c r="G38" s="190" t="s">
        <v>124</v>
      </c>
      <c r="H38" s="190">
        <v>2</v>
      </c>
      <c r="I38" s="157">
        <f t="shared" si="1"/>
        <v>5.4166666666666661</v>
      </c>
    </row>
    <row r="39" spans="1:9" x14ac:dyDescent="0.3">
      <c r="A39" s="190" t="s">
        <v>213</v>
      </c>
      <c r="B39" s="190">
        <v>195</v>
      </c>
      <c r="C39" s="191">
        <v>390</v>
      </c>
      <c r="D39" s="191">
        <v>9</v>
      </c>
      <c r="E39" s="190" t="s">
        <v>57</v>
      </c>
      <c r="F39" s="143">
        <f t="shared" si="0"/>
        <v>4</v>
      </c>
      <c r="G39" s="190" t="s">
        <v>124</v>
      </c>
      <c r="H39" s="190">
        <v>2</v>
      </c>
      <c r="I39" s="157">
        <f t="shared" si="1"/>
        <v>6.25</v>
      </c>
    </row>
    <row r="40" spans="1:9" x14ac:dyDescent="0.3">
      <c r="A40" s="190" t="s">
        <v>215</v>
      </c>
      <c r="B40" s="190">
        <v>0</v>
      </c>
      <c r="C40" s="191">
        <v>0</v>
      </c>
      <c r="D40" s="191">
        <v>10</v>
      </c>
      <c r="E40" s="190" t="s">
        <v>57</v>
      </c>
      <c r="F40" s="143">
        <f t="shared" si="0"/>
        <v>4</v>
      </c>
      <c r="G40" s="190" t="s">
        <v>60</v>
      </c>
      <c r="H40" s="190">
        <v>1</v>
      </c>
      <c r="I40" s="157">
        <f t="shared" si="1"/>
        <v>6.25</v>
      </c>
    </row>
    <row r="41" spans="1:9" x14ac:dyDescent="0.3">
      <c r="A41" s="190" t="s">
        <v>218</v>
      </c>
      <c r="B41" s="190">
        <v>340</v>
      </c>
      <c r="C41" s="191">
        <v>680</v>
      </c>
      <c r="D41" s="191">
        <v>7</v>
      </c>
      <c r="E41" s="190" t="s">
        <v>57</v>
      </c>
      <c r="F41" s="143">
        <f t="shared" si="0"/>
        <v>4</v>
      </c>
      <c r="G41" s="190" t="s">
        <v>172</v>
      </c>
      <c r="H41" s="190">
        <v>3</v>
      </c>
      <c r="I41" s="157">
        <f t="shared" si="1"/>
        <v>5.8333333333333339</v>
      </c>
    </row>
    <row r="42" spans="1:9" x14ac:dyDescent="0.3">
      <c r="A42" s="190" t="s">
        <v>221</v>
      </c>
      <c r="B42" s="190">
        <v>22</v>
      </c>
      <c r="C42" s="191">
        <v>44</v>
      </c>
      <c r="D42" s="191">
        <v>10</v>
      </c>
      <c r="E42" s="190" t="s">
        <v>57</v>
      </c>
      <c r="F42" s="143">
        <f t="shared" si="0"/>
        <v>4</v>
      </c>
      <c r="G42" s="190" t="s">
        <v>124</v>
      </c>
      <c r="H42" s="190">
        <v>2</v>
      </c>
      <c r="I42" s="157">
        <f t="shared" si="1"/>
        <v>6.6666666666666661</v>
      </c>
    </row>
    <row r="43" spans="1:9" x14ac:dyDescent="0.3">
      <c r="A43" s="190" t="s">
        <v>224</v>
      </c>
      <c r="B43" s="190">
        <v>165</v>
      </c>
      <c r="C43" s="191">
        <v>330</v>
      </c>
      <c r="D43" s="191">
        <v>9</v>
      </c>
      <c r="E43" s="190" t="s">
        <v>65</v>
      </c>
      <c r="F43" s="143">
        <f t="shared" si="0"/>
        <v>3</v>
      </c>
      <c r="G43" s="190" t="s">
        <v>68</v>
      </c>
      <c r="H43" s="190">
        <v>2</v>
      </c>
      <c r="I43" s="157">
        <f t="shared" si="1"/>
        <v>5.8333333333333339</v>
      </c>
    </row>
    <row r="44" spans="1:9" x14ac:dyDescent="0.3">
      <c r="A44" s="190" t="s">
        <v>227</v>
      </c>
      <c r="B44" s="190">
        <v>0</v>
      </c>
      <c r="C44" s="191">
        <v>0</v>
      </c>
      <c r="D44" s="191">
        <v>10</v>
      </c>
      <c r="E44" s="190" t="s">
        <v>65</v>
      </c>
      <c r="F44" s="143">
        <f t="shared" si="0"/>
        <v>3</v>
      </c>
      <c r="G44" s="190" t="s">
        <v>229</v>
      </c>
      <c r="H44" s="190">
        <v>1</v>
      </c>
      <c r="I44" s="157">
        <f t="shared" si="1"/>
        <v>5.8333333333333339</v>
      </c>
    </row>
    <row r="45" spans="1:9" x14ac:dyDescent="0.3">
      <c r="A45" s="190" t="s">
        <v>231</v>
      </c>
      <c r="B45" s="190">
        <v>55</v>
      </c>
      <c r="C45" s="191">
        <v>110</v>
      </c>
      <c r="D45" s="191">
        <v>10</v>
      </c>
      <c r="E45" s="190" t="s">
        <v>57</v>
      </c>
      <c r="F45" s="143">
        <f t="shared" si="0"/>
        <v>4</v>
      </c>
      <c r="G45" s="190" t="s">
        <v>79</v>
      </c>
      <c r="H45" s="190">
        <v>3</v>
      </c>
      <c r="I45" s="157">
        <f t="shared" si="1"/>
        <v>7.0833333333333339</v>
      </c>
    </row>
    <row r="46" spans="1:9" x14ac:dyDescent="0.3">
      <c r="A46" s="190" t="s">
        <v>236</v>
      </c>
      <c r="B46" s="190">
        <v>470</v>
      </c>
      <c r="C46" s="191">
        <v>940</v>
      </c>
      <c r="D46" s="191">
        <v>6</v>
      </c>
      <c r="E46" s="190" t="s">
        <v>57</v>
      </c>
      <c r="F46" s="143">
        <f t="shared" si="0"/>
        <v>4</v>
      </c>
      <c r="G46" s="190" t="s">
        <v>238</v>
      </c>
      <c r="H46" s="190">
        <v>3</v>
      </c>
      <c r="I46" s="157">
        <f t="shared" si="1"/>
        <v>5.4166666666666661</v>
      </c>
    </row>
    <row r="47" spans="1:9" x14ac:dyDescent="0.3">
      <c r="A47" s="190" t="s">
        <v>240</v>
      </c>
      <c r="B47" s="190">
        <v>0</v>
      </c>
      <c r="C47" s="191">
        <v>0</v>
      </c>
      <c r="D47" s="191">
        <v>10</v>
      </c>
      <c r="E47" s="190" t="s">
        <v>57</v>
      </c>
      <c r="F47" s="143">
        <f t="shared" si="0"/>
        <v>4</v>
      </c>
      <c r="G47" s="190" t="s">
        <v>79</v>
      </c>
      <c r="H47" s="190">
        <v>3</v>
      </c>
      <c r="I47" s="157">
        <f t="shared" si="1"/>
        <v>7.0833333333333339</v>
      </c>
    </row>
    <row r="48" spans="1:9" x14ac:dyDescent="0.3">
      <c r="A48" s="190" t="s">
        <v>243</v>
      </c>
      <c r="B48" s="190">
        <v>272</v>
      </c>
      <c r="C48" s="191">
        <v>544</v>
      </c>
      <c r="D48" s="191">
        <v>8</v>
      </c>
      <c r="E48" s="190" t="s">
        <v>65</v>
      </c>
      <c r="F48" s="143">
        <f t="shared" si="0"/>
        <v>3</v>
      </c>
      <c r="G48" s="190" t="s">
        <v>124</v>
      </c>
      <c r="H48" s="190">
        <v>2</v>
      </c>
      <c r="I48" s="157">
        <f t="shared" si="1"/>
        <v>5.4166666666666661</v>
      </c>
    </row>
    <row r="49" spans="1:9" x14ac:dyDescent="0.3">
      <c r="A49" s="190" t="s">
        <v>247</v>
      </c>
      <c r="B49" s="190">
        <v>55</v>
      </c>
      <c r="C49" s="191">
        <v>110</v>
      </c>
      <c r="D49" s="191">
        <v>10</v>
      </c>
      <c r="E49" s="190" t="s">
        <v>48</v>
      </c>
      <c r="F49" s="143">
        <f t="shared" si="0"/>
        <v>1</v>
      </c>
      <c r="G49" s="190" t="s">
        <v>250</v>
      </c>
      <c r="H49" s="190">
        <v>3</v>
      </c>
      <c r="I49" s="157">
        <f t="shared" si="1"/>
        <v>5.8333333333333339</v>
      </c>
    </row>
    <row r="50" spans="1:9" x14ac:dyDescent="0.3">
      <c r="A50" s="190" t="s">
        <v>252</v>
      </c>
      <c r="B50" s="190">
        <v>107</v>
      </c>
      <c r="C50" s="191">
        <v>214</v>
      </c>
      <c r="D50" s="191">
        <v>9</v>
      </c>
      <c r="E50" s="190" t="s">
        <v>57</v>
      </c>
      <c r="F50" s="143">
        <f t="shared" si="0"/>
        <v>4</v>
      </c>
      <c r="G50" s="190" t="s">
        <v>254</v>
      </c>
      <c r="H50" s="190">
        <v>2</v>
      </c>
      <c r="I50" s="157">
        <f t="shared" si="1"/>
        <v>6.25</v>
      </c>
    </row>
    <row r="51" spans="1:9" x14ac:dyDescent="0.3">
      <c r="A51" s="190" t="s">
        <v>256</v>
      </c>
      <c r="B51" s="190">
        <v>160</v>
      </c>
      <c r="C51" s="191">
        <v>320</v>
      </c>
      <c r="D51" s="191">
        <v>9</v>
      </c>
      <c r="E51" s="190" t="s">
        <v>57</v>
      </c>
      <c r="F51" s="143">
        <f t="shared" si="0"/>
        <v>4</v>
      </c>
      <c r="G51" s="190" t="s">
        <v>124</v>
      </c>
      <c r="H51" s="190">
        <v>2</v>
      </c>
      <c r="I51" s="157">
        <f t="shared" si="1"/>
        <v>6.25</v>
      </c>
    </row>
    <row r="52" spans="1:9" x14ac:dyDescent="0.3">
      <c r="A52" s="190" t="s">
        <v>259</v>
      </c>
      <c r="B52" s="190">
        <v>168</v>
      </c>
      <c r="C52" s="191">
        <v>336</v>
      </c>
      <c r="D52" s="191">
        <v>9</v>
      </c>
      <c r="E52" s="190" t="s">
        <v>105</v>
      </c>
      <c r="F52" s="143">
        <f t="shared" si="0"/>
        <v>2</v>
      </c>
      <c r="G52" s="190" t="s">
        <v>60</v>
      </c>
      <c r="H52" s="190">
        <v>1</v>
      </c>
      <c r="I52" s="157">
        <f t="shared" si="1"/>
        <v>5</v>
      </c>
    </row>
    <row r="53" spans="1:9" x14ac:dyDescent="0.3">
      <c r="A53" s="190" t="s">
        <v>263</v>
      </c>
      <c r="B53" s="190">
        <v>16</v>
      </c>
      <c r="C53" s="191">
        <v>32</v>
      </c>
      <c r="D53" s="191">
        <v>10</v>
      </c>
      <c r="E53" s="190" t="s">
        <v>105</v>
      </c>
      <c r="F53" s="143">
        <f t="shared" si="0"/>
        <v>2</v>
      </c>
      <c r="G53" s="190" t="s">
        <v>238</v>
      </c>
      <c r="H53" s="190">
        <v>3</v>
      </c>
      <c r="I53" s="157">
        <f t="shared" si="1"/>
        <v>6.25</v>
      </c>
    </row>
    <row r="54" spans="1:9" x14ac:dyDescent="0.3">
      <c r="A54" s="190" t="s">
        <v>269</v>
      </c>
      <c r="B54" s="190">
        <v>300</v>
      </c>
      <c r="C54" s="191">
        <v>600</v>
      </c>
      <c r="D54" s="191">
        <v>8</v>
      </c>
      <c r="E54" s="190" t="s">
        <v>105</v>
      </c>
      <c r="F54" s="143">
        <f t="shared" si="0"/>
        <v>2</v>
      </c>
      <c r="G54" s="190" t="s">
        <v>74</v>
      </c>
      <c r="H54" s="190">
        <v>1</v>
      </c>
      <c r="I54" s="157">
        <f t="shared" si="1"/>
        <v>4.583333333333333</v>
      </c>
    </row>
    <row r="55" spans="1:9" x14ac:dyDescent="0.3">
      <c r="A55" s="190" t="s">
        <v>274</v>
      </c>
      <c r="B55" s="190">
        <v>10</v>
      </c>
      <c r="C55" s="191">
        <v>20</v>
      </c>
      <c r="D55" s="191">
        <v>10</v>
      </c>
      <c r="E55" s="190" t="s">
        <v>57</v>
      </c>
      <c r="F55" s="143">
        <f t="shared" si="0"/>
        <v>4</v>
      </c>
      <c r="G55" s="190" t="s">
        <v>277</v>
      </c>
      <c r="H55" s="190">
        <v>1</v>
      </c>
      <c r="I55" s="157">
        <f t="shared" si="1"/>
        <v>6.25</v>
      </c>
    </row>
    <row r="56" spans="1:9" x14ac:dyDescent="0.3">
      <c r="A56" s="190" t="s">
        <v>279</v>
      </c>
      <c r="B56" s="190">
        <v>60</v>
      </c>
      <c r="C56" s="191">
        <v>120</v>
      </c>
      <c r="D56" s="191">
        <v>10</v>
      </c>
      <c r="E56" s="190" t="s">
        <v>65</v>
      </c>
      <c r="F56" s="143">
        <f t="shared" si="0"/>
        <v>3</v>
      </c>
      <c r="G56" s="190" t="s">
        <v>74</v>
      </c>
      <c r="H56" s="190">
        <v>1</v>
      </c>
      <c r="I56" s="157">
        <f t="shared" si="1"/>
        <v>5.8333333333333339</v>
      </c>
    </row>
    <row r="57" spans="1:9" x14ac:dyDescent="0.3">
      <c r="A57" s="190" t="s">
        <v>283</v>
      </c>
      <c r="B57" s="190">
        <v>100</v>
      </c>
      <c r="C57" s="191">
        <v>200</v>
      </c>
      <c r="D57" s="191">
        <v>9</v>
      </c>
      <c r="E57" s="190" t="s">
        <v>48</v>
      </c>
      <c r="F57" s="143">
        <f t="shared" si="0"/>
        <v>1</v>
      </c>
      <c r="G57" s="190" t="s">
        <v>79</v>
      </c>
      <c r="H57" s="190">
        <v>3</v>
      </c>
      <c r="I57" s="157">
        <f t="shared" si="1"/>
        <v>5.4166666666666661</v>
      </c>
    </row>
    <row r="58" spans="1:9" x14ac:dyDescent="0.3">
      <c r="A58" s="190" t="s">
        <v>287</v>
      </c>
      <c r="B58" s="190">
        <v>0</v>
      </c>
      <c r="C58" s="191">
        <v>0</v>
      </c>
      <c r="D58" s="191">
        <v>10</v>
      </c>
      <c r="E58" s="190" t="s">
        <v>57</v>
      </c>
      <c r="F58" s="143">
        <f t="shared" si="0"/>
        <v>4</v>
      </c>
      <c r="G58" s="190" t="s">
        <v>290</v>
      </c>
      <c r="H58" s="190">
        <v>4</v>
      </c>
      <c r="I58" s="157">
        <f t="shared" si="1"/>
        <v>7.5</v>
      </c>
    </row>
    <row r="59" spans="1:9" x14ac:dyDescent="0.3">
      <c r="A59" s="190" t="s">
        <v>292</v>
      </c>
      <c r="B59" s="190">
        <v>250</v>
      </c>
      <c r="C59" s="191">
        <v>500</v>
      </c>
      <c r="D59" s="191">
        <v>1</v>
      </c>
      <c r="E59" s="190" t="s">
        <v>105</v>
      </c>
      <c r="F59" s="143">
        <f t="shared" si="0"/>
        <v>2</v>
      </c>
      <c r="G59" s="190" t="s">
        <v>294</v>
      </c>
      <c r="H59" s="190">
        <v>1</v>
      </c>
      <c r="I59" s="157">
        <f t="shared" si="1"/>
        <v>1.6666666666666665</v>
      </c>
    </row>
    <row r="60" spans="1:9" x14ac:dyDescent="0.3">
      <c r="A60" s="190" t="s">
        <v>297</v>
      </c>
      <c r="B60" s="190">
        <v>120</v>
      </c>
      <c r="C60" s="191">
        <v>240</v>
      </c>
      <c r="D60" s="191">
        <v>1</v>
      </c>
      <c r="E60" s="190" t="s">
        <v>105</v>
      </c>
      <c r="F60" s="143">
        <f t="shared" si="0"/>
        <v>2</v>
      </c>
      <c r="G60" s="190" t="s">
        <v>299</v>
      </c>
      <c r="H60" s="190">
        <v>3</v>
      </c>
      <c r="I60" s="157">
        <f t="shared" si="1"/>
        <v>2.5</v>
      </c>
    </row>
    <row r="61" spans="1:9" x14ac:dyDescent="0.3">
      <c r="A61" s="190" t="s">
        <v>302</v>
      </c>
      <c r="B61" s="190">
        <v>250</v>
      </c>
      <c r="C61" s="191">
        <v>500</v>
      </c>
      <c r="D61" s="191">
        <v>8</v>
      </c>
      <c r="E61" s="190" t="s">
        <v>57</v>
      </c>
      <c r="F61" s="143">
        <f t="shared" si="0"/>
        <v>4</v>
      </c>
      <c r="G61" s="190" t="s">
        <v>79</v>
      </c>
      <c r="H61" s="190">
        <v>3</v>
      </c>
      <c r="I61" s="157">
        <f t="shared" si="1"/>
        <v>6.25</v>
      </c>
    </row>
    <row r="62" spans="1:9" x14ac:dyDescent="0.3">
      <c r="A62" s="190" t="s">
        <v>305</v>
      </c>
      <c r="B62" s="190">
        <v>77</v>
      </c>
      <c r="C62" s="191">
        <v>154</v>
      </c>
      <c r="D62" s="191">
        <v>9</v>
      </c>
      <c r="E62" s="190" t="s">
        <v>57</v>
      </c>
      <c r="F62" s="143">
        <f t="shared" si="0"/>
        <v>4</v>
      </c>
      <c r="G62" s="190" t="s">
        <v>124</v>
      </c>
      <c r="H62" s="190">
        <v>2</v>
      </c>
      <c r="I62" s="157">
        <f t="shared" si="1"/>
        <v>6.25</v>
      </c>
    </row>
    <row r="63" spans="1:9" x14ac:dyDescent="0.3">
      <c r="A63" s="190" t="s">
        <v>309</v>
      </c>
      <c r="B63" s="190">
        <v>450</v>
      </c>
      <c r="C63" s="191">
        <v>900</v>
      </c>
      <c r="D63" s="191">
        <v>7</v>
      </c>
      <c r="E63" s="190" t="s">
        <v>48</v>
      </c>
      <c r="F63" s="143">
        <f t="shared" si="0"/>
        <v>1</v>
      </c>
      <c r="G63" s="190" t="s">
        <v>124</v>
      </c>
      <c r="H63" s="190">
        <v>2</v>
      </c>
      <c r="I63" s="157">
        <f t="shared" si="1"/>
        <v>4.166666666666667</v>
      </c>
    </row>
    <row r="64" spans="1:9" x14ac:dyDescent="0.3">
      <c r="A64" s="190" t="s">
        <v>313</v>
      </c>
      <c r="B64" s="190">
        <v>225</v>
      </c>
      <c r="C64" s="191">
        <v>450</v>
      </c>
      <c r="D64" s="191">
        <v>8</v>
      </c>
      <c r="E64" s="190" t="s">
        <v>57</v>
      </c>
      <c r="F64" s="143">
        <f t="shared" si="0"/>
        <v>4</v>
      </c>
      <c r="G64" s="190" t="s">
        <v>124</v>
      </c>
      <c r="H64" s="190">
        <v>2</v>
      </c>
      <c r="I64" s="157">
        <f t="shared" si="1"/>
        <v>5.8333333333333339</v>
      </c>
    </row>
    <row r="65" spans="1:9" x14ac:dyDescent="0.3">
      <c r="A65" s="190" t="s">
        <v>316</v>
      </c>
      <c r="B65" s="190">
        <v>82.5</v>
      </c>
      <c r="C65" s="191">
        <v>165</v>
      </c>
      <c r="D65" s="191">
        <v>9</v>
      </c>
      <c r="E65" s="190" t="s">
        <v>65</v>
      </c>
      <c r="F65" s="143">
        <f t="shared" si="0"/>
        <v>3</v>
      </c>
      <c r="G65" s="190" t="s">
        <v>124</v>
      </c>
      <c r="H65" s="190">
        <v>2</v>
      </c>
      <c r="I65" s="157">
        <f t="shared" si="1"/>
        <v>5.8333333333333339</v>
      </c>
    </row>
    <row r="66" spans="1:9" x14ac:dyDescent="0.3">
      <c r="A66" s="97"/>
      <c r="B66" s="97"/>
      <c r="C66" s="181">
        <v>2400</v>
      </c>
      <c r="D66" s="97"/>
      <c r="E66" s="97"/>
      <c r="F66" s="97"/>
      <c r="G66" s="97"/>
      <c r="H66" s="97"/>
      <c r="I66" s="260">
        <f>AVERAGE(I3:I65)</f>
        <v>5.3505291005291005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6CB33-2E3B-4E13-8097-C1BB2098B202}">
  <dimension ref="A1:V149"/>
  <sheetViews>
    <sheetView topLeftCell="J1" zoomScale="78" workbookViewId="0">
      <selection activeCell="A3" sqref="A3"/>
    </sheetView>
  </sheetViews>
  <sheetFormatPr baseColWidth="10" defaultColWidth="8.88671875" defaultRowHeight="14.4" x14ac:dyDescent="0.3"/>
  <cols>
    <col min="1" max="1" width="16" customWidth="1"/>
    <col min="2" max="2" width="22.88671875" bestFit="1" customWidth="1"/>
    <col min="3" max="3" width="19.109375" bestFit="1" customWidth="1"/>
    <col min="4" max="4" width="18.6640625" bestFit="1" customWidth="1"/>
    <col min="5" max="5" width="15.88671875" bestFit="1" customWidth="1"/>
    <col min="6" max="6" width="50.44140625" customWidth="1"/>
    <col min="7" max="7" width="12.33203125" style="94" bestFit="1" customWidth="1"/>
    <col min="8" max="8" width="37.21875" customWidth="1"/>
    <col min="9" max="9" width="54.6640625" bestFit="1" customWidth="1"/>
    <col min="10" max="10" width="26.5546875" customWidth="1"/>
    <col min="11" max="11" width="18.6640625" customWidth="1"/>
    <col min="12" max="12" width="29.44140625" customWidth="1"/>
    <col min="13" max="14" width="12.21875" style="143" customWidth="1"/>
    <col min="15" max="15" width="12.109375" customWidth="1"/>
    <col min="16" max="16" width="12.109375" style="143" customWidth="1"/>
    <col min="17" max="17" width="15.109375" style="143" customWidth="1"/>
  </cols>
  <sheetData>
    <row r="1" spans="1:22" ht="18" x14ac:dyDescent="0.3">
      <c r="A1" s="43" t="s">
        <v>7</v>
      </c>
      <c r="B1" s="43" t="s">
        <v>8</v>
      </c>
      <c r="C1" s="43" t="s">
        <v>9</v>
      </c>
      <c r="D1" s="44" t="s">
        <v>11</v>
      </c>
      <c r="E1" s="43" t="s">
        <v>12</v>
      </c>
      <c r="F1" s="43" t="s">
        <v>13</v>
      </c>
      <c r="G1" s="96" t="s">
        <v>23</v>
      </c>
      <c r="H1" s="287" t="s">
        <v>797</v>
      </c>
      <c r="I1" s="288"/>
      <c r="J1" s="288"/>
      <c r="K1" s="288"/>
      <c r="L1" s="289"/>
      <c r="M1" s="156" t="s">
        <v>337</v>
      </c>
      <c r="N1" s="156" t="s">
        <v>798</v>
      </c>
      <c r="O1" s="43" t="s">
        <v>799</v>
      </c>
      <c r="P1" s="156" t="s">
        <v>337</v>
      </c>
      <c r="Q1" s="156" t="s">
        <v>800</v>
      </c>
      <c r="R1" s="248"/>
    </row>
    <row r="2" spans="1:22" ht="15" thickBot="1" x14ac:dyDescent="0.35">
      <c r="A2" s="45" t="s">
        <v>39</v>
      </c>
      <c r="B2" s="45">
        <v>0</v>
      </c>
      <c r="C2" s="45">
        <v>0</v>
      </c>
      <c r="D2" s="45">
        <v>0</v>
      </c>
      <c r="E2" s="45">
        <v>0</v>
      </c>
      <c r="F2" s="45">
        <v>0</v>
      </c>
      <c r="G2" s="45" t="s">
        <v>45</v>
      </c>
      <c r="H2" s="45" t="s">
        <v>801</v>
      </c>
      <c r="I2" s="45" t="s">
        <v>802</v>
      </c>
      <c r="J2" s="45" t="s">
        <v>803</v>
      </c>
      <c r="K2" s="45" t="s">
        <v>804</v>
      </c>
      <c r="L2" s="45" t="s">
        <v>805</v>
      </c>
      <c r="M2" s="174" t="s">
        <v>806</v>
      </c>
      <c r="N2" s="174" t="s">
        <v>807</v>
      </c>
      <c r="O2" s="45" t="s">
        <v>808</v>
      </c>
      <c r="P2" s="174" t="s">
        <v>809</v>
      </c>
      <c r="Q2" s="174"/>
    </row>
    <row r="3" spans="1:22" ht="15" thickTop="1" x14ac:dyDescent="0.3">
      <c r="A3" s="47" t="s">
        <v>47</v>
      </c>
      <c r="B3" t="s">
        <v>48</v>
      </c>
      <c r="C3" s="47" t="s">
        <v>49</v>
      </c>
      <c r="D3" s="47" t="s">
        <v>51</v>
      </c>
      <c r="E3" s="47" t="s">
        <v>52</v>
      </c>
      <c r="F3" s="47" t="s">
        <v>53</v>
      </c>
      <c r="G3" s="94">
        <v>60</v>
      </c>
      <c r="H3" s="47" t="s">
        <v>810</v>
      </c>
      <c r="I3" s="47" t="s">
        <v>811</v>
      </c>
      <c r="M3" s="143">
        <f>COUNTIF(H3:L3,"*")</f>
        <v>2</v>
      </c>
      <c r="N3" s="143">
        <f>M3*2</f>
        <v>4</v>
      </c>
      <c r="O3" t="s">
        <v>812</v>
      </c>
      <c r="P3" s="143">
        <f>COUNTIF(O3,"*")</f>
        <v>1</v>
      </c>
      <c r="Q3" s="143">
        <f>SUM(N3,P3)</f>
        <v>5</v>
      </c>
    </row>
    <row r="4" spans="1:22" x14ac:dyDescent="0.3">
      <c r="A4" s="46" t="s">
        <v>56</v>
      </c>
      <c r="B4" t="s">
        <v>57</v>
      </c>
      <c r="C4" s="46" t="s">
        <v>58</v>
      </c>
      <c r="D4" s="46" t="s">
        <v>60</v>
      </c>
      <c r="E4" s="46" t="s">
        <v>61</v>
      </c>
      <c r="F4" s="46" t="s">
        <v>62</v>
      </c>
      <c r="G4" s="145">
        <v>60</v>
      </c>
      <c r="H4" s="46" t="s">
        <v>813</v>
      </c>
      <c r="I4" s="46"/>
      <c r="J4" s="46"/>
      <c r="K4" s="46"/>
      <c r="L4" s="46"/>
      <c r="M4" s="143">
        <f t="shared" ref="M4:M65" si="0">COUNTIF(H4:L4,"*")</f>
        <v>1</v>
      </c>
      <c r="N4" s="143">
        <f t="shared" ref="N4:N65" si="1">M4*2</f>
        <v>2</v>
      </c>
      <c r="P4" s="143">
        <f t="shared" ref="P4:P65" si="2">COUNTIF(O4,"*")</f>
        <v>0</v>
      </c>
      <c r="Q4" s="143">
        <f t="shared" ref="Q4:Q65" si="3">SUM(N4,P4)</f>
        <v>2</v>
      </c>
    </row>
    <row r="5" spans="1:22" x14ac:dyDescent="0.3">
      <c r="A5" s="46" t="s">
        <v>64</v>
      </c>
      <c r="B5" t="s">
        <v>65</v>
      </c>
      <c r="C5" t="s">
        <v>66</v>
      </c>
      <c r="D5" t="s">
        <v>68</v>
      </c>
      <c r="E5" t="s">
        <v>69</v>
      </c>
      <c r="F5" t="s">
        <v>70</v>
      </c>
      <c r="G5" s="94">
        <v>40</v>
      </c>
      <c r="H5" s="13" t="s">
        <v>814</v>
      </c>
      <c r="J5" s="13"/>
      <c r="K5" s="13" t="s">
        <v>815</v>
      </c>
      <c r="L5" s="13"/>
      <c r="M5" s="143">
        <f t="shared" si="0"/>
        <v>2</v>
      </c>
      <c r="N5" s="143">
        <f t="shared" si="1"/>
        <v>4</v>
      </c>
      <c r="P5" s="143">
        <f t="shared" si="2"/>
        <v>0</v>
      </c>
      <c r="Q5" s="143">
        <f t="shared" si="3"/>
        <v>4</v>
      </c>
    </row>
    <row r="6" spans="1:22" x14ac:dyDescent="0.3">
      <c r="A6" s="47" t="s">
        <v>72</v>
      </c>
      <c r="B6" t="s">
        <v>48</v>
      </c>
      <c r="C6" s="47" t="s">
        <v>49</v>
      </c>
      <c r="D6" s="47" t="s">
        <v>74</v>
      </c>
      <c r="E6" s="47" t="s">
        <v>75</v>
      </c>
      <c r="F6" s="47" t="s">
        <v>76</v>
      </c>
      <c r="G6" s="94">
        <v>60</v>
      </c>
      <c r="H6" s="249" t="s">
        <v>813</v>
      </c>
      <c r="I6" t="s">
        <v>816</v>
      </c>
      <c r="J6" s="47" t="s">
        <v>817</v>
      </c>
      <c r="K6" s="47" t="s">
        <v>818</v>
      </c>
      <c r="M6" s="143">
        <f t="shared" si="0"/>
        <v>4</v>
      </c>
      <c r="N6" s="143">
        <f t="shared" si="1"/>
        <v>8</v>
      </c>
      <c r="P6" s="143">
        <f t="shared" si="2"/>
        <v>0</v>
      </c>
      <c r="Q6" s="143">
        <f t="shared" si="3"/>
        <v>8</v>
      </c>
    </row>
    <row r="7" spans="1:22" x14ac:dyDescent="0.3">
      <c r="A7" s="47" t="s">
        <v>77</v>
      </c>
      <c r="B7" t="s">
        <v>48</v>
      </c>
      <c r="C7" s="47" t="s">
        <v>49</v>
      </c>
      <c r="D7" s="47" t="s">
        <v>79</v>
      </c>
      <c r="E7" s="47" t="s">
        <v>80</v>
      </c>
      <c r="F7" s="47" t="s">
        <v>81</v>
      </c>
      <c r="G7" s="94">
        <v>30</v>
      </c>
      <c r="H7" s="249" t="s">
        <v>813</v>
      </c>
      <c r="K7" t="s">
        <v>819</v>
      </c>
      <c r="M7" s="143">
        <f t="shared" si="0"/>
        <v>2</v>
      </c>
      <c r="N7" s="143">
        <f t="shared" si="1"/>
        <v>4</v>
      </c>
      <c r="P7" s="143">
        <f t="shared" si="2"/>
        <v>0</v>
      </c>
      <c r="Q7" s="143">
        <f t="shared" si="3"/>
        <v>4</v>
      </c>
    </row>
    <row r="8" spans="1:22" x14ac:dyDescent="0.3">
      <c r="A8" s="46" t="s">
        <v>83</v>
      </c>
      <c r="B8" t="s">
        <v>57</v>
      </c>
      <c r="C8" s="46" t="s">
        <v>84</v>
      </c>
      <c r="D8" s="46" t="s">
        <v>86</v>
      </c>
      <c r="E8" s="46" t="s">
        <v>87</v>
      </c>
      <c r="F8" s="46" t="s">
        <v>88</v>
      </c>
      <c r="G8" s="145">
        <v>60</v>
      </c>
      <c r="H8" s="249" t="s">
        <v>813</v>
      </c>
      <c r="I8" s="46" t="s">
        <v>820</v>
      </c>
      <c r="J8" s="46"/>
      <c r="K8" s="46"/>
      <c r="L8" s="46"/>
      <c r="M8" s="143">
        <f t="shared" si="0"/>
        <v>2</v>
      </c>
      <c r="N8" s="143">
        <f t="shared" si="1"/>
        <v>4</v>
      </c>
      <c r="P8" s="143">
        <f t="shared" si="2"/>
        <v>0</v>
      </c>
      <c r="Q8" s="143">
        <f t="shared" si="3"/>
        <v>4</v>
      </c>
      <c r="V8" s="250"/>
    </row>
    <row r="9" spans="1:22" x14ac:dyDescent="0.3">
      <c r="A9" s="46" t="s">
        <v>89</v>
      </c>
      <c r="B9" t="s">
        <v>57</v>
      </c>
      <c r="C9" s="46" t="s">
        <v>90</v>
      </c>
      <c r="D9" s="46" t="s">
        <v>74</v>
      </c>
      <c r="E9" s="46" t="s">
        <v>92</v>
      </c>
      <c r="F9" s="46" t="s">
        <v>93</v>
      </c>
      <c r="G9" s="145">
        <v>70</v>
      </c>
      <c r="H9" s="249" t="s">
        <v>813</v>
      </c>
      <c r="I9" s="5" t="s">
        <v>821</v>
      </c>
      <c r="J9" s="46" t="s">
        <v>822</v>
      </c>
      <c r="K9" s="46" t="s">
        <v>823</v>
      </c>
      <c r="L9" s="46"/>
      <c r="M9" s="143">
        <f t="shared" si="0"/>
        <v>4</v>
      </c>
      <c r="N9" s="143">
        <f t="shared" si="1"/>
        <v>8</v>
      </c>
      <c r="P9" s="143">
        <f t="shared" si="2"/>
        <v>0</v>
      </c>
      <c r="Q9" s="143">
        <f t="shared" si="3"/>
        <v>8</v>
      </c>
      <c r="V9" s="251"/>
    </row>
    <row r="10" spans="1:22" x14ac:dyDescent="0.3">
      <c r="A10" s="46" t="s">
        <v>95</v>
      </c>
      <c r="B10" t="s">
        <v>57</v>
      </c>
      <c r="C10" s="46" t="s">
        <v>96</v>
      </c>
      <c r="D10" s="46" t="s">
        <v>60</v>
      </c>
      <c r="E10" s="46" t="s">
        <v>98</v>
      </c>
      <c r="F10" s="46" t="s">
        <v>99</v>
      </c>
      <c r="G10" s="145">
        <v>60</v>
      </c>
      <c r="H10" s="46" t="s">
        <v>813</v>
      </c>
      <c r="I10" s="5" t="s">
        <v>824</v>
      </c>
      <c r="J10" s="46"/>
      <c r="K10" s="46"/>
      <c r="L10" s="46"/>
      <c r="M10" s="143">
        <f t="shared" si="0"/>
        <v>2</v>
      </c>
      <c r="N10" s="143">
        <f t="shared" si="1"/>
        <v>4</v>
      </c>
      <c r="P10" s="143">
        <f t="shared" si="2"/>
        <v>0</v>
      </c>
      <c r="Q10" s="143">
        <f t="shared" si="3"/>
        <v>4</v>
      </c>
      <c r="V10" s="250"/>
    </row>
    <row r="11" spans="1:22" x14ac:dyDescent="0.3">
      <c r="A11" s="46" t="s">
        <v>100</v>
      </c>
      <c r="B11" t="s">
        <v>57</v>
      </c>
      <c r="C11" s="46" t="s">
        <v>58</v>
      </c>
      <c r="D11" s="46" t="s">
        <v>102</v>
      </c>
      <c r="E11" s="46" t="s">
        <v>61</v>
      </c>
      <c r="F11" s="46" t="s">
        <v>103</v>
      </c>
      <c r="G11" s="145">
        <v>40</v>
      </c>
      <c r="H11" s="249" t="s">
        <v>813</v>
      </c>
      <c r="I11" s="46" t="s">
        <v>825</v>
      </c>
      <c r="J11" s="46"/>
      <c r="K11" s="46"/>
      <c r="L11" s="46"/>
      <c r="M11" s="143">
        <f t="shared" si="0"/>
        <v>2</v>
      </c>
      <c r="N11" s="143">
        <f t="shared" si="1"/>
        <v>4</v>
      </c>
      <c r="P11" s="143">
        <f t="shared" si="2"/>
        <v>0</v>
      </c>
      <c r="Q11" s="143">
        <f t="shared" si="3"/>
        <v>4</v>
      </c>
      <c r="V11" s="251"/>
    </row>
    <row r="12" spans="1:22" x14ac:dyDescent="0.3">
      <c r="A12" s="46" t="s">
        <v>104</v>
      </c>
      <c r="B12" t="s">
        <v>105</v>
      </c>
      <c r="C12" t="s">
        <v>106</v>
      </c>
      <c r="D12" t="s">
        <v>108</v>
      </c>
      <c r="E12" t="s">
        <v>109</v>
      </c>
      <c r="F12" t="s">
        <v>110</v>
      </c>
      <c r="G12" s="94">
        <v>12</v>
      </c>
      <c r="H12" s="13" t="s">
        <v>826</v>
      </c>
      <c r="I12" s="13" t="s">
        <v>827</v>
      </c>
      <c r="K12" s="13" t="s">
        <v>828</v>
      </c>
      <c r="L12" s="13"/>
      <c r="M12" s="143">
        <f t="shared" si="0"/>
        <v>3</v>
      </c>
      <c r="N12" s="143">
        <f t="shared" si="1"/>
        <v>6</v>
      </c>
      <c r="P12" s="143">
        <f t="shared" si="2"/>
        <v>0</v>
      </c>
      <c r="Q12" s="143">
        <f t="shared" si="3"/>
        <v>6</v>
      </c>
      <c r="V12" s="250"/>
    </row>
    <row r="13" spans="1:22" x14ac:dyDescent="0.3">
      <c r="A13" s="46" t="s">
        <v>112</v>
      </c>
      <c r="B13" t="s">
        <v>105</v>
      </c>
      <c r="C13" t="s">
        <v>113</v>
      </c>
      <c r="D13" t="s">
        <v>108</v>
      </c>
      <c r="E13" t="s">
        <v>52</v>
      </c>
      <c r="F13" t="s">
        <v>115</v>
      </c>
      <c r="G13" s="94">
        <v>5</v>
      </c>
      <c r="H13" s="249" t="s">
        <v>813</v>
      </c>
      <c r="I13" s="251"/>
      <c r="J13" s="13"/>
      <c r="K13" s="13"/>
      <c r="L13" s="252" t="s">
        <v>829</v>
      </c>
      <c r="M13" s="143">
        <f t="shared" si="0"/>
        <v>2</v>
      </c>
      <c r="N13" s="143">
        <f t="shared" si="1"/>
        <v>4</v>
      </c>
      <c r="O13" t="s">
        <v>830</v>
      </c>
      <c r="P13" s="143">
        <f t="shared" si="2"/>
        <v>1</v>
      </c>
      <c r="Q13" s="143">
        <f t="shared" si="3"/>
        <v>5</v>
      </c>
      <c r="V13" s="251"/>
    </row>
    <row r="14" spans="1:22" x14ac:dyDescent="0.3">
      <c r="A14" s="46" t="s">
        <v>117</v>
      </c>
      <c r="B14" t="s">
        <v>57</v>
      </c>
      <c r="C14" s="46" t="s">
        <v>118</v>
      </c>
      <c r="D14" s="46" t="s">
        <v>60</v>
      </c>
      <c r="E14" s="46" t="s">
        <v>98</v>
      </c>
      <c r="F14" s="46" t="s">
        <v>120</v>
      </c>
      <c r="G14" s="145">
        <v>60</v>
      </c>
      <c r="H14" s="46" t="s">
        <v>813</v>
      </c>
      <c r="I14" s="253"/>
      <c r="J14" s="46"/>
      <c r="K14" s="46"/>
      <c r="L14" s="46"/>
      <c r="M14" s="143">
        <f t="shared" si="0"/>
        <v>1</v>
      </c>
      <c r="N14" s="143">
        <f t="shared" si="1"/>
        <v>2</v>
      </c>
      <c r="P14" s="143">
        <f t="shared" si="2"/>
        <v>0</v>
      </c>
      <c r="Q14" s="143">
        <f t="shared" si="3"/>
        <v>2</v>
      </c>
      <c r="V14" s="251"/>
    </row>
    <row r="15" spans="1:22" x14ac:dyDescent="0.3">
      <c r="A15" s="46" t="s">
        <v>121</v>
      </c>
      <c r="B15" t="s">
        <v>65</v>
      </c>
      <c r="C15" t="s">
        <v>122</v>
      </c>
      <c r="D15" t="s">
        <v>124</v>
      </c>
      <c r="E15" t="s">
        <v>92</v>
      </c>
      <c r="F15" t="s">
        <v>125</v>
      </c>
      <c r="G15" s="94">
        <v>60</v>
      </c>
      <c r="H15" s="249" t="s">
        <v>813</v>
      </c>
      <c r="I15" s="13" t="s">
        <v>831</v>
      </c>
      <c r="J15" s="13"/>
      <c r="K15" s="13"/>
      <c r="L15" s="252" t="s">
        <v>832</v>
      </c>
      <c r="M15" s="143">
        <f t="shared" si="0"/>
        <v>3</v>
      </c>
      <c r="N15" s="143">
        <f t="shared" si="1"/>
        <v>6</v>
      </c>
      <c r="P15" s="143">
        <f t="shared" si="2"/>
        <v>0</v>
      </c>
      <c r="Q15" s="143">
        <f t="shared" si="3"/>
        <v>6</v>
      </c>
      <c r="V15" s="250"/>
    </row>
    <row r="16" spans="1:22" x14ac:dyDescent="0.3">
      <c r="A16" s="46" t="s">
        <v>127</v>
      </c>
      <c r="B16" t="s">
        <v>65</v>
      </c>
      <c r="C16" t="s">
        <v>122</v>
      </c>
      <c r="D16" t="s">
        <v>124</v>
      </c>
      <c r="E16" t="s">
        <v>92</v>
      </c>
      <c r="F16" t="s">
        <v>129</v>
      </c>
      <c r="G16" s="94">
        <v>60</v>
      </c>
      <c r="H16" s="13" t="s">
        <v>813</v>
      </c>
      <c r="I16" s="251"/>
      <c r="J16" s="13"/>
      <c r="K16" s="13"/>
      <c r="L16" s="13"/>
      <c r="M16" s="143">
        <f t="shared" si="0"/>
        <v>1</v>
      </c>
      <c r="N16" s="143">
        <f t="shared" si="1"/>
        <v>2</v>
      </c>
      <c r="P16" s="143">
        <f t="shared" si="2"/>
        <v>0</v>
      </c>
      <c r="Q16" s="143">
        <f t="shared" si="3"/>
        <v>2</v>
      </c>
      <c r="V16" s="251"/>
    </row>
    <row r="17" spans="1:22" x14ac:dyDescent="0.3">
      <c r="A17" s="46" t="s">
        <v>130</v>
      </c>
      <c r="B17" t="s">
        <v>105</v>
      </c>
      <c r="C17" t="s">
        <v>106</v>
      </c>
      <c r="D17" t="s">
        <v>51</v>
      </c>
      <c r="E17" t="s">
        <v>132</v>
      </c>
      <c r="F17" t="s">
        <v>133</v>
      </c>
      <c r="G17" s="94">
        <v>30</v>
      </c>
      <c r="H17" s="249" t="s">
        <v>813</v>
      </c>
      <c r="I17" s="13" t="s">
        <v>833</v>
      </c>
      <c r="J17" s="13"/>
      <c r="K17" s="13"/>
      <c r="L17" s="252" t="s">
        <v>834</v>
      </c>
      <c r="M17" s="143">
        <f t="shared" si="0"/>
        <v>3</v>
      </c>
      <c r="N17" s="143">
        <f t="shared" si="1"/>
        <v>6</v>
      </c>
      <c r="P17" s="143">
        <f t="shared" si="2"/>
        <v>0</v>
      </c>
      <c r="Q17" s="143">
        <f t="shared" si="3"/>
        <v>6</v>
      </c>
      <c r="V17" s="250"/>
    </row>
    <row r="18" spans="1:22" x14ac:dyDescent="0.3">
      <c r="A18" s="46" t="s">
        <v>135</v>
      </c>
      <c r="B18" t="s">
        <v>65</v>
      </c>
      <c r="C18" t="s">
        <v>136</v>
      </c>
      <c r="D18" t="s">
        <v>51</v>
      </c>
      <c r="E18" t="s">
        <v>98</v>
      </c>
      <c r="F18" t="s">
        <v>138</v>
      </c>
      <c r="G18" s="94">
        <v>60</v>
      </c>
      <c r="H18" s="249" t="s">
        <v>813</v>
      </c>
      <c r="I18" s="251"/>
      <c r="J18" s="13"/>
      <c r="K18" s="13"/>
      <c r="L18" s="252" t="s">
        <v>835</v>
      </c>
      <c r="M18" s="143">
        <f t="shared" si="0"/>
        <v>2</v>
      </c>
      <c r="N18" s="143">
        <f t="shared" si="1"/>
        <v>4</v>
      </c>
      <c r="P18" s="143">
        <f t="shared" si="2"/>
        <v>0</v>
      </c>
      <c r="Q18" s="143">
        <f t="shared" si="3"/>
        <v>4</v>
      </c>
      <c r="V18" s="251"/>
    </row>
    <row r="19" spans="1:22" x14ac:dyDescent="0.3">
      <c r="A19" s="46" t="s">
        <v>139</v>
      </c>
      <c r="B19" t="s">
        <v>65</v>
      </c>
      <c r="C19" t="s">
        <v>136</v>
      </c>
      <c r="D19" t="s">
        <v>79</v>
      </c>
      <c r="E19" t="s">
        <v>141</v>
      </c>
      <c r="F19" t="s">
        <v>142</v>
      </c>
      <c r="G19" s="94">
        <v>60</v>
      </c>
      <c r="H19" s="249" t="s">
        <v>813</v>
      </c>
      <c r="I19" s="13" t="s">
        <v>836</v>
      </c>
      <c r="J19" s="13"/>
      <c r="K19" s="13"/>
      <c r="L19" s="13"/>
      <c r="M19" s="143">
        <f t="shared" si="0"/>
        <v>2</v>
      </c>
      <c r="N19" s="143">
        <f t="shared" si="1"/>
        <v>4</v>
      </c>
      <c r="P19" s="143">
        <f t="shared" si="2"/>
        <v>0</v>
      </c>
      <c r="Q19" s="143">
        <f t="shared" si="3"/>
        <v>4</v>
      </c>
      <c r="V19" s="251"/>
    </row>
    <row r="20" spans="1:22" x14ac:dyDescent="0.3">
      <c r="A20" s="46" t="s">
        <v>143</v>
      </c>
      <c r="B20" t="s">
        <v>57</v>
      </c>
      <c r="C20" s="46" t="s">
        <v>96</v>
      </c>
      <c r="D20" s="46" t="s">
        <v>60</v>
      </c>
      <c r="E20" s="46" t="s">
        <v>87</v>
      </c>
      <c r="F20" s="46" t="s">
        <v>145</v>
      </c>
      <c r="G20" s="145">
        <v>60</v>
      </c>
      <c r="H20" s="46" t="s">
        <v>831</v>
      </c>
      <c r="I20" s="5" t="s">
        <v>824</v>
      </c>
      <c r="J20" s="46"/>
      <c r="K20" s="46"/>
      <c r="L20" s="46"/>
      <c r="M20" s="143">
        <f t="shared" si="0"/>
        <v>2</v>
      </c>
      <c r="N20" s="143">
        <f t="shared" si="1"/>
        <v>4</v>
      </c>
      <c r="P20" s="143">
        <f t="shared" si="2"/>
        <v>0</v>
      </c>
      <c r="Q20" s="143">
        <f t="shared" si="3"/>
        <v>4</v>
      </c>
    </row>
    <row r="21" spans="1:22" x14ac:dyDescent="0.3">
      <c r="A21" s="46" t="s">
        <v>146</v>
      </c>
      <c r="B21" t="s">
        <v>65</v>
      </c>
      <c r="C21" t="s">
        <v>66</v>
      </c>
      <c r="D21" t="s">
        <v>68</v>
      </c>
      <c r="E21" t="s">
        <v>98</v>
      </c>
      <c r="F21" t="s">
        <v>148</v>
      </c>
      <c r="G21" s="94">
        <v>40</v>
      </c>
      <c r="H21" s="249" t="s">
        <v>813</v>
      </c>
      <c r="I21" s="13" t="s">
        <v>837</v>
      </c>
      <c r="J21" s="13"/>
      <c r="K21" s="13"/>
      <c r="L21" s="13"/>
      <c r="M21" s="143">
        <f t="shared" si="0"/>
        <v>2</v>
      </c>
      <c r="N21" s="143">
        <f t="shared" si="1"/>
        <v>4</v>
      </c>
      <c r="P21" s="143">
        <f t="shared" si="2"/>
        <v>0</v>
      </c>
      <c r="Q21" s="143">
        <f t="shared" si="3"/>
        <v>4</v>
      </c>
    </row>
    <row r="22" spans="1:22" s="254" customFormat="1" x14ac:dyDescent="0.3">
      <c r="A22" s="254" t="s">
        <v>149</v>
      </c>
      <c r="B22" s="254" t="s">
        <v>65</v>
      </c>
      <c r="C22" s="254" t="s">
        <v>66</v>
      </c>
      <c r="D22" s="254" t="s">
        <v>60</v>
      </c>
      <c r="E22" s="254" t="s">
        <v>151</v>
      </c>
      <c r="F22" s="254" t="s">
        <v>152</v>
      </c>
      <c r="G22" s="255">
        <v>20</v>
      </c>
      <c r="H22" s="256" t="s">
        <v>444</v>
      </c>
      <c r="I22" s="256" t="s">
        <v>838</v>
      </c>
      <c r="J22" s="256"/>
      <c r="K22" s="256"/>
      <c r="L22" s="256"/>
      <c r="M22" s="180">
        <v>0</v>
      </c>
      <c r="N22" s="143">
        <v>1</v>
      </c>
      <c r="P22" s="143">
        <f t="shared" si="2"/>
        <v>0</v>
      </c>
      <c r="Q22" s="143">
        <f t="shared" si="3"/>
        <v>1</v>
      </c>
    </row>
    <row r="23" spans="1:22" x14ac:dyDescent="0.3">
      <c r="A23" s="46" t="s">
        <v>153</v>
      </c>
      <c r="B23" t="s">
        <v>65</v>
      </c>
      <c r="C23" s="46" t="s">
        <v>66</v>
      </c>
      <c r="D23" s="46" t="s">
        <v>60</v>
      </c>
      <c r="E23" s="46" t="s">
        <v>154</v>
      </c>
      <c r="F23" s="46">
        <v>2022</v>
      </c>
      <c r="G23" s="145">
        <v>40</v>
      </c>
      <c r="H23" s="249" t="s">
        <v>813</v>
      </c>
      <c r="I23" s="47" t="s">
        <v>839</v>
      </c>
      <c r="J23" s="47"/>
      <c r="K23" s="13" t="s">
        <v>840</v>
      </c>
      <c r="L23" s="47"/>
      <c r="M23" s="143">
        <f t="shared" si="0"/>
        <v>3</v>
      </c>
      <c r="N23" s="143">
        <f t="shared" si="1"/>
        <v>6</v>
      </c>
      <c r="P23" s="143">
        <f t="shared" si="2"/>
        <v>0</v>
      </c>
      <c r="Q23" s="143">
        <f t="shared" si="3"/>
        <v>6</v>
      </c>
    </row>
    <row r="24" spans="1:22" s="254" customFormat="1" x14ac:dyDescent="0.3">
      <c r="A24" s="254" t="s">
        <v>155</v>
      </c>
      <c r="B24" s="254" t="s">
        <v>65</v>
      </c>
      <c r="C24" s="254" t="s">
        <v>136</v>
      </c>
      <c r="D24" s="254" t="s">
        <v>51</v>
      </c>
      <c r="E24" s="254" t="s">
        <v>154</v>
      </c>
      <c r="F24" s="254" t="s">
        <v>157</v>
      </c>
      <c r="G24" s="255">
        <v>20</v>
      </c>
      <c r="H24" s="256" t="s">
        <v>444</v>
      </c>
      <c r="I24" s="256"/>
      <c r="J24" s="256"/>
      <c r="K24" s="256"/>
      <c r="L24" s="256"/>
      <c r="M24" s="180">
        <v>0</v>
      </c>
      <c r="N24" s="143">
        <v>1</v>
      </c>
      <c r="P24" s="143">
        <f t="shared" si="2"/>
        <v>0</v>
      </c>
      <c r="Q24" s="143">
        <f t="shared" si="3"/>
        <v>1</v>
      </c>
    </row>
    <row r="25" spans="1:22" x14ac:dyDescent="0.3">
      <c r="A25" s="46" t="s">
        <v>158</v>
      </c>
      <c r="B25" t="s">
        <v>57</v>
      </c>
      <c r="C25" s="46" t="s">
        <v>96</v>
      </c>
      <c r="D25" s="46" t="s">
        <v>51</v>
      </c>
      <c r="E25" s="46" t="s">
        <v>69</v>
      </c>
      <c r="F25" s="46" t="s">
        <v>160</v>
      </c>
      <c r="G25" s="145">
        <v>60</v>
      </c>
      <c r="H25" s="46" t="s">
        <v>813</v>
      </c>
      <c r="I25" s="47" t="s">
        <v>839</v>
      </c>
      <c r="J25" s="46"/>
      <c r="K25" s="46"/>
      <c r="L25" s="46"/>
      <c r="M25" s="143">
        <f t="shared" si="0"/>
        <v>2</v>
      </c>
      <c r="N25" s="143">
        <f t="shared" si="1"/>
        <v>4</v>
      </c>
      <c r="P25" s="143">
        <f t="shared" si="2"/>
        <v>0</v>
      </c>
      <c r="Q25" s="143">
        <f t="shared" si="3"/>
        <v>4</v>
      </c>
    </row>
    <row r="26" spans="1:22" x14ac:dyDescent="0.3">
      <c r="A26" s="46" t="s">
        <v>161</v>
      </c>
      <c r="B26" t="s">
        <v>105</v>
      </c>
      <c r="C26" t="s">
        <v>106</v>
      </c>
      <c r="D26" t="s">
        <v>74</v>
      </c>
      <c r="E26" t="s">
        <v>163</v>
      </c>
      <c r="F26" t="s">
        <v>164</v>
      </c>
      <c r="G26" s="94">
        <v>56</v>
      </c>
      <c r="H26" s="249" t="s">
        <v>813</v>
      </c>
      <c r="I26" s="13" t="s">
        <v>841</v>
      </c>
      <c r="K26" s="13"/>
      <c r="L26" s="252" t="s">
        <v>842</v>
      </c>
      <c r="M26" s="143">
        <f t="shared" si="0"/>
        <v>3</v>
      </c>
      <c r="N26" s="143">
        <f t="shared" si="1"/>
        <v>6</v>
      </c>
      <c r="O26" s="94"/>
      <c r="P26" s="143">
        <f t="shared" si="2"/>
        <v>0</v>
      </c>
      <c r="Q26" s="143">
        <f t="shared" si="3"/>
        <v>6</v>
      </c>
    </row>
    <row r="27" spans="1:22" ht="13.8" customHeight="1" x14ac:dyDescent="0.3">
      <c r="A27" s="46" t="s">
        <v>166</v>
      </c>
      <c r="B27" t="s">
        <v>57</v>
      </c>
      <c r="C27" s="46" t="s">
        <v>58</v>
      </c>
      <c r="D27" s="46" t="s">
        <v>168</v>
      </c>
      <c r="E27" s="46" t="s">
        <v>92</v>
      </c>
      <c r="F27" s="46" t="s">
        <v>169</v>
      </c>
      <c r="G27" s="145">
        <v>80</v>
      </c>
      <c r="H27" s="46" t="s">
        <v>813</v>
      </c>
      <c r="I27" s="47" t="s">
        <v>839</v>
      </c>
      <c r="J27" s="46"/>
      <c r="K27" s="46"/>
      <c r="L27" s="46"/>
      <c r="M27" s="143">
        <f t="shared" si="0"/>
        <v>2</v>
      </c>
      <c r="N27" s="143">
        <f t="shared" si="1"/>
        <v>4</v>
      </c>
      <c r="P27" s="143">
        <f t="shared" si="2"/>
        <v>0</v>
      </c>
      <c r="Q27" s="143">
        <f t="shared" si="3"/>
        <v>4</v>
      </c>
    </row>
    <row r="28" spans="1:22" ht="13.8" customHeight="1" x14ac:dyDescent="0.3">
      <c r="A28" s="46" t="s">
        <v>170</v>
      </c>
      <c r="B28" t="s">
        <v>65</v>
      </c>
      <c r="C28" t="s">
        <v>136</v>
      </c>
      <c r="D28" t="s">
        <v>172</v>
      </c>
      <c r="E28" t="s">
        <v>87</v>
      </c>
      <c r="F28" t="s">
        <v>173</v>
      </c>
      <c r="G28" s="94">
        <v>20</v>
      </c>
      <c r="H28" s="249" t="s">
        <v>813</v>
      </c>
      <c r="J28" s="13" t="s">
        <v>843</v>
      </c>
      <c r="K28" s="13"/>
      <c r="L28" s="13" t="s">
        <v>844</v>
      </c>
      <c r="M28" s="143">
        <f t="shared" si="0"/>
        <v>3</v>
      </c>
      <c r="N28" s="143">
        <f t="shared" si="1"/>
        <v>6</v>
      </c>
      <c r="P28" s="143">
        <f t="shared" si="2"/>
        <v>0</v>
      </c>
      <c r="Q28" s="143">
        <f t="shared" si="3"/>
        <v>6</v>
      </c>
    </row>
    <row r="29" spans="1:22" s="254" customFormat="1" x14ac:dyDescent="0.3">
      <c r="A29" s="254" t="s">
        <v>174</v>
      </c>
      <c r="B29" s="254" t="s">
        <v>57</v>
      </c>
      <c r="C29" s="254" t="s">
        <v>84</v>
      </c>
      <c r="D29" s="254" t="s">
        <v>79</v>
      </c>
      <c r="E29" s="254" t="s">
        <v>92</v>
      </c>
      <c r="F29" s="254" t="s">
        <v>176</v>
      </c>
      <c r="G29" s="255">
        <v>80</v>
      </c>
      <c r="H29" s="254" t="s">
        <v>444</v>
      </c>
      <c r="I29" s="254" t="s">
        <v>845</v>
      </c>
      <c r="J29" s="254" t="s">
        <v>846</v>
      </c>
      <c r="M29" s="180">
        <v>1</v>
      </c>
      <c r="N29" s="143">
        <v>1</v>
      </c>
      <c r="P29" s="143">
        <f t="shared" si="2"/>
        <v>0</v>
      </c>
      <c r="Q29" s="143">
        <f t="shared" si="3"/>
        <v>1</v>
      </c>
    </row>
    <row r="30" spans="1:22" s="254" customFormat="1" x14ac:dyDescent="0.3">
      <c r="A30" s="254" t="s">
        <v>177</v>
      </c>
      <c r="B30" s="254" t="s">
        <v>57</v>
      </c>
      <c r="C30" s="254" t="s">
        <v>84</v>
      </c>
      <c r="D30" s="254" t="s">
        <v>79</v>
      </c>
      <c r="E30" s="254" t="s">
        <v>92</v>
      </c>
      <c r="F30" s="254" t="s">
        <v>176</v>
      </c>
      <c r="G30" s="255">
        <v>80</v>
      </c>
      <c r="H30" s="254" t="s">
        <v>444</v>
      </c>
      <c r="I30" s="254" t="s">
        <v>845</v>
      </c>
      <c r="J30" s="254" t="s">
        <v>846</v>
      </c>
      <c r="M30" s="180">
        <v>1</v>
      </c>
      <c r="N30" s="143">
        <v>1</v>
      </c>
      <c r="P30" s="143">
        <f t="shared" si="2"/>
        <v>0</v>
      </c>
      <c r="Q30" s="143">
        <f t="shared" si="3"/>
        <v>1</v>
      </c>
    </row>
    <row r="31" spans="1:22" x14ac:dyDescent="0.3">
      <c r="A31" s="46" t="s">
        <v>179</v>
      </c>
      <c r="B31" t="s">
        <v>105</v>
      </c>
      <c r="C31" t="s">
        <v>180</v>
      </c>
      <c r="D31" t="s">
        <v>124</v>
      </c>
      <c r="E31" t="s">
        <v>109</v>
      </c>
      <c r="F31" t="s">
        <v>182</v>
      </c>
      <c r="G31" s="94">
        <v>20</v>
      </c>
      <c r="H31" s="249" t="s">
        <v>813</v>
      </c>
      <c r="I31" s="13" t="s">
        <v>847</v>
      </c>
      <c r="K31" s="13" t="s">
        <v>848</v>
      </c>
      <c r="L31" s="13"/>
      <c r="M31" s="143">
        <f t="shared" si="0"/>
        <v>3</v>
      </c>
      <c r="N31" s="143">
        <f t="shared" si="1"/>
        <v>6</v>
      </c>
      <c r="P31" s="143">
        <f t="shared" si="2"/>
        <v>0</v>
      </c>
      <c r="Q31" s="143">
        <f t="shared" si="3"/>
        <v>6</v>
      </c>
    </row>
    <row r="32" spans="1:22" x14ac:dyDescent="0.3">
      <c r="A32" s="47" t="s">
        <v>184</v>
      </c>
      <c r="B32" t="s">
        <v>48</v>
      </c>
      <c r="C32" s="47" t="s">
        <v>49</v>
      </c>
      <c r="D32" s="47" t="s">
        <v>186</v>
      </c>
      <c r="E32" s="47" t="s">
        <v>187</v>
      </c>
      <c r="F32" s="47" t="s">
        <v>53</v>
      </c>
      <c r="G32" s="94">
        <v>60</v>
      </c>
      <c r="H32" s="249" t="s">
        <v>813</v>
      </c>
      <c r="I32" s="47" t="s">
        <v>849</v>
      </c>
      <c r="L32" s="257" t="s">
        <v>850</v>
      </c>
      <c r="M32" s="143">
        <f t="shared" si="0"/>
        <v>3</v>
      </c>
      <c r="N32" s="143">
        <f t="shared" si="1"/>
        <v>6</v>
      </c>
      <c r="P32" s="143">
        <f t="shared" si="2"/>
        <v>0</v>
      </c>
      <c r="Q32" s="143">
        <f t="shared" si="3"/>
        <v>6</v>
      </c>
    </row>
    <row r="33" spans="1:17" x14ac:dyDescent="0.3">
      <c r="A33" s="46" t="s">
        <v>188</v>
      </c>
      <c r="B33" t="s">
        <v>105</v>
      </c>
      <c r="C33" t="s">
        <v>106</v>
      </c>
      <c r="D33" t="s">
        <v>124</v>
      </c>
      <c r="E33" t="s">
        <v>109</v>
      </c>
      <c r="F33" t="s">
        <v>53</v>
      </c>
      <c r="G33" s="258"/>
      <c r="H33" s="249" t="s">
        <v>813</v>
      </c>
      <c r="J33" s="13"/>
      <c r="K33" s="13" t="s">
        <v>851</v>
      </c>
      <c r="L33" s="252" t="s">
        <v>852</v>
      </c>
      <c r="M33" s="143">
        <f t="shared" si="0"/>
        <v>3</v>
      </c>
      <c r="N33" s="143">
        <f t="shared" si="1"/>
        <v>6</v>
      </c>
      <c r="P33" s="143">
        <f t="shared" si="2"/>
        <v>0</v>
      </c>
      <c r="Q33" s="143">
        <f t="shared" si="3"/>
        <v>6</v>
      </c>
    </row>
    <row r="34" spans="1:17" x14ac:dyDescent="0.3">
      <c r="A34" s="46" t="s">
        <v>191</v>
      </c>
      <c r="B34" t="s">
        <v>105</v>
      </c>
      <c r="C34" t="s">
        <v>192</v>
      </c>
      <c r="D34" t="s">
        <v>124</v>
      </c>
      <c r="E34" t="s">
        <v>109</v>
      </c>
      <c r="F34" t="s">
        <v>194</v>
      </c>
      <c r="G34" s="94">
        <v>40</v>
      </c>
      <c r="H34" s="249" t="s">
        <v>813</v>
      </c>
      <c r="I34" s="13"/>
      <c r="J34" s="13"/>
      <c r="K34" s="256" t="s">
        <v>853</v>
      </c>
      <c r="L34" s="13"/>
      <c r="M34" s="180">
        <v>1</v>
      </c>
      <c r="N34" s="143">
        <f t="shared" si="1"/>
        <v>2</v>
      </c>
      <c r="P34" s="143">
        <f t="shared" si="2"/>
        <v>0</v>
      </c>
      <c r="Q34" s="143">
        <f t="shared" si="3"/>
        <v>2</v>
      </c>
    </row>
    <row r="35" spans="1:17" x14ac:dyDescent="0.3">
      <c r="A35" s="46" t="s">
        <v>196</v>
      </c>
      <c r="B35" t="s">
        <v>65</v>
      </c>
      <c r="C35" t="s">
        <v>197</v>
      </c>
      <c r="D35" t="s">
        <v>79</v>
      </c>
      <c r="E35" t="s">
        <v>92</v>
      </c>
      <c r="F35" t="s">
        <v>199</v>
      </c>
      <c r="G35" s="94">
        <v>60</v>
      </c>
      <c r="H35" s="249" t="s">
        <v>813</v>
      </c>
      <c r="I35" s="13" t="s">
        <v>836</v>
      </c>
      <c r="J35" s="13"/>
      <c r="K35" s="13"/>
      <c r="L35" s="13"/>
      <c r="M35" s="143">
        <f t="shared" si="0"/>
        <v>2</v>
      </c>
      <c r="N35" s="143">
        <f t="shared" si="1"/>
        <v>4</v>
      </c>
      <c r="P35" s="143">
        <f t="shared" si="2"/>
        <v>0</v>
      </c>
      <c r="Q35" s="143">
        <f t="shared" si="3"/>
        <v>4</v>
      </c>
    </row>
    <row r="36" spans="1:17" x14ac:dyDescent="0.3">
      <c r="A36" s="46" t="s">
        <v>200</v>
      </c>
      <c r="B36" t="s">
        <v>65</v>
      </c>
      <c r="C36" t="s">
        <v>197</v>
      </c>
      <c r="D36" t="s">
        <v>79</v>
      </c>
      <c r="E36" t="s">
        <v>92</v>
      </c>
      <c r="F36" t="s">
        <v>202</v>
      </c>
      <c r="G36" s="94">
        <v>60</v>
      </c>
      <c r="H36" s="249" t="s">
        <v>813</v>
      </c>
      <c r="I36" s="13" t="s">
        <v>836</v>
      </c>
      <c r="J36" s="13"/>
      <c r="K36" s="13"/>
      <c r="L36" s="13"/>
      <c r="M36" s="143">
        <f t="shared" si="0"/>
        <v>2</v>
      </c>
      <c r="N36" s="143">
        <f t="shared" si="1"/>
        <v>4</v>
      </c>
      <c r="P36" s="143">
        <f t="shared" si="2"/>
        <v>0</v>
      </c>
      <c r="Q36" s="143">
        <f t="shared" si="3"/>
        <v>4</v>
      </c>
    </row>
    <row r="37" spans="1:17" x14ac:dyDescent="0.3">
      <c r="A37" s="47" t="s">
        <v>203</v>
      </c>
      <c r="B37" t="s">
        <v>48</v>
      </c>
      <c r="C37" s="47" t="s">
        <v>204</v>
      </c>
      <c r="D37" s="47" t="s">
        <v>168</v>
      </c>
      <c r="E37" s="47" t="s">
        <v>187</v>
      </c>
      <c r="F37" s="47" t="s">
        <v>206</v>
      </c>
      <c r="G37" s="94">
        <v>40</v>
      </c>
      <c r="H37" s="249" t="s">
        <v>813</v>
      </c>
      <c r="K37" s="47" t="s">
        <v>854</v>
      </c>
      <c r="M37" s="143">
        <f t="shared" si="0"/>
        <v>2</v>
      </c>
      <c r="N37" s="143">
        <f t="shared" si="1"/>
        <v>4</v>
      </c>
      <c r="P37" s="143">
        <f t="shared" si="2"/>
        <v>0</v>
      </c>
      <c r="Q37" s="143">
        <f t="shared" si="3"/>
        <v>4</v>
      </c>
    </row>
    <row r="38" spans="1:17" x14ac:dyDescent="0.3">
      <c r="A38" s="46" t="s">
        <v>208</v>
      </c>
      <c r="B38" t="s">
        <v>105</v>
      </c>
      <c r="C38" t="s">
        <v>209</v>
      </c>
      <c r="D38" t="s">
        <v>124</v>
      </c>
      <c r="E38" t="s">
        <v>211</v>
      </c>
      <c r="F38" t="s">
        <v>212</v>
      </c>
      <c r="G38" s="94">
        <v>60</v>
      </c>
      <c r="H38" s="249" t="s">
        <v>813</v>
      </c>
      <c r="I38" s="13" t="s">
        <v>855</v>
      </c>
      <c r="J38" s="13"/>
      <c r="L38" s="13"/>
      <c r="M38" s="143">
        <f t="shared" si="0"/>
        <v>2</v>
      </c>
      <c r="N38" s="143">
        <f t="shared" si="1"/>
        <v>4</v>
      </c>
      <c r="P38" s="143">
        <f t="shared" si="2"/>
        <v>0</v>
      </c>
      <c r="Q38" s="143">
        <f t="shared" si="3"/>
        <v>4</v>
      </c>
    </row>
    <row r="39" spans="1:17" s="254" customFormat="1" x14ac:dyDescent="0.3">
      <c r="A39" s="254" t="s">
        <v>213</v>
      </c>
      <c r="B39" s="254" t="s">
        <v>57</v>
      </c>
      <c r="C39" s="254" t="s">
        <v>58</v>
      </c>
      <c r="D39" s="254" t="s">
        <v>124</v>
      </c>
      <c r="E39" s="254" t="s">
        <v>92</v>
      </c>
      <c r="F39" s="254" t="s">
        <v>53</v>
      </c>
      <c r="G39" s="255">
        <v>60</v>
      </c>
      <c r="H39" s="254" t="s">
        <v>444</v>
      </c>
      <c r="I39" s="254" t="s">
        <v>856</v>
      </c>
      <c r="M39" s="180">
        <v>0</v>
      </c>
      <c r="N39" s="143">
        <v>1</v>
      </c>
      <c r="P39" s="143">
        <f t="shared" si="2"/>
        <v>0</v>
      </c>
      <c r="Q39" s="143">
        <f t="shared" si="3"/>
        <v>1</v>
      </c>
    </row>
    <row r="40" spans="1:17" x14ac:dyDescent="0.3">
      <c r="A40" s="46" t="s">
        <v>215</v>
      </c>
      <c r="B40" t="s">
        <v>57</v>
      </c>
      <c r="C40" s="46" t="s">
        <v>58</v>
      </c>
      <c r="D40" s="46" t="s">
        <v>60</v>
      </c>
      <c r="E40" s="46" t="s">
        <v>98</v>
      </c>
      <c r="F40" s="46" t="s">
        <v>217</v>
      </c>
      <c r="G40" s="145">
        <v>60</v>
      </c>
      <c r="H40" s="46" t="s">
        <v>813</v>
      </c>
      <c r="I40" s="46"/>
      <c r="J40" s="46"/>
      <c r="K40" s="46"/>
      <c r="L40" s="46"/>
      <c r="M40" s="143">
        <f t="shared" si="0"/>
        <v>1</v>
      </c>
      <c r="N40" s="143">
        <f t="shared" si="1"/>
        <v>2</v>
      </c>
      <c r="P40" s="143">
        <f t="shared" si="2"/>
        <v>0</v>
      </c>
      <c r="Q40" s="143">
        <f t="shared" si="3"/>
        <v>2</v>
      </c>
    </row>
    <row r="41" spans="1:17" s="254" customFormat="1" x14ac:dyDescent="0.3">
      <c r="A41" s="254" t="s">
        <v>218</v>
      </c>
      <c r="B41" s="254" t="s">
        <v>57</v>
      </c>
      <c r="C41" s="254" t="s">
        <v>58</v>
      </c>
      <c r="D41" s="254" t="s">
        <v>172</v>
      </c>
      <c r="E41" s="254" t="s">
        <v>92</v>
      </c>
      <c r="F41" s="254" t="s">
        <v>220</v>
      </c>
      <c r="G41" s="255">
        <v>60</v>
      </c>
      <c r="H41" s="254" t="s">
        <v>444</v>
      </c>
      <c r="I41" s="254" t="s">
        <v>857</v>
      </c>
      <c r="M41" s="180">
        <v>0</v>
      </c>
      <c r="N41" s="143">
        <v>1</v>
      </c>
      <c r="P41" s="143">
        <f t="shared" si="2"/>
        <v>0</v>
      </c>
      <c r="Q41" s="143">
        <f t="shared" si="3"/>
        <v>1</v>
      </c>
    </row>
    <row r="42" spans="1:17" x14ac:dyDescent="0.3">
      <c r="A42" s="46" t="s">
        <v>221</v>
      </c>
      <c r="B42" t="s">
        <v>57</v>
      </c>
      <c r="C42" s="46" t="s">
        <v>96</v>
      </c>
      <c r="D42" s="46" t="s">
        <v>124</v>
      </c>
      <c r="E42" s="46" t="s">
        <v>87</v>
      </c>
      <c r="F42" s="46" t="s">
        <v>223</v>
      </c>
      <c r="G42" s="145">
        <v>40</v>
      </c>
      <c r="H42" s="46" t="s">
        <v>813</v>
      </c>
      <c r="I42" s="47" t="s">
        <v>839</v>
      </c>
      <c r="J42" s="46"/>
      <c r="K42" s="46"/>
      <c r="L42" s="46"/>
      <c r="M42" s="143">
        <f t="shared" si="0"/>
        <v>2</v>
      </c>
      <c r="N42" s="143">
        <f t="shared" si="1"/>
        <v>4</v>
      </c>
      <c r="P42" s="143">
        <f t="shared" si="2"/>
        <v>0</v>
      </c>
      <c r="Q42" s="143">
        <f t="shared" si="3"/>
        <v>4</v>
      </c>
    </row>
    <row r="43" spans="1:17" x14ac:dyDescent="0.3">
      <c r="A43" s="46" t="s">
        <v>224</v>
      </c>
      <c r="B43" t="s">
        <v>65</v>
      </c>
      <c r="C43" t="s">
        <v>66</v>
      </c>
      <c r="D43" t="s">
        <v>68</v>
      </c>
      <c r="E43" t="s">
        <v>141</v>
      </c>
      <c r="F43" t="s">
        <v>226</v>
      </c>
      <c r="G43" s="94">
        <v>40</v>
      </c>
      <c r="H43" s="249" t="s">
        <v>813</v>
      </c>
      <c r="I43" s="13" t="s">
        <v>814</v>
      </c>
      <c r="J43" s="13"/>
      <c r="K43" s="13" t="s">
        <v>815</v>
      </c>
      <c r="L43" s="13"/>
      <c r="M43" s="143">
        <f t="shared" si="0"/>
        <v>3</v>
      </c>
      <c r="N43" s="143">
        <f t="shared" si="1"/>
        <v>6</v>
      </c>
      <c r="P43" s="143">
        <f t="shared" si="2"/>
        <v>0</v>
      </c>
      <c r="Q43" s="143">
        <f t="shared" si="3"/>
        <v>6</v>
      </c>
    </row>
    <row r="44" spans="1:17" x14ac:dyDescent="0.3">
      <c r="A44" s="46" t="s">
        <v>227</v>
      </c>
      <c r="B44" t="s">
        <v>65</v>
      </c>
      <c r="C44" t="s">
        <v>66</v>
      </c>
      <c r="D44" t="s">
        <v>229</v>
      </c>
      <c r="E44" t="s">
        <v>92</v>
      </c>
      <c r="F44" t="s">
        <v>230</v>
      </c>
      <c r="G44" s="94">
        <v>40</v>
      </c>
      <c r="H44" s="249" t="s">
        <v>813</v>
      </c>
      <c r="I44" s="13" t="s">
        <v>858</v>
      </c>
      <c r="J44" s="13"/>
      <c r="K44" s="13"/>
      <c r="L44" s="13"/>
      <c r="M44" s="143">
        <f t="shared" si="0"/>
        <v>2</v>
      </c>
      <c r="N44" s="143">
        <f t="shared" si="1"/>
        <v>4</v>
      </c>
      <c r="P44" s="143">
        <f t="shared" si="2"/>
        <v>0</v>
      </c>
      <c r="Q44" s="143">
        <f t="shared" si="3"/>
        <v>4</v>
      </c>
    </row>
    <row r="45" spans="1:17" x14ac:dyDescent="0.3">
      <c r="A45" s="46" t="s">
        <v>231</v>
      </c>
      <c r="B45" t="s">
        <v>57</v>
      </c>
      <c r="C45" s="46" t="s">
        <v>58</v>
      </c>
      <c r="D45" s="46" t="s">
        <v>79</v>
      </c>
      <c r="E45" s="46" t="s">
        <v>233</v>
      </c>
      <c r="F45" s="46" t="s">
        <v>234</v>
      </c>
      <c r="G45" s="145">
        <v>60</v>
      </c>
      <c r="H45" s="46" t="s">
        <v>813</v>
      </c>
      <c r="I45" s="46" t="s">
        <v>859</v>
      </c>
      <c r="J45" s="46"/>
      <c r="K45" s="46"/>
      <c r="L45" s="46"/>
      <c r="M45" s="143">
        <f t="shared" si="0"/>
        <v>2</v>
      </c>
      <c r="N45" s="143">
        <f t="shared" si="1"/>
        <v>4</v>
      </c>
      <c r="P45" s="143">
        <f t="shared" si="2"/>
        <v>0</v>
      </c>
      <c r="Q45" s="143">
        <f t="shared" si="3"/>
        <v>4</v>
      </c>
    </row>
    <row r="46" spans="1:17" x14ac:dyDescent="0.3">
      <c r="A46" s="46" t="s">
        <v>236</v>
      </c>
      <c r="B46" t="s">
        <v>57</v>
      </c>
      <c r="C46" s="46" t="s">
        <v>96</v>
      </c>
      <c r="D46" s="46" t="s">
        <v>238</v>
      </c>
      <c r="E46" s="46" t="s">
        <v>87</v>
      </c>
      <c r="F46" s="46" t="s">
        <v>239</v>
      </c>
      <c r="G46" s="145">
        <v>60</v>
      </c>
      <c r="H46" s="46" t="s">
        <v>813</v>
      </c>
      <c r="J46" s="46" t="s">
        <v>860</v>
      </c>
      <c r="K46" s="46"/>
      <c r="L46" s="46"/>
      <c r="M46" s="143">
        <f t="shared" si="0"/>
        <v>2</v>
      </c>
      <c r="N46" s="143">
        <f t="shared" si="1"/>
        <v>4</v>
      </c>
      <c r="P46" s="143">
        <f t="shared" si="2"/>
        <v>0</v>
      </c>
      <c r="Q46" s="143">
        <f t="shared" si="3"/>
        <v>4</v>
      </c>
    </row>
    <row r="47" spans="1:17" x14ac:dyDescent="0.3">
      <c r="A47" s="46" t="s">
        <v>240</v>
      </c>
      <c r="B47" t="s">
        <v>57</v>
      </c>
      <c r="C47" s="46" t="s">
        <v>118</v>
      </c>
      <c r="D47" s="46" t="s">
        <v>79</v>
      </c>
      <c r="E47" s="46" t="s">
        <v>92</v>
      </c>
      <c r="F47" s="46" t="s">
        <v>242</v>
      </c>
      <c r="G47" s="145">
        <v>60</v>
      </c>
      <c r="H47" s="249" t="s">
        <v>813</v>
      </c>
      <c r="I47" s="46" t="s">
        <v>861</v>
      </c>
      <c r="J47" s="46"/>
      <c r="K47" s="46"/>
      <c r="L47" s="46"/>
      <c r="M47" s="143">
        <f t="shared" si="0"/>
        <v>2</v>
      </c>
      <c r="N47" s="143">
        <f t="shared" si="1"/>
        <v>4</v>
      </c>
      <c r="P47" s="143">
        <f t="shared" si="2"/>
        <v>0</v>
      </c>
      <c r="Q47" s="143">
        <f t="shared" si="3"/>
        <v>4</v>
      </c>
    </row>
    <row r="48" spans="1:17" x14ac:dyDescent="0.3">
      <c r="A48" s="46" t="s">
        <v>243</v>
      </c>
      <c r="B48" t="s">
        <v>65</v>
      </c>
      <c r="C48" t="s">
        <v>136</v>
      </c>
      <c r="D48" t="s">
        <v>124</v>
      </c>
      <c r="E48" t="s">
        <v>245</v>
      </c>
      <c r="F48" t="s">
        <v>246</v>
      </c>
      <c r="G48" s="94">
        <v>80</v>
      </c>
      <c r="H48" s="249" t="s">
        <v>813</v>
      </c>
      <c r="I48" s="13" t="s">
        <v>862</v>
      </c>
      <c r="J48" s="13"/>
      <c r="K48" s="13"/>
      <c r="L48" s="252" t="s">
        <v>863</v>
      </c>
      <c r="M48" s="143">
        <f t="shared" si="0"/>
        <v>3</v>
      </c>
      <c r="N48" s="143">
        <f t="shared" si="1"/>
        <v>6</v>
      </c>
      <c r="P48" s="143">
        <f t="shared" si="2"/>
        <v>0</v>
      </c>
      <c r="Q48" s="143">
        <f t="shared" si="3"/>
        <v>6</v>
      </c>
    </row>
    <row r="49" spans="1:17" x14ac:dyDescent="0.3">
      <c r="A49" s="47" t="s">
        <v>247</v>
      </c>
      <c r="B49" t="s">
        <v>48</v>
      </c>
      <c r="C49" s="47" t="s">
        <v>248</v>
      </c>
      <c r="D49" s="47" t="s">
        <v>250</v>
      </c>
      <c r="E49" s="47" t="s">
        <v>187</v>
      </c>
      <c r="F49" s="47" t="s">
        <v>251</v>
      </c>
      <c r="G49" s="94">
        <v>28</v>
      </c>
      <c r="H49" s="249" t="s">
        <v>813</v>
      </c>
      <c r="L49" s="257" t="s">
        <v>864</v>
      </c>
      <c r="M49" s="143">
        <f t="shared" si="0"/>
        <v>2</v>
      </c>
      <c r="N49" s="143">
        <f t="shared" si="1"/>
        <v>4</v>
      </c>
      <c r="P49" s="143">
        <f t="shared" si="2"/>
        <v>0</v>
      </c>
      <c r="Q49" s="143">
        <f t="shared" si="3"/>
        <v>4</v>
      </c>
    </row>
    <row r="50" spans="1:17" x14ac:dyDescent="0.3">
      <c r="A50" s="46" t="s">
        <v>252</v>
      </c>
      <c r="B50" t="s">
        <v>57</v>
      </c>
      <c r="C50" s="46" t="s">
        <v>58</v>
      </c>
      <c r="D50" s="46" t="s">
        <v>254</v>
      </c>
      <c r="E50" s="46" t="s">
        <v>87</v>
      </c>
      <c r="F50" s="46" t="s">
        <v>255</v>
      </c>
      <c r="G50" s="145">
        <v>60</v>
      </c>
      <c r="H50" s="46" t="s">
        <v>813</v>
      </c>
      <c r="I50" s="46" t="s">
        <v>865</v>
      </c>
      <c r="J50" s="46"/>
      <c r="K50" s="46"/>
      <c r="L50" s="46"/>
      <c r="M50" s="143">
        <f t="shared" si="0"/>
        <v>2</v>
      </c>
      <c r="N50" s="143">
        <f t="shared" si="1"/>
        <v>4</v>
      </c>
      <c r="P50" s="143">
        <f t="shared" si="2"/>
        <v>0</v>
      </c>
      <c r="Q50" s="143">
        <f t="shared" si="3"/>
        <v>4</v>
      </c>
    </row>
    <row r="51" spans="1:17" x14ac:dyDescent="0.3">
      <c r="A51" s="46" t="s">
        <v>256</v>
      </c>
      <c r="B51" t="s">
        <v>57</v>
      </c>
      <c r="C51" s="46" t="s">
        <v>96</v>
      </c>
      <c r="D51" s="46" t="s">
        <v>124</v>
      </c>
      <c r="E51" s="46" t="s">
        <v>141</v>
      </c>
      <c r="F51" s="46" t="s">
        <v>258</v>
      </c>
      <c r="G51" s="145">
        <v>80</v>
      </c>
      <c r="H51" s="249" t="s">
        <v>813</v>
      </c>
      <c r="I51" s="46" t="s">
        <v>866</v>
      </c>
      <c r="J51" s="46"/>
      <c r="K51" s="46" t="s">
        <v>867</v>
      </c>
      <c r="L51" s="46"/>
      <c r="M51" s="143">
        <f t="shared" si="0"/>
        <v>3</v>
      </c>
      <c r="N51" s="143">
        <f t="shared" si="1"/>
        <v>6</v>
      </c>
      <c r="P51" s="143">
        <f t="shared" si="2"/>
        <v>0</v>
      </c>
      <c r="Q51" s="143">
        <f t="shared" si="3"/>
        <v>6</v>
      </c>
    </row>
    <row r="52" spans="1:17" x14ac:dyDescent="0.3">
      <c r="A52" s="46" t="s">
        <v>259</v>
      </c>
      <c r="B52" t="s">
        <v>105</v>
      </c>
      <c r="C52" t="s">
        <v>106</v>
      </c>
      <c r="D52" t="s">
        <v>60</v>
      </c>
      <c r="E52" t="s">
        <v>211</v>
      </c>
      <c r="F52" t="s">
        <v>261</v>
      </c>
      <c r="G52" s="94">
        <v>60</v>
      </c>
      <c r="H52" s="249" t="s">
        <v>813</v>
      </c>
      <c r="I52" s="13" t="s">
        <v>868</v>
      </c>
      <c r="J52" s="13"/>
      <c r="K52" s="13"/>
      <c r="L52" s="252" t="s">
        <v>869</v>
      </c>
      <c r="M52" s="143">
        <f t="shared" si="0"/>
        <v>3</v>
      </c>
      <c r="N52" s="143">
        <f t="shared" si="1"/>
        <v>6</v>
      </c>
      <c r="P52" s="143">
        <f t="shared" si="2"/>
        <v>0</v>
      </c>
      <c r="Q52" s="143">
        <f t="shared" si="3"/>
        <v>6</v>
      </c>
    </row>
    <row r="53" spans="1:17" x14ac:dyDescent="0.3">
      <c r="A53" s="46" t="s">
        <v>263</v>
      </c>
      <c r="B53" t="s">
        <v>105</v>
      </c>
      <c r="C53" t="s">
        <v>264</v>
      </c>
      <c r="D53" t="s">
        <v>238</v>
      </c>
      <c r="E53" t="s">
        <v>266</v>
      </c>
      <c r="F53" t="s">
        <v>267</v>
      </c>
      <c r="G53" s="94">
        <v>60</v>
      </c>
      <c r="H53" s="249" t="s">
        <v>813</v>
      </c>
      <c r="I53" s="13"/>
      <c r="J53" s="46" t="s">
        <v>870</v>
      </c>
      <c r="K53" s="13" t="s">
        <v>871</v>
      </c>
      <c r="L53" s="252" t="s">
        <v>872</v>
      </c>
      <c r="M53" s="143">
        <f t="shared" si="0"/>
        <v>4</v>
      </c>
      <c r="N53" s="143">
        <f t="shared" si="1"/>
        <v>8</v>
      </c>
      <c r="O53" t="s">
        <v>873</v>
      </c>
      <c r="P53" s="143">
        <f t="shared" si="2"/>
        <v>1</v>
      </c>
      <c r="Q53" s="143">
        <f t="shared" si="3"/>
        <v>9</v>
      </c>
    </row>
    <row r="54" spans="1:17" x14ac:dyDescent="0.3">
      <c r="A54" s="46" t="s">
        <v>269</v>
      </c>
      <c r="B54" t="s">
        <v>105</v>
      </c>
      <c r="C54" t="s">
        <v>270</v>
      </c>
      <c r="D54" t="s">
        <v>74</v>
      </c>
      <c r="E54" t="s">
        <v>109</v>
      </c>
      <c r="F54" t="s">
        <v>272</v>
      </c>
      <c r="G54" s="94">
        <v>60</v>
      </c>
      <c r="H54" s="249" t="s">
        <v>813</v>
      </c>
      <c r="I54" s="13" t="s">
        <v>874</v>
      </c>
      <c r="J54" s="13"/>
      <c r="K54" s="13" t="s">
        <v>875</v>
      </c>
      <c r="L54" s="13" t="s">
        <v>876</v>
      </c>
      <c r="M54" s="143">
        <f t="shared" si="0"/>
        <v>4</v>
      </c>
      <c r="N54" s="143">
        <f t="shared" si="1"/>
        <v>8</v>
      </c>
      <c r="P54" s="143">
        <f t="shared" si="2"/>
        <v>0</v>
      </c>
      <c r="Q54" s="143">
        <f t="shared" si="3"/>
        <v>8</v>
      </c>
    </row>
    <row r="55" spans="1:17" x14ac:dyDescent="0.3">
      <c r="A55" s="46" t="s">
        <v>274</v>
      </c>
      <c r="B55" t="s">
        <v>57</v>
      </c>
      <c r="C55" s="46" t="s">
        <v>275</v>
      </c>
      <c r="D55" s="46" t="s">
        <v>277</v>
      </c>
      <c r="E55" s="46" t="s">
        <v>98</v>
      </c>
      <c r="F55" s="46" t="s">
        <v>278</v>
      </c>
      <c r="G55" s="145">
        <v>60</v>
      </c>
      <c r="H55" s="249" t="s">
        <v>813</v>
      </c>
      <c r="J55" s="46" t="s">
        <v>877</v>
      </c>
      <c r="K55" s="46" t="s">
        <v>878</v>
      </c>
      <c r="L55" s="46"/>
      <c r="M55" s="143">
        <f t="shared" si="0"/>
        <v>3</v>
      </c>
      <c r="N55" s="143">
        <f t="shared" si="1"/>
        <v>6</v>
      </c>
      <c r="P55" s="143">
        <f t="shared" si="2"/>
        <v>0</v>
      </c>
      <c r="Q55" s="143">
        <f t="shared" si="3"/>
        <v>6</v>
      </c>
    </row>
    <row r="56" spans="1:17" x14ac:dyDescent="0.3">
      <c r="A56" s="46" t="s">
        <v>279</v>
      </c>
      <c r="B56" t="s">
        <v>65</v>
      </c>
      <c r="C56" t="s">
        <v>136</v>
      </c>
      <c r="D56" t="s">
        <v>74</v>
      </c>
      <c r="E56" t="s">
        <v>281</v>
      </c>
      <c r="F56" t="s">
        <v>282</v>
      </c>
      <c r="G56" s="94">
        <v>60</v>
      </c>
      <c r="H56" s="13" t="s">
        <v>813</v>
      </c>
      <c r="I56" s="13" t="s">
        <v>879</v>
      </c>
      <c r="J56" s="13"/>
      <c r="K56" s="13"/>
      <c r="L56" s="13"/>
      <c r="M56" s="143">
        <f t="shared" si="0"/>
        <v>2</v>
      </c>
      <c r="N56" s="143">
        <f t="shared" si="1"/>
        <v>4</v>
      </c>
      <c r="O56" t="s">
        <v>880</v>
      </c>
      <c r="P56" s="143">
        <f t="shared" si="2"/>
        <v>1</v>
      </c>
      <c r="Q56" s="143">
        <f t="shared" si="3"/>
        <v>5</v>
      </c>
    </row>
    <row r="57" spans="1:17" x14ac:dyDescent="0.3">
      <c r="A57" s="47" t="s">
        <v>283</v>
      </c>
      <c r="B57" t="s">
        <v>48</v>
      </c>
      <c r="C57" s="47" t="s">
        <v>248</v>
      </c>
      <c r="D57" s="47" t="s">
        <v>79</v>
      </c>
      <c r="E57" s="47" t="s">
        <v>52</v>
      </c>
      <c r="F57" s="47" t="s">
        <v>285</v>
      </c>
      <c r="G57" s="94">
        <v>60</v>
      </c>
      <c r="H57" s="249" t="s">
        <v>813</v>
      </c>
      <c r="I57" s="47" t="s">
        <v>881</v>
      </c>
      <c r="M57" s="143">
        <f t="shared" si="0"/>
        <v>2</v>
      </c>
      <c r="N57" s="143">
        <f t="shared" si="1"/>
        <v>4</v>
      </c>
      <c r="P57" s="143">
        <f t="shared" si="2"/>
        <v>0</v>
      </c>
      <c r="Q57" s="143">
        <f t="shared" si="3"/>
        <v>4</v>
      </c>
    </row>
    <row r="58" spans="1:17" x14ac:dyDescent="0.3">
      <c r="A58" s="46" t="s">
        <v>287</v>
      </c>
      <c r="B58" t="s">
        <v>57</v>
      </c>
      <c r="C58" s="46" t="s">
        <v>288</v>
      </c>
      <c r="D58" s="46" t="s">
        <v>290</v>
      </c>
      <c r="E58" s="46" t="s">
        <v>92</v>
      </c>
      <c r="F58" s="46" t="s">
        <v>291</v>
      </c>
      <c r="G58" s="145">
        <v>60</v>
      </c>
      <c r="H58" s="46" t="s">
        <v>831</v>
      </c>
      <c r="I58" s="46" t="s">
        <v>882</v>
      </c>
      <c r="J58" s="46"/>
      <c r="K58" s="46"/>
      <c r="L58" s="46"/>
      <c r="M58" s="143">
        <f t="shared" si="0"/>
        <v>2</v>
      </c>
      <c r="N58" s="143">
        <f t="shared" si="1"/>
        <v>4</v>
      </c>
      <c r="P58" s="143">
        <f t="shared" si="2"/>
        <v>0</v>
      </c>
      <c r="Q58" s="143">
        <f t="shared" si="3"/>
        <v>4</v>
      </c>
    </row>
    <row r="59" spans="1:17" x14ac:dyDescent="0.3">
      <c r="A59" s="46" t="s">
        <v>292</v>
      </c>
      <c r="B59" t="s">
        <v>105</v>
      </c>
      <c r="C59" t="s">
        <v>106</v>
      </c>
      <c r="D59" t="s">
        <v>294</v>
      </c>
      <c r="E59" t="s">
        <v>132</v>
      </c>
      <c r="F59" t="s">
        <v>295</v>
      </c>
      <c r="G59" s="94">
        <v>80</v>
      </c>
      <c r="H59" s="249" t="s">
        <v>813</v>
      </c>
      <c r="I59" s="13"/>
      <c r="J59" s="13"/>
      <c r="K59" s="256" t="s">
        <v>883</v>
      </c>
      <c r="L59" s="13"/>
      <c r="M59" s="180">
        <v>1</v>
      </c>
      <c r="N59" s="143">
        <f t="shared" si="1"/>
        <v>2</v>
      </c>
      <c r="P59" s="143">
        <f t="shared" si="2"/>
        <v>0</v>
      </c>
      <c r="Q59" s="143">
        <f t="shared" si="3"/>
        <v>2</v>
      </c>
    </row>
    <row r="60" spans="1:17" x14ac:dyDescent="0.3">
      <c r="A60" s="46" t="s">
        <v>297</v>
      </c>
      <c r="B60" t="s">
        <v>105</v>
      </c>
      <c r="C60" t="s">
        <v>106</v>
      </c>
      <c r="D60" t="s">
        <v>299</v>
      </c>
      <c r="E60" t="s">
        <v>109</v>
      </c>
      <c r="F60" t="s">
        <v>300</v>
      </c>
      <c r="G60" s="94">
        <v>60</v>
      </c>
      <c r="H60" s="249" t="s">
        <v>813</v>
      </c>
      <c r="I60" s="13" t="s">
        <v>884</v>
      </c>
      <c r="J60" s="256" t="s">
        <v>885</v>
      </c>
      <c r="K60" s="46" t="s">
        <v>886</v>
      </c>
      <c r="L60" s="252" t="s">
        <v>887</v>
      </c>
      <c r="M60" s="180">
        <v>4</v>
      </c>
      <c r="N60" s="143">
        <f t="shared" si="1"/>
        <v>8</v>
      </c>
      <c r="P60" s="143">
        <f t="shared" si="2"/>
        <v>0</v>
      </c>
      <c r="Q60" s="143">
        <f t="shared" si="3"/>
        <v>8</v>
      </c>
    </row>
    <row r="61" spans="1:17" x14ac:dyDescent="0.3">
      <c r="A61" s="46" t="s">
        <v>302</v>
      </c>
      <c r="B61" t="s">
        <v>57</v>
      </c>
      <c r="C61" s="46" t="s">
        <v>84</v>
      </c>
      <c r="D61" s="46" t="s">
        <v>79</v>
      </c>
      <c r="E61" s="46" t="s">
        <v>87</v>
      </c>
      <c r="F61" s="46" t="s">
        <v>304</v>
      </c>
      <c r="G61" s="145">
        <v>60</v>
      </c>
      <c r="H61" s="249" t="s">
        <v>813</v>
      </c>
      <c r="I61" s="46" t="s">
        <v>861</v>
      </c>
      <c r="J61" s="46"/>
      <c r="K61" s="46"/>
      <c r="L61" s="46"/>
      <c r="M61" s="143">
        <f t="shared" si="0"/>
        <v>2</v>
      </c>
      <c r="N61" s="143">
        <f t="shared" si="1"/>
        <v>4</v>
      </c>
      <c r="P61" s="143">
        <f t="shared" si="2"/>
        <v>0</v>
      </c>
      <c r="Q61" s="143">
        <f t="shared" si="3"/>
        <v>4</v>
      </c>
    </row>
    <row r="62" spans="1:17" x14ac:dyDescent="0.3">
      <c r="A62" s="46" t="s">
        <v>305</v>
      </c>
      <c r="B62" t="s">
        <v>57</v>
      </c>
      <c r="C62" s="46" t="s">
        <v>58</v>
      </c>
      <c r="D62" s="46" t="s">
        <v>124</v>
      </c>
      <c r="E62" s="46" t="s">
        <v>307</v>
      </c>
      <c r="F62" s="46" t="s">
        <v>308</v>
      </c>
      <c r="G62" s="145">
        <v>60</v>
      </c>
      <c r="H62" s="46" t="s">
        <v>813</v>
      </c>
      <c r="I62" s="46"/>
      <c r="J62" s="46"/>
      <c r="K62" s="46"/>
      <c r="L62" s="46"/>
      <c r="M62" s="143">
        <f t="shared" si="0"/>
        <v>1</v>
      </c>
      <c r="N62" s="143">
        <f t="shared" si="1"/>
        <v>2</v>
      </c>
      <c r="P62" s="143">
        <f t="shared" si="2"/>
        <v>0</v>
      </c>
      <c r="Q62" s="143">
        <f t="shared" si="3"/>
        <v>2</v>
      </c>
    </row>
    <row r="63" spans="1:17" s="254" customFormat="1" x14ac:dyDescent="0.3">
      <c r="A63" s="256" t="s">
        <v>309</v>
      </c>
      <c r="B63" s="254" t="s">
        <v>48</v>
      </c>
      <c r="C63" s="256" t="s">
        <v>49</v>
      </c>
      <c r="D63" s="256" t="s">
        <v>124</v>
      </c>
      <c r="E63" s="256" t="s">
        <v>187</v>
      </c>
      <c r="F63" s="256" t="s">
        <v>311</v>
      </c>
      <c r="G63" s="255">
        <v>80</v>
      </c>
      <c r="H63" s="254" t="s">
        <v>444</v>
      </c>
      <c r="I63" s="256" t="s">
        <v>856</v>
      </c>
      <c r="K63" s="256" t="s">
        <v>888</v>
      </c>
      <c r="M63" s="180">
        <v>0</v>
      </c>
      <c r="N63" s="143">
        <v>1</v>
      </c>
      <c r="P63" s="143">
        <f t="shared" si="2"/>
        <v>0</v>
      </c>
      <c r="Q63" s="143">
        <f t="shared" si="3"/>
        <v>1</v>
      </c>
    </row>
    <row r="64" spans="1:17" s="254" customFormat="1" x14ac:dyDescent="0.3">
      <c r="A64" s="254" t="s">
        <v>313</v>
      </c>
      <c r="B64" s="254" t="s">
        <v>57</v>
      </c>
      <c r="C64" s="254" t="s">
        <v>58</v>
      </c>
      <c r="D64" s="254" t="s">
        <v>124</v>
      </c>
      <c r="E64" s="254" t="s">
        <v>69</v>
      </c>
      <c r="F64" s="254" t="s">
        <v>315</v>
      </c>
      <c r="G64" s="255">
        <v>60</v>
      </c>
      <c r="H64" s="254" t="s">
        <v>444</v>
      </c>
      <c r="I64" s="254" t="s">
        <v>856</v>
      </c>
      <c r="M64" s="180">
        <v>0</v>
      </c>
      <c r="N64" s="143">
        <v>1</v>
      </c>
      <c r="P64" s="143">
        <f t="shared" si="2"/>
        <v>0</v>
      </c>
      <c r="Q64" s="143">
        <f t="shared" si="3"/>
        <v>1</v>
      </c>
    </row>
    <row r="65" spans="1:19" x14ac:dyDescent="0.3">
      <c r="A65" s="46" t="s">
        <v>316</v>
      </c>
      <c r="B65" t="s">
        <v>65</v>
      </c>
      <c r="C65" t="s">
        <v>66</v>
      </c>
      <c r="D65" t="s">
        <v>124</v>
      </c>
      <c r="E65" t="s">
        <v>98</v>
      </c>
      <c r="F65" t="s">
        <v>318</v>
      </c>
      <c r="G65" s="94">
        <v>60</v>
      </c>
      <c r="H65" s="13" t="s">
        <v>813</v>
      </c>
      <c r="I65" s="13"/>
      <c r="J65" s="13"/>
      <c r="K65" s="13"/>
      <c r="L65" s="13"/>
      <c r="M65" s="143">
        <f t="shared" si="0"/>
        <v>1</v>
      </c>
      <c r="N65" s="143">
        <f t="shared" si="1"/>
        <v>2</v>
      </c>
      <c r="P65" s="143">
        <f t="shared" si="2"/>
        <v>0</v>
      </c>
      <c r="Q65" s="143">
        <f t="shared" si="3"/>
        <v>2</v>
      </c>
    </row>
    <row r="69" spans="1:19" ht="15.6" x14ac:dyDescent="0.3">
      <c r="S69" s="259"/>
    </row>
    <row r="70" spans="1:19" x14ac:dyDescent="0.3">
      <c r="S70" s="154"/>
    </row>
    <row r="71" spans="1:19" x14ac:dyDescent="0.3">
      <c r="S71" s="250"/>
    </row>
    <row r="72" spans="1:19" x14ac:dyDescent="0.3">
      <c r="S72" s="251"/>
    </row>
    <row r="73" spans="1:19" x14ac:dyDescent="0.3">
      <c r="S73" s="251"/>
    </row>
    <row r="74" spans="1:19" x14ac:dyDescent="0.3">
      <c r="S74" s="250"/>
    </row>
    <row r="75" spans="1:19" x14ac:dyDescent="0.3">
      <c r="S75" s="251"/>
    </row>
    <row r="76" spans="1:19" x14ac:dyDescent="0.3">
      <c r="S76" s="251"/>
    </row>
    <row r="77" spans="1:19" x14ac:dyDescent="0.3">
      <c r="S77" s="250"/>
    </row>
    <row r="78" spans="1:19" x14ac:dyDescent="0.3">
      <c r="S78" s="251"/>
    </row>
    <row r="79" spans="1:19" x14ac:dyDescent="0.3">
      <c r="S79" s="251"/>
    </row>
    <row r="80" spans="1:19" x14ac:dyDescent="0.3">
      <c r="S80" s="250"/>
    </row>
    <row r="81" spans="19:19" x14ac:dyDescent="0.3">
      <c r="S81" s="251"/>
    </row>
    <row r="82" spans="19:19" x14ac:dyDescent="0.3">
      <c r="S82" s="251"/>
    </row>
    <row r="84" spans="19:19" ht="15.6" x14ac:dyDescent="0.3">
      <c r="S84" s="259"/>
    </row>
    <row r="85" spans="19:19" x14ac:dyDescent="0.3">
      <c r="S85" s="154"/>
    </row>
    <row r="86" spans="19:19" x14ac:dyDescent="0.3">
      <c r="S86" s="250"/>
    </row>
    <row r="87" spans="19:19" x14ac:dyDescent="0.3">
      <c r="S87" s="251"/>
    </row>
    <row r="88" spans="19:19" x14ac:dyDescent="0.3">
      <c r="S88" s="250"/>
    </row>
    <row r="89" spans="19:19" x14ac:dyDescent="0.3">
      <c r="S89" s="251"/>
    </row>
    <row r="90" spans="19:19" x14ac:dyDescent="0.3">
      <c r="S90" s="250"/>
    </row>
    <row r="91" spans="19:19" x14ac:dyDescent="0.3">
      <c r="S91" s="251"/>
    </row>
    <row r="92" spans="19:19" x14ac:dyDescent="0.3">
      <c r="S92" s="251"/>
    </row>
    <row r="93" spans="19:19" x14ac:dyDescent="0.3">
      <c r="S93" s="250"/>
    </row>
    <row r="94" spans="19:19" x14ac:dyDescent="0.3">
      <c r="S94" s="251"/>
    </row>
    <row r="95" spans="19:19" x14ac:dyDescent="0.3">
      <c r="S95" s="250"/>
    </row>
    <row r="96" spans="19:19" x14ac:dyDescent="0.3">
      <c r="S96" s="251"/>
    </row>
    <row r="97" spans="19:19" x14ac:dyDescent="0.3">
      <c r="S97" s="251"/>
    </row>
    <row r="101" spans="19:19" ht="18" x14ac:dyDescent="0.3">
      <c r="S101" s="248"/>
    </row>
    <row r="102" spans="19:19" x14ac:dyDescent="0.3">
      <c r="S102" s="154"/>
    </row>
    <row r="103" spans="19:19" x14ac:dyDescent="0.3">
      <c r="S103" s="250"/>
    </row>
    <row r="104" spans="19:19" x14ac:dyDescent="0.3">
      <c r="S104" s="251"/>
    </row>
    <row r="105" spans="19:19" x14ac:dyDescent="0.3">
      <c r="S105" s="250"/>
    </row>
    <row r="106" spans="19:19" x14ac:dyDescent="0.3">
      <c r="S106" s="251"/>
    </row>
    <row r="107" spans="19:19" x14ac:dyDescent="0.3">
      <c r="S107" s="250"/>
    </row>
    <row r="108" spans="19:19" x14ac:dyDescent="0.3">
      <c r="S108" s="251"/>
    </row>
    <row r="109" spans="19:19" x14ac:dyDescent="0.3">
      <c r="S109" s="250"/>
    </row>
    <row r="110" spans="19:19" x14ac:dyDescent="0.3">
      <c r="S110" s="251"/>
    </row>
    <row r="111" spans="19:19" x14ac:dyDescent="0.3">
      <c r="S111" s="250"/>
    </row>
    <row r="112" spans="19:19" x14ac:dyDescent="0.3">
      <c r="S112" s="251"/>
    </row>
    <row r="116" spans="19:19" ht="18" x14ac:dyDescent="0.3">
      <c r="S116" s="248"/>
    </row>
    <row r="120" spans="19:19" ht="15.6" x14ac:dyDescent="0.3">
      <c r="S120" s="259"/>
    </row>
    <row r="121" spans="19:19" x14ac:dyDescent="0.3">
      <c r="S121" s="154"/>
    </row>
    <row r="122" spans="19:19" x14ac:dyDescent="0.3">
      <c r="S122" s="154"/>
    </row>
    <row r="123" spans="19:19" x14ac:dyDescent="0.3">
      <c r="S123" s="154"/>
    </row>
    <row r="124" spans="19:19" x14ac:dyDescent="0.3">
      <c r="S124" s="154"/>
    </row>
    <row r="125" spans="19:19" x14ac:dyDescent="0.3">
      <c r="S125" s="154"/>
    </row>
    <row r="127" spans="19:19" ht="15.6" x14ac:dyDescent="0.3">
      <c r="S127" s="259"/>
    </row>
    <row r="128" spans="19:19" x14ac:dyDescent="0.3">
      <c r="S128" s="154"/>
    </row>
    <row r="129" spans="19:19" x14ac:dyDescent="0.3">
      <c r="S129" s="154"/>
    </row>
    <row r="130" spans="19:19" x14ac:dyDescent="0.3">
      <c r="S130" s="154"/>
    </row>
    <row r="131" spans="19:19" x14ac:dyDescent="0.3">
      <c r="S131" s="154"/>
    </row>
    <row r="132" spans="19:19" x14ac:dyDescent="0.3">
      <c r="S132" s="154"/>
    </row>
    <row r="134" spans="19:19" ht="15.6" x14ac:dyDescent="0.3">
      <c r="S134" s="259"/>
    </row>
    <row r="143" spans="19:19" ht="18" x14ac:dyDescent="0.3">
      <c r="S143" s="248"/>
    </row>
    <row r="144" spans="19:19" x14ac:dyDescent="0.3">
      <c r="S144" s="154"/>
    </row>
    <row r="145" spans="19:19" x14ac:dyDescent="0.3">
      <c r="S145" s="154"/>
    </row>
    <row r="146" spans="19:19" x14ac:dyDescent="0.3">
      <c r="S146" s="154"/>
    </row>
    <row r="147" spans="19:19" x14ac:dyDescent="0.3">
      <c r="S147" s="154"/>
    </row>
    <row r="148" spans="19:19" x14ac:dyDescent="0.3">
      <c r="S148" s="154"/>
    </row>
    <row r="149" spans="19:19" x14ac:dyDescent="0.3">
      <c r="S149" s="154"/>
    </row>
  </sheetData>
  <mergeCells count="1">
    <mergeCell ref="H1:L1"/>
  </mergeCells>
  <dataValidations disablePrompts="1" count="1">
    <dataValidation allowBlank="1" showInputMessage="1" showErrorMessage="1" sqref="B3:B65" xr:uid="{1CE2208E-9533-4E5F-8A06-FD53506831B3}"/>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D9F1E-2CB1-4C2F-945C-62C7DC15891D}">
  <dimension ref="A1:G21"/>
  <sheetViews>
    <sheetView zoomScale="60" workbookViewId="0">
      <pane ySplit="1" topLeftCell="A2" activePane="bottomLeft" state="frozen"/>
      <selection pane="bottomLeft" activeCell="C33" sqref="C33"/>
    </sheetView>
  </sheetViews>
  <sheetFormatPr baseColWidth="10" defaultColWidth="11.44140625" defaultRowHeight="14.4" x14ac:dyDescent="0.3"/>
  <cols>
    <col min="1" max="1" width="51.5546875" customWidth="1"/>
    <col min="2" max="2" width="25.6640625" customWidth="1"/>
    <col min="3" max="3" width="20.33203125" customWidth="1"/>
    <col min="4" max="4" width="29.33203125" customWidth="1"/>
    <col min="5" max="5" width="35" customWidth="1"/>
    <col min="6" max="6" width="46.44140625" customWidth="1"/>
    <col min="7" max="7" width="47.5546875" customWidth="1"/>
  </cols>
  <sheetData>
    <row r="1" spans="1:6" x14ac:dyDescent="0.3">
      <c r="A1" s="1" t="s">
        <v>8</v>
      </c>
      <c r="B1" s="1" t="s">
        <v>39</v>
      </c>
      <c r="C1" s="1" t="s">
        <v>580</v>
      </c>
      <c r="D1" s="1" t="s">
        <v>581</v>
      </c>
      <c r="E1" s="1" t="s">
        <v>582</v>
      </c>
      <c r="F1" s="1" t="s">
        <v>583</v>
      </c>
    </row>
    <row r="2" spans="1:6" ht="15" customHeight="1" x14ac:dyDescent="0.3">
      <c r="A2" s="290" t="s">
        <v>584</v>
      </c>
      <c r="B2" s="2"/>
      <c r="C2" s="290" t="s">
        <v>585</v>
      </c>
      <c r="D2" s="290" t="s">
        <v>586</v>
      </c>
      <c r="E2" s="290" t="s">
        <v>587</v>
      </c>
      <c r="F2" s="2" t="s">
        <v>588</v>
      </c>
    </row>
    <row r="3" spans="1:6" x14ac:dyDescent="0.3">
      <c r="A3" s="290"/>
      <c r="B3" s="2"/>
      <c r="C3" s="290"/>
      <c r="D3" s="290"/>
      <c r="E3" s="290"/>
      <c r="F3" s="2" t="s">
        <v>589</v>
      </c>
    </row>
    <row r="4" spans="1:6" x14ac:dyDescent="0.3">
      <c r="A4" s="2" t="s">
        <v>590</v>
      </c>
      <c r="B4" s="2"/>
      <c r="C4" s="2" t="s">
        <v>591</v>
      </c>
      <c r="D4" s="2" t="s">
        <v>592</v>
      </c>
      <c r="E4" s="2">
        <v>200</v>
      </c>
      <c r="F4" s="2" t="s">
        <v>593</v>
      </c>
    </row>
    <row r="5" spans="1:6" x14ac:dyDescent="0.3">
      <c r="A5" s="2" t="s">
        <v>594</v>
      </c>
      <c r="B5" s="2"/>
      <c r="C5" s="2" t="s">
        <v>595</v>
      </c>
      <c r="D5" s="2" t="s">
        <v>596</v>
      </c>
      <c r="E5" s="3">
        <v>3333</v>
      </c>
      <c r="F5" s="2" t="s">
        <v>597</v>
      </c>
    </row>
    <row r="6" spans="1:6" x14ac:dyDescent="0.3">
      <c r="A6" s="2" t="s">
        <v>598</v>
      </c>
      <c r="B6" s="2"/>
      <c r="C6" s="2" t="s">
        <v>599</v>
      </c>
      <c r="D6" s="2" t="s">
        <v>600</v>
      </c>
      <c r="E6" s="2" t="s">
        <v>601</v>
      </c>
      <c r="F6" s="2" t="s">
        <v>602</v>
      </c>
    </row>
    <row r="7" spans="1:6" x14ac:dyDescent="0.3">
      <c r="A7" s="2" t="s">
        <v>603</v>
      </c>
      <c r="B7" s="2"/>
      <c r="C7" s="2">
        <v>0.13</v>
      </c>
      <c r="D7" s="2">
        <v>0.25</v>
      </c>
      <c r="E7" s="2">
        <v>0.4</v>
      </c>
      <c r="F7" s="2">
        <v>0.55000000000000004</v>
      </c>
    </row>
    <row r="8" spans="1:6" x14ac:dyDescent="0.3">
      <c r="A8" s="2" t="s">
        <v>604</v>
      </c>
      <c r="B8" s="2"/>
      <c r="C8" s="2" t="s">
        <v>605</v>
      </c>
      <c r="D8" s="2" t="s">
        <v>606</v>
      </c>
      <c r="E8" s="2" t="s">
        <v>607</v>
      </c>
      <c r="F8" s="2" t="s">
        <v>608</v>
      </c>
    </row>
    <row r="9" spans="1:6" x14ac:dyDescent="0.3">
      <c r="A9" s="2" t="s">
        <v>609</v>
      </c>
      <c r="B9" s="2" t="s">
        <v>610</v>
      </c>
      <c r="C9" s="2" t="s">
        <v>611</v>
      </c>
      <c r="D9" s="2">
        <v>5</v>
      </c>
      <c r="E9" s="2">
        <v>20</v>
      </c>
      <c r="F9" s="2">
        <v>600</v>
      </c>
    </row>
    <row r="10" spans="1:6" x14ac:dyDescent="0.3">
      <c r="A10" s="2" t="s">
        <v>612</v>
      </c>
      <c r="B10" s="2" t="s">
        <v>44</v>
      </c>
      <c r="C10" s="2" t="s">
        <v>613</v>
      </c>
      <c r="D10" s="2" t="s">
        <v>614</v>
      </c>
      <c r="E10" s="2" t="s">
        <v>615</v>
      </c>
      <c r="F10" s="2">
        <v>3</v>
      </c>
    </row>
    <row r="11" spans="1:6" ht="15" customHeight="1" x14ac:dyDescent="0.3">
      <c r="A11" s="290" t="s">
        <v>616</v>
      </c>
      <c r="B11" s="2"/>
      <c r="C11" s="290" t="s">
        <v>617</v>
      </c>
      <c r="D11" s="290" t="s">
        <v>618</v>
      </c>
      <c r="E11" s="290" t="s">
        <v>619</v>
      </c>
      <c r="F11" s="2" t="s">
        <v>620</v>
      </c>
    </row>
    <row r="12" spans="1:6" ht="15" customHeight="1" x14ac:dyDescent="0.3">
      <c r="A12" s="290"/>
      <c r="B12" s="2"/>
      <c r="C12" s="290"/>
      <c r="D12" s="290"/>
      <c r="E12" s="290"/>
      <c r="F12" s="2" t="s">
        <v>621</v>
      </c>
    </row>
    <row r="13" spans="1:6" ht="28.8" x14ac:dyDescent="0.3">
      <c r="A13" s="2" t="s">
        <v>622</v>
      </c>
      <c r="B13" s="2"/>
      <c r="C13" s="2" t="s">
        <v>623</v>
      </c>
      <c r="D13" s="2" t="s">
        <v>624</v>
      </c>
      <c r="E13" s="2" t="s">
        <v>625</v>
      </c>
      <c r="F13" s="2" t="s">
        <v>626</v>
      </c>
    </row>
    <row r="14" spans="1:6" x14ac:dyDescent="0.3">
      <c r="A14" s="2" t="s">
        <v>627</v>
      </c>
      <c r="B14" s="2"/>
      <c r="C14" s="2" t="s">
        <v>628</v>
      </c>
      <c r="D14" s="2" t="s">
        <v>629</v>
      </c>
      <c r="E14" s="2" t="s">
        <v>630</v>
      </c>
      <c r="F14" s="2" t="s">
        <v>631</v>
      </c>
    </row>
    <row r="15" spans="1:6" ht="15" customHeight="1" x14ac:dyDescent="0.3">
      <c r="A15" s="290" t="s">
        <v>632</v>
      </c>
      <c r="B15" s="2"/>
      <c r="C15" s="290" t="s">
        <v>633</v>
      </c>
      <c r="D15" s="290" t="s">
        <v>634</v>
      </c>
      <c r="E15" s="290" t="s">
        <v>635</v>
      </c>
      <c r="F15" s="290" t="s">
        <v>636</v>
      </c>
    </row>
    <row r="16" spans="1:6" x14ac:dyDescent="0.3">
      <c r="A16" s="290"/>
      <c r="B16" s="2"/>
      <c r="C16" s="290"/>
      <c r="D16" s="290"/>
      <c r="E16" s="290"/>
      <c r="F16" s="290"/>
    </row>
    <row r="17" spans="1:7" x14ac:dyDescent="0.3">
      <c r="A17" s="14" t="s">
        <v>637</v>
      </c>
      <c r="B17" s="14"/>
      <c r="C17" s="14" t="s">
        <v>638</v>
      </c>
      <c r="D17" s="14" t="s">
        <v>639</v>
      </c>
      <c r="E17" s="14" t="s">
        <v>640</v>
      </c>
      <c r="F17" s="14" t="s">
        <v>641</v>
      </c>
    </row>
    <row r="18" spans="1:7" ht="29.25" customHeight="1" x14ac:dyDescent="0.3">
      <c r="A18" s="291" t="s">
        <v>642</v>
      </c>
      <c r="B18" s="22"/>
      <c r="C18" s="15" t="s">
        <v>643</v>
      </c>
      <c r="D18" s="15" t="s">
        <v>644</v>
      </c>
      <c r="E18" s="16" t="s">
        <v>645</v>
      </c>
      <c r="F18" s="20" t="s">
        <v>646</v>
      </c>
      <c r="G18" s="23" t="s">
        <v>647</v>
      </c>
    </row>
    <row r="19" spans="1:7" ht="57.75" customHeight="1" x14ac:dyDescent="0.3">
      <c r="A19" s="291"/>
      <c r="B19" s="22"/>
      <c r="C19" s="2" t="s">
        <v>648</v>
      </c>
      <c r="D19" s="2" t="s">
        <v>649</v>
      </c>
      <c r="E19" s="141" t="s">
        <v>650</v>
      </c>
      <c r="F19" s="2" t="s">
        <v>651</v>
      </c>
    </row>
    <row r="20" spans="1:7" ht="43.5" customHeight="1" x14ac:dyDescent="0.3">
      <c r="A20" s="291"/>
      <c r="B20" s="22"/>
      <c r="C20" s="2" t="s">
        <v>652</v>
      </c>
      <c r="D20" s="2" t="s">
        <v>652</v>
      </c>
      <c r="E20" s="17" t="s">
        <v>653</v>
      </c>
      <c r="F20" s="21" t="s">
        <v>653</v>
      </c>
    </row>
    <row r="21" spans="1:7" ht="57.75" customHeight="1" x14ac:dyDescent="0.3">
      <c r="A21" s="291"/>
      <c r="B21" s="22"/>
      <c r="C21" s="2" t="s">
        <v>654</v>
      </c>
      <c r="D21" s="2" t="s">
        <v>654</v>
      </c>
      <c r="E21" s="17" t="s">
        <v>655</v>
      </c>
      <c r="F21" s="18" t="s">
        <v>655</v>
      </c>
    </row>
  </sheetData>
  <mergeCells count="14">
    <mergeCell ref="F15:F16"/>
    <mergeCell ref="A18:A21"/>
    <mergeCell ref="A2:A3"/>
    <mergeCell ref="C2:C3"/>
    <mergeCell ref="D2:D3"/>
    <mergeCell ref="E2:E3"/>
    <mergeCell ref="A11:A12"/>
    <mergeCell ref="C11:C12"/>
    <mergeCell ref="D11:D12"/>
    <mergeCell ref="E11:E12"/>
    <mergeCell ref="A15:A16"/>
    <mergeCell ref="C15:C16"/>
    <mergeCell ref="D15:D16"/>
    <mergeCell ref="E15:E1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1895-3E2F-412D-9B71-5DAFCE1CE797}">
  <dimension ref="A1:AE126"/>
  <sheetViews>
    <sheetView topLeftCell="A14" zoomScale="48" workbookViewId="0">
      <selection activeCell="S4" sqref="S4"/>
    </sheetView>
  </sheetViews>
  <sheetFormatPr baseColWidth="10" defaultColWidth="11.5546875" defaultRowHeight="14.4" x14ac:dyDescent="0.3"/>
  <cols>
    <col min="1" max="1" width="16" customWidth="1"/>
    <col min="2" max="2" width="22.88671875" bestFit="1" customWidth="1"/>
    <col min="4" max="4" width="16.6640625" customWidth="1"/>
    <col min="5" max="5" width="18.6640625" bestFit="1" customWidth="1"/>
    <col min="6" max="6" width="15.88671875" bestFit="1" customWidth="1"/>
    <col min="7" max="10" width="15.88671875" customWidth="1"/>
    <col min="11" max="11" width="20.5546875" bestFit="1" customWidth="1"/>
    <col min="12" max="16" width="16.6640625" customWidth="1"/>
  </cols>
  <sheetData>
    <row r="1" spans="1:31" s="42" customFormat="1" ht="28.95" customHeight="1" x14ac:dyDescent="0.3">
      <c r="A1" s="43" t="s">
        <v>7</v>
      </c>
      <c r="B1" s="43" t="s">
        <v>8</v>
      </c>
      <c r="C1" s="43" t="s">
        <v>9</v>
      </c>
      <c r="D1" s="43" t="s">
        <v>10</v>
      </c>
      <c r="E1" s="44" t="s">
        <v>11</v>
      </c>
      <c r="F1" s="43" t="s">
        <v>12</v>
      </c>
      <c r="G1" s="43" t="s">
        <v>13</v>
      </c>
      <c r="H1" s="43" t="s">
        <v>14</v>
      </c>
      <c r="I1" s="43" t="s">
        <v>15</v>
      </c>
      <c r="J1" s="43" t="s">
        <v>16</v>
      </c>
      <c r="K1" s="43" t="s">
        <v>656</v>
      </c>
      <c r="L1" s="44" t="s">
        <v>657</v>
      </c>
      <c r="M1" s="44" t="s">
        <v>19</v>
      </c>
      <c r="N1" s="44" t="s">
        <v>20</v>
      </c>
      <c r="O1" s="44" t="s">
        <v>21</v>
      </c>
      <c r="P1" s="44" t="s">
        <v>23</v>
      </c>
      <c r="Q1" s="44" t="s">
        <v>24</v>
      </c>
      <c r="R1" s="44" t="s">
        <v>658</v>
      </c>
      <c r="S1" s="44" t="s">
        <v>26</v>
      </c>
      <c r="T1" s="44" t="s">
        <v>27</v>
      </c>
      <c r="U1" s="44" t="s">
        <v>659</v>
      </c>
      <c r="V1" s="44" t="s">
        <v>29</v>
      </c>
      <c r="W1" s="44" t="s">
        <v>30</v>
      </c>
      <c r="X1" s="44" t="s">
        <v>31</v>
      </c>
      <c r="Y1" s="44" t="s">
        <v>32</v>
      </c>
      <c r="Z1" s="44" t="s">
        <v>33</v>
      </c>
      <c r="AA1" s="44" t="s">
        <v>34</v>
      </c>
      <c r="AB1" s="44" t="s">
        <v>35</v>
      </c>
      <c r="AC1" s="44" t="s">
        <v>36</v>
      </c>
      <c r="AD1" s="44" t="s">
        <v>37</v>
      </c>
      <c r="AE1" s="44" t="s">
        <v>38</v>
      </c>
    </row>
    <row r="2" spans="1:31" s="45" customFormat="1" ht="15" thickBot="1" x14ac:dyDescent="0.35">
      <c r="A2" s="45" t="s">
        <v>39</v>
      </c>
      <c r="B2" s="45">
        <v>0</v>
      </c>
      <c r="C2" s="45">
        <v>0</v>
      </c>
      <c r="D2" s="45">
        <v>0</v>
      </c>
      <c r="E2" s="45">
        <v>0</v>
      </c>
      <c r="F2" s="45">
        <v>0</v>
      </c>
      <c r="G2" s="45">
        <v>0</v>
      </c>
      <c r="H2" s="45">
        <v>0</v>
      </c>
      <c r="I2" s="45">
        <v>0</v>
      </c>
      <c r="J2" s="45">
        <v>0</v>
      </c>
      <c r="K2" s="45" t="s">
        <v>40</v>
      </c>
      <c r="L2" s="45" t="s">
        <v>41</v>
      </c>
      <c r="M2" s="45" t="s">
        <v>42</v>
      </c>
      <c r="N2" s="45" t="s">
        <v>43</v>
      </c>
      <c r="O2" s="45" t="s">
        <v>43</v>
      </c>
      <c r="P2" s="45" t="s">
        <v>45</v>
      </c>
      <c r="Q2" s="45" t="s">
        <v>46</v>
      </c>
      <c r="R2" s="45" t="s">
        <v>46</v>
      </c>
      <c r="S2" s="45" t="s">
        <v>46</v>
      </c>
      <c r="T2" s="45" t="s">
        <v>46</v>
      </c>
      <c r="U2" s="45" t="s">
        <v>46</v>
      </c>
      <c r="V2" s="45" t="s">
        <v>46</v>
      </c>
      <c r="W2" s="45" t="s">
        <v>46</v>
      </c>
      <c r="X2" s="45" t="s">
        <v>46</v>
      </c>
      <c r="Y2" s="45">
        <v>10</v>
      </c>
      <c r="Z2" s="45" t="s">
        <v>46</v>
      </c>
      <c r="AA2" s="45" t="s">
        <v>46</v>
      </c>
      <c r="AB2" s="45" t="s">
        <v>46</v>
      </c>
      <c r="AC2" s="45" t="s">
        <v>46</v>
      </c>
      <c r="AD2" s="45" t="s">
        <v>46</v>
      </c>
      <c r="AE2" s="45" t="s">
        <v>46</v>
      </c>
    </row>
    <row r="3" spans="1:31" ht="13.95" customHeight="1" thickTop="1" x14ac:dyDescent="0.3">
      <c r="A3" s="46" t="s">
        <v>56</v>
      </c>
      <c r="B3" s="49" t="s">
        <v>660</v>
      </c>
      <c r="C3" s="48" t="s">
        <v>661</v>
      </c>
      <c r="D3" s="48" t="s">
        <v>661</v>
      </c>
      <c r="E3" s="48" t="s">
        <v>661</v>
      </c>
      <c r="F3" s="48" t="s">
        <v>661</v>
      </c>
      <c r="G3" s="48" t="s">
        <v>661</v>
      </c>
      <c r="H3" s="48" t="s">
        <v>661</v>
      </c>
      <c r="I3" t="s">
        <v>53</v>
      </c>
      <c r="K3" s="31" t="s">
        <v>661</v>
      </c>
      <c r="L3" s="31" t="s">
        <v>661</v>
      </c>
      <c r="M3" s="31" t="s">
        <v>661</v>
      </c>
      <c r="N3" s="31" t="s">
        <v>661</v>
      </c>
      <c r="O3" s="31" t="s">
        <v>661</v>
      </c>
      <c r="P3" s="31" t="s">
        <v>661</v>
      </c>
    </row>
    <row r="4" spans="1:31" ht="129.6" x14ac:dyDescent="0.3">
      <c r="A4" s="46" t="s">
        <v>100</v>
      </c>
      <c r="B4" s="49" t="s">
        <v>660</v>
      </c>
      <c r="C4" s="48" t="s">
        <v>661</v>
      </c>
      <c r="D4" s="48" t="s">
        <v>661</v>
      </c>
      <c r="E4" s="48" t="s">
        <v>661</v>
      </c>
      <c r="F4" s="48" t="s">
        <v>661</v>
      </c>
      <c r="G4" s="48" t="s">
        <v>661</v>
      </c>
      <c r="H4" s="48" t="s">
        <v>661</v>
      </c>
      <c r="I4" t="s">
        <v>53</v>
      </c>
      <c r="K4" s="31" t="s">
        <v>661</v>
      </c>
      <c r="L4" s="31" t="s">
        <v>661</v>
      </c>
      <c r="M4" s="31" t="s">
        <v>661</v>
      </c>
      <c r="N4" s="31" t="s">
        <v>661</v>
      </c>
      <c r="O4" s="31" t="s">
        <v>661</v>
      </c>
      <c r="P4" s="31" t="s">
        <v>661</v>
      </c>
      <c r="S4" s="200" t="s">
        <v>660</v>
      </c>
    </row>
    <row r="5" spans="1:31" ht="72" x14ac:dyDescent="0.3">
      <c r="A5" s="46" t="s">
        <v>256</v>
      </c>
      <c r="B5" s="49" t="s">
        <v>660</v>
      </c>
      <c r="C5" s="48" t="s">
        <v>661</v>
      </c>
      <c r="D5" s="48" t="s">
        <v>661</v>
      </c>
      <c r="E5" s="48" t="s">
        <v>661</v>
      </c>
      <c r="F5" s="48" t="s">
        <v>661</v>
      </c>
      <c r="G5" s="48" t="s">
        <v>661</v>
      </c>
      <c r="H5" s="48" t="s">
        <v>661</v>
      </c>
      <c r="I5" t="s">
        <v>53</v>
      </c>
      <c r="K5" s="31" t="s">
        <v>661</v>
      </c>
      <c r="L5" s="31" t="s">
        <v>661</v>
      </c>
      <c r="M5" s="31" t="s">
        <v>661</v>
      </c>
      <c r="N5" s="31" t="s">
        <v>661</v>
      </c>
      <c r="O5" s="31" t="s">
        <v>661</v>
      </c>
      <c r="P5" s="31" t="s">
        <v>661</v>
      </c>
    </row>
    <row r="6" spans="1:31" ht="72" x14ac:dyDescent="0.3">
      <c r="A6" s="46" t="s">
        <v>305</v>
      </c>
      <c r="B6" s="49" t="s">
        <v>660</v>
      </c>
      <c r="C6" s="48" t="s">
        <v>661</v>
      </c>
      <c r="D6" s="48" t="s">
        <v>661</v>
      </c>
      <c r="E6" s="48" t="s">
        <v>661</v>
      </c>
      <c r="F6" s="48" t="s">
        <v>661</v>
      </c>
      <c r="G6" s="48" t="s">
        <v>661</v>
      </c>
      <c r="H6" s="48" t="s">
        <v>661</v>
      </c>
      <c r="I6" t="s">
        <v>53</v>
      </c>
      <c r="K6" s="31" t="s">
        <v>661</v>
      </c>
      <c r="L6" s="31" t="s">
        <v>661</v>
      </c>
      <c r="M6" s="31" t="s">
        <v>661</v>
      </c>
      <c r="N6" s="31" t="s">
        <v>661</v>
      </c>
      <c r="O6" s="31" t="s">
        <v>661</v>
      </c>
      <c r="P6" s="31" t="s">
        <v>661</v>
      </c>
    </row>
    <row r="7" spans="1:31" ht="72" x14ac:dyDescent="0.3">
      <c r="A7" s="46" t="s">
        <v>231</v>
      </c>
      <c r="B7" s="49" t="s">
        <v>660</v>
      </c>
      <c r="C7" s="48" t="s">
        <v>661</v>
      </c>
      <c r="D7" s="48" t="s">
        <v>661</v>
      </c>
      <c r="E7" s="48" t="s">
        <v>661</v>
      </c>
      <c r="F7" s="48" t="s">
        <v>661</v>
      </c>
      <c r="G7" s="48" t="s">
        <v>661</v>
      </c>
      <c r="H7" s="48" t="s">
        <v>661</v>
      </c>
      <c r="I7" t="s">
        <v>53</v>
      </c>
      <c r="K7" s="31" t="s">
        <v>661</v>
      </c>
      <c r="L7" s="31" t="s">
        <v>661</v>
      </c>
      <c r="M7" s="31" t="s">
        <v>661</v>
      </c>
      <c r="N7" s="31" t="s">
        <v>661</v>
      </c>
      <c r="O7" s="31" t="s">
        <v>661</v>
      </c>
      <c r="P7" s="31" t="s">
        <v>661</v>
      </c>
    </row>
    <row r="8" spans="1:31" ht="72" x14ac:dyDescent="0.3">
      <c r="A8" s="46" t="s">
        <v>143</v>
      </c>
      <c r="B8" s="49" t="s">
        <v>660</v>
      </c>
      <c r="C8" s="48" t="s">
        <v>661</v>
      </c>
      <c r="D8" s="48" t="s">
        <v>661</v>
      </c>
      <c r="E8" s="48" t="s">
        <v>661</v>
      </c>
      <c r="F8" s="48" t="s">
        <v>661</v>
      </c>
      <c r="G8" s="48" t="s">
        <v>661</v>
      </c>
      <c r="H8" s="48" t="s">
        <v>661</v>
      </c>
      <c r="I8" t="s">
        <v>53</v>
      </c>
      <c r="K8" s="31" t="s">
        <v>661</v>
      </c>
      <c r="L8" s="31" t="s">
        <v>661</v>
      </c>
      <c r="M8" s="31" t="s">
        <v>661</v>
      </c>
      <c r="N8" s="31" t="s">
        <v>661</v>
      </c>
      <c r="O8" s="31" t="s">
        <v>661</v>
      </c>
      <c r="P8" s="31" t="s">
        <v>661</v>
      </c>
    </row>
    <row r="9" spans="1:31" ht="72" x14ac:dyDescent="0.3">
      <c r="A9" s="46" t="s">
        <v>83</v>
      </c>
      <c r="B9" s="49" t="s">
        <v>660</v>
      </c>
      <c r="C9" s="48" t="s">
        <v>661</v>
      </c>
      <c r="D9" s="48" t="s">
        <v>661</v>
      </c>
      <c r="E9" s="48" t="s">
        <v>661</v>
      </c>
      <c r="F9" s="48" t="s">
        <v>661</v>
      </c>
      <c r="G9" s="48" t="s">
        <v>661</v>
      </c>
      <c r="H9" s="48" t="s">
        <v>661</v>
      </c>
      <c r="I9" t="s">
        <v>53</v>
      </c>
      <c r="K9" s="31" t="s">
        <v>661</v>
      </c>
      <c r="L9" s="31" t="s">
        <v>661</v>
      </c>
      <c r="M9" s="31" t="s">
        <v>661</v>
      </c>
      <c r="N9" s="31" t="s">
        <v>661</v>
      </c>
      <c r="O9" s="31" t="s">
        <v>661</v>
      </c>
      <c r="P9" s="31" t="s">
        <v>661</v>
      </c>
    </row>
    <row r="10" spans="1:31" ht="72" x14ac:dyDescent="0.3">
      <c r="A10" s="46" t="s">
        <v>236</v>
      </c>
      <c r="B10" s="49" t="s">
        <v>660</v>
      </c>
      <c r="C10" s="48" t="s">
        <v>661</v>
      </c>
      <c r="D10" s="48" t="s">
        <v>661</v>
      </c>
      <c r="E10" s="48" t="s">
        <v>661</v>
      </c>
      <c r="F10" s="48" t="s">
        <v>661</v>
      </c>
      <c r="G10" s="48" t="s">
        <v>661</v>
      </c>
      <c r="H10" s="48" t="s">
        <v>661</v>
      </c>
      <c r="I10" t="s">
        <v>53</v>
      </c>
      <c r="K10" s="31" t="s">
        <v>661</v>
      </c>
      <c r="L10" s="31" t="s">
        <v>661</v>
      </c>
      <c r="M10" s="31" t="s">
        <v>661</v>
      </c>
      <c r="N10" s="31" t="s">
        <v>661</v>
      </c>
      <c r="O10" s="31" t="s">
        <v>661</v>
      </c>
      <c r="P10" s="31" t="s">
        <v>661</v>
      </c>
    </row>
    <row r="11" spans="1:31" ht="72" x14ac:dyDescent="0.3">
      <c r="A11" s="46" t="s">
        <v>302</v>
      </c>
      <c r="B11" s="49" t="s">
        <v>660</v>
      </c>
      <c r="C11" s="48" t="s">
        <v>661</v>
      </c>
      <c r="D11" s="48" t="s">
        <v>661</v>
      </c>
      <c r="E11" s="48" t="s">
        <v>661</v>
      </c>
      <c r="F11" s="48" t="s">
        <v>661</v>
      </c>
      <c r="G11" s="48" t="s">
        <v>661</v>
      </c>
      <c r="H11" s="48" t="s">
        <v>661</v>
      </c>
      <c r="I11" t="s">
        <v>53</v>
      </c>
      <c r="K11" s="31" t="s">
        <v>661</v>
      </c>
      <c r="L11" s="31" t="s">
        <v>661</v>
      </c>
      <c r="M11" s="31" t="s">
        <v>661</v>
      </c>
      <c r="N11" s="31" t="s">
        <v>661</v>
      </c>
      <c r="O11" s="31" t="s">
        <v>661</v>
      </c>
      <c r="P11" s="31" t="s">
        <v>661</v>
      </c>
    </row>
    <row r="12" spans="1:31" ht="72" x14ac:dyDescent="0.3">
      <c r="A12" s="46" t="s">
        <v>252</v>
      </c>
      <c r="B12" s="49" t="s">
        <v>660</v>
      </c>
      <c r="C12" s="48" t="s">
        <v>661</v>
      </c>
      <c r="D12" s="48" t="s">
        <v>661</v>
      </c>
      <c r="E12" s="48" t="s">
        <v>661</v>
      </c>
      <c r="F12" s="48" t="s">
        <v>661</v>
      </c>
      <c r="G12" s="48" t="s">
        <v>661</v>
      </c>
      <c r="H12" s="48" t="s">
        <v>661</v>
      </c>
      <c r="I12" t="s">
        <v>53</v>
      </c>
      <c r="K12" s="31" t="s">
        <v>661</v>
      </c>
      <c r="L12" s="31" t="s">
        <v>661</v>
      </c>
      <c r="M12" s="31" t="s">
        <v>661</v>
      </c>
      <c r="N12" s="31" t="s">
        <v>661</v>
      </c>
      <c r="O12" s="31" t="s">
        <v>661</v>
      </c>
      <c r="P12" s="31" t="s">
        <v>661</v>
      </c>
    </row>
    <row r="13" spans="1:31" ht="72" x14ac:dyDescent="0.3">
      <c r="A13" s="46" t="s">
        <v>221</v>
      </c>
      <c r="B13" s="49" t="s">
        <v>660</v>
      </c>
      <c r="C13" s="48" t="s">
        <v>661</v>
      </c>
      <c r="D13" s="48" t="s">
        <v>661</v>
      </c>
      <c r="E13" s="48" t="s">
        <v>661</v>
      </c>
      <c r="F13" s="48" t="s">
        <v>661</v>
      </c>
      <c r="G13" s="48" t="s">
        <v>661</v>
      </c>
      <c r="H13" s="48" t="s">
        <v>661</v>
      </c>
      <c r="I13" t="s">
        <v>53</v>
      </c>
      <c r="K13" s="31" t="s">
        <v>661</v>
      </c>
      <c r="L13" s="31" t="s">
        <v>661</v>
      </c>
      <c r="M13" s="31" t="s">
        <v>661</v>
      </c>
      <c r="N13" s="31" t="s">
        <v>661</v>
      </c>
      <c r="O13" s="31" t="s">
        <v>661</v>
      </c>
      <c r="P13" s="31" t="s">
        <v>661</v>
      </c>
    </row>
    <row r="14" spans="1:31" ht="72" x14ac:dyDescent="0.3">
      <c r="A14" s="46" t="s">
        <v>313</v>
      </c>
      <c r="B14" s="49" t="s">
        <v>660</v>
      </c>
      <c r="C14" s="48" t="s">
        <v>661</v>
      </c>
      <c r="D14" s="48" t="s">
        <v>661</v>
      </c>
      <c r="E14" s="48" t="s">
        <v>661</v>
      </c>
      <c r="F14" s="48" t="s">
        <v>661</v>
      </c>
      <c r="G14" s="48" t="s">
        <v>661</v>
      </c>
      <c r="H14" s="48" t="s">
        <v>661</v>
      </c>
      <c r="I14" t="s">
        <v>53</v>
      </c>
      <c r="K14" s="31" t="s">
        <v>661</v>
      </c>
      <c r="L14" s="31" t="s">
        <v>661</v>
      </c>
      <c r="M14" s="31" t="s">
        <v>661</v>
      </c>
      <c r="N14" s="31" t="s">
        <v>661</v>
      </c>
      <c r="O14" s="31" t="s">
        <v>661</v>
      </c>
      <c r="P14" s="31" t="s">
        <v>661</v>
      </c>
    </row>
    <row r="15" spans="1:31" ht="72" x14ac:dyDescent="0.3">
      <c r="A15" s="46" t="s">
        <v>158</v>
      </c>
      <c r="B15" s="49" t="s">
        <v>660</v>
      </c>
      <c r="C15" s="48" t="s">
        <v>661</v>
      </c>
      <c r="D15" s="48" t="s">
        <v>661</v>
      </c>
      <c r="E15" s="48" t="s">
        <v>661</v>
      </c>
      <c r="F15" s="48" t="s">
        <v>661</v>
      </c>
      <c r="G15" s="48" t="s">
        <v>661</v>
      </c>
      <c r="H15" s="48" t="s">
        <v>661</v>
      </c>
      <c r="I15" t="s">
        <v>53</v>
      </c>
      <c r="K15" s="31" t="s">
        <v>661</v>
      </c>
      <c r="L15" s="31" t="s">
        <v>661</v>
      </c>
      <c r="M15" s="31" t="s">
        <v>661</v>
      </c>
      <c r="N15" s="31" t="s">
        <v>661</v>
      </c>
      <c r="O15" s="31" t="s">
        <v>661</v>
      </c>
      <c r="P15" s="31" t="s">
        <v>661</v>
      </c>
    </row>
    <row r="16" spans="1:31" ht="72" x14ac:dyDescent="0.3">
      <c r="A16" s="46" t="s">
        <v>287</v>
      </c>
      <c r="B16" s="49" t="s">
        <v>660</v>
      </c>
      <c r="C16" s="48" t="s">
        <v>661</v>
      </c>
      <c r="D16" s="48" t="s">
        <v>661</v>
      </c>
      <c r="E16" s="48" t="s">
        <v>661</v>
      </c>
      <c r="F16" s="48" t="s">
        <v>661</v>
      </c>
      <c r="G16" s="48" t="s">
        <v>661</v>
      </c>
      <c r="H16" s="48" t="s">
        <v>661</v>
      </c>
      <c r="I16" t="s">
        <v>53</v>
      </c>
      <c r="K16" s="31" t="s">
        <v>661</v>
      </c>
      <c r="L16" s="31" t="s">
        <v>661</v>
      </c>
      <c r="M16" s="31" t="s">
        <v>661</v>
      </c>
      <c r="N16" s="31" t="s">
        <v>661</v>
      </c>
      <c r="O16" s="31" t="s">
        <v>661</v>
      </c>
      <c r="P16" s="31" t="s">
        <v>661</v>
      </c>
    </row>
    <row r="17" spans="1:16" ht="72" x14ac:dyDescent="0.3">
      <c r="A17" s="46" t="s">
        <v>240</v>
      </c>
      <c r="B17" s="49" t="s">
        <v>660</v>
      </c>
      <c r="C17" s="48" t="s">
        <v>661</v>
      </c>
      <c r="D17" s="48" t="s">
        <v>661</v>
      </c>
      <c r="E17" s="48" t="s">
        <v>661</v>
      </c>
      <c r="F17" s="48" t="s">
        <v>661</v>
      </c>
      <c r="G17" s="48" t="s">
        <v>661</v>
      </c>
      <c r="H17" s="48" t="s">
        <v>661</v>
      </c>
      <c r="I17" t="s">
        <v>53</v>
      </c>
      <c r="K17" s="31" t="s">
        <v>661</v>
      </c>
      <c r="L17" s="31" t="s">
        <v>661</v>
      </c>
      <c r="M17" s="31" t="s">
        <v>661</v>
      </c>
      <c r="N17" s="31" t="s">
        <v>661</v>
      </c>
      <c r="O17" s="31" t="s">
        <v>661</v>
      </c>
      <c r="P17" s="31" t="s">
        <v>661</v>
      </c>
    </row>
    <row r="18" spans="1:16" ht="72" x14ac:dyDescent="0.3">
      <c r="A18" s="46" t="s">
        <v>177</v>
      </c>
      <c r="B18" s="49" t="s">
        <v>660</v>
      </c>
      <c r="C18" s="48" t="s">
        <v>661</v>
      </c>
      <c r="D18" s="48" t="s">
        <v>661</v>
      </c>
      <c r="E18" s="48" t="s">
        <v>661</v>
      </c>
      <c r="F18" s="48" t="s">
        <v>661</v>
      </c>
      <c r="G18" s="48" t="s">
        <v>661</v>
      </c>
      <c r="H18" s="48" t="s">
        <v>661</v>
      </c>
      <c r="I18" t="s">
        <v>53</v>
      </c>
      <c r="K18" s="31" t="s">
        <v>661</v>
      </c>
      <c r="L18" s="31" t="s">
        <v>661</v>
      </c>
      <c r="M18" s="31" t="s">
        <v>661</v>
      </c>
      <c r="N18" s="31" t="s">
        <v>661</v>
      </c>
      <c r="O18" s="31" t="s">
        <v>661</v>
      </c>
      <c r="P18" s="31" t="s">
        <v>661</v>
      </c>
    </row>
    <row r="19" spans="1:16" ht="72" x14ac:dyDescent="0.3">
      <c r="A19" s="46" t="s">
        <v>218</v>
      </c>
      <c r="B19" s="49" t="s">
        <v>660</v>
      </c>
      <c r="C19" s="48" t="s">
        <v>661</v>
      </c>
      <c r="D19" s="48" t="s">
        <v>661</v>
      </c>
      <c r="E19" s="48" t="s">
        <v>661</v>
      </c>
      <c r="F19" s="48" t="s">
        <v>661</v>
      </c>
      <c r="G19" s="48" t="s">
        <v>661</v>
      </c>
      <c r="H19" s="48" t="s">
        <v>661</v>
      </c>
      <c r="I19" t="s">
        <v>53</v>
      </c>
      <c r="K19" s="31" t="s">
        <v>661</v>
      </c>
      <c r="L19" s="31" t="s">
        <v>661</v>
      </c>
      <c r="M19" s="31" t="s">
        <v>661</v>
      </c>
      <c r="N19" s="31" t="s">
        <v>661</v>
      </c>
      <c r="O19" s="31" t="s">
        <v>661</v>
      </c>
      <c r="P19" s="31" t="s">
        <v>661</v>
      </c>
    </row>
    <row r="20" spans="1:16" ht="72" x14ac:dyDescent="0.3">
      <c r="A20" s="46" t="s">
        <v>89</v>
      </c>
      <c r="B20" s="49" t="s">
        <v>660</v>
      </c>
      <c r="C20" s="48" t="s">
        <v>661</v>
      </c>
      <c r="D20" s="48" t="s">
        <v>661</v>
      </c>
      <c r="E20" s="48" t="s">
        <v>661</v>
      </c>
      <c r="F20" s="48" t="s">
        <v>661</v>
      </c>
      <c r="G20" s="48" t="s">
        <v>661</v>
      </c>
      <c r="H20" s="48" t="s">
        <v>661</v>
      </c>
      <c r="I20" t="s">
        <v>53</v>
      </c>
      <c r="K20" s="31" t="s">
        <v>661</v>
      </c>
      <c r="L20" s="31" t="s">
        <v>661</v>
      </c>
      <c r="M20" s="31" t="s">
        <v>661</v>
      </c>
      <c r="N20" s="31" t="s">
        <v>661</v>
      </c>
      <c r="O20" s="31" t="s">
        <v>661</v>
      </c>
      <c r="P20" s="31" t="s">
        <v>661</v>
      </c>
    </row>
    <row r="21" spans="1:16" ht="72" x14ac:dyDescent="0.3">
      <c r="A21" s="46" t="s">
        <v>213</v>
      </c>
      <c r="B21" s="49" t="s">
        <v>660</v>
      </c>
      <c r="C21" s="48" t="s">
        <v>661</v>
      </c>
      <c r="D21" s="48" t="s">
        <v>661</v>
      </c>
      <c r="E21" s="48" t="s">
        <v>661</v>
      </c>
      <c r="F21" s="48" t="s">
        <v>661</v>
      </c>
      <c r="G21" s="48" t="s">
        <v>661</v>
      </c>
      <c r="H21" s="48" t="s">
        <v>661</v>
      </c>
      <c r="I21" t="s">
        <v>53</v>
      </c>
      <c r="K21" s="31" t="s">
        <v>661</v>
      </c>
      <c r="L21" s="31" t="s">
        <v>661</v>
      </c>
      <c r="M21" s="31" t="s">
        <v>661</v>
      </c>
      <c r="N21" s="31" t="s">
        <v>661</v>
      </c>
      <c r="O21" s="31" t="s">
        <v>661</v>
      </c>
      <c r="P21" s="31" t="s">
        <v>661</v>
      </c>
    </row>
    <row r="22" spans="1:16" ht="72" x14ac:dyDescent="0.3">
      <c r="A22" s="46" t="s">
        <v>166</v>
      </c>
      <c r="B22" s="49" t="s">
        <v>660</v>
      </c>
      <c r="C22" s="48" t="s">
        <v>661</v>
      </c>
      <c r="D22" s="48" t="s">
        <v>661</v>
      </c>
      <c r="E22" s="48" t="s">
        <v>661</v>
      </c>
      <c r="F22" s="48" t="s">
        <v>661</v>
      </c>
      <c r="G22" s="48" t="s">
        <v>661</v>
      </c>
      <c r="H22" s="48" t="s">
        <v>661</v>
      </c>
      <c r="I22" t="s">
        <v>53</v>
      </c>
      <c r="K22" s="31" t="s">
        <v>661</v>
      </c>
      <c r="L22" s="31" t="s">
        <v>661</v>
      </c>
      <c r="M22" s="31" t="s">
        <v>661</v>
      </c>
      <c r="N22" s="31" t="s">
        <v>661</v>
      </c>
      <c r="O22" s="31" t="s">
        <v>661</v>
      </c>
      <c r="P22" s="31" t="s">
        <v>661</v>
      </c>
    </row>
    <row r="23" spans="1:16" ht="72" x14ac:dyDescent="0.3">
      <c r="A23" s="46" t="s">
        <v>174</v>
      </c>
      <c r="B23" s="49" t="s">
        <v>660</v>
      </c>
      <c r="C23" s="48" t="s">
        <v>661</v>
      </c>
      <c r="D23" s="48" t="s">
        <v>661</v>
      </c>
      <c r="E23" s="48" t="s">
        <v>661</v>
      </c>
      <c r="F23" s="48" t="s">
        <v>661</v>
      </c>
      <c r="G23" s="48" t="s">
        <v>661</v>
      </c>
      <c r="H23" s="48" t="s">
        <v>661</v>
      </c>
      <c r="I23" t="s">
        <v>53</v>
      </c>
      <c r="K23" s="31" t="s">
        <v>661</v>
      </c>
      <c r="L23" s="31" t="s">
        <v>661</v>
      </c>
      <c r="M23" s="31" t="s">
        <v>661</v>
      </c>
      <c r="N23" s="31" t="s">
        <v>661</v>
      </c>
      <c r="O23" s="31" t="s">
        <v>661</v>
      </c>
      <c r="P23" s="31" t="s">
        <v>661</v>
      </c>
    </row>
    <row r="24" spans="1:16" ht="72" x14ac:dyDescent="0.3">
      <c r="A24" s="46" t="s">
        <v>117</v>
      </c>
      <c r="B24" s="49" t="s">
        <v>660</v>
      </c>
      <c r="C24" s="48" t="s">
        <v>661</v>
      </c>
      <c r="D24" s="48" t="s">
        <v>661</v>
      </c>
      <c r="E24" s="48" t="s">
        <v>661</v>
      </c>
      <c r="F24" s="48" t="s">
        <v>661</v>
      </c>
      <c r="G24" s="48" t="s">
        <v>661</v>
      </c>
      <c r="H24" s="48" t="s">
        <v>661</v>
      </c>
      <c r="I24" t="s">
        <v>53</v>
      </c>
      <c r="K24" s="31" t="s">
        <v>661</v>
      </c>
      <c r="L24" s="31" t="s">
        <v>661</v>
      </c>
      <c r="M24" s="31" t="s">
        <v>661</v>
      </c>
      <c r="N24" s="31" t="s">
        <v>661</v>
      </c>
      <c r="O24" s="31" t="s">
        <v>661</v>
      </c>
      <c r="P24" s="31" t="s">
        <v>661</v>
      </c>
    </row>
    <row r="25" spans="1:16" ht="72" x14ac:dyDescent="0.3">
      <c r="A25" s="46" t="s">
        <v>215</v>
      </c>
      <c r="B25" s="49" t="s">
        <v>660</v>
      </c>
      <c r="C25" s="48" t="s">
        <v>661</v>
      </c>
      <c r="D25" s="48" t="s">
        <v>661</v>
      </c>
      <c r="E25" s="48" t="s">
        <v>661</v>
      </c>
      <c r="F25" s="48" t="s">
        <v>661</v>
      </c>
      <c r="G25" s="48" t="s">
        <v>661</v>
      </c>
      <c r="H25" s="48" t="s">
        <v>661</v>
      </c>
      <c r="I25" t="s">
        <v>53</v>
      </c>
      <c r="K25" s="31" t="s">
        <v>661</v>
      </c>
      <c r="L25" s="31" t="s">
        <v>661</v>
      </c>
      <c r="M25" s="31" t="s">
        <v>661</v>
      </c>
      <c r="N25" s="31" t="s">
        <v>661</v>
      </c>
      <c r="O25" s="31" t="s">
        <v>661</v>
      </c>
      <c r="P25" s="31" t="s">
        <v>661</v>
      </c>
    </row>
    <row r="26" spans="1:16" ht="72" x14ac:dyDescent="0.3">
      <c r="A26" s="46" t="s">
        <v>95</v>
      </c>
      <c r="B26" s="49" t="s">
        <v>660</v>
      </c>
      <c r="C26" s="48" t="s">
        <v>661</v>
      </c>
      <c r="D26" s="48" t="s">
        <v>661</v>
      </c>
      <c r="E26" s="48" t="s">
        <v>661</v>
      </c>
      <c r="F26" s="48" t="s">
        <v>661</v>
      </c>
      <c r="G26" s="48" t="s">
        <v>661</v>
      </c>
      <c r="H26" s="48" t="s">
        <v>661</v>
      </c>
      <c r="I26" t="s">
        <v>53</v>
      </c>
      <c r="K26" s="31" t="s">
        <v>661</v>
      </c>
      <c r="L26" s="31" t="s">
        <v>661</v>
      </c>
      <c r="M26" s="31" t="s">
        <v>661</v>
      </c>
      <c r="N26" s="31" t="s">
        <v>661</v>
      </c>
      <c r="O26" s="31" t="s">
        <v>661</v>
      </c>
      <c r="P26" s="31" t="s">
        <v>661</v>
      </c>
    </row>
    <row r="27" spans="1:16" ht="72" x14ac:dyDescent="0.3">
      <c r="A27" s="46" t="s">
        <v>274</v>
      </c>
      <c r="B27" s="49" t="s">
        <v>660</v>
      </c>
      <c r="C27" s="48" t="s">
        <v>661</v>
      </c>
      <c r="D27" s="48" t="s">
        <v>661</v>
      </c>
      <c r="E27" s="48" t="s">
        <v>661</v>
      </c>
      <c r="F27" s="48" t="s">
        <v>661</v>
      </c>
      <c r="G27" s="48" t="s">
        <v>661</v>
      </c>
      <c r="H27" s="48" t="s">
        <v>661</v>
      </c>
      <c r="I27" t="s">
        <v>53</v>
      </c>
      <c r="K27" s="31" t="s">
        <v>661</v>
      </c>
      <c r="L27" s="31" t="s">
        <v>661</v>
      </c>
      <c r="M27" s="31" t="s">
        <v>661</v>
      </c>
      <c r="N27" s="31" t="s">
        <v>661</v>
      </c>
      <c r="O27" s="31" t="s">
        <v>661</v>
      </c>
      <c r="P27" s="31" t="s">
        <v>661</v>
      </c>
    </row>
    <row r="28" spans="1:16" ht="72" x14ac:dyDescent="0.3">
      <c r="A28" s="46" t="s">
        <v>153</v>
      </c>
      <c r="B28" s="49" t="s">
        <v>660</v>
      </c>
      <c r="C28" s="48" t="s">
        <v>661</v>
      </c>
      <c r="D28" s="48" t="s">
        <v>661</v>
      </c>
      <c r="E28" s="48" t="s">
        <v>661</v>
      </c>
      <c r="F28" s="48" t="s">
        <v>661</v>
      </c>
      <c r="G28" s="48" t="s">
        <v>661</v>
      </c>
      <c r="H28" s="48" t="s">
        <v>661</v>
      </c>
      <c r="I28" t="s">
        <v>53</v>
      </c>
      <c r="K28" s="31" t="s">
        <v>661</v>
      </c>
      <c r="L28" s="31" t="s">
        <v>661</v>
      </c>
      <c r="M28" s="31" t="s">
        <v>661</v>
      </c>
      <c r="N28" s="31" t="s">
        <v>661</v>
      </c>
      <c r="O28" s="31" t="s">
        <v>661</v>
      </c>
      <c r="P28" s="31" t="s">
        <v>661</v>
      </c>
    </row>
    <row r="29" spans="1:16" ht="72" x14ac:dyDescent="0.3">
      <c r="A29" s="46" t="s">
        <v>279</v>
      </c>
      <c r="B29" s="49" t="s">
        <v>660</v>
      </c>
      <c r="C29" s="48" t="s">
        <v>661</v>
      </c>
      <c r="D29" s="48" t="s">
        <v>661</v>
      </c>
      <c r="E29" s="48" t="s">
        <v>661</v>
      </c>
      <c r="F29" s="48" t="s">
        <v>661</v>
      </c>
      <c r="G29" s="48" t="s">
        <v>661</v>
      </c>
      <c r="H29" s="48" t="s">
        <v>661</v>
      </c>
      <c r="I29" t="s">
        <v>53</v>
      </c>
      <c r="K29" s="31" t="s">
        <v>661</v>
      </c>
      <c r="L29" s="31" t="s">
        <v>661</v>
      </c>
      <c r="M29" s="31" t="s">
        <v>661</v>
      </c>
      <c r="N29" s="31" t="s">
        <v>661</v>
      </c>
      <c r="O29" s="31" t="s">
        <v>661</v>
      </c>
      <c r="P29" s="31" t="s">
        <v>661</v>
      </c>
    </row>
    <row r="30" spans="1:16" ht="72" x14ac:dyDescent="0.3">
      <c r="A30" s="46" t="s">
        <v>170</v>
      </c>
      <c r="B30" s="49" t="s">
        <v>660</v>
      </c>
      <c r="C30" s="48" t="s">
        <v>661</v>
      </c>
      <c r="D30" s="48" t="s">
        <v>661</v>
      </c>
      <c r="E30" s="48" t="s">
        <v>661</v>
      </c>
      <c r="F30" s="48" t="s">
        <v>661</v>
      </c>
      <c r="G30" s="48" t="s">
        <v>661</v>
      </c>
      <c r="H30" s="48" t="s">
        <v>661</v>
      </c>
      <c r="I30" t="s">
        <v>53</v>
      </c>
      <c r="K30" s="31" t="s">
        <v>661</v>
      </c>
      <c r="L30" s="31" t="s">
        <v>661</v>
      </c>
      <c r="M30" s="31" t="s">
        <v>661</v>
      </c>
      <c r="N30" s="31" t="s">
        <v>661</v>
      </c>
      <c r="O30" s="31" t="s">
        <v>661</v>
      </c>
      <c r="P30" s="31" t="s">
        <v>661</v>
      </c>
    </row>
    <row r="31" spans="1:16" ht="72" x14ac:dyDescent="0.3">
      <c r="A31" s="46" t="s">
        <v>135</v>
      </c>
      <c r="B31" s="49" t="s">
        <v>660</v>
      </c>
      <c r="C31" s="48" t="s">
        <v>661</v>
      </c>
      <c r="D31" s="48" t="s">
        <v>661</v>
      </c>
      <c r="E31" s="48" t="s">
        <v>661</v>
      </c>
      <c r="F31" s="48" t="s">
        <v>661</v>
      </c>
      <c r="G31" s="48" t="s">
        <v>661</v>
      </c>
      <c r="H31" s="48" t="s">
        <v>661</v>
      </c>
      <c r="I31" t="s">
        <v>53</v>
      </c>
      <c r="K31" s="31" t="s">
        <v>661</v>
      </c>
      <c r="L31" s="31" t="s">
        <v>661</v>
      </c>
      <c r="M31" s="31" t="s">
        <v>661</v>
      </c>
      <c r="N31" s="31" t="s">
        <v>661</v>
      </c>
      <c r="O31" s="31" t="s">
        <v>661</v>
      </c>
      <c r="P31" s="31" t="s">
        <v>661</v>
      </c>
    </row>
    <row r="32" spans="1:16" ht="72" x14ac:dyDescent="0.3">
      <c r="A32" s="46" t="s">
        <v>139</v>
      </c>
      <c r="B32" s="49" t="s">
        <v>660</v>
      </c>
      <c r="C32" s="48" t="s">
        <v>661</v>
      </c>
      <c r="D32" s="48" t="s">
        <v>661</v>
      </c>
      <c r="E32" s="48" t="s">
        <v>661</v>
      </c>
      <c r="F32" s="48" t="s">
        <v>661</v>
      </c>
      <c r="G32" s="48" t="s">
        <v>661</v>
      </c>
      <c r="H32" s="48" t="s">
        <v>661</v>
      </c>
      <c r="I32" t="s">
        <v>53</v>
      </c>
      <c r="K32" s="31" t="s">
        <v>661</v>
      </c>
      <c r="L32" s="31" t="s">
        <v>661</v>
      </c>
      <c r="M32" s="31" t="s">
        <v>661</v>
      </c>
      <c r="N32" s="31" t="s">
        <v>661</v>
      </c>
      <c r="O32" s="31" t="s">
        <v>661</v>
      </c>
      <c r="P32" s="31" t="s">
        <v>661</v>
      </c>
    </row>
    <row r="33" spans="1:16" ht="72" x14ac:dyDescent="0.3">
      <c r="A33" s="46" t="s">
        <v>200</v>
      </c>
      <c r="B33" s="49" t="s">
        <v>660</v>
      </c>
      <c r="C33" s="48" t="s">
        <v>661</v>
      </c>
      <c r="D33" s="48" t="s">
        <v>661</v>
      </c>
      <c r="E33" s="48" t="s">
        <v>661</v>
      </c>
      <c r="F33" s="48" t="s">
        <v>661</v>
      </c>
      <c r="G33" s="48" t="s">
        <v>661</v>
      </c>
      <c r="H33" s="48" t="s">
        <v>661</v>
      </c>
      <c r="I33" t="s">
        <v>53</v>
      </c>
      <c r="K33" s="31" t="s">
        <v>661</v>
      </c>
      <c r="L33" s="31" t="s">
        <v>661</v>
      </c>
      <c r="M33" s="31" t="s">
        <v>661</v>
      </c>
      <c r="N33" s="31" t="s">
        <v>661</v>
      </c>
      <c r="O33" s="31" t="s">
        <v>661</v>
      </c>
      <c r="P33" s="31" t="s">
        <v>661</v>
      </c>
    </row>
    <row r="34" spans="1:16" ht="72" x14ac:dyDescent="0.3">
      <c r="A34" s="46" t="s">
        <v>196</v>
      </c>
      <c r="B34" s="49" t="s">
        <v>660</v>
      </c>
      <c r="C34" s="48" t="s">
        <v>661</v>
      </c>
      <c r="D34" s="48" t="s">
        <v>661</v>
      </c>
      <c r="E34" s="48" t="s">
        <v>661</v>
      </c>
      <c r="F34" s="48" t="s">
        <v>661</v>
      </c>
      <c r="G34" s="48" t="s">
        <v>661</v>
      </c>
      <c r="H34" s="48" t="s">
        <v>661</v>
      </c>
      <c r="I34" t="s">
        <v>53</v>
      </c>
      <c r="K34" s="31" t="s">
        <v>661</v>
      </c>
      <c r="L34" s="31" t="s">
        <v>661</v>
      </c>
      <c r="M34" s="31" t="s">
        <v>661</v>
      </c>
      <c r="N34" s="31" t="s">
        <v>661</v>
      </c>
      <c r="O34" s="31" t="s">
        <v>661</v>
      </c>
      <c r="P34" s="31" t="s">
        <v>661</v>
      </c>
    </row>
    <row r="35" spans="1:16" ht="72" x14ac:dyDescent="0.3">
      <c r="A35" s="46" t="s">
        <v>64</v>
      </c>
      <c r="B35" s="49" t="s">
        <v>660</v>
      </c>
      <c r="C35" s="48" t="s">
        <v>661</v>
      </c>
      <c r="D35" s="48" t="s">
        <v>661</v>
      </c>
      <c r="E35" s="48" t="s">
        <v>661</v>
      </c>
      <c r="F35" s="48" t="s">
        <v>661</v>
      </c>
      <c r="G35" s="48" t="s">
        <v>661</v>
      </c>
      <c r="H35" s="48" t="s">
        <v>661</v>
      </c>
      <c r="I35" t="s">
        <v>53</v>
      </c>
      <c r="K35" s="31" t="s">
        <v>661</v>
      </c>
      <c r="L35" s="31" t="s">
        <v>661</v>
      </c>
      <c r="M35" s="31" t="s">
        <v>661</v>
      </c>
      <c r="N35" s="31" t="s">
        <v>661</v>
      </c>
      <c r="O35" s="31" t="s">
        <v>661</v>
      </c>
      <c r="P35" s="31" t="s">
        <v>661</v>
      </c>
    </row>
    <row r="36" spans="1:16" ht="72" x14ac:dyDescent="0.3">
      <c r="A36" s="46" t="s">
        <v>224</v>
      </c>
      <c r="B36" s="49" t="s">
        <v>660</v>
      </c>
      <c r="C36" s="48" t="s">
        <v>661</v>
      </c>
      <c r="D36" s="48" t="s">
        <v>661</v>
      </c>
      <c r="E36" s="48" t="s">
        <v>661</v>
      </c>
      <c r="F36" s="48" t="s">
        <v>661</v>
      </c>
      <c r="G36" s="48" t="s">
        <v>661</v>
      </c>
      <c r="H36" s="48" t="s">
        <v>661</v>
      </c>
      <c r="I36" t="s">
        <v>53</v>
      </c>
      <c r="K36" s="31" t="s">
        <v>661</v>
      </c>
      <c r="L36" s="31" t="s">
        <v>661</v>
      </c>
      <c r="M36" s="31" t="s">
        <v>661</v>
      </c>
      <c r="N36" s="31" t="s">
        <v>661</v>
      </c>
      <c r="O36" s="31" t="s">
        <v>661</v>
      </c>
      <c r="P36" s="31" t="s">
        <v>661</v>
      </c>
    </row>
    <row r="37" spans="1:16" ht="72" x14ac:dyDescent="0.3">
      <c r="A37" s="46" t="s">
        <v>146</v>
      </c>
      <c r="B37" s="49" t="s">
        <v>660</v>
      </c>
      <c r="C37" s="48" t="s">
        <v>661</v>
      </c>
      <c r="D37" s="48" t="s">
        <v>661</v>
      </c>
      <c r="E37" s="48" t="s">
        <v>661</v>
      </c>
      <c r="F37" s="48" t="s">
        <v>661</v>
      </c>
      <c r="G37" s="48" t="s">
        <v>661</v>
      </c>
      <c r="H37" s="48" t="s">
        <v>661</v>
      </c>
      <c r="I37" t="s">
        <v>53</v>
      </c>
      <c r="K37" s="31" t="s">
        <v>661</v>
      </c>
      <c r="L37" s="31" t="s">
        <v>661</v>
      </c>
      <c r="M37" s="31" t="s">
        <v>661</v>
      </c>
      <c r="N37" s="31" t="s">
        <v>661</v>
      </c>
      <c r="O37" s="31" t="s">
        <v>661</v>
      </c>
      <c r="P37" s="31" t="s">
        <v>661</v>
      </c>
    </row>
    <row r="38" spans="1:16" ht="72" x14ac:dyDescent="0.3">
      <c r="A38" s="46" t="s">
        <v>121</v>
      </c>
      <c r="B38" s="49" t="s">
        <v>660</v>
      </c>
      <c r="C38" s="48" t="s">
        <v>661</v>
      </c>
      <c r="D38" s="48" t="s">
        <v>661</v>
      </c>
      <c r="E38" s="48" t="s">
        <v>661</v>
      </c>
      <c r="F38" s="48" t="s">
        <v>661</v>
      </c>
      <c r="G38" s="48" t="s">
        <v>661</v>
      </c>
      <c r="H38" s="48" t="s">
        <v>661</v>
      </c>
      <c r="I38" t="s">
        <v>53</v>
      </c>
      <c r="K38" s="31" t="s">
        <v>661</v>
      </c>
      <c r="L38" s="31" t="s">
        <v>661</v>
      </c>
      <c r="M38" s="31" t="s">
        <v>661</v>
      </c>
      <c r="N38" s="31" t="s">
        <v>661</v>
      </c>
      <c r="O38" s="31" t="s">
        <v>661</v>
      </c>
      <c r="P38" s="31" t="s">
        <v>661</v>
      </c>
    </row>
    <row r="39" spans="1:16" ht="72" x14ac:dyDescent="0.3">
      <c r="A39" s="46" t="s">
        <v>127</v>
      </c>
      <c r="B39" s="49" t="s">
        <v>660</v>
      </c>
      <c r="C39" s="48" t="s">
        <v>661</v>
      </c>
      <c r="D39" s="48" t="s">
        <v>661</v>
      </c>
      <c r="E39" s="48" t="s">
        <v>661</v>
      </c>
      <c r="F39" s="48" t="s">
        <v>661</v>
      </c>
      <c r="G39" s="48" t="s">
        <v>661</v>
      </c>
      <c r="H39" s="48" t="s">
        <v>661</v>
      </c>
      <c r="I39" t="s">
        <v>53</v>
      </c>
      <c r="K39" s="31" t="s">
        <v>661</v>
      </c>
      <c r="L39" s="31" t="s">
        <v>661</v>
      </c>
      <c r="M39" s="31" t="s">
        <v>661</v>
      </c>
      <c r="N39" s="31" t="s">
        <v>661</v>
      </c>
      <c r="O39" s="31" t="s">
        <v>661</v>
      </c>
      <c r="P39" s="31" t="s">
        <v>661</v>
      </c>
    </row>
    <row r="40" spans="1:16" ht="72" x14ac:dyDescent="0.3">
      <c r="A40" s="46" t="s">
        <v>336</v>
      </c>
      <c r="B40" s="49" t="s">
        <v>660</v>
      </c>
      <c r="C40" s="48" t="s">
        <v>661</v>
      </c>
      <c r="D40" s="48" t="s">
        <v>661</v>
      </c>
      <c r="E40" s="48" t="s">
        <v>661</v>
      </c>
      <c r="F40" s="48" t="s">
        <v>661</v>
      </c>
      <c r="G40" s="48" t="s">
        <v>661</v>
      </c>
      <c r="H40" s="48" t="s">
        <v>661</v>
      </c>
      <c r="I40" t="s">
        <v>53</v>
      </c>
      <c r="K40" s="31" t="s">
        <v>661</v>
      </c>
      <c r="L40" s="31" t="s">
        <v>661</v>
      </c>
      <c r="M40" s="31" t="s">
        <v>661</v>
      </c>
      <c r="N40" s="31" t="s">
        <v>661</v>
      </c>
      <c r="O40" s="31" t="s">
        <v>661</v>
      </c>
      <c r="P40" s="31" t="s">
        <v>661</v>
      </c>
    </row>
    <row r="41" spans="1:16" ht="72" x14ac:dyDescent="0.3">
      <c r="A41" s="46" t="s">
        <v>243</v>
      </c>
      <c r="B41" s="49" t="s">
        <v>660</v>
      </c>
      <c r="C41" s="48" t="s">
        <v>661</v>
      </c>
      <c r="D41" s="48" t="s">
        <v>661</v>
      </c>
      <c r="E41" s="48" t="s">
        <v>661</v>
      </c>
      <c r="F41" s="48" t="s">
        <v>661</v>
      </c>
      <c r="G41" s="48" t="s">
        <v>661</v>
      </c>
      <c r="H41" s="48" t="s">
        <v>661</v>
      </c>
      <c r="I41" t="s">
        <v>53</v>
      </c>
      <c r="K41" s="31" t="s">
        <v>661</v>
      </c>
      <c r="L41" s="31" t="s">
        <v>661</v>
      </c>
      <c r="M41" s="31" t="s">
        <v>661</v>
      </c>
      <c r="N41" s="31" t="s">
        <v>661</v>
      </c>
      <c r="O41" s="31" t="s">
        <v>661</v>
      </c>
      <c r="P41" s="31" t="s">
        <v>661</v>
      </c>
    </row>
    <row r="42" spans="1:16" ht="72" x14ac:dyDescent="0.3">
      <c r="A42" s="46" t="s">
        <v>662</v>
      </c>
      <c r="B42" s="49" t="s">
        <v>660</v>
      </c>
      <c r="C42" s="48" t="s">
        <v>661</v>
      </c>
      <c r="D42" s="48" t="s">
        <v>661</v>
      </c>
      <c r="E42" s="48" t="s">
        <v>661</v>
      </c>
      <c r="F42" s="48" t="s">
        <v>661</v>
      </c>
      <c r="G42" s="48" t="s">
        <v>661</v>
      </c>
      <c r="H42" s="48" t="s">
        <v>661</v>
      </c>
      <c r="I42" t="s">
        <v>53</v>
      </c>
      <c r="K42" s="31" t="s">
        <v>661</v>
      </c>
      <c r="L42" s="31" t="s">
        <v>661</v>
      </c>
      <c r="M42" s="31" t="s">
        <v>661</v>
      </c>
      <c r="N42" s="31" t="s">
        <v>661</v>
      </c>
      <c r="O42" s="31" t="s">
        <v>661</v>
      </c>
      <c r="P42" s="31" t="s">
        <v>661</v>
      </c>
    </row>
    <row r="43" spans="1:16" ht="72" x14ac:dyDescent="0.3">
      <c r="A43" s="46" t="s">
        <v>149</v>
      </c>
      <c r="B43" s="49" t="s">
        <v>660</v>
      </c>
      <c r="C43" s="48" t="s">
        <v>661</v>
      </c>
      <c r="D43" s="48" t="s">
        <v>661</v>
      </c>
      <c r="E43" s="48" t="s">
        <v>661</v>
      </c>
      <c r="F43" s="48" t="s">
        <v>661</v>
      </c>
      <c r="G43" s="48" t="s">
        <v>661</v>
      </c>
      <c r="H43" s="48" t="s">
        <v>661</v>
      </c>
      <c r="I43" t="s">
        <v>53</v>
      </c>
      <c r="K43" s="31" t="s">
        <v>661</v>
      </c>
      <c r="L43" s="31" t="s">
        <v>661</v>
      </c>
      <c r="M43" s="31" t="s">
        <v>661</v>
      </c>
      <c r="N43" s="31" t="s">
        <v>661</v>
      </c>
      <c r="O43" s="31" t="s">
        <v>661</v>
      </c>
      <c r="P43" s="31" t="s">
        <v>661</v>
      </c>
    </row>
    <row r="44" spans="1:16" ht="72" x14ac:dyDescent="0.3">
      <c r="A44" s="46" t="s">
        <v>155</v>
      </c>
      <c r="B44" s="49" t="s">
        <v>660</v>
      </c>
      <c r="C44" s="48" t="s">
        <v>661</v>
      </c>
      <c r="D44" s="48" t="s">
        <v>661</v>
      </c>
      <c r="E44" s="48" t="s">
        <v>661</v>
      </c>
      <c r="F44" s="48" t="s">
        <v>661</v>
      </c>
      <c r="G44" s="48" t="s">
        <v>661</v>
      </c>
      <c r="H44" s="48" t="s">
        <v>661</v>
      </c>
      <c r="I44" t="s">
        <v>53</v>
      </c>
      <c r="K44" s="31" t="s">
        <v>661</v>
      </c>
      <c r="L44" s="31" t="s">
        <v>661</v>
      </c>
      <c r="M44" s="31" t="s">
        <v>661</v>
      </c>
      <c r="N44" s="31" t="s">
        <v>661</v>
      </c>
      <c r="O44" s="31" t="s">
        <v>661</v>
      </c>
      <c r="P44" s="31" t="s">
        <v>661</v>
      </c>
    </row>
    <row r="45" spans="1:16" ht="72" x14ac:dyDescent="0.3">
      <c r="A45" s="47" t="s">
        <v>309</v>
      </c>
      <c r="B45" s="49" t="s">
        <v>660</v>
      </c>
      <c r="C45" s="48" t="s">
        <v>661</v>
      </c>
      <c r="D45" s="48" t="s">
        <v>661</v>
      </c>
      <c r="E45" s="48" t="s">
        <v>661</v>
      </c>
      <c r="F45" s="48" t="s">
        <v>661</v>
      </c>
      <c r="G45" s="48" t="s">
        <v>661</v>
      </c>
      <c r="H45" s="48" t="s">
        <v>661</v>
      </c>
      <c r="I45" t="s">
        <v>53</v>
      </c>
      <c r="K45" s="31" t="s">
        <v>661</v>
      </c>
      <c r="L45" s="31" t="s">
        <v>661</v>
      </c>
      <c r="M45" s="31" t="s">
        <v>661</v>
      </c>
      <c r="N45" s="31" t="s">
        <v>661</v>
      </c>
      <c r="O45" s="31" t="s">
        <v>661</v>
      </c>
      <c r="P45" s="31" t="s">
        <v>661</v>
      </c>
    </row>
    <row r="46" spans="1:16" ht="72" x14ac:dyDescent="0.3">
      <c r="A46" s="47" t="s">
        <v>72</v>
      </c>
      <c r="B46" s="49" t="s">
        <v>660</v>
      </c>
      <c r="C46" s="48" t="s">
        <v>661</v>
      </c>
      <c r="D46" s="48" t="s">
        <v>661</v>
      </c>
      <c r="E46" s="48" t="s">
        <v>661</v>
      </c>
      <c r="F46" s="48" t="s">
        <v>661</v>
      </c>
      <c r="G46" s="48" t="s">
        <v>661</v>
      </c>
      <c r="H46" s="48" t="s">
        <v>661</v>
      </c>
      <c r="I46" t="s">
        <v>53</v>
      </c>
      <c r="K46" s="31" t="s">
        <v>661</v>
      </c>
      <c r="L46" s="31" t="s">
        <v>661</v>
      </c>
      <c r="M46" s="31" t="s">
        <v>661</v>
      </c>
      <c r="N46" s="31" t="s">
        <v>661</v>
      </c>
      <c r="O46" s="31" t="s">
        <v>661</v>
      </c>
      <c r="P46" s="31" t="s">
        <v>661</v>
      </c>
    </row>
    <row r="47" spans="1:16" ht="72" x14ac:dyDescent="0.3">
      <c r="A47" s="47" t="s">
        <v>47</v>
      </c>
      <c r="B47" s="49" t="s">
        <v>660</v>
      </c>
      <c r="C47" s="48" t="s">
        <v>661</v>
      </c>
      <c r="D47" s="48" t="s">
        <v>661</v>
      </c>
      <c r="E47" s="48" t="s">
        <v>661</v>
      </c>
      <c r="F47" s="48" t="s">
        <v>661</v>
      </c>
      <c r="G47" s="48" t="s">
        <v>661</v>
      </c>
      <c r="H47" s="48" t="s">
        <v>661</v>
      </c>
      <c r="I47" t="s">
        <v>53</v>
      </c>
      <c r="K47" s="31" t="s">
        <v>661</v>
      </c>
      <c r="L47" s="31" t="s">
        <v>661</v>
      </c>
      <c r="M47" s="31" t="s">
        <v>661</v>
      </c>
      <c r="N47" s="31" t="s">
        <v>661</v>
      </c>
      <c r="O47" s="31" t="s">
        <v>661</v>
      </c>
      <c r="P47" s="31" t="s">
        <v>661</v>
      </c>
    </row>
    <row r="48" spans="1:16" ht="72" x14ac:dyDescent="0.3">
      <c r="A48" s="47" t="s">
        <v>203</v>
      </c>
      <c r="B48" s="49" t="s">
        <v>660</v>
      </c>
      <c r="C48" s="48" t="s">
        <v>661</v>
      </c>
      <c r="D48" s="48" t="s">
        <v>661</v>
      </c>
      <c r="E48" s="48" t="s">
        <v>661</v>
      </c>
      <c r="F48" s="48" t="s">
        <v>661</v>
      </c>
      <c r="G48" s="48" t="s">
        <v>661</v>
      </c>
      <c r="H48" s="48" t="s">
        <v>661</v>
      </c>
      <c r="I48" t="s">
        <v>53</v>
      </c>
      <c r="K48" s="31" t="s">
        <v>661</v>
      </c>
      <c r="L48" s="31" t="s">
        <v>661</v>
      </c>
      <c r="M48" s="31" t="s">
        <v>661</v>
      </c>
      <c r="N48" s="31" t="s">
        <v>661</v>
      </c>
      <c r="O48" s="31" t="s">
        <v>661</v>
      </c>
      <c r="P48" s="31" t="s">
        <v>661</v>
      </c>
    </row>
    <row r="49" spans="1:16" ht="72" x14ac:dyDescent="0.3">
      <c r="A49" s="47" t="s">
        <v>77</v>
      </c>
      <c r="B49" s="49" t="s">
        <v>660</v>
      </c>
      <c r="C49" s="48" t="s">
        <v>661</v>
      </c>
      <c r="D49" s="48" t="s">
        <v>661</v>
      </c>
      <c r="E49" s="48" t="s">
        <v>661</v>
      </c>
      <c r="F49" s="48" t="s">
        <v>661</v>
      </c>
      <c r="G49" s="48" t="s">
        <v>661</v>
      </c>
      <c r="H49" s="48" t="s">
        <v>661</v>
      </c>
      <c r="I49" t="s">
        <v>53</v>
      </c>
      <c r="K49" s="31" t="s">
        <v>661</v>
      </c>
      <c r="L49" s="31" t="s">
        <v>661</v>
      </c>
      <c r="M49" s="31" t="s">
        <v>661</v>
      </c>
      <c r="N49" s="31" t="s">
        <v>661</v>
      </c>
      <c r="O49" s="31" t="s">
        <v>661</v>
      </c>
      <c r="P49" s="31" t="s">
        <v>661</v>
      </c>
    </row>
    <row r="50" spans="1:16" ht="72" x14ac:dyDescent="0.3">
      <c r="A50" s="47" t="s">
        <v>184</v>
      </c>
      <c r="B50" s="49" t="s">
        <v>660</v>
      </c>
      <c r="C50" s="48" t="s">
        <v>661</v>
      </c>
      <c r="D50" s="48" t="s">
        <v>661</v>
      </c>
      <c r="E50" s="48" t="s">
        <v>661</v>
      </c>
      <c r="F50" s="48" t="s">
        <v>661</v>
      </c>
      <c r="G50" s="48" t="s">
        <v>661</v>
      </c>
      <c r="H50" s="48" t="s">
        <v>661</v>
      </c>
      <c r="I50" t="s">
        <v>53</v>
      </c>
      <c r="K50" s="31" t="s">
        <v>661</v>
      </c>
      <c r="L50" s="31" t="s">
        <v>661</v>
      </c>
      <c r="M50" s="31" t="s">
        <v>661</v>
      </c>
      <c r="N50" s="31" t="s">
        <v>661</v>
      </c>
      <c r="O50" s="31" t="s">
        <v>661</v>
      </c>
      <c r="P50" s="31" t="s">
        <v>661</v>
      </c>
    </row>
    <row r="51" spans="1:16" ht="72" x14ac:dyDescent="0.3">
      <c r="A51" s="47" t="s">
        <v>283</v>
      </c>
      <c r="B51" s="49" t="s">
        <v>660</v>
      </c>
      <c r="C51" s="48" t="s">
        <v>661</v>
      </c>
      <c r="D51" s="48" t="s">
        <v>661</v>
      </c>
      <c r="E51" s="48" t="s">
        <v>661</v>
      </c>
      <c r="F51" s="48" t="s">
        <v>661</v>
      </c>
      <c r="G51" s="48" t="s">
        <v>661</v>
      </c>
      <c r="H51" s="48" t="s">
        <v>661</v>
      </c>
      <c r="I51" t="s">
        <v>53</v>
      </c>
      <c r="K51" s="31" t="s">
        <v>661</v>
      </c>
      <c r="L51" s="31" t="s">
        <v>661</v>
      </c>
      <c r="M51" s="31" t="s">
        <v>661</v>
      </c>
      <c r="N51" s="31" t="s">
        <v>661</v>
      </c>
      <c r="O51" s="31" t="s">
        <v>661</v>
      </c>
      <c r="P51" s="31" t="s">
        <v>661</v>
      </c>
    </row>
    <row r="52" spans="1:16" ht="72" x14ac:dyDescent="0.3">
      <c r="A52" s="47" t="s">
        <v>247</v>
      </c>
      <c r="B52" s="49" t="s">
        <v>660</v>
      </c>
      <c r="C52" s="48" t="s">
        <v>661</v>
      </c>
      <c r="D52" s="48" t="s">
        <v>661</v>
      </c>
      <c r="E52" s="48" t="s">
        <v>661</v>
      </c>
      <c r="F52" s="48" t="s">
        <v>661</v>
      </c>
      <c r="G52" s="48" t="s">
        <v>661</v>
      </c>
      <c r="H52" s="48" t="s">
        <v>661</v>
      </c>
      <c r="I52" t="s">
        <v>53</v>
      </c>
      <c r="K52" s="31" t="s">
        <v>661</v>
      </c>
      <c r="L52" s="31" t="s">
        <v>661</v>
      </c>
      <c r="M52" s="31" t="s">
        <v>661</v>
      </c>
      <c r="N52" s="31" t="s">
        <v>661</v>
      </c>
      <c r="O52" s="31" t="s">
        <v>661</v>
      </c>
      <c r="P52" s="31" t="s">
        <v>661</v>
      </c>
    </row>
    <row r="53" spans="1:16" ht="72" x14ac:dyDescent="0.3">
      <c r="A53" s="46" t="s">
        <v>112</v>
      </c>
      <c r="B53" s="49" t="s">
        <v>660</v>
      </c>
      <c r="C53" s="48" t="s">
        <v>661</v>
      </c>
      <c r="D53" s="48" t="s">
        <v>661</v>
      </c>
      <c r="E53" s="48" t="s">
        <v>661</v>
      </c>
      <c r="F53" s="48" t="s">
        <v>661</v>
      </c>
      <c r="G53" s="48" t="s">
        <v>661</v>
      </c>
      <c r="H53" s="48" t="s">
        <v>661</v>
      </c>
      <c r="I53" t="s">
        <v>53</v>
      </c>
      <c r="K53" s="31" t="s">
        <v>661</v>
      </c>
      <c r="L53" s="31" t="s">
        <v>661</v>
      </c>
      <c r="M53" s="31" t="s">
        <v>661</v>
      </c>
      <c r="N53" s="31" t="s">
        <v>661</v>
      </c>
      <c r="O53" s="31" t="s">
        <v>661</v>
      </c>
      <c r="P53" s="31" t="s">
        <v>661</v>
      </c>
    </row>
    <row r="54" spans="1:16" ht="72" x14ac:dyDescent="0.3">
      <c r="A54" s="46" t="s">
        <v>191</v>
      </c>
      <c r="B54" s="49" t="s">
        <v>660</v>
      </c>
      <c r="C54" s="48" t="s">
        <v>661</v>
      </c>
      <c r="D54" s="48" t="s">
        <v>661</v>
      </c>
      <c r="E54" s="48" t="s">
        <v>661</v>
      </c>
      <c r="F54" s="48" t="s">
        <v>661</v>
      </c>
      <c r="G54" s="48" t="s">
        <v>661</v>
      </c>
      <c r="H54" s="48" t="s">
        <v>661</v>
      </c>
      <c r="I54" t="s">
        <v>53</v>
      </c>
      <c r="K54" s="31" t="s">
        <v>661</v>
      </c>
      <c r="L54" s="31" t="s">
        <v>661</v>
      </c>
      <c r="M54" s="31" t="s">
        <v>661</v>
      </c>
      <c r="N54" s="31" t="s">
        <v>661</v>
      </c>
      <c r="O54" s="31" t="s">
        <v>661</v>
      </c>
      <c r="P54" s="31" t="s">
        <v>661</v>
      </c>
    </row>
    <row r="55" spans="1:16" ht="72" x14ac:dyDescent="0.3">
      <c r="A55" s="46" t="s">
        <v>297</v>
      </c>
      <c r="B55" s="49" t="s">
        <v>660</v>
      </c>
      <c r="C55" s="48" t="s">
        <v>661</v>
      </c>
      <c r="D55" s="48" t="s">
        <v>661</v>
      </c>
      <c r="E55" s="48" t="s">
        <v>661</v>
      </c>
      <c r="F55" s="48" t="s">
        <v>661</v>
      </c>
      <c r="G55" s="48" t="s">
        <v>661</v>
      </c>
      <c r="H55" s="48" t="s">
        <v>661</v>
      </c>
      <c r="I55" t="s">
        <v>53</v>
      </c>
      <c r="K55" s="31" t="s">
        <v>661</v>
      </c>
      <c r="L55" s="31" t="s">
        <v>661</v>
      </c>
      <c r="M55" s="31" t="s">
        <v>661</v>
      </c>
      <c r="N55" s="31" t="s">
        <v>661</v>
      </c>
      <c r="O55" s="31" t="s">
        <v>661</v>
      </c>
      <c r="P55" s="31" t="s">
        <v>661</v>
      </c>
    </row>
    <row r="56" spans="1:16" ht="72" x14ac:dyDescent="0.3">
      <c r="A56" s="46" t="s">
        <v>161</v>
      </c>
      <c r="B56" s="49" t="s">
        <v>660</v>
      </c>
      <c r="C56" s="48" t="s">
        <v>661</v>
      </c>
      <c r="D56" s="48" t="s">
        <v>661</v>
      </c>
      <c r="E56" s="48" t="s">
        <v>661</v>
      </c>
      <c r="F56" s="48" t="s">
        <v>661</v>
      </c>
      <c r="G56" s="48" t="s">
        <v>661</v>
      </c>
      <c r="H56" s="48" t="s">
        <v>661</v>
      </c>
      <c r="I56" t="s">
        <v>53</v>
      </c>
      <c r="K56" s="31" t="s">
        <v>661</v>
      </c>
      <c r="L56" s="31" t="s">
        <v>661</v>
      </c>
      <c r="M56" s="31" t="s">
        <v>661</v>
      </c>
      <c r="N56" s="31" t="s">
        <v>661</v>
      </c>
      <c r="O56" s="31" t="s">
        <v>661</v>
      </c>
      <c r="P56" s="31" t="s">
        <v>661</v>
      </c>
    </row>
    <row r="57" spans="1:16" ht="72" x14ac:dyDescent="0.3">
      <c r="A57" s="46" t="s">
        <v>269</v>
      </c>
      <c r="B57" s="49" t="s">
        <v>660</v>
      </c>
      <c r="C57" s="48" t="s">
        <v>661</v>
      </c>
      <c r="D57" s="48" t="s">
        <v>661</v>
      </c>
      <c r="E57" s="48" t="s">
        <v>661</v>
      </c>
      <c r="F57" s="48" t="s">
        <v>661</v>
      </c>
      <c r="G57" s="48" t="s">
        <v>661</v>
      </c>
      <c r="H57" s="48" t="s">
        <v>661</v>
      </c>
      <c r="I57" t="s">
        <v>53</v>
      </c>
      <c r="K57" s="31" t="s">
        <v>661</v>
      </c>
      <c r="L57" s="31" t="s">
        <v>661</v>
      </c>
      <c r="M57" s="31" t="s">
        <v>661</v>
      </c>
      <c r="N57" s="31" t="s">
        <v>661</v>
      </c>
      <c r="O57" s="31" t="s">
        <v>661</v>
      </c>
      <c r="P57" s="31" t="s">
        <v>661</v>
      </c>
    </row>
    <row r="58" spans="1:16" ht="72" x14ac:dyDescent="0.3">
      <c r="A58" s="46" t="s">
        <v>188</v>
      </c>
      <c r="B58" s="49" t="s">
        <v>660</v>
      </c>
      <c r="C58" s="48" t="s">
        <v>661</v>
      </c>
      <c r="D58" s="48" t="s">
        <v>661</v>
      </c>
      <c r="E58" s="48" t="s">
        <v>661</v>
      </c>
      <c r="F58" s="48" t="s">
        <v>661</v>
      </c>
      <c r="G58" s="48" t="s">
        <v>661</v>
      </c>
      <c r="H58" s="48" t="s">
        <v>661</v>
      </c>
      <c r="I58" t="s">
        <v>53</v>
      </c>
      <c r="K58" s="31" t="s">
        <v>661</v>
      </c>
      <c r="L58" s="31" t="s">
        <v>661</v>
      </c>
      <c r="M58" s="31" t="s">
        <v>661</v>
      </c>
      <c r="N58" s="31" t="s">
        <v>661</v>
      </c>
      <c r="O58" s="31" t="s">
        <v>661</v>
      </c>
      <c r="P58" s="31" t="s">
        <v>661</v>
      </c>
    </row>
    <row r="59" spans="1:16" ht="72" x14ac:dyDescent="0.3">
      <c r="A59" s="46" t="s">
        <v>292</v>
      </c>
      <c r="B59" s="49" t="s">
        <v>660</v>
      </c>
      <c r="C59" s="48" t="s">
        <v>661</v>
      </c>
      <c r="D59" s="48" t="s">
        <v>661</v>
      </c>
      <c r="E59" s="48" t="s">
        <v>661</v>
      </c>
      <c r="F59" s="48" t="s">
        <v>661</v>
      </c>
      <c r="G59" s="48" t="s">
        <v>661</v>
      </c>
      <c r="H59" s="48" t="s">
        <v>661</v>
      </c>
      <c r="I59" t="s">
        <v>53</v>
      </c>
      <c r="K59" s="31" t="s">
        <v>661</v>
      </c>
      <c r="L59" s="31" t="s">
        <v>661</v>
      </c>
      <c r="M59" s="31" t="s">
        <v>661</v>
      </c>
      <c r="N59" s="31" t="s">
        <v>661</v>
      </c>
      <c r="O59" s="31" t="s">
        <v>661</v>
      </c>
      <c r="P59" s="31" t="s">
        <v>661</v>
      </c>
    </row>
    <row r="60" spans="1:16" ht="72" x14ac:dyDescent="0.3">
      <c r="A60" s="46" t="s">
        <v>130</v>
      </c>
      <c r="B60" s="49" t="s">
        <v>660</v>
      </c>
      <c r="C60" s="48" t="s">
        <v>661</v>
      </c>
      <c r="D60" s="48" t="s">
        <v>661</v>
      </c>
      <c r="E60" s="48" t="s">
        <v>661</v>
      </c>
      <c r="F60" s="48" t="s">
        <v>661</v>
      </c>
      <c r="G60" s="48" t="s">
        <v>661</v>
      </c>
      <c r="H60" s="48" t="s">
        <v>661</v>
      </c>
      <c r="I60" t="s">
        <v>53</v>
      </c>
      <c r="K60" s="31" t="s">
        <v>661</v>
      </c>
      <c r="L60" s="31" t="s">
        <v>661</v>
      </c>
      <c r="M60" s="31" t="s">
        <v>661</v>
      </c>
      <c r="N60" s="31" t="s">
        <v>661</v>
      </c>
      <c r="O60" s="31" t="s">
        <v>661</v>
      </c>
      <c r="P60" s="31" t="s">
        <v>661</v>
      </c>
    </row>
    <row r="61" spans="1:16" ht="72" x14ac:dyDescent="0.3">
      <c r="A61" s="46" t="s">
        <v>259</v>
      </c>
      <c r="B61" s="49" t="s">
        <v>660</v>
      </c>
      <c r="C61" s="48" t="s">
        <v>661</v>
      </c>
      <c r="D61" s="48" t="s">
        <v>661</v>
      </c>
      <c r="E61" s="48" t="s">
        <v>661</v>
      </c>
      <c r="F61" s="48" t="s">
        <v>661</v>
      </c>
      <c r="G61" s="48" t="s">
        <v>661</v>
      </c>
      <c r="H61" s="48" t="s">
        <v>661</v>
      </c>
      <c r="I61" t="s">
        <v>53</v>
      </c>
      <c r="K61" s="31" t="s">
        <v>661</v>
      </c>
      <c r="L61" s="31" t="s">
        <v>661</v>
      </c>
      <c r="M61" s="31" t="s">
        <v>661</v>
      </c>
      <c r="N61" s="31" t="s">
        <v>661</v>
      </c>
      <c r="O61" s="31" t="s">
        <v>661</v>
      </c>
      <c r="P61" s="31" t="s">
        <v>661</v>
      </c>
    </row>
    <row r="62" spans="1:16" ht="72" x14ac:dyDescent="0.3">
      <c r="A62" s="46" t="s">
        <v>179</v>
      </c>
      <c r="B62" s="49" t="s">
        <v>660</v>
      </c>
      <c r="C62" s="48" t="s">
        <v>661</v>
      </c>
      <c r="D62" s="48" t="s">
        <v>661</v>
      </c>
      <c r="E62" s="48" t="s">
        <v>661</v>
      </c>
      <c r="F62" s="48" t="s">
        <v>661</v>
      </c>
      <c r="G62" s="48" t="s">
        <v>661</v>
      </c>
      <c r="H62" s="48" t="s">
        <v>661</v>
      </c>
      <c r="I62" t="s">
        <v>53</v>
      </c>
      <c r="K62" s="31" t="s">
        <v>661</v>
      </c>
      <c r="L62" s="31" t="s">
        <v>661</v>
      </c>
      <c r="M62" s="31" t="s">
        <v>661</v>
      </c>
      <c r="N62" s="31" t="s">
        <v>661</v>
      </c>
      <c r="O62" s="31" t="s">
        <v>661</v>
      </c>
      <c r="P62" s="31" t="s">
        <v>661</v>
      </c>
    </row>
    <row r="63" spans="1:16" ht="72" x14ac:dyDescent="0.3">
      <c r="A63" s="46" t="s">
        <v>104</v>
      </c>
      <c r="B63" s="49" t="s">
        <v>660</v>
      </c>
      <c r="C63" s="48" t="s">
        <v>661</v>
      </c>
      <c r="D63" s="48" t="s">
        <v>661</v>
      </c>
      <c r="E63" s="48" t="s">
        <v>661</v>
      </c>
      <c r="F63" s="48" t="s">
        <v>661</v>
      </c>
      <c r="G63" s="48" t="s">
        <v>661</v>
      </c>
      <c r="H63" s="48" t="s">
        <v>661</v>
      </c>
      <c r="I63" t="s">
        <v>53</v>
      </c>
      <c r="K63" s="31" t="s">
        <v>661</v>
      </c>
      <c r="L63" s="31" t="s">
        <v>661</v>
      </c>
      <c r="M63" s="31" t="s">
        <v>661</v>
      </c>
      <c r="N63" s="31" t="s">
        <v>661</v>
      </c>
      <c r="O63" s="31" t="s">
        <v>661</v>
      </c>
      <c r="P63" s="31" t="s">
        <v>661</v>
      </c>
    </row>
    <row r="64" spans="1:16" ht="72" x14ac:dyDescent="0.3">
      <c r="A64" s="46" t="s">
        <v>208</v>
      </c>
      <c r="B64" s="49" t="s">
        <v>660</v>
      </c>
      <c r="C64" s="48" t="s">
        <v>661</v>
      </c>
      <c r="D64" s="48" t="s">
        <v>661</v>
      </c>
      <c r="E64" s="48" t="s">
        <v>661</v>
      </c>
      <c r="F64" s="48" t="s">
        <v>661</v>
      </c>
      <c r="G64" s="48" t="s">
        <v>661</v>
      </c>
      <c r="H64" s="48" t="s">
        <v>661</v>
      </c>
      <c r="I64" t="s">
        <v>53</v>
      </c>
      <c r="K64" s="31" t="s">
        <v>661</v>
      </c>
      <c r="L64" s="31" t="s">
        <v>661</v>
      </c>
      <c r="M64" s="31" t="s">
        <v>661</v>
      </c>
      <c r="N64" s="31" t="s">
        <v>661</v>
      </c>
      <c r="O64" s="31" t="s">
        <v>661</v>
      </c>
      <c r="P64" s="31" t="s">
        <v>661</v>
      </c>
    </row>
    <row r="65" spans="1:16" ht="72" x14ac:dyDescent="0.3">
      <c r="A65" s="46" t="s">
        <v>263</v>
      </c>
      <c r="B65" s="49" t="s">
        <v>660</v>
      </c>
      <c r="C65" s="48" t="s">
        <v>661</v>
      </c>
      <c r="D65" s="48" t="s">
        <v>661</v>
      </c>
      <c r="E65" s="48" t="s">
        <v>661</v>
      </c>
      <c r="F65" s="48" t="s">
        <v>661</v>
      </c>
      <c r="G65" s="48" t="s">
        <v>661</v>
      </c>
      <c r="H65" s="48" t="s">
        <v>661</v>
      </c>
      <c r="I65" t="s">
        <v>53</v>
      </c>
      <c r="K65" s="31" t="s">
        <v>661</v>
      </c>
      <c r="L65" s="31" t="s">
        <v>661</v>
      </c>
      <c r="M65" s="31" t="s">
        <v>661</v>
      </c>
      <c r="N65" s="31" t="s">
        <v>661</v>
      </c>
      <c r="O65" s="31" t="s">
        <v>661</v>
      </c>
      <c r="P65" s="31" t="s">
        <v>661</v>
      </c>
    </row>
    <row r="66" spans="1:16" x14ac:dyDescent="0.3">
      <c r="B66" s="46"/>
    </row>
    <row r="67" spans="1:16" x14ac:dyDescent="0.3">
      <c r="B67" s="46"/>
    </row>
    <row r="68" spans="1:16" x14ac:dyDescent="0.3">
      <c r="B68" s="46"/>
    </row>
    <row r="69" spans="1:16" x14ac:dyDescent="0.3">
      <c r="B69" s="46"/>
    </row>
    <row r="70" spans="1:16" x14ac:dyDescent="0.3">
      <c r="B70" s="46"/>
    </row>
    <row r="71" spans="1:16" x14ac:dyDescent="0.3">
      <c r="B71" s="46"/>
    </row>
    <row r="72" spans="1:16" x14ac:dyDescent="0.3">
      <c r="B72" s="46"/>
    </row>
    <row r="73" spans="1:16" x14ac:dyDescent="0.3">
      <c r="B73" s="46"/>
    </row>
    <row r="74" spans="1:16" x14ac:dyDescent="0.3">
      <c r="B74" s="46"/>
    </row>
    <row r="75" spans="1:16" x14ac:dyDescent="0.3">
      <c r="B75" s="46"/>
    </row>
    <row r="76" spans="1:16" x14ac:dyDescent="0.3">
      <c r="B76" s="46"/>
    </row>
    <row r="77" spans="1:16" x14ac:dyDescent="0.3">
      <c r="B77" s="46"/>
    </row>
    <row r="78" spans="1:16" x14ac:dyDescent="0.3">
      <c r="B78" s="46"/>
    </row>
    <row r="79" spans="1:16" x14ac:dyDescent="0.3">
      <c r="B79" s="46"/>
    </row>
    <row r="80" spans="1:16" x14ac:dyDescent="0.3">
      <c r="B80" s="46"/>
    </row>
    <row r="81" spans="2:2" x14ac:dyDescent="0.3">
      <c r="B81" s="46"/>
    </row>
    <row r="82" spans="2:2" x14ac:dyDescent="0.3">
      <c r="B82" s="46"/>
    </row>
    <row r="83" spans="2:2" x14ac:dyDescent="0.3">
      <c r="B83" s="46"/>
    </row>
    <row r="84" spans="2:2" x14ac:dyDescent="0.3">
      <c r="B84" s="46"/>
    </row>
    <row r="85" spans="2:2" x14ac:dyDescent="0.3">
      <c r="B85" s="46"/>
    </row>
    <row r="86" spans="2:2" x14ac:dyDescent="0.3">
      <c r="B86" s="46"/>
    </row>
    <row r="87" spans="2:2" x14ac:dyDescent="0.3">
      <c r="B87" s="46"/>
    </row>
    <row r="88" spans="2:2" x14ac:dyDescent="0.3">
      <c r="B88" s="46"/>
    </row>
    <row r="89" spans="2:2" x14ac:dyDescent="0.3">
      <c r="B89" s="46"/>
    </row>
    <row r="90" spans="2:2" x14ac:dyDescent="0.3">
      <c r="B90" s="46"/>
    </row>
    <row r="91" spans="2:2" x14ac:dyDescent="0.3">
      <c r="B91" s="46"/>
    </row>
    <row r="92" spans="2:2" x14ac:dyDescent="0.3">
      <c r="B92" s="46"/>
    </row>
    <row r="93" spans="2:2" x14ac:dyDescent="0.3">
      <c r="B93" s="46"/>
    </row>
    <row r="94" spans="2:2" x14ac:dyDescent="0.3">
      <c r="B94" s="46"/>
    </row>
    <row r="95" spans="2:2" x14ac:dyDescent="0.3">
      <c r="B95" s="46"/>
    </row>
    <row r="96" spans="2:2" x14ac:dyDescent="0.3">
      <c r="B96" s="46"/>
    </row>
    <row r="97" spans="2:2" x14ac:dyDescent="0.3">
      <c r="B97" s="46"/>
    </row>
    <row r="98" spans="2:2" x14ac:dyDescent="0.3">
      <c r="B98" s="46"/>
    </row>
    <row r="99" spans="2:2" x14ac:dyDescent="0.3">
      <c r="B99" s="46"/>
    </row>
    <row r="100" spans="2:2" x14ac:dyDescent="0.3">
      <c r="B100" s="46"/>
    </row>
    <row r="101" spans="2:2" x14ac:dyDescent="0.3">
      <c r="B101" s="46"/>
    </row>
    <row r="102" spans="2:2" x14ac:dyDescent="0.3">
      <c r="B102" s="46"/>
    </row>
    <row r="103" spans="2:2" x14ac:dyDescent="0.3">
      <c r="B103" s="46"/>
    </row>
    <row r="104" spans="2:2" x14ac:dyDescent="0.3">
      <c r="B104" s="46"/>
    </row>
    <row r="105" spans="2:2" x14ac:dyDescent="0.3">
      <c r="B105" s="46"/>
    </row>
    <row r="106" spans="2:2" x14ac:dyDescent="0.3">
      <c r="B106" s="46"/>
    </row>
    <row r="107" spans="2:2" x14ac:dyDescent="0.3">
      <c r="B107" s="46"/>
    </row>
    <row r="108" spans="2:2" x14ac:dyDescent="0.3">
      <c r="B108" s="46"/>
    </row>
    <row r="109" spans="2:2" x14ac:dyDescent="0.3">
      <c r="B109" s="46"/>
    </row>
    <row r="110" spans="2:2" x14ac:dyDescent="0.3">
      <c r="B110" s="46"/>
    </row>
    <row r="111" spans="2:2" x14ac:dyDescent="0.3">
      <c r="B111" s="46"/>
    </row>
    <row r="112" spans="2:2" x14ac:dyDescent="0.3">
      <c r="B112" s="46"/>
    </row>
    <row r="113" spans="2:2" x14ac:dyDescent="0.3">
      <c r="B113" s="46"/>
    </row>
    <row r="114" spans="2:2" x14ac:dyDescent="0.3">
      <c r="B114" s="46"/>
    </row>
    <row r="115" spans="2:2" x14ac:dyDescent="0.3">
      <c r="B115" s="46"/>
    </row>
    <row r="116" spans="2:2" x14ac:dyDescent="0.3">
      <c r="B116" s="46"/>
    </row>
    <row r="117" spans="2:2" x14ac:dyDescent="0.3">
      <c r="B117" s="46"/>
    </row>
    <row r="118" spans="2:2" x14ac:dyDescent="0.3">
      <c r="B118" s="46"/>
    </row>
    <row r="119" spans="2:2" x14ac:dyDescent="0.3">
      <c r="B119" s="46"/>
    </row>
    <row r="120" spans="2:2" x14ac:dyDescent="0.3">
      <c r="B120" s="46"/>
    </row>
    <row r="121" spans="2:2" x14ac:dyDescent="0.3">
      <c r="B121" s="46"/>
    </row>
    <row r="122" spans="2:2" x14ac:dyDescent="0.3">
      <c r="B122" s="46"/>
    </row>
    <row r="123" spans="2:2" x14ac:dyDescent="0.3">
      <c r="B123" s="46"/>
    </row>
    <row r="124" spans="2:2" x14ac:dyDescent="0.3">
      <c r="B124" s="46"/>
    </row>
    <row r="125" spans="2:2" x14ac:dyDescent="0.3">
      <c r="B125" s="46"/>
    </row>
    <row r="126" spans="2:2" x14ac:dyDescent="0.3">
      <c r="B126" s="46"/>
    </row>
  </sheetData>
  <hyperlinks>
    <hyperlink ref="B3" r:id="rId1" xr:uid="{A6ED2022-FD99-4004-9804-A97AD87F62B6}"/>
    <hyperlink ref="C3" r:id="rId2" xr:uid="{4E8D9C18-0D44-4333-974E-BDF6C0E560D8}"/>
    <hyperlink ref="B4:B65" r:id="rId3" display="https://www.iaea.org/newscenter/news/what-are-small-modular-reactors-smrs_x000a_" xr:uid="{413297C6-EFC6-4E30-83A2-05F58E31DEF3}"/>
    <hyperlink ref="D3:H3" r:id="rId4" display="https://aris.iaea.org/Publications/SMR_booklet_2022.pdf" xr:uid="{F9C5CB15-06D9-4F54-9FDC-529914171A61}"/>
    <hyperlink ref="C4" r:id="rId5" xr:uid="{434283F0-CC42-4152-A0D8-BB2638E9312B}"/>
    <hyperlink ref="C5" r:id="rId6" xr:uid="{FB6E1073-73A3-4FA6-87A7-2E868AD390B7}"/>
    <hyperlink ref="C6" r:id="rId7" xr:uid="{26826ED6-9BF9-4548-B60D-254D7B7F9F38}"/>
    <hyperlink ref="C7" r:id="rId8" xr:uid="{5DEEF721-6C70-4710-83EA-78091086D2AA}"/>
    <hyperlink ref="C8" r:id="rId9" xr:uid="{308C5DC5-A6C7-4A59-A7C9-6791B22CF57C}"/>
    <hyperlink ref="C9" r:id="rId10" xr:uid="{1E6EBC14-5F15-44DD-877C-164FB8AAB35E}"/>
    <hyperlink ref="C10" r:id="rId11" xr:uid="{D941C7F6-FF4D-4D06-A7E7-E6AAE1C44226}"/>
    <hyperlink ref="C11" r:id="rId12" xr:uid="{F8C1F92B-8C26-4E7D-B6DF-3041D84808B6}"/>
    <hyperlink ref="C12" r:id="rId13" xr:uid="{8EA25970-F8D9-40CC-A775-BF62991713BF}"/>
    <hyperlink ref="C13" r:id="rId14" xr:uid="{2EF502B4-CD83-4075-B0E0-D9E327DA797D}"/>
    <hyperlink ref="C14" r:id="rId15" xr:uid="{9A6E1834-B742-4287-B2CE-222549997C1C}"/>
    <hyperlink ref="C15" r:id="rId16" xr:uid="{960A13F6-0209-486B-970E-2E6B9BD6F1ED}"/>
    <hyperlink ref="C16" r:id="rId17" xr:uid="{85036C2A-7E6B-442D-B2A3-39C7358A1A56}"/>
    <hyperlink ref="C17" r:id="rId18" xr:uid="{FA0005E2-EBEA-40A2-AFFF-67B083DE03F1}"/>
    <hyperlink ref="C18" r:id="rId19" xr:uid="{6CF06317-4068-4B1E-8BF9-D83B218B8A79}"/>
    <hyperlink ref="C19" r:id="rId20" xr:uid="{37CC2C6A-7DAE-4942-A2FC-48B97A325344}"/>
    <hyperlink ref="C20" r:id="rId21" xr:uid="{637723CF-C02B-4F2E-85B5-A1F9299F287E}"/>
    <hyperlink ref="C21" r:id="rId22" xr:uid="{3BA2A2C5-99CF-4169-831A-8608CA6E61B0}"/>
    <hyperlink ref="C22" r:id="rId23" xr:uid="{8E8E18E7-524E-4CE3-A108-A3118C61464B}"/>
    <hyperlink ref="C23" r:id="rId24" xr:uid="{1FF960E5-B170-48B7-AE25-4A19900ADA36}"/>
    <hyperlink ref="C24" r:id="rId25" xr:uid="{C57268B9-31BC-4155-BBE9-E496059C5E76}"/>
    <hyperlink ref="C25" r:id="rId26" xr:uid="{1CE35E8F-C393-4DEE-9925-547E456F0B0F}"/>
    <hyperlink ref="C26" r:id="rId27" xr:uid="{712E0545-B4FA-4486-8220-EE216A7F6B95}"/>
    <hyperlink ref="C27" r:id="rId28" xr:uid="{44329D03-F82C-4A94-8766-55056C8CECD6}"/>
    <hyperlink ref="C28" r:id="rId29" xr:uid="{20CBA0F5-7798-44E9-A04B-BB4937A385EA}"/>
    <hyperlink ref="C29" r:id="rId30" xr:uid="{B618D99C-14F0-4CEF-A188-EE437DAD2B2E}"/>
    <hyperlink ref="C30" r:id="rId31" xr:uid="{B0B1A3E1-14F8-4DFF-8A7A-8023AA9561EA}"/>
    <hyperlink ref="C31" r:id="rId32" xr:uid="{358E6232-E0D4-4491-A773-4FD58621DF2E}"/>
    <hyperlink ref="C32" r:id="rId33" xr:uid="{EC711569-AA54-4DD9-A6AA-1FC4929451C7}"/>
    <hyperlink ref="C33" r:id="rId34" xr:uid="{4B9CEF5D-B148-4FB2-BA9C-178804B97864}"/>
    <hyperlink ref="C34" r:id="rId35" xr:uid="{036B2368-A0EE-48C2-84FD-7484090EA75E}"/>
    <hyperlink ref="C35" r:id="rId36" xr:uid="{2B09595E-47C4-456F-A805-5DF65521F6D8}"/>
    <hyperlink ref="C36" r:id="rId37" xr:uid="{17787DC9-C6A6-4FA9-9836-717E619D5F68}"/>
    <hyperlink ref="C37" r:id="rId38" xr:uid="{A5393D68-037D-42B1-B55E-42A3428C4CF5}"/>
    <hyperlink ref="C38" r:id="rId39" xr:uid="{60FEE93B-CBB7-42A2-93B3-DCBF6465473E}"/>
    <hyperlink ref="C39" r:id="rId40" xr:uid="{EE33D46E-CD27-4F1F-BB15-C821E0B4332D}"/>
    <hyperlink ref="C40" r:id="rId41" xr:uid="{FAB2E733-4E58-405D-8588-D08B9F0FC52D}"/>
    <hyperlink ref="C41" r:id="rId42" xr:uid="{89D63D6A-8B0D-4C25-8F96-21E2A3C4DBD0}"/>
    <hyperlink ref="C42" r:id="rId43" xr:uid="{6F38DF4B-D689-48C2-AD87-C3CC03130FE5}"/>
    <hyperlink ref="C43" r:id="rId44" xr:uid="{77366F5C-BE66-41A8-903B-197674039AB6}"/>
    <hyperlink ref="C44" r:id="rId45" xr:uid="{26FF6562-393A-4FF2-A691-0BB8A8D432E6}"/>
    <hyperlink ref="C45" r:id="rId46" xr:uid="{07A3B6E1-9BDE-4B35-BA2E-E10063763823}"/>
    <hyperlink ref="C46" r:id="rId47" xr:uid="{CDE75A15-0A66-41A1-B0C9-39425537C411}"/>
    <hyperlink ref="C47" r:id="rId48" xr:uid="{4A6FF64D-E7D7-434B-9479-147C2341835C}"/>
    <hyperlink ref="C48" r:id="rId49" xr:uid="{99D41B6F-E1A3-41B3-A257-583C9A899384}"/>
    <hyperlink ref="C49" r:id="rId50" xr:uid="{382EFBAA-FABE-45C6-B2C8-0E0909CA9F60}"/>
    <hyperlink ref="C50" r:id="rId51" xr:uid="{92BAB699-C775-4CBE-A0F0-F907AD938B2A}"/>
    <hyperlink ref="C51" r:id="rId52" xr:uid="{A0EE71D7-CFE6-4E35-88FA-12A65CDF8D89}"/>
    <hyperlink ref="C52" r:id="rId53" xr:uid="{64F4E1E3-F5D4-4F70-B4F7-DA8E1D586C91}"/>
    <hyperlink ref="C53" r:id="rId54" xr:uid="{EB4924C6-F66F-4522-BE8A-93B02E4199A6}"/>
    <hyperlink ref="C54" r:id="rId55" xr:uid="{04FF4CD5-18D9-4B94-8F85-77D7FA59875B}"/>
    <hyperlink ref="C55" r:id="rId56" xr:uid="{E1D3BEFA-F106-4C57-AD75-8272D1141C2E}"/>
    <hyperlink ref="C56" r:id="rId57" xr:uid="{2085D2C4-59B7-4B2F-A501-F041ADD4E5F5}"/>
    <hyperlink ref="C57" r:id="rId58" xr:uid="{20C6F722-3265-4FA9-9150-CD4FC0BA3330}"/>
    <hyperlink ref="C58" r:id="rId59" xr:uid="{CAA032AF-6402-4535-9317-A50EF4240AEB}"/>
    <hyperlink ref="C59" r:id="rId60" xr:uid="{F9F2BC1B-F535-4118-A16B-B07FE50A323A}"/>
    <hyperlink ref="C60" r:id="rId61" xr:uid="{F72FBAF5-C5D6-4D4F-9679-F04B60BBD615}"/>
    <hyperlink ref="C61" r:id="rId62" xr:uid="{7EA613E3-A57E-4057-9C43-0D1CFE6660BD}"/>
    <hyperlink ref="C62" r:id="rId63" xr:uid="{2F932566-43A9-4FC3-8932-DB0DCE468C0E}"/>
    <hyperlink ref="C63" r:id="rId64" xr:uid="{E52999F3-CA2C-434C-AB90-4473A765D82E}"/>
    <hyperlink ref="C64" r:id="rId65" xr:uid="{90883618-D8EF-4BA8-A4B5-F8AC047BABA9}"/>
    <hyperlink ref="C65" r:id="rId66" xr:uid="{70A60F44-EE50-41F9-9C59-641AF028BD55}"/>
    <hyperlink ref="D4:H4" r:id="rId67" display="https://aris.iaea.org/Publications/SMR_booklet_2022.pdf" xr:uid="{52963A2F-056A-41B1-ABE2-8DBA846C1EE9}"/>
    <hyperlink ref="D5:H5" r:id="rId68" display="https://aris.iaea.org/Publications/SMR_booklet_2022.pdf" xr:uid="{6F6898B0-D777-47B9-9A72-98C65E774584}"/>
    <hyperlink ref="D6:H6" r:id="rId69" display="https://aris.iaea.org/Publications/SMR_booklet_2022.pdf" xr:uid="{E5C737E3-15CB-43CF-A405-E87277D93724}"/>
    <hyperlink ref="D7:H7" r:id="rId70" display="https://aris.iaea.org/Publications/SMR_booklet_2022.pdf" xr:uid="{3B1138A3-2671-4FDE-A881-23CFB66A560A}"/>
    <hyperlink ref="D8:H8" r:id="rId71" display="https://aris.iaea.org/Publications/SMR_booklet_2022.pdf" xr:uid="{7EAF026D-18EE-48B1-81A9-31FB4E71AE3D}"/>
    <hyperlink ref="D9:H9" r:id="rId72" display="https://aris.iaea.org/Publications/SMR_booklet_2022.pdf" xr:uid="{F73F44AF-4E36-413C-AAE7-F15462DA341F}"/>
    <hyperlink ref="D10:H10" r:id="rId73" display="https://aris.iaea.org/Publications/SMR_booklet_2022.pdf" xr:uid="{0B42E637-5F76-438E-A3F2-2300B3D2B521}"/>
    <hyperlink ref="D11:H11" r:id="rId74" display="https://aris.iaea.org/Publications/SMR_booklet_2022.pdf" xr:uid="{8D44E668-868C-4BDC-AB5B-056E6C0219AC}"/>
    <hyperlink ref="D12:H12" r:id="rId75" display="https://aris.iaea.org/Publications/SMR_booklet_2022.pdf" xr:uid="{E80332A2-0A66-4CB6-B0DA-4FD238B36E50}"/>
    <hyperlink ref="D13:H13" r:id="rId76" display="https://aris.iaea.org/Publications/SMR_booklet_2022.pdf" xr:uid="{AE73A56A-1132-4805-8095-5388C57D0EA2}"/>
    <hyperlink ref="D14:H14" r:id="rId77" display="https://aris.iaea.org/Publications/SMR_booklet_2022.pdf" xr:uid="{0B75201D-73C7-4269-B987-3D83BCD7D399}"/>
    <hyperlink ref="D15:H15" r:id="rId78" display="https://aris.iaea.org/Publications/SMR_booklet_2022.pdf" xr:uid="{72A13FBA-F0DD-4AAE-B7AB-C59E13CD8586}"/>
    <hyperlink ref="D16:H16" r:id="rId79" display="https://aris.iaea.org/Publications/SMR_booklet_2022.pdf" xr:uid="{C833A092-F3C5-4B04-9406-C8E6E1A73960}"/>
    <hyperlink ref="D17:H17" r:id="rId80" display="https://aris.iaea.org/Publications/SMR_booklet_2022.pdf" xr:uid="{EFE6B86B-FF8C-41EC-8A4F-B3CF16ECFA12}"/>
    <hyperlink ref="D18:H18" r:id="rId81" display="https://aris.iaea.org/Publications/SMR_booklet_2022.pdf" xr:uid="{D9716DDA-EA5C-4DAB-8173-F06A068DAA98}"/>
    <hyperlink ref="D19:H19" r:id="rId82" display="https://aris.iaea.org/Publications/SMR_booklet_2022.pdf" xr:uid="{F7F72D4E-4FA8-46B0-97A4-C9255C6CB42E}"/>
    <hyperlink ref="D20:H20" r:id="rId83" display="https://aris.iaea.org/Publications/SMR_booklet_2022.pdf" xr:uid="{A61707ED-AEE5-4CEE-A614-D36381A751D7}"/>
    <hyperlink ref="D21:H21" r:id="rId84" display="https://aris.iaea.org/Publications/SMR_booklet_2022.pdf" xr:uid="{CB128515-E3D2-4C57-A460-0EBCF61604A9}"/>
    <hyperlink ref="D22:H22" r:id="rId85" display="https://aris.iaea.org/Publications/SMR_booklet_2022.pdf" xr:uid="{11CE5388-E7D9-4089-9876-60FE622B23B4}"/>
    <hyperlink ref="D23:H23" r:id="rId86" display="https://aris.iaea.org/Publications/SMR_booklet_2022.pdf" xr:uid="{FBA14BAC-5699-45F4-B172-A8CACF24B93A}"/>
    <hyperlink ref="D24:H24" r:id="rId87" display="https://aris.iaea.org/Publications/SMR_booklet_2022.pdf" xr:uid="{B29E578F-0568-4A33-9D5E-2919E5D4ACF5}"/>
    <hyperlink ref="D25:H25" r:id="rId88" display="https://aris.iaea.org/Publications/SMR_booklet_2022.pdf" xr:uid="{38409774-64D4-4BD1-B9F0-B7EBA9E88F8D}"/>
    <hyperlink ref="D26:H26" r:id="rId89" display="https://aris.iaea.org/Publications/SMR_booklet_2022.pdf" xr:uid="{F65C35C2-C4F1-4133-9BD1-A41FA105AB20}"/>
    <hyperlink ref="D27:H27" r:id="rId90" display="https://aris.iaea.org/Publications/SMR_booklet_2022.pdf" xr:uid="{114531EA-C496-4B7E-8CE9-C9C007B33EEF}"/>
    <hyperlink ref="D28:H28" r:id="rId91" display="https://aris.iaea.org/Publications/SMR_booklet_2022.pdf" xr:uid="{7C770293-29AA-44E3-9885-B1A1A8761BAC}"/>
    <hyperlink ref="D29:H29" r:id="rId92" display="https://aris.iaea.org/Publications/SMR_booklet_2022.pdf" xr:uid="{7D6EB165-60E1-412A-A938-55BD89F7C360}"/>
    <hyperlink ref="D30:H30" r:id="rId93" display="https://aris.iaea.org/Publications/SMR_booklet_2022.pdf" xr:uid="{FBC25E6E-8A87-49D1-90F6-28739E278525}"/>
    <hyperlink ref="D31:H31" r:id="rId94" display="https://aris.iaea.org/Publications/SMR_booklet_2022.pdf" xr:uid="{F5ADD88E-8B9D-4ABF-BA38-74B05DB643C9}"/>
    <hyperlink ref="D32:H32" r:id="rId95" display="https://aris.iaea.org/Publications/SMR_booklet_2022.pdf" xr:uid="{DE697463-11C2-4325-A920-F900F1BA4D68}"/>
    <hyperlink ref="D33:H33" r:id="rId96" display="https://aris.iaea.org/Publications/SMR_booklet_2022.pdf" xr:uid="{4AC82151-CFC0-4876-85CC-EDFC7E366496}"/>
    <hyperlink ref="D34:H34" r:id="rId97" display="https://aris.iaea.org/Publications/SMR_booklet_2022.pdf" xr:uid="{5CAF60D7-43E9-4A40-B42B-CA9BC9A06B85}"/>
    <hyperlink ref="D35:H35" r:id="rId98" display="https://aris.iaea.org/Publications/SMR_booklet_2022.pdf" xr:uid="{DCAA13AA-66D6-4108-9262-095A27C9F982}"/>
    <hyperlink ref="D36:H36" r:id="rId99" display="https://aris.iaea.org/Publications/SMR_booklet_2022.pdf" xr:uid="{034E5F5C-1D95-4689-A741-902CCD798656}"/>
    <hyperlink ref="D37:H37" r:id="rId100" display="https://aris.iaea.org/Publications/SMR_booklet_2022.pdf" xr:uid="{21558F9F-96CC-4A6D-84C5-9D0A118F877E}"/>
    <hyperlink ref="D38:H38" r:id="rId101" display="https://aris.iaea.org/Publications/SMR_booklet_2022.pdf" xr:uid="{7A5C8F8B-B10B-425E-82BA-96E2DB242B00}"/>
    <hyperlink ref="D39:H39" r:id="rId102" display="https://aris.iaea.org/Publications/SMR_booklet_2022.pdf" xr:uid="{495D2017-870D-4E86-B9E1-156CE5D09597}"/>
    <hyperlink ref="D40:H40" r:id="rId103" display="https://aris.iaea.org/Publications/SMR_booklet_2022.pdf" xr:uid="{FB7DA978-3BC6-4AE0-AF0A-0674FE5209F0}"/>
    <hyperlink ref="D41:H41" r:id="rId104" display="https://aris.iaea.org/Publications/SMR_booklet_2022.pdf" xr:uid="{57D1BEE7-9B45-4A15-B095-7E96E63792BF}"/>
    <hyperlink ref="D42:H42" r:id="rId105" display="https://aris.iaea.org/Publications/SMR_booklet_2022.pdf" xr:uid="{E6017667-8362-47CC-91A9-077278343AD1}"/>
    <hyperlink ref="D43:H43" r:id="rId106" display="https://aris.iaea.org/Publications/SMR_booklet_2022.pdf" xr:uid="{BB19F80D-6AE4-4F46-BCC4-D261283FEE77}"/>
    <hyperlink ref="D44:H44" r:id="rId107" display="https://aris.iaea.org/Publications/SMR_booklet_2022.pdf" xr:uid="{A8DF3F9F-874E-48F9-AD9E-1F9E5BF5A638}"/>
    <hyperlink ref="D45:H45" r:id="rId108" display="https://aris.iaea.org/Publications/SMR_booklet_2022.pdf" xr:uid="{517BAB4F-84FF-43A9-84E6-4C6B6AA375B5}"/>
    <hyperlink ref="D46:H46" r:id="rId109" display="https://aris.iaea.org/Publications/SMR_booklet_2022.pdf" xr:uid="{AA0BA40D-C005-48DF-B0C0-A91D485D5615}"/>
    <hyperlink ref="D47:H47" r:id="rId110" display="https://aris.iaea.org/Publications/SMR_booklet_2022.pdf" xr:uid="{C548C46A-304B-4592-8F66-C06F4991AB0E}"/>
    <hyperlink ref="D48:H48" r:id="rId111" display="https://aris.iaea.org/Publications/SMR_booklet_2022.pdf" xr:uid="{305359F9-C696-4D26-B01E-AEB1DF90E1B2}"/>
    <hyperlink ref="D49:H49" r:id="rId112" display="https://aris.iaea.org/Publications/SMR_booklet_2022.pdf" xr:uid="{19FC7313-707C-4C0F-8394-32FC596E22FC}"/>
    <hyperlink ref="D50:H50" r:id="rId113" display="https://aris.iaea.org/Publications/SMR_booklet_2022.pdf" xr:uid="{470E687C-B87E-49EC-97B1-77E106988A58}"/>
    <hyperlink ref="D51:H51" r:id="rId114" display="https://aris.iaea.org/Publications/SMR_booklet_2022.pdf" xr:uid="{3749272B-AC07-47C0-836B-6438EC3158E9}"/>
    <hyperlink ref="D52:H52" r:id="rId115" display="https://aris.iaea.org/Publications/SMR_booklet_2022.pdf" xr:uid="{EF166D2E-126B-4FD8-9A20-434342215BC6}"/>
    <hyperlink ref="D53:H53" r:id="rId116" display="https://aris.iaea.org/Publications/SMR_booklet_2022.pdf" xr:uid="{079B986B-8414-47F8-A7D4-D62B17360655}"/>
    <hyperlink ref="D54:H54" r:id="rId117" display="https://aris.iaea.org/Publications/SMR_booklet_2022.pdf" xr:uid="{F679BBF6-38F9-4B58-B43E-DC9336337A59}"/>
    <hyperlink ref="D55:H55" r:id="rId118" display="https://aris.iaea.org/Publications/SMR_booklet_2022.pdf" xr:uid="{293D3BED-CC37-42FA-A8A0-9FD3CC988E82}"/>
    <hyperlink ref="D56:H56" r:id="rId119" display="https://aris.iaea.org/Publications/SMR_booklet_2022.pdf" xr:uid="{3F736713-22AD-41A9-8568-4EBBFD1629D7}"/>
    <hyperlink ref="D57:H57" r:id="rId120" display="https://aris.iaea.org/Publications/SMR_booklet_2022.pdf" xr:uid="{D6716D4B-764B-4720-9995-5304FF0F452E}"/>
    <hyperlink ref="D58:H58" r:id="rId121" display="https://aris.iaea.org/Publications/SMR_booklet_2022.pdf" xr:uid="{53546DA1-E4F8-4107-8B55-6904876D6DC0}"/>
    <hyperlink ref="D59:H59" r:id="rId122" display="https://aris.iaea.org/Publications/SMR_booklet_2022.pdf" xr:uid="{C84106F1-7C2B-4F52-A7FE-27C4D36F138E}"/>
    <hyperlink ref="D60:H60" r:id="rId123" display="https://aris.iaea.org/Publications/SMR_booklet_2022.pdf" xr:uid="{F2015826-0B37-4421-B9BA-9BD820AD0670}"/>
    <hyperlink ref="D61:H61" r:id="rId124" display="https://aris.iaea.org/Publications/SMR_booklet_2022.pdf" xr:uid="{7CDBC709-C76B-4E32-AFB4-C379618657FC}"/>
    <hyperlink ref="D62:H62" r:id="rId125" display="https://aris.iaea.org/Publications/SMR_booklet_2022.pdf" xr:uid="{D40F6A95-1D90-4426-8417-9EDAAF694258}"/>
    <hyperlink ref="D63:H63" r:id="rId126" display="https://aris.iaea.org/Publications/SMR_booklet_2022.pdf" xr:uid="{7A6F1EDB-4C53-4308-8528-2A246EAD09F9}"/>
    <hyperlink ref="D64:H64" r:id="rId127" display="https://aris.iaea.org/Publications/SMR_booklet_2022.pdf" xr:uid="{80950135-B530-4F41-A90D-25B001CA999D}"/>
    <hyperlink ref="D65:H65" r:id="rId128" display="https://aris.iaea.org/Publications/SMR_booklet_2022.pdf" xr:uid="{A308742B-1756-476E-84EE-2727C83C7AD4}"/>
    <hyperlink ref="K3" r:id="rId129" xr:uid="{EF62818F-2701-4212-9C95-22E535F5D278}"/>
    <hyperlink ref="L3:P3" r:id="rId130" display="https://aris.iaea.org/Publications/SMR_booklet_2022.pdf" xr:uid="{48D88535-6134-46E2-8C00-252C45997272}"/>
    <hyperlink ref="K4:K65" r:id="rId131" display="https://aris.iaea.org/Publications/SMR_booklet_2022.pdf" xr:uid="{4F4E1922-15D4-4F55-9524-07CF7067791E}"/>
    <hyperlink ref="L4:L65" r:id="rId132" display="https://aris.iaea.org/Publications/SMR_booklet_2022.pdf" xr:uid="{72809E35-98B6-498F-972D-1F7DDD38BC51}"/>
    <hyperlink ref="M4:M65" r:id="rId133" display="https://aris.iaea.org/Publications/SMR_booklet_2022.pdf" xr:uid="{5B4222C2-EF66-4833-9988-C6E8113024A4}"/>
    <hyperlink ref="N4:N65" r:id="rId134" display="https://aris.iaea.org/Publications/SMR_booklet_2022.pdf" xr:uid="{561D212A-8C31-4D6E-AA71-B4017BE749E0}"/>
    <hyperlink ref="O4:O65" r:id="rId135" display="https://aris.iaea.org/Publications/SMR_booklet_2022.pdf" xr:uid="{27F51100-7D4E-4CB3-BD12-E4F1161C4412}"/>
    <hyperlink ref="P4:P65" r:id="rId136" display="https://aris.iaea.org/Publications/SMR_booklet_2022.pdf" xr:uid="{80D83F9D-03B3-4027-B8FC-8BF761014788}"/>
    <hyperlink ref="S4" r:id="rId137" xr:uid="{D341FE1D-2AD9-472A-9494-35C159D29DB4}"/>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2C032-5452-4B53-B5C2-696235BC461C}">
  <dimension ref="A1:P30"/>
  <sheetViews>
    <sheetView zoomScale="75" workbookViewId="0">
      <selection activeCell="F6" sqref="F6"/>
    </sheetView>
  </sheetViews>
  <sheetFormatPr baseColWidth="10" defaultColWidth="11.44140625" defaultRowHeight="15" customHeight="1" x14ac:dyDescent="0.3"/>
  <cols>
    <col min="1" max="1" width="23.88671875" style="13" customWidth="1"/>
    <col min="2" max="2" width="5.6640625" customWidth="1"/>
    <col min="3" max="3" width="24.33203125" customWidth="1"/>
    <col min="4" max="4" width="16.109375" customWidth="1"/>
    <col min="5" max="5" width="17.6640625" customWidth="1"/>
    <col min="6" max="6" width="19.109375" bestFit="1" customWidth="1"/>
    <col min="7" max="7" width="20.109375" customWidth="1"/>
    <col min="8" max="8" width="13.109375" customWidth="1"/>
    <col min="12" max="12" width="14.44140625" customWidth="1"/>
  </cols>
  <sheetData>
    <row r="1" spans="1:16" ht="14.4" x14ac:dyDescent="0.3">
      <c r="A1" s="10"/>
      <c r="B1" s="6"/>
      <c r="C1" s="27">
        <v>1</v>
      </c>
      <c r="D1" s="27">
        <v>2</v>
      </c>
      <c r="E1" s="27">
        <v>3</v>
      </c>
      <c r="F1" s="27">
        <v>4</v>
      </c>
      <c r="G1" s="27">
        <v>5</v>
      </c>
      <c r="H1" s="27">
        <v>6</v>
      </c>
      <c r="I1" s="27">
        <v>7</v>
      </c>
      <c r="J1" s="27">
        <v>8</v>
      </c>
      <c r="K1" s="27">
        <v>9</v>
      </c>
      <c r="L1" s="27">
        <v>10</v>
      </c>
    </row>
    <row r="2" spans="1:16" ht="14.4" x14ac:dyDescent="0.3">
      <c r="A2" s="25" t="s">
        <v>663</v>
      </c>
      <c r="B2" s="26" t="s">
        <v>39</v>
      </c>
      <c r="C2" s="292" t="s">
        <v>664</v>
      </c>
      <c r="D2" s="293"/>
      <c r="E2" s="293"/>
      <c r="F2" s="293"/>
      <c r="G2" s="293"/>
      <c r="H2" s="294"/>
      <c r="I2" s="295" t="s">
        <v>665</v>
      </c>
      <c r="J2" s="295"/>
      <c r="K2" s="295"/>
      <c r="L2" s="295"/>
    </row>
    <row r="3" spans="1:16" s="5" customFormat="1" ht="57.6" x14ac:dyDescent="0.3">
      <c r="A3" s="28" t="s">
        <v>666</v>
      </c>
      <c r="B3" s="7" t="s">
        <v>667</v>
      </c>
      <c r="C3" s="24" t="s">
        <v>668</v>
      </c>
      <c r="D3" s="24" t="s">
        <v>669</v>
      </c>
      <c r="E3" s="24" t="s">
        <v>670</v>
      </c>
      <c r="F3" s="24" t="s">
        <v>671</v>
      </c>
      <c r="G3" s="24" t="s">
        <v>672</v>
      </c>
      <c r="H3" s="24" t="s">
        <v>673</v>
      </c>
      <c r="I3" s="142" t="s">
        <v>674</v>
      </c>
      <c r="J3" s="142" t="s">
        <v>675</v>
      </c>
      <c r="K3" s="142" t="s">
        <v>676</v>
      </c>
      <c r="L3" s="142" t="s">
        <v>677</v>
      </c>
      <c r="P3" s="5" t="s">
        <v>678</v>
      </c>
    </row>
    <row r="4" spans="1:16" ht="14.4" x14ac:dyDescent="0.3">
      <c r="A4" s="28" t="s">
        <v>351</v>
      </c>
      <c r="B4" s="7" t="s">
        <v>667</v>
      </c>
      <c r="C4" s="8" t="s">
        <v>126</v>
      </c>
      <c r="D4" s="8" t="s">
        <v>54</v>
      </c>
      <c r="E4" s="8" t="s">
        <v>235</v>
      </c>
      <c r="F4" s="8" t="s">
        <v>126</v>
      </c>
      <c r="G4" s="8" t="s">
        <v>679</v>
      </c>
      <c r="H4" s="8" t="s">
        <v>680</v>
      </c>
      <c r="I4" s="8"/>
      <c r="J4" s="8"/>
      <c r="K4" s="8"/>
      <c r="L4" s="8"/>
    </row>
    <row r="5" spans="1:16" ht="28.8" x14ac:dyDescent="0.3">
      <c r="A5" s="28" t="s">
        <v>681</v>
      </c>
      <c r="B5" s="7" t="s">
        <v>667</v>
      </c>
      <c r="C5" s="9" t="s">
        <v>682</v>
      </c>
      <c r="D5" s="7">
        <v>7</v>
      </c>
      <c r="E5" s="7">
        <v>2</v>
      </c>
      <c r="F5" s="7">
        <v>2</v>
      </c>
      <c r="G5" s="7">
        <v>4</v>
      </c>
      <c r="H5" s="7" t="s">
        <v>683</v>
      </c>
      <c r="I5" s="7"/>
      <c r="J5" s="7"/>
      <c r="K5" s="7"/>
      <c r="L5" s="7"/>
    </row>
    <row r="6" spans="1:16" ht="14.4" x14ac:dyDescent="0.3">
      <c r="A6" s="29" t="s">
        <v>17</v>
      </c>
      <c r="B6" s="19" t="s">
        <v>348</v>
      </c>
      <c r="C6" s="19"/>
      <c r="D6" s="19"/>
      <c r="E6" s="19"/>
      <c r="F6" s="19"/>
      <c r="G6" s="19"/>
      <c r="H6" s="19"/>
      <c r="I6" s="19"/>
      <c r="J6" s="19"/>
      <c r="K6" s="19"/>
      <c r="L6" s="19"/>
    </row>
    <row r="7" spans="1:16" ht="14.4" x14ac:dyDescent="0.3">
      <c r="A7" s="28" t="s">
        <v>684</v>
      </c>
      <c r="B7" s="7" t="s">
        <v>43</v>
      </c>
      <c r="C7" s="8" t="s">
        <v>685</v>
      </c>
      <c r="D7" s="8" t="s">
        <v>686</v>
      </c>
      <c r="E7" s="8" t="s">
        <v>687</v>
      </c>
      <c r="F7" s="8">
        <v>850</v>
      </c>
      <c r="G7" s="8" t="s">
        <v>688</v>
      </c>
      <c r="H7" s="8" t="s">
        <v>689</v>
      </c>
      <c r="I7" s="8"/>
      <c r="J7" s="8"/>
      <c r="K7" s="8"/>
      <c r="L7" s="8">
        <v>370</v>
      </c>
    </row>
    <row r="8" spans="1:16" ht="14.4" x14ac:dyDescent="0.3">
      <c r="A8" s="28" t="s">
        <v>15</v>
      </c>
      <c r="B8" s="7"/>
      <c r="C8" s="8" t="s">
        <v>690</v>
      </c>
      <c r="D8" s="8" t="s">
        <v>691</v>
      </c>
      <c r="E8" s="8" t="s">
        <v>692</v>
      </c>
      <c r="F8" s="8" t="s">
        <v>693</v>
      </c>
      <c r="G8" s="8" t="s">
        <v>693</v>
      </c>
      <c r="H8" s="8" t="s">
        <v>694</v>
      </c>
      <c r="I8" s="8"/>
      <c r="J8" s="8"/>
      <c r="K8" s="8"/>
      <c r="L8" s="8"/>
    </row>
    <row r="9" spans="1:16" ht="28.8" x14ac:dyDescent="0.3">
      <c r="A9" s="30" t="s">
        <v>695</v>
      </c>
      <c r="B9" s="7"/>
      <c r="C9" s="8" t="s">
        <v>696</v>
      </c>
      <c r="D9" s="8" t="s">
        <v>697</v>
      </c>
      <c r="E9" s="8" t="s">
        <v>698</v>
      </c>
      <c r="F9" s="8" t="s">
        <v>699</v>
      </c>
      <c r="G9" s="8" t="s">
        <v>700</v>
      </c>
      <c r="H9" s="8" t="s">
        <v>697</v>
      </c>
      <c r="I9" s="8"/>
      <c r="J9" s="8"/>
      <c r="K9" s="8"/>
      <c r="L9" s="8"/>
    </row>
    <row r="10" spans="1:16" ht="14.4" x14ac:dyDescent="0.3">
      <c r="A10" s="28" t="s">
        <v>701</v>
      </c>
      <c r="B10" s="7"/>
      <c r="C10" s="7"/>
      <c r="D10" s="7"/>
      <c r="E10" s="7"/>
      <c r="F10" s="7"/>
      <c r="G10" s="7"/>
      <c r="H10" s="7"/>
      <c r="I10" s="7"/>
      <c r="J10" s="7"/>
      <c r="K10" s="7"/>
      <c r="L10" s="7"/>
    </row>
    <row r="11" spans="1:16" ht="14.4" x14ac:dyDescent="0.3">
      <c r="A11" s="28" t="s">
        <v>702</v>
      </c>
      <c r="B11" s="7"/>
      <c r="C11" s="7"/>
      <c r="D11" s="7"/>
      <c r="E11" s="7"/>
      <c r="F11" s="7"/>
      <c r="G11" s="7" t="s">
        <v>703</v>
      </c>
      <c r="H11" s="7"/>
      <c r="I11" s="7"/>
      <c r="J11" s="7"/>
      <c r="K11" s="7"/>
      <c r="L11" s="7"/>
    </row>
    <row r="12" spans="1:16" ht="14.4" x14ac:dyDescent="0.3">
      <c r="A12" s="11"/>
      <c r="B12" s="4"/>
    </row>
    <row r="13" spans="1:16" ht="14.4" x14ac:dyDescent="0.3">
      <c r="A13" s="12" t="s">
        <v>11</v>
      </c>
      <c r="B13" s="4"/>
    </row>
    <row r="14" spans="1:16" ht="14.4" x14ac:dyDescent="0.3">
      <c r="A14" s="12" t="s">
        <v>704</v>
      </c>
      <c r="B14" s="4"/>
    </row>
    <row r="15" spans="1:16" ht="14.4" x14ac:dyDescent="0.3">
      <c r="A15" s="12" t="s">
        <v>705</v>
      </c>
      <c r="B15" s="4"/>
    </row>
    <row r="16" spans="1:16" ht="14.4" x14ac:dyDescent="0.3">
      <c r="A16" s="12"/>
      <c r="B16" s="4"/>
    </row>
    <row r="17" spans="1:9" ht="14.4" x14ac:dyDescent="0.3">
      <c r="A17" s="12"/>
      <c r="B17" s="4"/>
    </row>
    <row r="18" spans="1:9" ht="14.4" x14ac:dyDescent="0.3">
      <c r="A18" s="12"/>
      <c r="B18" s="4"/>
    </row>
    <row r="19" spans="1:9" ht="14.4" x14ac:dyDescent="0.3">
      <c r="A19" s="12"/>
      <c r="B19" s="4"/>
    </row>
    <row r="20" spans="1:9" ht="14.4" x14ac:dyDescent="0.3">
      <c r="A20" s="12"/>
      <c r="B20" s="4"/>
    </row>
    <row r="21" spans="1:9" ht="15.6" thickBot="1" x14ac:dyDescent="0.35">
      <c r="A21" s="12"/>
      <c r="B21" s="4"/>
      <c r="G21" s="33" t="s">
        <v>706</v>
      </c>
      <c r="H21" s="34" t="s">
        <v>707</v>
      </c>
      <c r="I21" s="35" t="s">
        <v>707</v>
      </c>
    </row>
    <row r="22" spans="1:9" ht="15.6" thickBot="1" x14ac:dyDescent="0.35">
      <c r="A22" s="12"/>
      <c r="B22" s="4"/>
      <c r="G22" s="36" t="s">
        <v>708</v>
      </c>
      <c r="H22" s="32" t="s">
        <v>709</v>
      </c>
      <c r="I22" s="37" t="s">
        <v>710</v>
      </c>
    </row>
    <row r="23" spans="1:9" x14ac:dyDescent="0.3">
      <c r="A23" s="12"/>
      <c r="B23" s="4"/>
      <c r="G23" s="38" t="s">
        <v>711</v>
      </c>
      <c r="H23" s="39" t="s">
        <v>712</v>
      </c>
      <c r="I23" s="40" t="s">
        <v>713</v>
      </c>
    </row>
    <row r="24" spans="1:9" x14ac:dyDescent="0.3">
      <c r="A24" s="12"/>
      <c r="B24" s="4"/>
      <c r="G24" s="41"/>
    </row>
    <row r="25" spans="1:9" ht="14.4" x14ac:dyDescent="0.3">
      <c r="A25" s="12"/>
      <c r="B25" s="4"/>
    </row>
    <row r="26" spans="1:9" ht="14.4" x14ac:dyDescent="0.3">
      <c r="A26" s="12"/>
      <c r="B26" s="4"/>
    </row>
    <row r="27" spans="1:9" ht="14.4" x14ac:dyDescent="0.3">
      <c r="A27" s="12"/>
      <c r="B27" s="4"/>
    </row>
    <row r="28" spans="1:9" ht="14.4" x14ac:dyDescent="0.3">
      <c r="A28" s="12"/>
      <c r="B28" s="4"/>
    </row>
    <row r="29" spans="1:9" ht="14.4" x14ac:dyDescent="0.3">
      <c r="A29" s="12"/>
      <c r="B29" s="4"/>
    </row>
    <row r="30" spans="1:9" ht="14.4" x14ac:dyDescent="0.3">
      <c r="A30" s="12"/>
      <c r="B30" s="4"/>
    </row>
  </sheetData>
  <mergeCells count="2">
    <mergeCell ref="C2:H2"/>
    <mergeCell ref="I2:L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16FB2-BBA8-4420-8D2E-CE0707ADC252}">
  <dimension ref="A1:R88"/>
  <sheetViews>
    <sheetView topLeftCell="A18" zoomScale="70" zoomScaleNormal="70" workbookViewId="0">
      <selection activeCell="F58" sqref="F58"/>
    </sheetView>
  </sheetViews>
  <sheetFormatPr baseColWidth="10" defaultColWidth="8.88671875" defaultRowHeight="14.4" x14ac:dyDescent="0.3"/>
  <cols>
    <col min="1" max="1" width="41" bestFit="1" customWidth="1"/>
    <col min="2" max="2" width="34" bestFit="1" customWidth="1"/>
    <col min="3" max="3" width="18.6640625" bestFit="1" customWidth="1"/>
    <col min="4" max="4" width="16" bestFit="1" customWidth="1"/>
    <col min="5" max="5" width="17.44140625" bestFit="1" customWidth="1"/>
    <col min="6" max="6" width="23.109375" bestFit="1" customWidth="1"/>
    <col min="7" max="7" width="10.88671875" bestFit="1" customWidth="1"/>
    <col min="8" max="8" width="10.33203125" bestFit="1" customWidth="1"/>
    <col min="9" max="9" width="25.44140625" bestFit="1" customWidth="1"/>
    <col min="10" max="10" width="21.109375" bestFit="1" customWidth="1"/>
    <col min="16" max="16" width="23.33203125" bestFit="1" customWidth="1"/>
    <col min="17" max="18" width="6.5546875" bestFit="1" customWidth="1"/>
  </cols>
  <sheetData>
    <row r="1" spans="1:18" x14ac:dyDescent="0.3">
      <c r="A1" s="53"/>
      <c r="B1" s="53"/>
      <c r="C1" s="53"/>
      <c r="D1" s="53"/>
      <c r="E1" s="53"/>
      <c r="F1" s="53"/>
      <c r="G1" s="53"/>
      <c r="H1" s="53"/>
      <c r="I1" s="53"/>
      <c r="J1" s="53"/>
      <c r="K1" s="53"/>
      <c r="L1" s="97"/>
      <c r="M1" s="53"/>
      <c r="N1" s="53"/>
      <c r="O1" s="53"/>
      <c r="P1" s="53" t="s">
        <v>714</v>
      </c>
      <c r="Q1" s="53" t="s">
        <v>715</v>
      </c>
      <c r="R1" s="53" t="s">
        <v>716</v>
      </c>
    </row>
    <row r="2" spans="1:18" x14ac:dyDescent="0.3">
      <c r="A2" s="54" t="s">
        <v>717</v>
      </c>
      <c r="B2" s="296" t="s">
        <v>718</v>
      </c>
      <c r="C2" s="297"/>
      <c r="D2" s="296" t="s">
        <v>719</v>
      </c>
      <c r="E2" s="296"/>
      <c r="F2" s="297"/>
      <c r="G2" s="296" t="s">
        <v>720</v>
      </c>
      <c r="H2" s="296"/>
      <c r="I2" s="297"/>
      <c r="J2" s="53"/>
      <c r="K2" s="53"/>
      <c r="L2" s="53"/>
      <c r="M2" s="53"/>
      <c r="N2" s="53"/>
      <c r="O2" s="53"/>
      <c r="P2" s="53" t="s">
        <v>721</v>
      </c>
      <c r="Q2" s="53"/>
      <c r="R2" s="53"/>
    </row>
    <row r="3" spans="1:18" x14ac:dyDescent="0.3">
      <c r="A3" s="56" t="s">
        <v>722</v>
      </c>
      <c r="B3" s="57">
        <v>60</v>
      </c>
      <c r="C3" s="58">
        <v>80</v>
      </c>
      <c r="D3" s="57">
        <v>30</v>
      </c>
      <c r="E3" s="58">
        <v>60</v>
      </c>
      <c r="F3" s="58">
        <v>90</v>
      </c>
      <c r="G3" s="57">
        <v>700</v>
      </c>
      <c r="H3" s="58">
        <v>800</v>
      </c>
      <c r="I3" s="58">
        <v>900</v>
      </c>
      <c r="J3" s="59" t="s">
        <v>723</v>
      </c>
      <c r="K3" s="53"/>
      <c r="L3" s="53"/>
      <c r="M3" s="53"/>
      <c r="N3" s="53"/>
      <c r="O3" s="53"/>
      <c r="P3" s="53" t="s">
        <v>724</v>
      </c>
      <c r="Q3" s="53"/>
      <c r="R3" s="53"/>
    </row>
    <row r="4" spans="1:18" x14ac:dyDescent="0.3">
      <c r="A4" s="56" t="s">
        <v>725</v>
      </c>
      <c r="B4" s="57" t="s">
        <v>726</v>
      </c>
      <c r="C4" s="58" t="s">
        <v>727</v>
      </c>
      <c r="D4" s="57" t="s">
        <v>728</v>
      </c>
      <c r="E4" s="58" t="s">
        <v>729</v>
      </c>
      <c r="F4" s="58" t="s">
        <v>729</v>
      </c>
      <c r="G4" s="57" t="s">
        <v>730</v>
      </c>
      <c r="H4" s="58" t="s">
        <v>730</v>
      </c>
      <c r="I4" s="58" t="s">
        <v>730</v>
      </c>
      <c r="J4" s="53"/>
      <c r="K4" s="53"/>
      <c r="L4" s="53"/>
      <c r="M4" s="53"/>
      <c r="N4" s="53"/>
      <c r="O4" s="53"/>
      <c r="P4" s="60" t="s">
        <v>731</v>
      </c>
      <c r="Q4" s="60"/>
      <c r="R4" s="53"/>
    </row>
    <row r="5" spans="1:18" x14ac:dyDescent="0.3">
      <c r="A5" s="56" t="s">
        <v>732</v>
      </c>
      <c r="B5" s="57" t="s">
        <v>733</v>
      </c>
      <c r="C5" s="58" t="s">
        <v>734</v>
      </c>
      <c r="D5" s="57" t="s">
        <v>733</v>
      </c>
      <c r="E5" s="58" t="s">
        <v>733</v>
      </c>
      <c r="F5" s="58" t="s">
        <v>734</v>
      </c>
      <c r="G5" s="57" t="s">
        <v>733</v>
      </c>
      <c r="H5" s="58" t="s">
        <v>734</v>
      </c>
      <c r="I5" s="58" t="s">
        <v>735</v>
      </c>
      <c r="J5" s="53"/>
      <c r="K5" s="53"/>
      <c r="L5" s="53"/>
      <c r="M5" s="53"/>
      <c r="N5" s="53"/>
      <c r="O5" s="53"/>
      <c r="P5" s="53"/>
      <c r="Q5" s="53"/>
      <c r="R5" s="53"/>
    </row>
    <row r="6" spans="1:18" x14ac:dyDescent="0.3">
      <c r="A6" s="56" t="s">
        <v>736</v>
      </c>
      <c r="B6" s="57">
        <v>1</v>
      </c>
      <c r="C6" s="58">
        <v>1</v>
      </c>
      <c r="D6" s="57">
        <v>1</v>
      </c>
      <c r="E6" s="58">
        <v>1</v>
      </c>
      <c r="F6" s="58">
        <v>1</v>
      </c>
      <c r="G6" s="57">
        <v>1</v>
      </c>
      <c r="H6" s="58">
        <v>1</v>
      </c>
      <c r="I6" s="58">
        <v>1</v>
      </c>
      <c r="J6" s="53"/>
      <c r="K6" s="53"/>
      <c r="L6" s="53"/>
      <c r="M6" s="53"/>
      <c r="N6" s="53"/>
      <c r="O6" s="53"/>
      <c r="P6" s="53"/>
      <c r="Q6" s="53"/>
      <c r="R6" s="53"/>
    </row>
    <row r="7" spans="1:18" x14ac:dyDescent="0.3">
      <c r="A7" s="53"/>
      <c r="B7" s="53"/>
      <c r="C7" s="53"/>
      <c r="D7" s="53"/>
      <c r="E7" s="53"/>
      <c r="F7" s="53"/>
      <c r="G7" s="53"/>
      <c r="H7" s="53"/>
      <c r="I7" s="53"/>
      <c r="J7" s="53"/>
      <c r="K7" s="53"/>
      <c r="L7" s="53"/>
      <c r="M7" s="53"/>
      <c r="N7" s="53"/>
      <c r="O7" s="53"/>
      <c r="P7" s="53"/>
      <c r="Q7" s="53"/>
      <c r="R7" s="53"/>
    </row>
    <row r="8" spans="1:18" x14ac:dyDescent="0.3">
      <c r="A8" s="298" t="s">
        <v>737</v>
      </c>
      <c r="B8" s="299"/>
      <c r="C8" s="61" t="s">
        <v>738</v>
      </c>
      <c r="D8" s="61" t="s">
        <v>739</v>
      </c>
      <c r="E8" s="61" t="s">
        <v>740</v>
      </c>
      <c r="F8" s="62" t="s">
        <v>741</v>
      </c>
      <c r="G8" s="61" t="s">
        <v>742</v>
      </c>
      <c r="H8" s="63" t="s">
        <v>743</v>
      </c>
      <c r="I8" s="64" t="s">
        <v>744</v>
      </c>
      <c r="J8" s="53"/>
      <c r="K8" s="53"/>
      <c r="L8" s="53"/>
      <c r="M8" s="53"/>
      <c r="N8" s="53"/>
      <c r="O8" s="53"/>
      <c r="P8" s="53"/>
      <c r="Q8" s="53"/>
      <c r="R8" s="53"/>
    </row>
    <row r="9" spans="1:18" x14ac:dyDescent="0.3">
      <c r="A9" s="65" t="s">
        <v>745</v>
      </c>
      <c r="B9" s="66" t="s">
        <v>746</v>
      </c>
      <c r="C9" s="67" t="s">
        <v>747</v>
      </c>
      <c r="D9" s="67">
        <v>300</v>
      </c>
      <c r="E9" s="68" t="s">
        <v>667</v>
      </c>
      <c r="F9" s="69">
        <v>2500</v>
      </c>
      <c r="G9" s="67">
        <v>1000</v>
      </c>
      <c r="H9" s="70">
        <v>2500</v>
      </c>
      <c r="I9" s="71">
        <v>930</v>
      </c>
      <c r="J9" s="53"/>
      <c r="K9" s="53"/>
      <c r="L9" s="53"/>
      <c r="M9" s="53"/>
      <c r="N9" s="53"/>
      <c r="O9" s="53"/>
      <c r="P9" s="53"/>
      <c r="Q9" s="53"/>
      <c r="R9" s="53"/>
    </row>
    <row r="10" spans="1:18" x14ac:dyDescent="0.3">
      <c r="A10" s="65" t="s">
        <v>748</v>
      </c>
      <c r="B10" s="66" t="s">
        <v>749</v>
      </c>
      <c r="C10" s="300" t="s">
        <v>750</v>
      </c>
      <c r="D10" s="72">
        <v>650</v>
      </c>
      <c r="E10" s="72">
        <v>750</v>
      </c>
      <c r="F10" s="69">
        <v>1550</v>
      </c>
      <c r="G10" s="300">
        <v>720</v>
      </c>
      <c r="H10" s="302">
        <v>1800</v>
      </c>
      <c r="I10" s="73">
        <v>577</v>
      </c>
      <c r="J10" s="53"/>
      <c r="K10" s="53"/>
      <c r="L10" s="53"/>
      <c r="M10" s="53"/>
      <c r="N10" s="53"/>
      <c r="O10" s="53"/>
      <c r="P10" s="53"/>
      <c r="Q10" s="53"/>
      <c r="R10" s="53"/>
    </row>
    <row r="11" spans="1:18" x14ac:dyDescent="0.3">
      <c r="A11" s="65" t="s">
        <v>751</v>
      </c>
      <c r="B11" s="66" t="s">
        <v>752</v>
      </c>
      <c r="C11" s="300"/>
      <c r="D11" s="72">
        <v>450</v>
      </c>
      <c r="E11" s="72">
        <v>550</v>
      </c>
      <c r="F11" s="74">
        <v>1250</v>
      </c>
      <c r="G11" s="300"/>
      <c r="H11" s="302"/>
      <c r="I11" s="73">
        <v>465</v>
      </c>
      <c r="J11" s="53"/>
      <c r="K11" s="53"/>
      <c r="L11" s="53"/>
      <c r="M11" s="53"/>
      <c r="N11" s="53"/>
      <c r="O11" s="53"/>
      <c r="P11" s="53"/>
      <c r="Q11" s="53"/>
      <c r="R11" s="53"/>
    </row>
    <row r="12" spans="1:18" x14ac:dyDescent="0.3">
      <c r="A12" s="65" t="s">
        <v>753</v>
      </c>
      <c r="B12" s="66" t="s">
        <v>754</v>
      </c>
      <c r="C12" s="300"/>
      <c r="D12" s="72">
        <v>480</v>
      </c>
      <c r="E12" s="72">
        <v>570</v>
      </c>
      <c r="F12" s="74">
        <v>1350</v>
      </c>
      <c r="G12" s="300"/>
      <c r="H12" s="302"/>
      <c r="I12" s="73">
        <v>502</v>
      </c>
      <c r="J12" s="53"/>
      <c r="K12" s="53"/>
      <c r="L12" s="53"/>
      <c r="M12" s="53"/>
      <c r="N12" s="53"/>
      <c r="O12" s="53"/>
      <c r="P12" s="53"/>
      <c r="Q12" s="53"/>
      <c r="R12" s="53"/>
    </row>
    <row r="13" spans="1:18" x14ac:dyDescent="0.3">
      <c r="A13" s="65" t="s">
        <v>755</v>
      </c>
      <c r="B13" s="66" t="s">
        <v>756</v>
      </c>
      <c r="C13" s="300"/>
      <c r="D13" s="72">
        <v>500</v>
      </c>
      <c r="E13" s="72">
        <v>625</v>
      </c>
      <c r="F13" s="69">
        <v>2500</v>
      </c>
      <c r="G13" s="300"/>
      <c r="H13" s="302"/>
      <c r="I13" s="73">
        <v>930</v>
      </c>
      <c r="J13" s="53"/>
      <c r="K13" s="53"/>
      <c r="L13" s="53"/>
      <c r="M13" s="53"/>
      <c r="N13" s="53"/>
      <c r="O13" s="53"/>
      <c r="P13" s="53"/>
      <c r="Q13" s="53"/>
      <c r="R13" s="53"/>
    </row>
    <row r="14" spans="1:18" x14ac:dyDescent="0.3">
      <c r="A14" s="65" t="s">
        <v>757</v>
      </c>
      <c r="B14" s="66" t="s">
        <v>758</v>
      </c>
      <c r="C14" s="301"/>
      <c r="D14" s="72">
        <v>650</v>
      </c>
      <c r="E14" s="72">
        <v>750</v>
      </c>
      <c r="F14" s="74">
        <v>2500</v>
      </c>
      <c r="G14" s="301"/>
      <c r="H14" s="303"/>
      <c r="I14" s="73">
        <v>930</v>
      </c>
      <c r="J14" s="53"/>
      <c r="K14" s="53"/>
      <c r="L14" s="53"/>
      <c r="M14" s="53"/>
      <c r="N14" s="53"/>
      <c r="O14" s="53"/>
      <c r="P14" s="53"/>
      <c r="Q14" s="53"/>
      <c r="R14" s="53"/>
    </row>
    <row r="15" spans="1:18" x14ac:dyDescent="0.3">
      <c r="A15" s="65" t="s">
        <v>759</v>
      </c>
      <c r="B15" s="66" t="s">
        <v>760</v>
      </c>
      <c r="C15" s="300" t="s">
        <v>761</v>
      </c>
      <c r="D15" s="72">
        <v>900</v>
      </c>
      <c r="E15" s="72">
        <v>950</v>
      </c>
      <c r="F15" s="74">
        <v>600</v>
      </c>
      <c r="G15" s="304">
        <v>560</v>
      </c>
      <c r="H15" s="306">
        <v>1400</v>
      </c>
      <c r="I15" s="73">
        <v>223</v>
      </c>
      <c r="J15" s="53"/>
      <c r="K15" s="53"/>
      <c r="L15" s="53"/>
      <c r="M15" s="53"/>
      <c r="N15" s="53"/>
      <c r="O15" s="53"/>
      <c r="P15" s="53"/>
      <c r="Q15" s="53"/>
      <c r="R15" s="53"/>
    </row>
    <row r="16" spans="1:18" x14ac:dyDescent="0.3">
      <c r="A16" s="65" t="s">
        <v>122</v>
      </c>
      <c r="B16" s="66" t="s">
        <v>762</v>
      </c>
      <c r="C16" s="300"/>
      <c r="D16" s="72">
        <v>750</v>
      </c>
      <c r="E16" s="72">
        <v>850</v>
      </c>
      <c r="F16" s="76">
        <v>1450</v>
      </c>
      <c r="G16" s="304"/>
      <c r="H16" s="306"/>
      <c r="I16" s="73">
        <v>539</v>
      </c>
      <c r="J16" s="53"/>
      <c r="K16" s="53"/>
      <c r="L16" s="53"/>
      <c r="M16" s="53"/>
      <c r="N16" s="53"/>
      <c r="O16" s="53"/>
      <c r="P16" s="53"/>
      <c r="Q16" s="53"/>
      <c r="R16" s="53"/>
    </row>
    <row r="17" spans="1:18" x14ac:dyDescent="0.3">
      <c r="A17" s="77" t="s">
        <v>763</v>
      </c>
      <c r="B17" s="78" t="s">
        <v>397</v>
      </c>
      <c r="C17" s="301"/>
      <c r="D17" s="72">
        <v>750</v>
      </c>
      <c r="E17" s="75">
        <v>950</v>
      </c>
      <c r="F17" s="79">
        <v>2000</v>
      </c>
      <c r="G17" s="305"/>
      <c r="H17" s="307"/>
      <c r="I17" s="73">
        <v>744</v>
      </c>
      <c r="J17" s="53"/>
      <c r="K17" s="53"/>
      <c r="L17" s="53"/>
      <c r="M17" s="53"/>
      <c r="N17" s="53"/>
      <c r="O17" s="53"/>
      <c r="P17" s="53"/>
      <c r="Q17" s="53"/>
      <c r="R17" s="53"/>
    </row>
    <row r="18" spans="1:18" x14ac:dyDescent="0.3">
      <c r="A18" s="54" t="s">
        <v>764</v>
      </c>
      <c r="B18" s="55" t="s">
        <v>765</v>
      </c>
      <c r="C18" s="53"/>
      <c r="D18" s="53"/>
      <c r="E18" s="53"/>
      <c r="F18" s="53"/>
      <c r="G18" s="53"/>
      <c r="H18" s="53"/>
      <c r="I18" s="53"/>
      <c r="J18" s="53"/>
      <c r="K18" s="53"/>
      <c r="L18" s="53"/>
      <c r="M18" s="53"/>
      <c r="N18" s="53"/>
      <c r="O18" s="53"/>
      <c r="P18" s="53"/>
      <c r="Q18" s="53"/>
      <c r="R18" s="53"/>
    </row>
    <row r="19" spans="1:18" x14ac:dyDescent="0.3">
      <c r="A19" s="80" t="s">
        <v>766</v>
      </c>
      <c r="B19" s="81" t="s">
        <v>353</v>
      </c>
      <c r="C19" s="53"/>
      <c r="D19" s="53"/>
      <c r="E19" s="53"/>
      <c r="F19" s="53"/>
      <c r="G19" s="53"/>
      <c r="H19" s="53"/>
      <c r="I19" s="53"/>
      <c r="J19" s="53"/>
      <c r="K19" s="53"/>
      <c r="L19" s="53"/>
      <c r="M19" s="53"/>
      <c r="N19" s="53"/>
      <c r="O19" s="53"/>
      <c r="P19" s="53"/>
      <c r="Q19" s="53"/>
      <c r="R19" s="53"/>
    </row>
    <row r="20" spans="1:18" x14ac:dyDescent="0.3">
      <c r="A20" s="60"/>
      <c r="B20" s="60"/>
      <c r="C20" s="53"/>
      <c r="D20" s="53"/>
      <c r="E20" s="53"/>
      <c r="F20" s="53"/>
      <c r="G20" s="53"/>
      <c r="H20" s="53"/>
      <c r="I20" s="53"/>
      <c r="J20" s="53"/>
      <c r="K20" s="53"/>
      <c r="L20" s="53"/>
      <c r="M20" s="53"/>
      <c r="N20" s="53"/>
      <c r="O20" s="53"/>
      <c r="P20" s="53"/>
      <c r="Q20" s="53"/>
      <c r="R20" s="53"/>
    </row>
    <row r="21" spans="1:18" x14ac:dyDescent="0.3">
      <c r="A21" s="60" t="s">
        <v>767</v>
      </c>
      <c r="B21" s="53"/>
      <c r="C21" s="53"/>
      <c r="D21" s="53"/>
      <c r="E21" s="53"/>
      <c r="F21" s="53"/>
      <c r="G21" s="53"/>
      <c r="H21" s="53"/>
      <c r="I21" s="53"/>
      <c r="J21" s="53"/>
      <c r="K21" s="53"/>
      <c r="L21" s="53"/>
      <c r="M21" s="53"/>
      <c r="N21" s="53"/>
      <c r="O21" s="53"/>
      <c r="P21" s="53"/>
      <c r="Q21" s="53"/>
      <c r="R21" s="53"/>
    </row>
    <row r="22" spans="1:18" x14ac:dyDescent="0.3">
      <c r="A22" s="60"/>
      <c r="B22" s="53"/>
      <c r="C22" s="53"/>
      <c r="D22" s="53"/>
      <c r="E22" s="53"/>
      <c r="F22" s="53"/>
      <c r="G22" s="53"/>
      <c r="H22" s="53"/>
      <c r="I22" s="53"/>
      <c r="J22" s="53"/>
      <c r="K22" s="53"/>
      <c r="L22" s="53"/>
      <c r="M22" s="53"/>
      <c r="N22" s="53"/>
      <c r="O22" s="53"/>
      <c r="P22" s="53"/>
      <c r="Q22" s="53"/>
      <c r="R22" s="53"/>
    </row>
    <row r="23" spans="1:18" x14ac:dyDescent="0.3">
      <c r="A23" s="308" t="s">
        <v>768</v>
      </c>
      <c r="B23" s="308" t="s">
        <v>769</v>
      </c>
      <c r="C23" s="310" t="s">
        <v>770</v>
      </c>
      <c r="D23" s="310" t="s">
        <v>771</v>
      </c>
      <c r="E23" s="310" t="s">
        <v>772</v>
      </c>
      <c r="F23" s="53"/>
      <c r="G23" s="53"/>
      <c r="H23" s="53"/>
      <c r="I23" s="53"/>
      <c r="J23" s="53"/>
      <c r="K23" s="53"/>
      <c r="L23" s="53"/>
      <c r="M23" s="53"/>
      <c r="N23" s="53"/>
      <c r="O23" s="53"/>
      <c r="P23" s="53"/>
      <c r="Q23" s="53"/>
      <c r="R23" s="53"/>
    </row>
    <row r="24" spans="1:18" x14ac:dyDescent="0.3">
      <c r="A24" s="309"/>
      <c r="B24" s="309"/>
      <c r="C24" s="311"/>
      <c r="D24" s="311"/>
      <c r="E24" s="311"/>
      <c r="F24" s="53"/>
      <c r="G24" s="53"/>
      <c r="H24" s="53"/>
      <c r="I24" s="53"/>
      <c r="J24" s="53"/>
      <c r="K24" s="53"/>
      <c r="L24" s="53"/>
      <c r="M24" s="53"/>
      <c r="N24" s="53"/>
      <c r="O24" s="53"/>
      <c r="P24" s="53"/>
      <c r="Q24" s="53"/>
      <c r="R24" s="53"/>
    </row>
    <row r="25" spans="1:18" x14ac:dyDescent="0.3">
      <c r="A25" s="313" t="s">
        <v>745</v>
      </c>
      <c r="B25" s="82" t="s">
        <v>738</v>
      </c>
      <c r="C25" s="82">
        <v>1</v>
      </c>
      <c r="D25" s="82">
        <v>1</v>
      </c>
      <c r="E25" s="82">
        <v>0</v>
      </c>
      <c r="F25" s="53"/>
      <c r="G25" s="53"/>
      <c r="H25" s="53"/>
      <c r="I25" s="53"/>
      <c r="J25" s="53"/>
      <c r="K25" s="53"/>
      <c r="L25" s="53"/>
      <c r="M25" s="53"/>
      <c r="N25" s="53"/>
      <c r="O25" s="53"/>
      <c r="P25" s="53"/>
      <c r="Q25" s="53"/>
      <c r="R25" s="53"/>
    </row>
    <row r="26" spans="1:18" x14ac:dyDescent="0.3">
      <c r="A26" s="313"/>
      <c r="B26" s="82" t="s">
        <v>773</v>
      </c>
      <c r="C26" s="73">
        <v>930</v>
      </c>
      <c r="D26" s="73">
        <v>930</v>
      </c>
      <c r="E26" s="73">
        <v>930</v>
      </c>
      <c r="F26" s="53"/>
      <c r="G26" s="53"/>
      <c r="H26" s="53"/>
      <c r="I26" s="53"/>
      <c r="J26" s="53"/>
      <c r="K26" s="53"/>
      <c r="L26" s="53"/>
      <c r="M26" s="53"/>
      <c r="N26" s="53"/>
      <c r="O26" s="53"/>
      <c r="P26" s="53"/>
      <c r="Q26" s="53"/>
      <c r="R26" s="53"/>
    </row>
    <row r="27" spans="1:18" x14ac:dyDescent="0.3">
      <c r="A27" s="313"/>
      <c r="B27" s="82" t="s">
        <v>774</v>
      </c>
      <c r="C27" s="82">
        <v>18.600000000000001</v>
      </c>
      <c r="D27" s="82">
        <v>15.579000000000001</v>
      </c>
      <c r="E27" s="82">
        <v>22.821999999999999</v>
      </c>
      <c r="F27" s="53"/>
      <c r="G27" s="53"/>
      <c r="H27" s="53"/>
      <c r="I27" s="53"/>
      <c r="J27" s="53"/>
      <c r="K27" s="53"/>
      <c r="L27" s="53"/>
      <c r="M27" s="53"/>
      <c r="N27" s="53"/>
      <c r="O27" s="53"/>
      <c r="P27" s="53"/>
      <c r="Q27" s="53"/>
      <c r="R27" s="53"/>
    </row>
    <row r="28" spans="1:18" x14ac:dyDescent="0.3">
      <c r="A28" s="313"/>
      <c r="B28" s="83" t="s">
        <v>775</v>
      </c>
      <c r="C28" s="83" t="s">
        <v>776</v>
      </c>
      <c r="D28" s="83">
        <v>106</v>
      </c>
      <c r="E28" s="83">
        <v>169</v>
      </c>
      <c r="F28" s="53"/>
      <c r="G28" s="53"/>
      <c r="H28" s="53"/>
      <c r="I28" s="53"/>
      <c r="J28" s="53"/>
      <c r="K28" s="53"/>
      <c r="L28" s="53"/>
      <c r="M28" s="53"/>
      <c r="N28" s="53"/>
      <c r="O28" s="53"/>
      <c r="P28" s="53"/>
      <c r="Q28" s="53"/>
      <c r="R28" s="53"/>
    </row>
    <row r="29" spans="1:18" x14ac:dyDescent="0.3">
      <c r="A29" s="314"/>
      <c r="B29" s="84" t="s">
        <v>777</v>
      </c>
      <c r="C29" s="84" t="s">
        <v>778</v>
      </c>
      <c r="D29" s="84" t="s">
        <v>778</v>
      </c>
      <c r="E29" s="85" t="s">
        <v>779</v>
      </c>
      <c r="F29" s="53"/>
      <c r="G29" s="53"/>
      <c r="H29" s="53"/>
      <c r="I29" s="53"/>
      <c r="J29" s="53"/>
      <c r="K29" s="53"/>
      <c r="L29" s="53"/>
      <c r="M29" s="53"/>
      <c r="N29" s="53"/>
      <c r="O29" s="53"/>
      <c r="P29" s="53"/>
      <c r="Q29" s="53"/>
      <c r="R29" s="53"/>
    </row>
    <row r="30" spans="1:18" x14ac:dyDescent="0.3">
      <c r="A30" s="312" t="s">
        <v>748</v>
      </c>
      <c r="B30" s="82" t="s">
        <v>738</v>
      </c>
      <c r="C30" s="82">
        <v>1</v>
      </c>
      <c r="D30" s="82">
        <v>1</v>
      </c>
      <c r="E30" s="82">
        <v>1</v>
      </c>
      <c r="F30" s="53"/>
      <c r="G30" s="53"/>
      <c r="H30" s="53"/>
      <c r="I30" s="53"/>
      <c r="J30" s="53"/>
      <c r="K30" s="53"/>
      <c r="L30" s="53"/>
      <c r="M30" s="53"/>
      <c r="N30" s="53"/>
      <c r="O30" s="53"/>
      <c r="P30" s="53"/>
      <c r="Q30" s="53"/>
      <c r="R30" s="53"/>
    </row>
    <row r="31" spans="1:18" x14ac:dyDescent="0.3">
      <c r="A31" s="313"/>
      <c r="B31" s="82" t="s">
        <v>780</v>
      </c>
      <c r="C31" s="73">
        <v>577</v>
      </c>
      <c r="D31" s="73">
        <v>577</v>
      </c>
      <c r="E31" s="73">
        <v>577</v>
      </c>
      <c r="F31" s="53"/>
      <c r="G31" s="53"/>
      <c r="H31" s="53"/>
      <c r="I31" s="53"/>
      <c r="J31" s="53"/>
      <c r="K31" s="53"/>
      <c r="L31" s="53"/>
      <c r="M31" s="53"/>
      <c r="N31" s="53"/>
      <c r="O31" s="53"/>
      <c r="P31" s="53"/>
      <c r="Q31" s="53"/>
      <c r="R31" s="53"/>
    </row>
    <row r="32" spans="1:18" x14ac:dyDescent="0.3">
      <c r="A32" s="313"/>
      <c r="B32" s="82" t="s">
        <v>774</v>
      </c>
      <c r="C32" s="82">
        <v>11.532</v>
      </c>
      <c r="D32" s="82">
        <v>9.6590000000000007</v>
      </c>
      <c r="E32" s="82">
        <v>14.15</v>
      </c>
      <c r="F32" s="53"/>
      <c r="G32" s="53"/>
      <c r="H32" s="53"/>
      <c r="I32" s="53"/>
      <c r="J32" s="53"/>
      <c r="K32" s="53"/>
      <c r="L32" s="53"/>
      <c r="M32" s="53"/>
      <c r="N32" s="53"/>
      <c r="O32" s="53"/>
      <c r="P32" s="53"/>
      <c r="Q32" s="53"/>
      <c r="R32" s="53"/>
    </row>
    <row r="33" spans="1:18" x14ac:dyDescent="0.3">
      <c r="A33" s="313"/>
      <c r="B33" s="83" t="s">
        <v>775</v>
      </c>
      <c r="C33" s="82">
        <v>84</v>
      </c>
      <c r="D33" s="82">
        <v>65</v>
      </c>
      <c r="E33" s="82">
        <v>105</v>
      </c>
      <c r="F33" s="53"/>
      <c r="G33" s="53"/>
      <c r="H33" s="53"/>
      <c r="I33" s="53"/>
      <c r="J33" s="53"/>
      <c r="K33" s="53"/>
      <c r="L33" s="53"/>
      <c r="M33" s="53"/>
      <c r="N33" s="53"/>
      <c r="O33" s="53"/>
      <c r="P33" s="53"/>
      <c r="Q33" s="53"/>
      <c r="R33" s="53"/>
    </row>
    <row r="34" spans="1:18" x14ac:dyDescent="0.3">
      <c r="A34" s="314"/>
      <c r="B34" s="84" t="s">
        <v>777</v>
      </c>
      <c r="C34" s="86" t="s">
        <v>778</v>
      </c>
      <c r="D34" s="86" t="s">
        <v>778</v>
      </c>
      <c r="E34" s="86" t="s">
        <v>778</v>
      </c>
      <c r="F34" s="53"/>
      <c r="G34" s="53"/>
      <c r="H34" s="53"/>
      <c r="I34" s="53"/>
      <c r="J34" s="53"/>
      <c r="K34" s="53"/>
      <c r="L34" s="53"/>
      <c r="M34" s="53"/>
      <c r="N34" s="53"/>
      <c r="O34" s="53"/>
      <c r="P34" s="53"/>
      <c r="Q34" s="53"/>
      <c r="R34" s="53"/>
    </row>
    <row r="35" spans="1:18" x14ac:dyDescent="0.3">
      <c r="A35" s="312" t="s">
        <v>751</v>
      </c>
      <c r="B35" s="82" t="s">
        <v>738</v>
      </c>
      <c r="C35" s="82">
        <v>1</v>
      </c>
      <c r="D35" s="82">
        <v>1</v>
      </c>
      <c r="E35" s="82">
        <v>0</v>
      </c>
      <c r="F35" s="53"/>
      <c r="G35" s="53"/>
      <c r="H35" s="53"/>
      <c r="I35" s="53"/>
      <c r="J35" s="53"/>
      <c r="K35" s="53"/>
      <c r="L35" s="53"/>
      <c r="M35" s="53"/>
      <c r="N35" s="53"/>
      <c r="O35" s="53"/>
      <c r="P35" s="53"/>
      <c r="Q35" s="53"/>
      <c r="R35" s="53"/>
    </row>
    <row r="36" spans="1:18" x14ac:dyDescent="0.3">
      <c r="A36" s="313"/>
      <c r="B36" s="82" t="s">
        <v>780</v>
      </c>
      <c r="C36" s="73">
        <v>465</v>
      </c>
      <c r="D36" s="73">
        <v>465</v>
      </c>
      <c r="E36" s="73">
        <v>465</v>
      </c>
      <c r="F36" s="53"/>
      <c r="G36" s="53"/>
      <c r="H36" s="53"/>
      <c r="I36" s="53"/>
      <c r="J36" s="53"/>
      <c r="K36" s="53"/>
      <c r="L36" s="53"/>
      <c r="M36" s="53"/>
      <c r="N36" s="53"/>
      <c r="O36" s="53"/>
      <c r="P36" s="53"/>
      <c r="Q36" s="53"/>
      <c r="R36" s="53"/>
    </row>
    <row r="37" spans="1:18" x14ac:dyDescent="0.3">
      <c r="A37" s="313"/>
      <c r="B37" s="82" t="s">
        <v>774</v>
      </c>
      <c r="C37" s="82">
        <v>9.3000000000000007</v>
      </c>
      <c r="D37" s="82">
        <v>7.79</v>
      </c>
      <c r="E37" s="82">
        <v>11.411</v>
      </c>
      <c r="F37" s="53"/>
      <c r="G37" s="53"/>
      <c r="H37" s="53"/>
      <c r="I37" s="53"/>
      <c r="J37" s="53"/>
      <c r="K37" s="53"/>
      <c r="L37" s="53"/>
      <c r="M37" s="53"/>
      <c r="N37" s="53"/>
      <c r="O37" s="53"/>
      <c r="P37" s="53"/>
      <c r="Q37" s="53"/>
      <c r="R37" s="53"/>
    </row>
    <row r="38" spans="1:18" x14ac:dyDescent="0.3">
      <c r="A38" s="313"/>
      <c r="B38" s="83" t="s">
        <v>775</v>
      </c>
      <c r="C38" s="82">
        <v>68</v>
      </c>
      <c r="D38" s="82">
        <v>53</v>
      </c>
      <c r="E38" s="82">
        <v>85</v>
      </c>
      <c r="F38" s="53"/>
      <c r="G38" s="53"/>
      <c r="H38" s="53"/>
      <c r="I38" s="53"/>
      <c r="J38" s="53"/>
      <c r="K38" s="53"/>
      <c r="L38" s="53"/>
      <c r="M38" s="53"/>
      <c r="N38" s="53"/>
      <c r="O38" s="53"/>
      <c r="P38" s="53"/>
      <c r="Q38" s="53"/>
      <c r="R38" s="53"/>
    </row>
    <row r="39" spans="1:18" x14ac:dyDescent="0.3">
      <c r="A39" s="314"/>
      <c r="B39" s="84" t="s">
        <v>777</v>
      </c>
      <c r="C39" s="86" t="s">
        <v>778</v>
      </c>
      <c r="D39" s="86" t="s">
        <v>778</v>
      </c>
      <c r="E39" s="87" t="s">
        <v>779</v>
      </c>
      <c r="F39" s="53"/>
      <c r="G39" s="53"/>
      <c r="H39" s="53"/>
      <c r="I39" s="53"/>
      <c r="J39" s="53"/>
      <c r="K39" s="53"/>
      <c r="L39" s="53"/>
      <c r="M39" s="53"/>
      <c r="N39" s="53"/>
      <c r="O39" s="53"/>
      <c r="P39" s="53"/>
      <c r="Q39" s="53"/>
      <c r="R39" s="53"/>
    </row>
    <row r="40" spans="1:18" x14ac:dyDescent="0.3">
      <c r="A40" s="312" t="s">
        <v>753</v>
      </c>
      <c r="B40" s="82" t="s">
        <v>738</v>
      </c>
      <c r="C40" s="82">
        <v>1</v>
      </c>
      <c r="D40" s="82">
        <v>1</v>
      </c>
      <c r="E40" s="82">
        <v>0</v>
      </c>
      <c r="F40" s="53"/>
      <c r="G40" s="53"/>
      <c r="H40" s="53"/>
      <c r="I40" s="53"/>
      <c r="J40" s="53"/>
      <c r="K40" s="53"/>
      <c r="L40" s="53"/>
      <c r="M40" s="53"/>
      <c r="N40" s="53"/>
      <c r="O40" s="53"/>
      <c r="P40" s="53"/>
      <c r="Q40" s="53"/>
      <c r="R40" s="53"/>
    </row>
    <row r="41" spans="1:18" x14ac:dyDescent="0.3">
      <c r="A41" s="313"/>
      <c r="B41" s="82" t="s">
        <v>780</v>
      </c>
      <c r="C41" s="73">
        <v>502</v>
      </c>
      <c r="D41" s="73">
        <v>502</v>
      </c>
      <c r="E41" s="73">
        <v>502</v>
      </c>
      <c r="F41" s="53"/>
      <c r="G41" s="53"/>
      <c r="H41" s="53"/>
      <c r="I41" s="53"/>
      <c r="J41" s="53"/>
      <c r="K41" s="53"/>
      <c r="L41" s="53"/>
      <c r="M41" s="53"/>
      <c r="N41" s="53"/>
      <c r="O41" s="53"/>
      <c r="P41" s="53"/>
      <c r="Q41" s="53"/>
      <c r="R41" s="53"/>
    </row>
    <row r="42" spans="1:18" x14ac:dyDescent="0.3">
      <c r="A42" s="313"/>
      <c r="B42" s="82" t="s">
        <v>774</v>
      </c>
      <c r="C42" s="82">
        <v>10.044</v>
      </c>
      <c r="D42" s="82">
        <v>8.4130000000000003</v>
      </c>
      <c r="E42" s="82">
        <v>12.324</v>
      </c>
      <c r="F42" s="53"/>
      <c r="G42" s="53"/>
      <c r="H42" s="53"/>
      <c r="I42" s="53"/>
      <c r="J42" s="53"/>
      <c r="K42" s="53"/>
      <c r="L42" s="53"/>
      <c r="M42" s="53"/>
      <c r="N42" s="53"/>
      <c r="O42" s="53"/>
      <c r="P42" s="53"/>
      <c r="Q42" s="53"/>
      <c r="R42" s="53"/>
    </row>
    <row r="43" spans="1:18" x14ac:dyDescent="0.3">
      <c r="A43" s="313"/>
      <c r="B43" s="83" t="s">
        <v>775</v>
      </c>
      <c r="C43" s="82">
        <v>73</v>
      </c>
      <c r="D43" s="82">
        <v>57</v>
      </c>
      <c r="E43" s="82">
        <v>91</v>
      </c>
      <c r="F43" s="53"/>
      <c r="G43" s="53"/>
      <c r="H43" s="53"/>
      <c r="I43" s="53"/>
      <c r="J43" s="53"/>
      <c r="K43" s="53"/>
      <c r="L43" s="53"/>
      <c r="M43" s="53"/>
      <c r="N43" s="53"/>
      <c r="O43" s="53"/>
      <c r="P43" s="53"/>
      <c r="Q43" s="53"/>
      <c r="R43" s="53"/>
    </row>
    <row r="44" spans="1:18" x14ac:dyDescent="0.3">
      <c r="A44" s="314"/>
      <c r="B44" s="84" t="s">
        <v>777</v>
      </c>
      <c r="C44" s="86" t="s">
        <v>778</v>
      </c>
      <c r="D44" s="86" t="s">
        <v>778</v>
      </c>
      <c r="E44" s="87" t="s">
        <v>779</v>
      </c>
      <c r="F44" s="53"/>
      <c r="G44" s="53"/>
      <c r="H44" s="53"/>
      <c r="I44" s="53"/>
      <c r="J44" s="53"/>
      <c r="K44" s="53"/>
      <c r="L44" s="53"/>
      <c r="M44" s="53"/>
      <c r="N44" s="53"/>
      <c r="O44" s="53"/>
      <c r="P44" s="53"/>
      <c r="Q44" s="53"/>
      <c r="R44" s="53"/>
    </row>
    <row r="45" spans="1:18" x14ac:dyDescent="0.3">
      <c r="A45" s="312" t="s">
        <v>755</v>
      </c>
      <c r="B45" s="82" t="s">
        <v>738</v>
      </c>
      <c r="C45" s="82">
        <v>1</v>
      </c>
      <c r="D45" s="82">
        <v>1</v>
      </c>
      <c r="E45" s="82">
        <v>0</v>
      </c>
      <c r="F45" s="53"/>
      <c r="G45" s="53"/>
      <c r="H45" s="53"/>
      <c r="I45" s="53"/>
      <c r="J45" s="53"/>
      <c r="K45" s="53"/>
      <c r="L45" s="53"/>
      <c r="M45" s="53"/>
      <c r="N45" s="53"/>
      <c r="O45" s="53"/>
      <c r="P45" s="53"/>
      <c r="Q45" s="53"/>
      <c r="R45" s="53"/>
    </row>
    <row r="46" spans="1:18" x14ac:dyDescent="0.3">
      <c r="A46" s="313"/>
      <c r="B46" s="82" t="s">
        <v>780</v>
      </c>
      <c r="C46" s="73">
        <v>930</v>
      </c>
      <c r="D46" s="73">
        <v>930</v>
      </c>
      <c r="E46" s="73">
        <v>930</v>
      </c>
      <c r="F46" s="53"/>
      <c r="G46" s="53"/>
      <c r="H46" s="53"/>
      <c r="I46" s="53"/>
      <c r="J46" s="53"/>
      <c r="K46" s="53"/>
      <c r="L46" s="53"/>
      <c r="M46" s="53"/>
      <c r="N46" s="53"/>
      <c r="O46" s="53"/>
      <c r="P46" s="53"/>
      <c r="Q46" s="53"/>
      <c r="R46" s="53"/>
    </row>
    <row r="47" spans="1:18" x14ac:dyDescent="0.3">
      <c r="A47" s="313"/>
      <c r="B47" s="82" t="s">
        <v>774</v>
      </c>
      <c r="C47" s="82">
        <v>18.600000000000001</v>
      </c>
      <c r="D47" s="82">
        <v>15.579000000000001</v>
      </c>
      <c r="E47" s="82">
        <v>22.821999999999999</v>
      </c>
      <c r="F47" s="53"/>
      <c r="G47" s="53"/>
      <c r="H47" s="53"/>
      <c r="I47" s="53"/>
      <c r="J47" s="53"/>
      <c r="K47" s="53"/>
      <c r="L47" s="53"/>
      <c r="M47" s="53"/>
      <c r="N47" s="53"/>
      <c r="O47" s="53"/>
      <c r="P47" s="53"/>
      <c r="Q47" s="53"/>
      <c r="R47" s="53"/>
    </row>
    <row r="48" spans="1:18" x14ac:dyDescent="0.3">
      <c r="A48" s="313"/>
      <c r="B48" s="83" t="s">
        <v>775</v>
      </c>
      <c r="C48" s="82">
        <v>135</v>
      </c>
      <c r="D48" s="82">
        <v>106</v>
      </c>
      <c r="E48" s="82">
        <v>169</v>
      </c>
      <c r="F48" s="53"/>
      <c r="G48" s="53"/>
      <c r="H48" s="53"/>
      <c r="I48" s="53"/>
      <c r="J48" s="53"/>
      <c r="K48" s="53"/>
      <c r="L48" s="53"/>
      <c r="M48" s="53"/>
      <c r="N48" s="53"/>
      <c r="O48" s="53"/>
      <c r="P48" s="53"/>
      <c r="Q48" s="53"/>
      <c r="R48" s="53"/>
    </row>
    <row r="49" spans="1:18" x14ac:dyDescent="0.3">
      <c r="A49" s="314"/>
      <c r="B49" s="84" t="s">
        <v>777</v>
      </c>
      <c r="C49" s="86" t="s">
        <v>778</v>
      </c>
      <c r="D49" s="86" t="s">
        <v>778</v>
      </c>
      <c r="E49" s="87" t="s">
        <v>779</v>
      </c>
      <c r="F49" s="53"/>
      <c r="G49" s="53"/>
      <c r="H49" s="53"/>
      <c r="I49" s="53"/>
      <c r="J49" s="53"/>
      <c r="K49" s="53"/>
      <c r="L49" s="53"/>
      <c r="M49" s="53"/>
      <c r="N49" s="53"/>
      <c r="O49" s="53"/>
      <c r="P49" s="53"/>
      <c r="Q49" s="53"/>
      <c r="R49" s="53"/>
    </row>
    <row r="50" spans="1:18" x14ac:dyDescent="0.3">
      <c r="A50" s="312" t="s">
        <v>757</v>
      </c>
      <c r="B50" s="82" t="s">
        <v>738</v>
      </c>
      <c r="C50" s="82">
        <v>1</v>
      </c>
      <c r="D50" s="82">
        <v>1</v>
      </c>
      <c r="E50" s="82">
        <v>1</v>
      </c>
      <c r="F50" s="53"/>
      <c r="G50" s="53"/>
      <c r="H50" s="53"/>
      <c r="I50" s="53"/>
      <c r="J50" s="53"/>
      <c r="K50" s="53"/>
      <c r="L50" s="53"/>
      <c r="M50" s="53"/>
      <c r="N50" s="53"/>
      <c r="O50" s="53"/>
      <c r="P50" s="53"/>
      <c r="Q50" s="53"/>
      <c r="R50" s="53"/>
    </row>
    <row r="51" spans="1:18" x14ac:dyDescent="0.3">
      <c r="A51" s="313"/>
      <c r="B51" s="82" t="s">
        <v>780</v>
      </c>
      <c r="C51" s="73">
        <v>930</v>
      </c>
      <c r="D51" s="73">
        <v>930</v>
      </c>
      <c r="E51" s="73">
        <v>930</v>
      </c>
      <c r="F51" s="53"/>
      <c r="G51" s="53"/>
      <c r="H51" s="53"/>
      <c r="I51" s="53"/>
      <c r="J51" s="53"/>
      <c r="K51" s="53"/>
      <c r="L51" s="53"/>
      <c r="M51" s="53"/>
      <c r="N51" s="53"/>
      <c r="O51" s="53"/>
      <c r="P51" s="53"/>
      <c r="Q51" s="53"/>
      <c r="R51" s="53"/>
    </row>
    <row r="52" spans="1:18" x14ac:dyDescent="0.3">
      <c r="A52" s="313"/>
      <c r="B52" s="82" t="s">
        <v>774</v>
      </c>
      <c r="C52" s="82">
        <v>18.600000000000001</v>
      </c>
      <c r="D52" s="82">
        <v>15.579000000000001</v>
      </c>
      <c r="E52" s="82">
        <v>22.821999999999999</v>
      </c>
      <c r="F52" s="53"/>
      <c r="G52" s="53"/>
      <c r="H52" s="53"/>
      <c r="I52" s="53"/>
      <c r="J52" s="53"/>
      <c r="K52" s="53"/>
      <c r="L52" s="53"/>
      <c r="M52" s="53"/>
      <c r="N52" s="53"/>
      <c r="O52" s="53"/>
      <c r="P52" s="53"/>
      <c r="Q52" s="53"/>
      <c r="R52" s="53"/>
    </row>
    <row r="53" spans="1:18" x14ac:dyDescent="0.3">
      <c r="A53" s="313"/>
      <c r="B53" s="83" t="s">
        <v>775</v>
      </c>
      <c r="C53" s="82">
        <v>135</v>
      </c>
      <c r="D53" s="82">
        <v>106</v>
      </c>
      <c r="E53" s="82">
        <v>169</v>
      </c>
      <c r="F53" s="53"/>
      <c r="G53" s="53"/>
      <c r="H53" s="53"/>
      <c r="I53" s="53"/>
      <c r="J53" s="53"/>
      <c r="K53" s="53"/>
      <c r="L53" s="53"/>
      <c r="M53" s="53"/>
      <c r="N53" s="53"/>
      <c r="O53" s="53"/>
      <c r="P53" s="53"/>
      <c r="Q53" s="53"/>
      <c r="R53" s="53"/>
    </row>
    <row r="54" spans="1:18" x14ac:dyDescent="0.3">
      <c r="A54" s="314"/>
      <c r="B54" s="84" t="s">
        <v>777</v>
      </c>
      <c r="C54" s="86" t="s">
        <v>778</v>
      </c>
      <c r="D54" s="86" t="s">
        <v>778</v>
      </c>
      <c r="E54" s="86" t="s">
        <v>778</v>
      </c>
      <c r="F54" s="53"/>
      <c r="G54" s="53"/>
      <c r="H54" s="53"/>
      <c r="I54" s="53"/>
      <c r="J54" s="53"/>
      <c r="K54" s="53"/>
      <c r="L54" s="53"/>
      <c r="M54" s="53"/>
      <c r="N54" s="53"/>
      <c r="O54" s="53"/>
      <c r="P54" s="53"/>
      <c r="Q54" s="53"/>
      <c r="R54" s="53"/>
    </row>
    <row r="55" spans="1:18" x14ac:dyDescent="0.3">
      <c r="A55" s="312" t="s">
        <v>759</v>
      </c>
      <c r="B55" s="82" t="s">
        <v>738</v>
      </c>
      <c r="C55" s="82">
        <v>1</v>
      </c>
      <c r="D55" s="82">
        <v>1</v>
      </c>
      <c r="E55" s="82">
        <v>1</v>
      </c>
      <c r="F55" s="53"/>
      <c r="G55" s="53"/>
      <c r="H55" s="53"/>
      <c r="I55" s="53"/>
      <c r="J55" s="53"/>
      <c r="K55" s="53"/>
      <c r="L55" s="53"/>
      <c r="M55" s="53"/>
      <c r="N55" s="53"/>
      <c r="O55" s="53"/>
      <c r="P55" s="53"/>
      <c r="Q55" s="53"/>
      <c r="R55" s="53"/>
    </row>
    <row r="56" spans="1:18" x14ac:dyDescent="0.3">
      <c r="A56" s="313"/>
      <c r="B56" s="82" t="s">
        <v>780</v>
      </c>
      <c r="C56" s="73">
        <v>223</v>
      </c>
      <c r="D56" s="73">
        <v>223</v>
      </c>
      <c r="E56" s="73">
        <v>223</v>
      </c>
      <c r="F56" s="53"/>
      <c r="G56" s="53"/>
      <c r="H56" s="53"/>
      <c r="I56" s="53"/>
      <c r="J56" s="53"/>
      <c r="K56" s="53"/>
      <c r="L56" s="53"/>
      <c r="M56" s="53"/>
      <c r="N56" s="53"/>
      <c r="O56" s="53"/>
      <c r="P56" s="53"/>
      <c r="Q56" s="53"/>
      <c r="R56" s="53"/>
    </row>
    <row r="57" spans="1:18" x14ac:dyDescent="0.3">
      <c r="A57" s="313"/>
      <c r="B57" s="82" t="s">
        <v>774</v>
      </c>
      <c r="C57" s="82">
        <v>4.4640000000000004</v>
      </c>
      <c r="D57" s="82">
        <v>3.7389999999999999</v>
      </c>
      <c r="E57" s="82">
        <v>5.4770000000000003</v>
      </c>
      <c r="F57" s="53"/>
      <c r="G57" s="53"/>
      <c r="H57" s="53"/>
      <c r="I57" s="53"/>
      <c r="J57" s="53"/>
      <c r="K57" s="53"/>
      <c r="L57" s="53"/>
      <c r="M57" s="53"/>
      <c r="N57" s="53"/>
      <c r="O57" s="53"/>
      <c r="P57" s="53"/>
      <c r="Q57" s="53"/>
      <c r="R57" s="53"/>
    </row>
    <row r="58" spans="1:18" x14ac:dyDescent="0.3">
      <c r="A58" s="313"/>
      <c r="B58" s="83" t="s">
        <v>775</v>
      </c>
      <c r="C58" s="82">
        <v>32</v>
      </c>
      <c r="D58" s="82">
        <v>25</v>
      </c>
      <c r="E58" s="82">
        <v>41</v>
      </c>
      <c r="F58" s="53"/>
      <c r="G58" s="53"/>
      <c r="H58" s="53"/>
      <c r="I58" s="53"/>
      <c r="J58" s="53"/>
      <c r="K58" s="53"/>
      <c r="L58" s="53"/>
      <c r="M58" s="53"/>
      <c r="N58" s="53"/>
      <c r="O58" s="53"/>
      <c r="P58" s="53"/>
      <c r="Q58" s="53"/>
      <c r="R58" s="53"/>
    </row>
    <row r="59" spans="1:18" x14ac:dyDescent="0.3">
      <c r="A59" s="314"/>
      <c r="B59" s="84" t="s">
        <v>777</v>
      </c>
      <c r="C59" s="86" t="s">
        <v>778</v>
      </c>
      <c r="D59" s="86" t="s">
        <v>778</v>
      </c>
      <c r="E59" s="86" t="s">
        <v>778</v>
      </c>
      <c r="F59" s="53"/>
      <c r="G59" s="53"/>
      <c r="H59" s="53"/>
      <c r="I59" s="53"/>
      <c r="J59" s="53"/>
      <c r="K59" s="53"/>
      <c r="L59" s="53"/>
      <c r="M59" s="53"/>
      <c r="N59" s="53"/>
      <c r="O59" s="53"/>
      <c r="P59" s="53"/>
      <c r="Q59" s="53"/>
      <c r="R59" s="53"/>
    </row>
    <row r="60" spans="1:18" x14ac:dyDescent="0.3">
      <c r="A60" s="312" t="s">
        <v>122</v>
      </c>
      <c r="B60" s="82" t="s">
        <v>738</v>
      </c>
      <c r="C60" s="82">
        <v>1</v>
      </c>
      <c r="D60" s="82">
        <v>1</v>
      </c>
      <c r="E60" s="82">
        <v>1</v>
      </c>
      <c r="F60" s="53"/>
      <c r="G60" s="53"/>
      <c r="H60" s="53"/>
      <c r="I60" s="53"/>
      <c r="J60" s="53"/>
      <c r="K60" s="53"/>
      <c r="L60" s="53"/>
      <c r="M60" s="53"/>
      <c r="N60" s="53"/>
      <c r="O60" s="53"/>
      <c r="P60" s="53"/>
      <c r="Q60" s="53"/>
      <c r="R60" s="53"/>
    </row>
    <row r="61" spans="1:18" x14ac:dyDescent="0.3">
      <c r="A61" s="313"/>
      <c r="B61" s="82" t="s">
        <v>780</v>
      </c>
      <c r="C61" s="73">
        <v>539</v>
      </c>
      <c r="D61" s="73">
        <v>539</v>
      </c>
      <c r="E61" s="73">
        <v>539</v>
      </c>
      <c r="F61" s="53"/>
      <c r="G61" s="53"/>
      <c r="H61" s="53"/>
      <c r="I61" s="53"/>
      <c r="J61" s="53"/>
      <c r="K61" s="53"/>
      <c r="L61" s="53"/>
      <c r="M61" s="53"/>
      <c r="N61" s="53"/>
      <c r="O61" s="53"/>
      <c r="P61" s="53"/>
      <c r="Q61" s="53"/>
      <c r="R61" s="53"/>
    </row>
    <row r="62" spans="1:18" x14ac:dyDescent="0.3">
      <c r="A62" s="313"/>
      <c r="B62" s="82" t="s">
        <v>774</v>
      </c>
      <c r="C62" s="82">
        <v>10.788</v>
      </c>
      <c r="D62" s="82">
        <v>9.0359999999999996</v>
      </c>
      <c r="E62" s="82">
        <v>13.237</v>
      </c>
      <c r="F62" s="53"/>
      <c r="G62" s="53"/>
      <c r="H62" s="53"/>
      <c r="I62" s="53"/>
      <c r="J62" s="53"/>
      <c r="K62" s="53"/>
      <c r="L62" s="53"/>
      <c r="M62" s="53"/>
      <c r="N62" s="53"/>
      <c r="O62" s="53"/>
      <c r="P62" s="53"/>
      <c r="Q62" s="53"/>
      <c r="R62" s="53"/>
    </row>
    <row r="63" spans="1:18" x14ac:dyDescent="0.3">
      <c r="A63" s="313"/>
      <c r="B63" s="83" t="s">
        <v>775</v>
      </c>
      <c r="C63" s="82">
        <v>79</v>
      </c>
      <c r="D63" s="82">
        <v>61</v>
      </c>
      <c r="E63" s="82">
        <v>98</v>
      </c>
      <c r="F63" s="53"/>
      <c r="G63" s="53"/>
      <c r="H63" s="53"/>
      <c r="I63" s="53"/>
      <c r="J63" s="53"/>
      <c r="K63" s="53"/>
      <c r="L63" s="53"/>
      <c r="M63" s="53"/>
      <c r="N63" s="53"/>
      <c r="O63" s="53"/>
      <c r="P63" s="53"/>
      <c r="Q63" s="53"/>
      <c r="R63" s="53"/>
    </row>
    <row r="64" spans="1:18" x14ac:dyDescent="0.3">
      <c r="A64" s="314"/>
      <c r="B64" s="84" t="s">
        <v>777</v>
      </c>
      <c r="C64" s="86" t="s">
        <v>778</v>
      </c>
      <c r="D64" s="86" t="s">
        <v>778</v>
      </c>
      <c r="E64" s="86" t="s">
        <v>778</v>
      </c>
      <c r="F64" s="53"/>
      <c r="G64" s="53"/>
      <c r="H64" s="53"/>
      <c r="I64" s="53"/>
      <c r="J64" s="53"/>
      <c r="K64" s="53"/>
      <c r="L64" s="53"/>
      <c r="M64" s="53"/>
      <c r="N64" s="53"/>
      <c r="O64" s="53"/>
      <c r="P64" s="53"/>
      <c r="Q64" s="53"/>
      <c r="R64" s="53"/>
    </row>
    <row r="65" spans="1:18" x14ac:dyDescent="0.3">
      <c r="A65" s="312" t="s">
        <v>763</v>
      </c>
      <c r="B65" s="82" t="s">
        <v>738</v>
      </c>
      <c r="C65" s="82">
        <v>1</v>
      </c>
      <c r="D65" s="82">
        <v>1</v>
      </c>
      <c r="E65" s="82">
        <v>1</v>
      </c>
      <c r="F65" s="53"/>
      <c r="G65" s="53"/>
      <c r="H65" s="53"/>
      <c r="I65" s="53"/>
      <c r="J65" s="53"/>
      <c r="K65" s="53"/>
      <c r="L65" s="53"/>
      <c r="M65" s="53"/>
      <c r="N65" s="53"/>
      <c r="O65" s="53"/>
      <c r="P65" s="53"/>
      <c r="Q65" s="53"/>
      <c r="R65" s="53"/>
    </row>
    <row r="66" spans="1:18" x14ac:dyDescent="0.3">
      <c r="A66" s="313"/>
      <c r="B66" s="82" t="s">
        <v>780</v>
      </c>
      <c r="C66" s="73">
        <v>744</v>
      </c>
      <c r="D66" s="73">
        <v>744</v>
      </c>
      <c r="E66" s="73">
        <v>744</v>
      </c>
      <c r="F66" s="53"/>
      <c r="G66" s="53"/>
      <c r="H66" s="53"/>
      <c r="I66" s="53"/>
      <c r="J66" s="53"/>
      <c r="K66" s="53"/>
      <c r="L66" s="53"/>
      <c r="M66" s="53"/>
      <c r="N66" s="53"/>
      <c r="O66" s="53"/>
      <c r="P66" s="53"/>
      <c r="Q66" s="53"/>
      <c r="R66" s="53"/>
    </row>
    <row r="67" spans="1:18" x14ac:dyDescent="0.3">
      <c r="A67" s="313"/>
      <c r="B67" s="82" t="s">
        <v>774</v>
      </c>
      <c r="C67" s="82">
        <v>14.88</v>
      </c>
      <c r="D67" s="82">
        <v>12.462999999999999</v>
      </c>
      <c r="E67" s="82">
        <v>18.257999999999999</v>
      </c>
      <c r="F67" s="53"/>
      <c r="G67" s="53"/>
      <c r="H67" s="53"/>
      <c r="I67" s="53"/>
      <c r="J67" s="53"/>
      <c r="K67" s="53"/>
      <c r="L67" s="53"/>
      <c r="M67" s="53"/>
      <c r="N67" s="53"/>
      <c r="O67" s="53"/>
      <c r="P67" s="53"/>
      <c r="Q67" s="53"/>
      <c r="R67" s="53"/>
    </row>
    <row r="68" spans="1:18" x14ac:dyDescent="0.3">
      <c r="A68" s="313"/>
      <c r="B68" s="83" t="s">
        <v>775</v>
      </c>
      <c r="C68" s="82">
        <v>108</v>
      </c>
      <c r="D68" s="82">
        <v>84</v>
      </c>
      <c r="E68" s="82">
        <v>135</v>
      </c>
      <c r="F68" s="53"/>
      <c r="G68" s="53"/>
      <c r="H68" s="53"/>
      <c r="I68" s="53"/>
      <c r="J68" s="53"/>
      <c r="K68" s="53"/>
      <c r="L68" s="53"/>
      <c r="M68" s="53"/>
      <c r="N68" s="53"/>
      <c r="O68" s="53"/>
      <c r="P68" s="53"/>
      <c r="Q68" s="53"/>
      <c r="R68" s="53"/>
    </row>
    <row r="69" spans="1:18" x14ac:dyDescent="0.3">
      <c r="A69" s="315"/>
      <c r="B69" s="84" t="s">
        <v>777</v>
      </c>
      <c r="C69" s="86" t="s">
        <v>778</v>
      </c>
      <c r="D69" s="86" t="s">
        <v>778</v>
      </c>
      <c r="E69" s="86" t="s">
        <v>778</v>
      </c>
      <c r="F69" s="53"/>
      <c r="G69" s="53"/>
      <c r="H69" s="53"/>
      <c r="I69" s="53"/>
      <c r="J69" s="53"/>
      <c r="K69" s="53"/>
      <c r="L69" s="53"/>
      <c r="M69" s="53"/>
      <c r="N69" s="53"/>
      <c r="O69" s="53"/>
      <c r="P69" s="53"/>
      <c r="Q69" s="53"/>
      <c r="R69" s="53"/>
    </row>
    <row r="70" spans="1:18" x14ac:dyDescent="0.3">
      <c r="A70" s="53"/>
      <c r="B70" s="53"/>
      <c r="C70" s="53"/>
      <c r="D70" s="53"/>
      <c r="E70" s="53"/>
      <c r="F70" s="53"/>
      <c r="G70" s="53"/>
      <c r="H70" s="53"/>
      <c r="I70" s="53"/>
      <c r="J70" s="53"/>
      <c r="K70" s="53"/>
      <c r="L70" s="53"/>
      <c r="M70" s="53"/>
      <c r="N70" s="53"/>
      <c r="O70" s="53"/>
      <c r="P70" s="53"/>
      <c r="Q70" s="53"/>
      <c r="R70" s="53"/>
    </row>
    <row r="71" spans="1:18" x14ac:dyDescent="0.3">
      <c r="A71" s="53"/>
      <c r="B71" s="53"/>
      <c r="C71" s="53"/>
      <c r="D71" s="53"/>
      <c r="E71" s="53"/>
      <c r="F71" s="53"/>
      <c r="G71" s="53"/>
      <c r="H71" s="53"/>
      <c r="I71" s="53"/>
      <c r="J71" s="53"/>
      <c r="K71" s="53"/>
      <c r="L71" s="53"/>
      <c r="M71" s="53"/>
      <c r="N71" s="53"/>
      <c r="O71" s="53"/>
      <c r="P71" s="53"/>
      <c r="Q71" s="53"/>
      <c r="R71" s="53"/>
    </row>
    <row r="72" spans="1:18" x14ac:dyDescent="0.3">
      <c r="A72" s="60" t="s">
        <v>781</v>
      </c>
      <c r="B72" s="53"/>
      <c r="C72" s="53"/>
      <c r="D72" s="53"/>
      <c r="E72" s="53"/>
      <c r="F72" s="53"/>
      <c r="G72" s="53"/>
      <c r="H72" s="53"/>
      <c r="I72" s="53"/>
      <c r="J72" s="53"/>
      <c r="K72" s="53"/>
      <c r="L72" s="53"/>
      <c r="M72" s="53"/>
      <c r="N72" s="53"/>
      <c r="O72" s="53"/>
      <c r="P72" s="53"/>
      <c r="Q72" s="53"/>
      <c r="R72" s="53"/>
    </row>
    <row r="73" spans="1:18" x14ac:dyDescent="0.3">
      <c r="A73" s="53"/>
      <c r="B73" s="53"/>
      <c r="C73" s="53"/>
      <c r="D73" s="53"/>
      <c r="E73" s="53"/>
      <c r="F73" s="53"/>
      <c r="G73" s="53"/>
      <c r="H73" s="53"/>
      <c r="I73" s="53"/>
      <c r="J73" s="53"/>
      <c r="K73" s="53"/>
      <c r="L73" s="53"/>
      <c r="M73" s="53"/>
      <c r="N73" s="53"/>
      <c r="O73" s="53"/>
      <c r="P73" s="53"/>
      <c r="Q73" s="53"/>
      <c r="R73" s="53"/>
    </row>
    <row r="74" spans="1:18" x14ac:dyDescent="0.3">
      <c r="A74" s="88" t="s">
        <v>782</v>
      </c>
      <c r="B74" s="89" t="s">
        <v>783</v>
      </c>
      <c r="C74" s="89" t="s">
        <v>784</v>
      </c>
      <c r="D74" s="53"/>
      <c r="E74" s="53"/>
      <c r="F74" s="53"/>
      <c r="G74" s="53"/>
      <c r="H74" s="53"/>
      <c r="I74" s="53"/>
      <c r="J74" s="53"/>
      <c r="K74" s="53"/>
      <c r="L74" s="53"/>
      <c r="M74" s="53"/>
      <c r="N74" s="53"/>
      <c r="O74" s="53"/>
      <c r="P74" s="53"/>
      <c r="Q74" s="53"/>
      <c r="R74" s="53"/>
    </row>
    <row r="75" spans="1:18" x14ac:dyDescent="0.3">
      <c r="A75" s="56" t="s">
        <v>350</v>
      </c>
      <c r="B75" s="82" t="s">
        <v>350</v>
      </c>
      <c r="C75" s="82" t="s">
        <v>350</v>
      </c>
      <c r="D75" s="53"/>
      <c r="E75" s="53"/>
      <c r="F75" s="53"/>
      <c r="G75" s="53"/>
      <c r="H75" s="53"/>
      <c r="I75" s="53"/>
      <c r="J75" s="53"/>
      <c r="K75" s="53"/>
      <c r="L75" s="53"/>
      <c r="M75" s="53"/>
      <c r="N75" s="53"/>
      <c r="O75" s="53"/>
      <c r="P75" s="53"/>
      <c r="Q75" s="53"/>
      <c r="R75" s="53"/>
    </row>
    <row r="76" spans="1:18" x14ac:dyDescent="0.3">
      <c r="A76" s="56" t="s">
        <v>350</v>
      </c>
      <c r="B76" s="82" t="s">
        <v>350</v>
      </c>
      <c r="C76" s="82" t="s">
        <v>350</v>
      </c>
      <c r="D76" s="53"/>
      <c r="E76" s="53"/>
      <c r="F76" s="53"/>
      <c r="G76" s="53"/>
      <c r="H76" s="53"/>
      <c r="I76" s="53"/>
      <c r="J76" s="53"/>
      <c r="K76" s="53"/>
      <c r="L76" s="53"/>
      <c r="M76" s="53"/>
      <c r="N76" s="53"/>
      <c r="O76" s="53"/>
      <c r="P76" s="53"/>
      <c r="Q76" s="53"/>
      <c r="R76" s="53"/>
    </row>
    <row r="77" spans="1:18" x14ac:dyDescent="0.3">
      <c r="A77" s="56" t="s">
        <v>350</v>
      </c>
      <c r="B77" s="82" t="s">
        <v>350</v>
      </c>
      <c r="C77" s="82" t="s">
        <v>350</v>
      </c>
      <c r="D77" s="53"/>
      <c r="E77" s="53"/>
      <c r="F77" s="53"/>
      <c r="G77" s="53"/>
      <c r="H77" s="53"/>
      <c r="I77" s="53"/>
      <c r="J77" s="53"/>
      <c r="K77" s="53"/>
      <c r="L77" s="53"/>
      <c r="M77" s="53"/>
      <c r="N77" s="53"/>
      <c r="O77" s="53"/>
      <c r="P77" s="53"/>
      <c r="Q77" s="53"/>
      <c r="R77" s="53"/>
    </row>
    <row r="78" spans="1:18" x14ac:dyDescent="0.3">
      <c r="A78" s="56" t="s">
        <v>350</v>
      </c>
      <c r="B78" s="82" t="s">
        <v>350</v>
      </c>
      <c r="C78" s="82" t="s">
        <v>350</v>
      </c>
      <c r="D78" s="53"/>
      <c r="E78" s="53"/>
      <c r="F78" s="53"/>
      <c r="G78" s="53"/>
      <c r="H78" s="53"/>
      <c r="I78" s="53"/>
      <c r="J78" s="53"/>
      <c r="K78" s="53"/>
      <c r="L78" s="53"/>
      <c r="M78" s="53"/>
      <c r="N78" s="53"/>
      <c r="O78" s="53"/>
      <c r="P78" s="53"/>
      <c r="Q78" s="53"/>
      <c r="R78" s="53"/>
    </row>
    <row r="79" spans="1:18" x14ac:dyDescent="0.3">
      <c r="A79" s="56" t="s">
        <v>350</v>
      </c>
      <c r="B79" s="82" t="s">
        <v>350</v>
      </c>
      <c r="C79" s="82" t="s">
        <v>350</v>
      </c>
      <c r="D79" s="53"/>
      <c r="E79" s="53"/>
      <c r="F79" s="53"/>
      <c r="G79" s="53"/>
      <c r="H79" s="53"/>
      <c r="I79" s="53"/>
      <c r="J79" s="53"/>
      <c r="K79" s="53"/>
      <c r="L79" s="53"/>
      <c r="M79" s="53"/>
      <c r="N79" s="53"/>
      <c r="O79" s="53"/>
      <c r="P79" s="53"/>
      <c r="Q79" s="53"/>
      <c r="R79" s="53"/>
    </row>
    <row r="80" spans="1:18" x14ac:dyDescent="0.3">
      <c r="A80" s="56" t="s">
        <v>350</v>
      </c>
      <c r="B80" s="82" t="s">
        <v>350</v>
      </c>
      <c r="C80" s="82" t="s">
        <v>350</v>
      </c>
      <c r="D80" s="53"/>
      <c r="E80" s="53"/>
      <c r="F80" s="53"/>
      <c r="G80" s="53"/>
      <c r="H80" s="53"/>
      <c r="I80" s="53"/>
      <c r="J80" s="53"/>
      <c r="K80" s="53"/>
      <c r="L80" s="53"/>
      <c r="M80" s="53"/>
      <c r="N80" s="53"/>
      <c r="O80" s="53"/>
      <c r="P80" s="53"/>
      <c r="Q80" s="53"/>
      <c r="R80" s="53"/>
    </row>
    <row r="81" spans="1:18" x14ac:dyDescent="0.3">
      <c r="A81" s="56" t="s">
        <v>350</v>
      </c>
      <c r="B81" s="82" t="s">
        <v>350</v>
      </c>
      <c r="C81" s="82" t="s">
        <v>350</v>
      </c>
      <c r="D81" s="53"/>
      <c r="E81" s="53"/>
      <c r="F81" s="53"/>
      <c r="G81" s="53"/>
      <c r="H81" s="53"/>
      <c r="I81" s="53"/>
      <c r="J81" s="53"/>
      <c r="K81" s="53"/>
      <c r="L81" s="53"/>
      <c r="M81" s="53"/>
      <c r="N81" s="53"/>
      <c r="O81" s="53"/>
      <c r="P81" s="53"/>
      <c r="Q81" s="53"/>
      <c r="R81" s="53"/>
    </row>
    <row r="82" spans="1:18" x14ac:dyDescent="0.3">
      <c r="A82" s="56" t="s">
        <v>350</v>
      </c>
      <c r="B82" s="82" t="s">
        <v>350</v>
      </c>
      <c r="C82" s="82" t="s">
        <v>350</v>
      </c>
      <c r="D82" s="53"/>
      <c r="E82" s="53"/>
      <c r="F82" s="53"/>
      <c r="G82" s="53"/>
      <c r="H82" s="53"/>
      <c r="I82" s="53"/>
      <c r="J82" s="53"/>
      <c r="K82" s="53"/>
      <c r="L82" s="53"/>
      <c r="M82" s="53"/>
      <c r="N82" s="53"/>
      <c r="O82" s="53"/>
      <c r="P82" s="53"/>
      <c r="Q82" s="53"/>
      <c r="R82" s="53"/>
    </row>
    <row r="83" spans="1:18" x14ac:dyDescent="0.3">
      <c r="A83" s="56" t="s">
        <v>350</v>
      </c>
      <c r="B83" s="82" t="s">
        <v>350</v>
      </c>
      <c r="C83" s="82" t="s">
        <v>350</v>
      </c>
      <c r="D83" s="53"/>
      <c r="E83" s="53"/>
      <c r="F83" s="53"/>
      <c r="G83" s="53"/>
      <c r="H83" s="53"/>
      <c r="I83" s="53"/>
      <c r="J83" s="53"/>
      <c r="K83" s="53"/>
      <c r="L83" s="53"/>
      <c r="M83" s="53"/>
      <c r="N83" s="53"/>
      <c r="O83" s="53"/>
      <c r="P83" s="53"/>
      <c r="Q83" s="53"/>
      <c r="R83" s="53"/>
    </row>
    <row r="84" spans="1:18" x14ac:dyDescent="0.3">
      <c r="A84" s="56" t="s">
        <v>350</v>
      </c>
      <c r="B84" s="82" t="s">
        <v>350</v>
      </c>
      <c r="C84" s="82" t="s">
        <v>350</v>
      </c>
      <c r="D84" s="53"/>
      <c r="E84" s="53"/>
      <c r="F84" s="53"/>
      <c r="G84" s="53"/>
      <c r="H84" s="53"/>
      <c r="I84" s="53"/>
      <c r="J84" s="53"/>
      <c r="K84" s="53"/>
      <c r="L84" s="53"/>
      <c r="M84" s="53"/>
      <c r="N84" s="53"/>
      <c r="O84" s="53"/>
      <c r="P84" s="53"/>
      <c r="Q84" s="53"/>
      <c r="R84" s="53"/>
    </row>
    <row r="85" spans="1:18" x14ac:dyDescent="0.3">
      <c r="A85" s="56" t="s">
        <v>350</v>
      </c>
      <c r="B85" s="82" t="s">
        <v>350</v>
      </c>
      <c r="C85" s="82" t="s">
        <v>350</v>
      </c>
      <c r="D85" s="53"/>
      <c r="E85" s="53"/>
      <c r="F85" s="53"/>
      <c r="G85" s="53"/>
      <c r="H85" s="53"/>
      <c r="I85" s="53"/>
      <c r="J85" s="53"/>
      <c r="K85" s="53"/>
      <c r="L85" s="53"/>
      <c r="M85" s="53"/>
      <c r="N85" s="53"/>
      <c r="O85" s="53"/>
      <c r="P85" s="53"/>
      <c r="Q85" s="53"/>
      <c r="R85" s="53"/>
    </row>
    <row r="86" spans="1:18" x14ac:dyDescent="0.3">
      <c r="A86" s="56" t="s">
        <v>350</v>
      </c>
      <c r="B86" s="82" t="s">
        <v>350</v>
      </c>
      <c r="C86" s="82" t="s">
        <v>350</v>
      </c>
      <c r="D86" s="53"/>
      <c r="E86" s="53"/>
      <c r="F86" s="53"/>
      <c r="G86" s="53"/>
      <c r="H86" s="53"/>
      <c r="I86" s="53"/>
      <c r="J86" s="53"/>
      <c r="K86" s="53"/>
      <c r="L86" s="53"/>
      <c r="M86" s="53"/>
      <c r="N86" s="53"/>
      <c r="O86" s="53"/>
      <c r="P86" s="53"/>
      <c r="Q86" s="53"/>
      <c r="R86" s="53"/>
    </row>
    <row r="87" spans="1:18" x14ac:dyDescent="0.3">
      <c r="A87" s="56" t="s">
        <v>350</v>
      </c>
      <c r="B87" s="82" t="s">
        <v>350</v>
      </c>
      <c r="C87" s="82" t="s">
        <v>350</v>
      </c>
      <c r="D87" s="53"/>
      <c r="E87" s="53"/>
      <c r="F87" s="53"/>
      <c r="G87" s="53"/>
      <c r="H87" s="53"/>
      <c r="I87" s="53"/>
      <c r="J87" s="53"/>
      <c r="K87" s="53"/>
      <c r="L87" s="53"/>
      <c r="M87" s="53"/>
      <c r="N87" s="53"/>
      <c r="O87" s="53"/>
      <c r="P87" s="53"/>
      <c r="Q87" s="53"/>
      <c r="R87" s="53"/>
    </row>
    <row r="88" spans="1:18" x14ac:dyDescent="0.3">
      <c r="A88" s="56" t="s">
        <v>350</v>
      </c>
      <c r="B88" s="82" t="s">
        <v>350</v>
      </c>
      <c r="C88" s="82" t="s">
        <v>350</v>
      </c>
      <c r="D88" s="53"/>
      <c r="E88" s="53"/>
      <c r="F88" s="53"/>
      <c r="G88" s="53"/>
      <c r="H88" s="53"/>
      <c r="I88" s="53"/>
      <c r="J88" s="53"/>
      <c r="K88" s="53"/>
      <c r="L88" s="53"/>
      <c r="M88" s="53"/>
      <c r="N88" s="53"/>
      <c r="O88" s="53"/>
      <c r="P88" s="53"/>
      <c r="Q88" s="53"/>
      <c r="R88" s="53"/>
    </row>
  </sheetData>
  <mergeCells count="24">
    <mergeCell ref="A55:A59"/>
    <mergeCell ref="A60:A64"/>
    <mergeCell ref="A65:A69"/>
    <mergeCell ref="A25:A29"/>
    <mergeCell ref="A30:A34"/>
    <mergeCell ref="A35:A39"/>
    <mergeCell ref="A40:A44"/>
    <mergeCell ref="A45:A49"/>
    <mergeCell ref="A50:A54"/>
    <mergeCell ref="C15:C17"/>
    <mergeCell ref="G15:G17"/>
    <mergeCell ref="H15:H17"/>
    <mergeCell ref="A23:A24"/>
    <mergeCell ref="B23:B24"/>
    <mergeCell ref="C23:C24"/>
    <mergeCell ref="D23:D24"/>
    <mergeCell ref="E23:E24"/>
    <mergeCell ref="B2:C2"/>
    <mergeCell ref="D2:F2"/>
    <mergeCell ref="G2:I2"/>
    <mergeCell ref="A8:B8"/>
    <mergeCell ref="C10:C14"/>
    <mergeCell ref="G10:G14"/>
    <mergeCell ref="H10:H14"/>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F98156A4E08ED42B22DA6C86624442E" ma:contentTypeVersion="10" ma:contentTypeDescription="Create a new document." ma:contentTypeScope="" ma:versionID="11ba5f1833b47c39d11f9a0fc9ca5ad0">
  <xsd:schema xmlns:xsd="http://www.w3.org/2001/XMLSchema" xmlns:xs="http://www.w3.org/2001/XMLSchema" xmlns:p="http://schemas.microsoft.com/office/2006/metadata/properties" xmlns:ns2="56528f00-8daf-4285-8b2f-184ebce7f2e9" targetNamespace="http://schemas.microsoft.com/office/2006/metadata/properties" ma:root="true" ma:fieldsID="5b814f87d70368c36b985d9f62a71433" ns2:_="">
    <xsd:import namespace="56528f00-8daf-4285-8b2f-184ebce7f2e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6528f00-8daf-4285-8b2f-184ebce7f2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2d61bb93-c830-477f-800c-34a01ab1e79a"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56528f00-8daf-4285-8b2f-184ebce7f2e9">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0EFF826-2EF8-4A64-A822-C0246D0F06D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6528f00-8daf-4285-8b2f-184ebce7f2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C3D178F-0972-40B6-A2AC-EA36D3A03FFA}">
  <ds:schemaRefs>
    <ds:schemaRef ds:uri="http://www.w3.org/XML/1998/namespace"/>
    <ds:schemaRef ds:uri="http://purl.org/dc/elements/1.1/"/>
    <ds:schemaRef ds:uri="http://purl.org/dc/dcmitype/"/>
    <ds:schemaRef ds:uri="http://schemas.microsoft.com/office/2006/documentManagement/types"/>
    <ds:schemaRef ds:uri="http://schemas.microsoft.com/office/2006/metadata/properties"/>
    <ds:schemaRef ds:uri="http://schemas.microsoft.com/office/infopath/2007/PartnerControls"/>
    <ds:schemaRef ds:uri="http://purl.org/dc/terms/"/>
    <ds:schemaRef ds:uri="http://schemas.openxmlformats.org/package/2006/metadata/core-properties"/>
    <ds:schemaRef ds:uri="56528f00-8daf-4285-8b2f-184ebce7f2e9"/>
  </ds:schemaRefs>
</ds:datastoreItem>
</file>

<file path=customXml/itemProps3.xml><?xml version="1.0" encoding="utf-8"?>
<ds:datastoreItem xmlns:ds="http://schemas.openxmlformats.org/officeDocument/2006/customXml" ds:itemID="{3162FD9B-11EE-402C-9DDF-408FEDD00CF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21</vt:i4>
      </vt:variant>
    </vt:vector>
  </HeadingPairs>
  <TitlesOfParts>
    <vt:vector size="21" baseType="lpstr">
      <vt:lpstr>Analysis</vt:lpstr>
      <vt:lpstr>Excel Instruction</vt:lpstr>
      <vt:lpstr>Availability </vt:lpstr>
      <vt:lpstr>SMR (Main)</vt:lpstr>
      <vt:lpstr>Rentability</vt:lpstr>
      <vt:lpstr>Ecological Impact </vt:lpstr>
      <vt:lpstr>OPEX</vt:lpstr>
      <vt:lpstr>Production Efficiency</vt:lpstr>
      <vt:lpstr>Safety</vt:lpstr>
      <vt:lpstr>Footprint</vt:lpstr>
      <vt:lpstr>Scalability</vt:lpstr>
      <vt:lpstr>Technology Readiness</vt:lpstr>
      <vt:lpstr>Geopolitical Barriers</vt:lpstr>
      <vt:lpstr>Economic Lifetime</vt:lpstr>
      <vt:lpstr>ELECTROLYZER (Main)</vt:lpstr>
      <vt:lpstr>CAPEX</vt:lpstr>
      <vt:lpstr>Waste management and decomissio</vt:lpstr>
      <vt:lpstr>Electrolysis Technology</vt:lpstr>
      <vt:lpstr>Sources</vt:lpstr>
      <vt:lpstr>NRT (Old Not use)</vt:lpstr>
      <vt:lpstr>Excel Coupling Beta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Gourdès Matis</cp:lastModifiedBy>
  <cp:revision/>
  <dcterms:created xsi:type="dcterms:W3CDTF">2024-09-19T10:18:37Z</dcterms:created>
  <dcterms:modified xsi:type="dcterms:W3CDTF">2024-11-19T14:51:39Z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0x010100EF98156A4E08ED42B22DA6C86624442E</vt:lpwstr>
  </property>
  <property fmtid="{D5CDD505-2E9C-101B-9397-08002B2CF9AE}" pid="3" name="MediaServiceImageTags">
    <vt:lpwstr/>
  </property>
</Properties>
</file>