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it\Downloads\"/>
    </mc:Choice>
  </mc:AlternateContent>
  <xr:revisionPtr revIDLastSave="0" documentId="13_ncr:1_{B54C32C0-4E57-4340-831B-2E17354762C5}" xr6:coauthVersionLast="47" xr6:coauthVersionMax="47" xr10:uidLastSave="{00000000-0000-0000-0000-000000000000}"/>
  <bookViews>
    <workbookView minimized="1" xWindow="1860" yWindow="1570" windowWidth="12380" windowHeight="8970" firstSheet="4" activeTab="4" xr2:uid="{855607D7-A095-174A-9255-887F7F9ED796}"/>
  </bookViews>
  <sheets>
    <sheet name="correction" sheetId="1" r:id="rId1"/>
    <sheet name="chi" sheetId="10" r:id="rId2"/>
    <sheet name="NMRロス" sheetId="7" r:id="rId3"/>
    <sheet name="radiation loss fit" sheetId="3" r:id="rId4"/>
    <sheet name="Beam Intensity" sheetId="8" r:id="rId5"/>
    <sheet name="微分方程式計算確認" sheetId="15" r:id="rId6"/>
    <sheet name="Sheet2" sheetId="14" r:id="rId7"/>
    <sheet name="Sheet1" sheetId="13" r:id="rId8"/>
    <sheet name="ループ時間" sheetId="12" r:id="rId9"/>
    <sheet name="偏極度とビームの時間" sheetId="11" r:id="rId10"/>
    <sheet name="reverse_HIMAC" sheetId="4" r:id="rId11"/>
    <sheet name="reverse_HIMAC_1229" sheetId="6" r:id="rId12"/>
    <sheet name="reverse_RIKEN" sheetId="5" r:id="rId13"/>
    <sheet name="hirasawa_check" sheetId="2" r:id="rId1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1" i="8" l="1"/>
  <c r="S72" i="8"/>
  <c r="Y78" i="8"/>
  <c r="Y72" i="8"/>
  <c r="Y82" i="8"/>
  <c r="J31" i="8"/>
  <c r="J32" i="8"/>
  <c r="J33" i="8"/>
  <c r="J34" i="8"/>
  <c r="J35" i="8"/>
  <c r="J36" i="8"/>
  <c r="J37" i="8"/>
  <c r="J38" i="8"/>
  <c r="J39" i="8"/>
  <c r="J40" i="8"/>
  <c r="J41" i="8"/>
  <c r="J30" i="8"/>
  <c r="K36" i="8"/>
  <c r="K37" i="8"/>
  <c r="K38" i="8"/>
  <c r="K39" i="8"/>
  <c r="K40" i="8"/>
  <c r="K41" i="8"/>
  <c r="K31" i="8"/>
  <c r="K32" i="8"/>
  <c r="K33" i="8"/>
  <c r="K34" i="8"/>
  <c r="K35" i="8"/>
  <c r="K30" i="8"/>
  <c r="C23" i="1"/>
  <c r="F40" i="8" a="1"/>
  <c r="F40" i="8" s="1"/>
  <c r="L2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11" i="15"/>
  <c r="C104" i="15"/>
  <c r="C105" i="15"/>
  <c r="C106" i="15"/>
  <c r="C107" i="15"/>
  <c r="C108" i="15"/>
  <c r="C109" i="15"/>
  <c r="C110" i="15"/>
  <c r="C103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62" i="15"/>
  <c r="Q59" i="15"/>
  <c r="J7" i="15"/>
  <c r="J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6" i="15"/>
  <c r="F7" i="15"/>
  <c r="G7" i="15" s="1"/>
  <c r="F8" i="15" s="1"/>
  <c r="F21" i="8" a="1"/>
  <c r="F21" i="8" s="1"/>
  <c r="O92" i="8"/>
  <c r="C7" i="14"/>
  <c r="C8" i="14"/>
  <c r="C9" i="14"/>
  <c r="C6" i="14"/>
  <c r="C5" i="14"/>
  <c r="C4" i="14"/>
  <c r="E1" i="14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23" i="13"/>
  <c r="E14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23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" i="13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1" i="13"/>
  <c r="O19" i="12"/>
  <c r="H13" i="12"/>
  <c r="I13" i="12" s="1"/>
  <c r="H14" i="12"/>
  <c r="I14" i="12" s="1"/>
  <c r="H15" i="12"/>
  <c r="I15" i="12" s="1"/>
  <c r="H16" i="12"/>
  <c r="I16" i="12"/>
  <c r="H17" i="12"/>
  <c r="I17" i="12" s="1"/>
  <c r="H18" i="12"/>
  <c r="I18" i="12"/>
  <c r="H19" i="12"/>
  <c r="I19" i="12" s="1"/>
  <c r="F13" i="12"/>
  <c r="H12" i="12"/>
  <c r="I12" i="12"/>
  <c r="F14" i="12"/>
  <c r="F12" i="12"/>
  <c r="H11" i="12"/>
  <c r="I11" i="12" s="1"/>
  <c r="I4" i="12"/>
  <c r="I5" i="12"/>
  <c r="I6" i="12"/>
  <c r="I7" i="12"/>
  <c r="I8" i="12"/>
  <c r="I9" i="12"/>
  <c r="I10" i="12"/>
  <c r="I3" i="12"/>
  <c r="H4" i="12"/>
  <c r="H5" i="12"/>
  <c r="H6" i="12"/>
  <c r="H7" i="12"/>
  <c r="H8" i="12"/>
  <c r="H9" i="12"/>
  <c r="H10" i="12"/>
  <c r="H3" i="12"/>
  <c r="F11" i="12"/>
  <c r="F4" i="12"/>
  <c r="F5" i="12"/>
  <c r="F6" i="12"/>
  <c r="F7" i="12"/>
  <c r="F8" i="12"/>
  <c r="F9" i="12"/>
  <c r="F10" i="12"/>
  <c r="F3" i="12"/>
  <c r="M20" i="1"/>
  <c r="M21" i="1" s="1"/>
  <c r="K21" i="1"/>
  <c r="L21" i="1"/>
  <c r="O31" i="8" l="1"/>
  <c r="V78" i="8" s="1"/>
  <c r="O41" i="8" a="1"/>
  <c r="O41" i="8" s="1"/>
  <c r="V82" i="8" s="1"/>
  <c r="X82" i="8" s="1"/>
  <c r="G8" i="15"/>
  <c r="F2" i="11"/>
  <c r="F3" i="11"/>
  <c r="F4" i="11"/>
  <c r="F5" i="11"/>
  <c r="F6" i="11"/>
  <c r="F7" i="11"/>
  <c r="F8" i="11"/>
  <c r="F9" i="11"/>
  <c r="F1" i="11"/>
  <c r="T31" i="1"/>
  <c r="S31" i="1"/>
  <c r="T30" i="1"/>
  <c r="S30" i="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1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8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10" i="11"/>
  <c r="AF79" i="8"/>
  <c r="F9" i="15" l="1"/>
  <c r="J8" i="15"/>
  <c r="G9" i="15"/>
  <c r="AC80" i="8"/>
  <c r="AB90" i="8"/>
  <c r="AN95" i="8"/>
  <c r="AN96" i="8"/>
  <c r="AN97" i="8"/>
  <c r="AN98" i="8"/>
  <c r="AN99" i="8"/>
  <c r="AN94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66" i="8"/>
  <c r="G51" i="8"/>
  <c r="F51" i="8" a="1"/>
  <c r="F51" i="8" s="1"/>
  <c r="G38" i="8"/>
  <c r="G30" i="8"/>
  <c r="G31" i="8" s="1"/>
  <c r="G21" i="8"/>
  <c r="G154" i="8"/>
  <c r="G155" i="8"/>
  <c r="G153" i="8"/>
  <c r="AJ76" i="8"/>
  <c r="AJ77" i="8"/>
  <c r="AJ78" i="8"/>
  <c r="AJ79" i="8"/>
  <c r="AJ80" i="8"/>
  <c r="AJ81" i="8"/>
  <c r="AJ82" i="8"/>
  <c r="AJ83" i="8"/>
  <c r="AJ84" i="8"/>
  <c r="AJ85" i="8"/>
  <c r="AJ86" i="8"/>
  <c r="AJ87" i="8"/>
  <c r="AJ75" i="8"/>
  <c r="AA89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33" i="8"/>
  <c r="C134" i="8"/>
  <c r="C135" i="8"/>
  <c r="C136" i="8"/>
  <c r="C137" i="8"/>
  <c r="C138" i="8"/>
  <c r="C132" i="8"/>
  <c r="AF68" i="8"/>
  <c r="AF69" i="8"/>
  <c r="AF70" i="8"/>
  <c r="AF71" i="8"/>
  <c r="AF72" i="8"/>
  <c r="AF73" i="8"/>
  <c r="AF74" i="8"/>
  <c r="AF75" i="8"/>
  <c r="AF76" i="8"/>
  <c r="AF67" i="8"/>
  <c r="AA61" i="8"/>
  <c r="AF62" i="8"/>
  <c r="AF63" i="8"/>
  <c r="AF64" i="8"/>
  <c r="AA60" i="8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5" i="1"/>
  <c r="O88" i="8"/>
  <c r="F44" i="8"/>
  <c r="F41" i="8"/>
  <c r="E70" i="8"/>
  <c r="E72" i="8" s="1"/>
  <c r="F30" i="8" a="1"/>
  <c r="F30" i="8" s="1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17" i="8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9" i="3"/>
  <c r="J101" i="8"/>
  <c r="K101" i="8"/>
  <c r="J102" i="8"/>
  <c r="K102" i="8"/>
  <c r="J103" i="8"/>
  <c r="K103" i="8"/>
  <c r="J104" i="8"/>
  <c r="K104" i="8"/>
  <c r="J105" i="8"/>
  <c r="K105" i="8"/>
  <c r="J106" i="8"/>
  <c r="K106" i="8"/>
  <c r="J107" i="8"/>
  <c r="K107" i="8"/>
  <c r="J108" i="8"/>
  <c r="K108" i="8"/>
  <c r="J109" i="8"/>
  <c r="K109" i="8"/>
  <c r="J110" i="8"/>
  <c r="K110" i="8"/>
  <c r="J111" i="8"/>
  <c r="K111" i="8"/>
  <c r="J112" i="8"/>
  <c r="K112" i="8"/>
  <c r="J113" i="8"/>
  <c r="K113" i="8"/>
  <c r="J114" i="8"/>
  <c r="K114" i="8"/>
  <c r="J115" i="8"/>
  <c r="K115" i="8"/>
  <c r="J116" i="8"/>
  <c r="K116" i="8"/>
  <c r="J117" i="8"/>
  <c r="K117" i="8"/>
  <c r="J118" i="8"/>
  <c r="K118" i="8"/>
  <c r="J119" i="8"/>
  <c r="K119" i="8"/>
  <c r="K100" i="8"/>
  <c r="J100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99" i="8"/>
  <c r="N94" i="8"/>
  <c r="D130" i="8" l="1"/>
  <c r="F10" i="15"/>
  <c r="J9" i="15"/>
  <c r="G10" i="15"/>
  <c r="D139" i="8"/>
  <c r="P69" i="8"/>
  <c r="Q69" i="8" s="1"/>
  <c r="E69" i="8"/>
  <c r="F69" i="8" s="1"/>
  <c r="J120" i="8"/>
  <c r="D114" i="8"/>
  <c r="K120" i="8"/>
  <c r="F70" i="8"/>
  <c r="F72" i="8"/>
  <c r="E73" i="8"/>
  <c r="F11" i="15" l="1"/>
  <c r="J10" i="15"/>
  <c r="P70" i="8"/>
  <c r="F73" i="8"/>
  <c r="E75" i="8"/>
  <c r="E76" i="8" s="1"/>
  <c r="E78" i="8" s="1"/>
  <c r="G11" i="15" l="1"/>
  <c r="P71" i="8"/>
  <c r="Q70" i="8"/>
  <c r="F76" i="8"/>
  <c r="F78" i="8"/>
  <c r="F75" i="8"/>
  <c r="E81" i="8"/>
  <c r="F81" i="8" s="1"/>
  <c r="E84" i="8"/>
  <c r="E85" i="8" s="1"/>
  <c r="F12" i="15" l="1"/>
  <c r="J11" i="15"/>
  <c r="G12" i="15"/>
  <c r="P72" i="8"/>
  <c r="Q71" i="8"/>
  <c r="E79" i="8"/>
  <c r="F79" i="8" s="1"/>
  <c r="E87" i="8"/>
  <c r="E88" i="8" s="1"/>
  <c r="F88" i="8" s="1"/>
  <c r="E90" i="8"/>
  <c r="E91" i="8" s="1"/>
  <c r="E82" i="8"/>
  <c r="F82" i="8" s="1"/>
  <c r="F84" i="8"/>
  <c r="F13" i="15" l="1"/>
  <c r="J12" i="15"/>
  <c r="G13" i="15"/>
  <c r="P73" i="8"/>
  <c r="Q72" i="8"/>
  <c r="F87" i="8"/>
  <c r="F85" i="8"/>
  <c r="F14" i="15" l="1"/>
  <c r="J13" i="15"/>
  <c r="G14" i="15"/>
  <c r="P74" i="8"/>
  <c r="Q73" i="8"/>
  <c r="F90" i="8"/>
  <c r="F91" i="8"/>
  <c r="F15" i="15" l="1"/>
  <c r="J14" i="15"/>
  <c r="G15" i="15"/>
  <c r="P75" i="8"/>
  <c r="Q74" i="8"/>
  <c r="T20" i="1"/>
  <c r="F16" i="15" l="1"/>
  <c r="J15" i="15"/>
  <c r="G16" i="15"/>
  <c r="P76" i="8"/>
  <c r="Q75" i="8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15" i="10"/>
  <c r="S38" i="1"/>
  <c r="S39" i="1"/>
  <c r="S37" i="1"/>
  <c r="M32" i="1"/>
  <c r="M31" i="1"/>
  <c r="K20" i="1"/>
  <c r="A7" i="7"/>
  <c r="D7" i="7" s="1"/>
  <c r="F64" i="8" a="1"/>
  <c r="F64" i="8" s="1"/>
  <c r="M13" i="1"/>
  <c r="N13" i="1" s="1"/>
  <c r="M5" i="1"/>
  <c r="M6" i="1"/>
  <c r="M7" i="1"/>
  <c r="M8" i="1"/>
  <c r="M9" i="1"/>
  <c r="M10" i="1"/>
  <c r="M4" i="1"/>
  <c r="N4" i="1" s="1"/>
  <c r="N5" i="1" s="1"/>
  <c r="N6" i="1" s="1"/>
  <c r="N7" i="1" s="1"/>
  <c r="N8" i="1" s="1"/>
  <c r="N9" i="1" s="1"/>
  <c r="N10" i="1" s="1"/>
  <c r="F17" i="15" l="1"/>
  <c r="J16" i="15"/>
  <c r="G17" i="15"/>
  <c r="P77" i="8"/>
  <c r="Q76" i="8"/>
  <c r="N3" i="3"/>
  <c r="B7" i="7"/>
  <c r="D8" i="7"/>
  <c r="D9" i="7"/>
  <c r="D10" i="7"/>
  <c r="D11" i="7"/>
  <c r="D12" i="7"/>
  <c r="D13" i="7"/>
  <c r="D14" i="7"/>
  <c r="D15" i="7"/>
  <c r="D16" i="7"/>
  <c r="D6" i="7"/>
  <c r="B6" i="7"/>
  <c r="E21" i="7"/>
  <c r="E24" i="7" s="1"/>
  <c r="D21" i="7"/>
  <c r="D24" i="7" s="1"/>
  <c r="P5" i="7"/>
  <c r="Q5" i="7" s="1"/>
  <c r="P6" i="7"/>
  <c r="Q6" i="7" s="1"/>
  <c r="P7" i="7"/>
  <c r="Q7" i="7" s="1"/>
  <c r="P8" i="7"/>
  <c r="Q8" i="7" s="1"/>
  <c r="P9" i="7"/>
  <c r="Q9" i="7" s="1"/>
  <c r="P10" i="7"/>
  <c r="Q10" i="7" s="1"/>
  <c r="P11" i="7"/>
  <c r="Q11" i="7" s="1"/>
  <c r="P12" i="7"/>
  <c r="Q12" i="7" s="1"/>
  <c r="P13" i="7"/>
  <c r="Q13" i="7"/>
  <c r="P14" i="7"/>
  <c r="Q14" i="7" s="1"/>
  <c r="P15" i="7"/>
  <c r="Q15" i="7"/>
  <c r="P16" i="7"/>
  <c r="Q16" i="7" s="1"/>
  <c r="P17" i="7"/>
  <c r="Q17" i="7" s="1"/>
  <c r="P18" i="7"/>
  <c r="Q18" i="7" s="1"/>
  <c r="P19" i="7"/>
  <c r="Q19" i="7"/>
  <c r="P20" i="7"/>
  <c r="Q20" i="7" s="1"/>
  <c r="P21" i="7"/>
  <c r="Q21" i="7"/>
  <c r="P22" i="7"/>
  <c r="Q22" i="7" s="1"/>
  <c r="P23" i="7"/>
  <c r="Q23" i="7" s="1"/>
  <c r="P24" i="7"/>
  <c r="Q24" i="7" s="1"/>
  <c r="P25" i="7"/>
  <c r="Q25" i="7" s="1"/>
  <c r="P26" i="7"/>
  <c r="Q26" i="7" s="1"/>
  <c r="P27" i="7"/>
  <c r="Q27" i="7"/>
  <c r="P28" i="7"/>
  <c r="Q28" i="7" s="1"/>
  <c r="P29" i="7"/>
  <c r="Q29" i="7" s="1"/>
  <c r="P30" i="7"/>
  <c r="Q30" i="7" s="1"/>
  <c r="P31" i="7"/>
  <c r="Q31" i="7" s="1"/>
  <c r="P32" i="7"/>
  <c r="Q32" i="7" s="1"/>
  <c r="P33" i="7"/>
  <c r="Q33" i="7" s="1"/>
  <c r="P34" i="7"/>
  <c r="Q34" i="7" s="1"/>
  <c r="P35" i="7"/>
  <c r="Q35" i="7" s="1"/>
  <c r="P36" i="7"/>
  <c r="Q36" i="7" s="1"/>
  <c r="P37" i="7"/>
  <c r="Q37" i="7" s="1"/>
  <c r="P38" i="7"/>
  <c r="Q38" i="7" s="1"/>
  <c r="P39" i="7"/>
  <c r="Q39" i="7"/>
  <c r="P40" i="7"/>
  <c r="Q40" i="7" s="1"/>
  <c r="P41" i="7"/>
  <c r="Q41" i="7" s="1"/>
  <c r="P42" i="7"/>
  <c r="Q42" i="7" s="1"/>
  <c r="P43" i="7"/>
  <c r="Q43" i="7" s="1"/>
  <c r="P44" i="7"/>
  <c r="Q44" i="7" s="1"/>
  <c r="P45" i="7"/>
  <c r="Q45" i="7"/>
  <c r="P46" i="7"/>
  <c r="Q46" i="7" s="1"/>
  <c r="P47" i="7"/>
  <c r="Q47" i="7"/>
  <c r="P48" i="7"/>
  <c r="Q48" i="7" s="1"/>
  <c r="P49" i="7"/>
  <c r="Q49" i="7" s="1"/>
  <c r="P50" i="7"/>
  <c r="Q50" i="7" s="1"/>
  <c r="P51" i="7"/>
  <c r="Q51" i="7"/>
  <c r="P52" i="7"/>
  <c r="Q52" i="7" s="1"/>
  <c r="P53" i="7"/>
  <c r="Q53" i="7"/>
  <c r="P54" i="7"/>
  <c r="Q54" i="7" s="1"/>
  <c r="P4" i="7"/>
  <c r="Q4" i="7" s="1"/>
  <c r="B8" i="7"/>
  <c r="B9" i="7"/>
  <c r="B10" i="7"/>
  <c r="B11" i="7"/>
  <c r="B12" i="7"/>
  <c r="B13" i="7"/>
  <c r="B14" i="7"/>
  <c r="B15" i="7"/>
  <c r="B16" i="7"/>
  <c r="C60" i="7"/>
  <c r="D60" i="7" s="1"/>
  <c r="C59" i="7"/>
  <c r="D59" i="7" s="1"/>
  <c r="C58" i="7"/>
  <c r="D58" i="7" s="1"/>
  <c r="C57" i="7"/>
  <c r="D57" i="7" s="1"/>
  <c r="C56" i="7"/>
  <c r="D56" i="7" s="1"/>
  <c r="C55" i="7"/>
  <c r="D55" i="7" s="1"/>
  <c r="C54" i="7"/>
  <c r="D54" i="7" s="1"/>
  <c r="C53" i="7"/>
  <c r="D53" i="7" s="1"/>
  <c r="C52" i="7"/>
  <c r="D52" i="7" s="1"/>
  <c r="C51" i="7"/>
  <c r="D51" i="7" s="1"/>
  <c r="C50" i="7"/>
  <c r="D50" i="7" s="1"/>
  <c r="C49" i="7"/>
  <c r="D49" i="7" s="1"/>
  <c r="C48" i="7"/>
  <c r="D48" i="7" s="1"/>
  <c r="C47" i="7"/>
  <c r="D47" i="7" s="1"/>
  <c r="C46" i="7"/>
  <c r="D46" i="7" s="1"/>
  <c r="C45" i="7"/>
  <c r="D45" i="7" s="1"/>
  <c r="C44" i="7"/>
  <c r="D44" i="7" s="1"/>
  <c r="C43" i="7"/>
  <c r="D43" i="7" s="1"/>
  <c r="C42" i="7"/>
  <c r="D42" i="7" s="1"/>
  <c r="C41" i="7"/>
  <c r="D41" i="7" s="1"/>
  <c r="C40" i="7"/>
  <c r="D40" i="7" s="1"/>
  <c r="C39" i="7"/>
  <c r="D39" i="7" s="1"/>
  <c r="C38" i="7"/>
  <c r="D38" i="7" s="1"/>
  <c r="C37" i="7"/>
  <c r="D37" i="7" s="1"/>
  <c r="C36" i="7"/>
  <c r="D36" i="7" s="1"/>
  <c r="C35" i="7"/>
  <c r="D35" i="7" s="1"/>
  <c r="C34" i="7"/>
  <c r="D34" i="7" s="1"/>
  <c r="C33" i="7"/>
  <c r="D33" i="7" s="1"/>
  <c r="C32" i="7"/>
  <c r="D32" i="7" s="1"/>
  <c r="C31" i="7"/>
  <c r="D31" i="7" s="1"/>
  <c r="C30" i="7"/>
  <c r="D30" i="7" s="1"/>
  <c r="C21" i="7"/>
  <c r="C25" i="7" s="1"/>
  <c r="F15" i="3"/>
  <c r="N8" i="3"/>
  <c r="N5" i="3"/>
  <c r="D21" i="6"/>
  <c r="E21" i="6"/>
  <c r="F21" i="6"/>
  <c r="C21" i="6"/>
  <c r="K23" i="5"/>
  <c r="F23" i="5"/>
  <c r="G23" i="5"/>
  <c r="H23" i="5"/>
  <c r="I23" i="5"/>
  <c r="L23" i="5"/>
  <c r="F21" i="5"/>
  <c r="G21" i="5"/>
  <c r="H21" i="5"/>
  <c r="I21" i="5"/>
  <c r="K21" i="5"/>
  <c r="L21" i="5"/>
  <c r="I4" i="4"/>
  <c r="H4" i="4"/>
  <c r="C9" i="4"/>
  <c r="H3" i="4"/>
  <c r="E3" i="4"/>
  <c r="I7" i="3"/>
  <c r="I8" i="3"/>
  <c r="E8" i="3"/>
  <c r="E7" i="3"/>
  <c r="I5" i="3"/>
  <c r="E5" i="3"/>
  <c r="I4" i="3"/>
  <c r="I3" i="3"/>
  <c r="I2" i="3"/>
  <c r="E3" i="3"/>
  <c r="E4" i="3"/>
  <c r="G43" i="1"/>
  <c r="F43" i="1"/>
  <c r="G35" i="1"/>
  <c r="G34" i="1"/>
  <c r="F35" i="1"/>
  <c r="F34" i="1"/>
  <c r="F36" i="1" s="1"/>
  <c r="F37" i="1" s="1"/>
  <c r="F38" i="1" s="1"/>
  <c r="F18" i="15" l="1"/>
  <c r="J17" i="15"/>
  <c r="G18" i="15"/>
  <c r="P78" i="8"/>
  <c r="S78" i="8" s="1"/>
  <c r="T78" i="8" s="1"/>
  <c r="Q77" i="8"/>
  <c r="G36" i="1"/>
  <c r="G37" i="1" s="1"/>
  <c r="G38" i="1" s="1"/>
  <c r="G39" i="1" s="1"/>
  <c r="N26" i="7"/>
  <c r="O26" i="7" s="1"/>
  <c r="N29" i="7"/>
  <c r="O29" i="7" s="1"/>
  <c r="N35" i="7"/>
  <c r="O35" i="7" s="1"/>
  <c r="N39" i="7"/>
  <c r="O39" i="7" s="1"/>
  <c r="N42" i="7"/>
  <c r="O42" i="7" s="1"/>
  <c r="N45" i="7"/>
  <c r="O45" i="7" s="1"/>
  <c r="N51" i="7"/>
  <c r="O51" i="7" s="1"/>
  <c r="N9" i="7"/>
  <c r="O9" i="7" s="1"/>
  <c r="N13" i="7"/>
  <c r="O13" i="7" s="1"/>
  <c r="N17" i="7"/>
  <c r="O17" i="7" s="1"/>
  <c r="N21" i="7"/>
  <c r="O21" i="7" s="1"/>
  <c r="N4" i="7"/>
  <c r="O4" i="7" s="1"/>
  <c r="N11" i="7"/>
  <c r="O11" i="7" s="1"/>
  <c r="N41" i="7"/>
  <c r="O41" i="7" s="1"/>
  <c r="N16" i="7"/>
  <c r="O16" i="7" s="1"/>
  <c r="N24" i="7"/>
  <c r="O24" i="7" s="1"/>
  <c r="N30" i="7"/>
  <c r="O30" i="7" s="1"/>
  <c r="N33" i="7"/>
  <c r="O33" i="7" s="1"/>
  <c r="N36" i="7"/>
  <c r="O36" i="7" s="1"/>
  <c r="N40" i="7"/>
  <c r="O40" i="7" s="1"/>
  <c r="N46" i="7"/>
  <c r="O46" i="7" s="1"/>
  <c r="N49" i="7"/>
  <c r="O49" i="7" s="1"/>
  <c r="N52" i="7"/>
  <c r="O52" i="7" s="1"/>
  <c r="N6" i="7"/>
  <c r="O6" i="7" s="1"/>
  <c r="N10" i="7"/>
  <c r="O10" i="7" s="1"/>
  <c r="N14" i="7"/>
  <c r="O14" i="7" s="1"/>
  <c r="N18" i="7"/>
  <c r="O18" i="7" s="1"/>
  <c r="N22" i="7"/>
  <c r="O22" i="7" s="1"/>
  <c r="N5" i="7"/>
  <c r="O5" i="7" s="1"/>
  <c r="N27" i="7"/>
  <c r="O27" i="7" s="1"/>
  <c r="N31" i="7"/>
  <c r="O31" i="7" s="1"/>
  <c r="N34" i="7"/>
  <c r="O34" i="7" s="1"/>
  <c r="N37" i="7"/>
  <c r="O37" i="7" s="1"/>
  <c r="N43" i="7"/>
  <c r="O43" i="7" s="1"/>
  <c r="N47" i="7"/>
  <c r="O47" i="7" s="1"/>
  <c r="N50" i="7"/>
  <c r="O50" i="7" s="1"/>
  <c r="N53" i="7"/>
  <c r="O53" i="7" s="1"/>
  <c r="N7" i="7"/>
  <c r="O7" i="7" s="1"/>
  <c r="N15" i="7"/>
  <c r="O15" i="7" s="1"/>
  <c r="N19" i="7"/>
  <c r="O19" i="7" s="1"/>
  <c r="N23" i="7"/>
  <c r="O23" i="7" s="1"/>
  <c r="N25" i="7"/>
  <c r="O25" i="7" s="1"/>
  <c r="N28" i="7"/>
  <c r="O28" i="7" s="1"/>
  <c r="N32" i="7"/>
  <c r="O32" i="7" s="1"/>
  <c r="N38" i="7"/>
  <c r="O38" i="7" s="1"/>
  <c r="N44" i="7"/>
  <c r="O44" i="7" s="1"/>
  <c r="N48" i="7"/>
  <c r="O48" i="7" s="1"/>
  <c r="N54" i="7"/>
  <c r="O54" i="7" s="1"/>
  <c r="N8" i="7"/>
  <c r="O8" i="7" s="1"/>
  <c r="N12" i="7"/>
  <c r="O12" i="7" s="1"/>
  <c r="N20" i="7"/>
  <c r="O20" i="7" s="1"/>
  <c r="K15" i="7"/>
  <c r="D25" i="7"/>
  <c r="E25" i="7"/>
  <c r="C24" i="7"/>
  <c r="J5" i="3"/>
  <c r="J8" i="3"/>
  <c r="F39" i="1"/>
  <c r="F44" i="1" s="1"/>
  <c r="C27" i="1"/>
  <c r="C28" i="1"/>
  <c r="D9" i="1"/>
  <c r="D12" i="1"/>
  <c r="D5" i="1"/>
  <c r="D6" i="1"/>
  <c r="D7" i="1"/>
  <c r="D8" i="1"/>
  <c r="D4" i="1"/>
  <c r="F19" i="15" l="1"/>
  <c r="J18" i="15"/>
  <c r="G19" i="15"/>
  <c r="P79" i="8"/>
  <c r="Q78" i="8"/>
  <c r="G44" i="1"/>
  <c r="E5" i="1"/>
  <c r="E6" i="1" s="1"/>
  <c r="E7" i="1" s="1"/>
  <c r="E8" i="1" s="1"/>
  <c r="E9" i="1" s="1"/>
  <c r="C36" i="1"/>
  <c r="C37" i="1" s="1"/>
  <c r="C38" i="1" s="1"/>
  <c r="F20" i="15" l="1"/>
  <c r="J19" i="15"/>
  <c r="G20" i="15"/>
  <c r="P80" i="8"/>
  <c r="Q79" i="8"/>
  <c r="C18" i="1"/>
  <c r="E28" i="1" s="1"/>
  <c r="J3" i="3"/>
  <c r="E2" i="3"/>
  <c r="F21" i="15" l="1"/>
  <c r="J20" i="15"/>
  <c r="G21" i="15"/>
  <c r="P81" i="8"/>
  <c r="Q80" i="8"/>
  <c r="F22" i="15" l="1"/>
  <c r="J21" i="15"/>
  <c r="G22" i="15"/>
  <c r="P82" i="8"/>
  <c r="S82" i="8" s="1"/>
  <c r="T82" i="8" s="1"/>
  <c r="U82" i="8" s="1"/>
  <c r="Q81" i="8"/>
  <c r="F23" i="15" l="1"/>
  <c r="J22" i="15"/>
  <c r="G23" i="15"/>
  <c r="P83" i="8"/>
  <c r="Q82" i="8"/>
  <c r="F24" i="15" l="1"/>
  <c r="J23" i="15"/>
  <c r="G24" i="15"/>
  <c r="P84" i="8"/>
  <c r="Q83" i="8"/>
  <c r="F25" i="15" l="1"/>
  <c r="J24" i="15"/>
  <c r="G25" i="15"/>
  <c r="P85" i="8"/>
  <c r="Q84" i="8"/>
  <c r="F26" i="15" l="1"/>
  <c r="J25" i="15"/>
  <c r="G26" i="15"/>
  <c r="P86" i="8"/>
  <c r="Q86" i="8" s="1"/>
  <c r="Q85" i="8"/>
  <c r="F27" i="15" l="1"/>
  <c r="J26" i="15"/>
  <c r="G27" i="15"/>
  <c r="F28" i="15" l="1"/>
  <c r="J27" i="15"/>
  <c r="G28" i="15"/>
  <c r="F29" i="15" l="1"/>
  <c r="J28" i="15"/>
  <c r="G29" i="15"/>
  <c r="F30" i="15" l="1"/>
  <c r="J29" i="15"/>
  <c r="G30" i="15"/>
  <c r="F31" i="15" l="1"/>
  <c r="G31" i="15" s="1"/>
  <c r="J30" i="15"/>
  <c r="F32" i="15" l="1"/>
  <c r="J31" i="15"/>
  <c r="G32" i="15"/>
  <c r="F33" i="15" l="1"/>
  <c r="J32" i="15"/>
  <c r="G33" i="15"/>
  <c r="F34" i="15" l="1"/>
  <c r="J33" i="15"/>
  <c r="G34" i="15"/>
  <c r="F35" i="15" l="1"/>
  <c r="G35" i="15" s="1"/>
  <c r="J34" i="15"/>
  <c r="F36" i="15" l="1"/>
  <c r="J35" i="15"/>
  <c r="G36" i="15"/>
  <c r="F37" i="15" l="1"/>
  <c r="J36" i="15"/>
  <c r="G37" i="15"/>
  <c r="F38" i="15" l="1"/>
  <c r="J37" i="15"/>
  <c r="G38" i="15"/>
  <c r="F39" i="15" l="1"/>
  <c r="J38" i="15"/>
  <c r="G39" i="15"/>
  <c r="F40" i="15" l="1"/>
  <c r="J39" i="15"/>
  <c r="G40" i="15"/>
  <c r="F41" i="15" l="1"/>
  <c r="J40" i="15"/>
  <c r="G41" i="15"/>
  <c r="F42" i="15" l="1"/>
  <c r="J41" i="15"/>
  <c r="G42" i="15"/>
  <c r="F43" i="15" l="1"/>
  <c r="J42" i="15"/>
  <c r="G43" i="15"/>
  <c r="F44" i="15" l="1"/>
  <c r="J43" i="15"/>
  <c r="G44" i="15"/>
  <c r="F45" i="15" l="1"/>
  <c r="J44" i="15"/>
  <c r="G45" i="15"/>
  <c r="F46" i="15" l="1"/>
  <c r="J45" i="15"/>
  <c r="G46" i="15"/>
  <c r="F47" i="15" l="1"/>
  <c r="J46" i="15"/>
  <c r="G47" i="15"/>
  <c r="F48" i="15" l="1"/>
  <c r="J47" i="15"/>
  <c r="G48" i="15"/>
  <c r="F49" i="15" l="1"/>
  <c r="J48" i="15"/>
  <c r="G49" i="15"/>
  <c r="F50" i="15" l="1"/>
  <c r="J49" i="15"/>
  <c r="G50" i="15"/>
  <c r="F51" i="15" l="1"/>
  <c r="J50" i="15"/>
  <c r="G51" i="15"/>
  <c r="F52" i="15" l="1"/>
  <c r="J51" i="15"/>
  <c r="G52" i="15"/>
  <c r="F53" i="15" l="1"/>
  <c r="J52" i="15"/>
  <c r="G53" i="15"/>
  <c r="F54" i="15" l="1"/>
  <c r="J53" i="15"/>
  <c r="G54" i="15"/>
  <c r="F55" i="15" l="1"/>
  <c r="J54" i="15"/>
  <c r="G55" i="15"/>
  <c r="F56" i="15" l="1"/>
  <c r="J55" i="15"/>
  <c r="G56" i="15"/>
  <c r="F57" i="15" l="1"/>
  <c r="J56" i="15"/>
  <c r="G57" i="15"/>
  <c r="F58" i="15" l="1"/>
  <c r="J57" i="15"/>
  <c r="G58" i="15"/>
  <c r="F59" i="15" l="1"/>
  <c r="J58" i="15"/>
  <c r="G59" i="15"/>
  <c r="F60" i="15" l="1"/>
  <c r="J59" i="15"/>
  <c r="G60" i="15"/>
  <c r="F61" i="15" l="1"/>
  <c r="J60" i="15"/>
  <c r="G61" i="15"/>
  <c r="F62" i="15" l="1"/>
  <c r="G62" i="15" s="1"/>
  <c r="J61" i="15"/>
  <c r="F63" i="15" l="1"/>
  <c r="J62" i="15"/>
  <c r="G63" i="15"/>
  <c r="F64" i="15" l="1"/>
  <c r="J63" i="15"/>
  <c r="G64" i="15"/>
  <c r="F65" i="15" l="1"/>
  <c r="G65" i="15" s="1"/>
  <c r="J64" i="15"/>
  <c r="F66" i="15" l="1"/>
  <c r="G66" i="15" s="1"/>
  <c r="J65" i="15"/>
  <c r="F67" i="15" l="1"/>
  <c r="J66" i="15"/>
  <c r="G67" i="15"/>
  <c r="F68" i="15" l="1"/>
  <c r="J67" i="15"/>
  <c r="G68" i="15"/>
  <c r="F69" i="15" l="1"/>
  <c r="G69" i="15" s="1"/>
  <c r="J68" i="15"/>
  <c r="F70" i="15" l="1"/>
  <c r="J69" i="15"/>
  <c r="G70" i="15"/>
  <c r="F71" i="15" l="1"/>
  <c r="G71" i="15" s="1"/>
  <c r="J70" i="15"/>
  <c r="F72" i="15" l="1"/>
  <c r="J71" i="15"/>
  <c r="G72" i="15"/>
  <c r="F73" i="15" l="1"/>
  <c r="J72" i="15"/>
  <c r="G73" i="15"/>
  <c r="F74" i="15" l="1"/>
  <c r="J73" i="15"/>
  <c r="G74" i="15"/>
  <c r="F75" i="15" l="1"/>
  <c r="J74" i="15"/>
  <c r="G75" i="15"/>
  <c r="F76" i="15" l="1"/>
  <c r="G76" i="15" s="1"/>
  <c r="J75" i="15"/>
  <c r="F77" i="15" l="1"/>
  <c r="G77" i="15" s="1"/>
  <c r="J76" i="15"/>
  <c r="F78" i="15" l="1"/>
  <c r="G78" i="15" s="1"/>
  <c r="J77" i="15"/>
  <c r="F79" i="15" l="1"/>
  <c r="G79" i="15" s="1"/>
  <c r="J78" i="15"/>
  <c r="F80" i="15" l="1"/>
  <c r="G80" i="15" s="1"/>
  <c r="J79" i="15"/>
  <c r="F81" i="15" l="1"/>
  <c r="J80" i="15"/>
  <c r="G81" i="15"/>
  <c r="F82" i="15" l="1"/>
  <c r="J81" i="15"/>
  <c r="G82" i="15"/>
  <c r="F83" i="15" l="1"/>
  <c r="G83" i="15" s="1"/>
  <c r="J82" i="15"/>
  <c r="F84" i="15" l="1"/>
  <c r="G84" i="15" s="1"/>
  <c r="J83" i="15"/>
  <c r="F85" i="15" l="1"/>
  <c r="G85" i="15" s="1"/>
  <c r="J84" i="15"/>
  <c r="F86" i="15" l="1"/>
  <c r="G86" i="15" s="1"/>
  <c r="J85" i="15"/>
  <c r="F87" i="15" l="1"/>
  <c r="J86" i="15"/>
  <c r="G87" i="15"/>
  <c r="F88" i="15" l="1"/>
  <c r="J87" i="15"/>
  <c r="G88" i="15"/>
  <c r="F89" i="15" l="1"/>
  <c r="G89" i="15" s="1"/>
  <c r="J88" i="15"/>
  <c r="F90" i="15" l="1"/>
  <c r="J89" i="15"/>
  <c r="G90" i="15"/>
  <c r="F91" i="15" l="1"/>
  <c r="J90" i="15"/>
  <c r="G91" i="15"/>
  <c r="F92" i="15" l="1"/>
  <c r="J91" i="15"/>
  <c r="G92" i="15"/>
  <c r="F93" i="15" l="1"/>
  <c r="J92" i="15"/>
  <c r="G93" i="15"/>
  <c r="F94" i="15" l="1"/>
  <c r="J93" i="15"/>
  <c r="G94" i="15"/>
  <c r="F95" i="15" l="1"/>
  <c r="G95" i="15" s="1"/>
  <c r="J94" i="15"/>
  <c r="F96" i="15" l="1"/>
  <c r="J95" i="15"/>
  <c r="G96" i="15"/>
  <c r="F97" i="15" l="1"/>
  <c r="J96" i="15"/>
  <c r="G97" i="15"/>
  <c r="F98" i="15" l="1"/>
  <c r="J97" i="15"/>
  <c r="G98" i="15"/>
  <c r="F99" i="15" l="1"/>
  <c r="J98" i="15"/>
  <c r="G99" i="15"/>
  <c r="F100" i="15" l="1"/>
  <c r="J99" i="15"/>
  <c r="G100" i="15"/>
  <c r="F101" i="15" l="1"/>
  <c r="J100" i="15"/>
  <c r="G101" i="15"/>
  <c r="F102" i="15" l="1"/>
  <c r="G102" i="15" s="1"/>
  <c r="J101" i="15"/>
  <c r="F103" i="15" l="1"/>
  <c r="J102" i="15"/>
  <c r="G103" i="15"/>
  <c r="F104" i="15" l="1"/>
  <c r="G104" i="15" s="1"/>
  <c r="J103" i="15"/>
  <c r="F105" i="15" l="1"/>
  <c r="J104" i="15"/>
  <c r="G105" i="15"/>
  <c r="F106" i="15" l="1"/>
  <c r="J105" i="15"/>
  <c r="G106" i="15"/>
  <c r="F107" i="15" l="1"/>
  <c r="J106" i="15"/>
  <c r="G107" i="15"/>
  <c r="F108" i="15" l="1"/>
  <c r="G108" i="15" s="1"/>
  <c r="J107" i="15"/>
  <c r="F109" i="15" l="1"/>
  <c r="J108" i="15"/>
  <c r="G109" i="15"/>
  <c r="F110" i="15" l="1"/>
  <c r="G110" i="15" s="1"/>
  <c r="J109" i="15"/>
  <c r="F111" i="15" l="1"/>
  <c r="J110" i="15"/>
  <c r="G111" i="15"/>
  <c r="F112" i="15" l="1"/>
  <c r="G112" i="15" s="1"/>
  <c r="J111" i="15"/>
  <c r="F113" i="15" l="1"/>
  <c r="J112" i="15"/>
  <c r="G113" i="15"/>
  <c r="F114" i="15" l="1"/>
  <c r="J113" i="15"/>
  <c r="G114" i="15"/>
  <c r="F115" i="15" l="1"/>
  <c r="J114" i="15"/>
  <c r="G115" i="15"/>
  <c r="F116" i="15" l="1"/>
  <c r="G116" i="15" s="1"/>
  <c r="J115" i="15"/>
  <c r="F117" i="15" l="1"/>
  <c r="G117" i="15" s="1"/>
  <c r="J116" i="15"/>
  <c r="F118" i="15" l="1"/>
  <c r="J117" i="15"/>
  <c r="G118" i="15"/>
  <c r="F119" i="15" l="1"/>
  <c r="G119" i="15" s="1"/>
  <c r="J118" i="15"/>
  <c r="F120" i="15" l="1"/>
  <c r="G120" i="15" s="1"/>
  <c r="J119" i="15"/>
  <c r="F121" i="15" l="1"/>
  <c r="J120" i="15"/>
  <c r="G121" i="15"/>
  <c r="F122" i="15" l="1"/>
  <c r="G122" i="15" s="1"/>
  <c r="J121" i="15"/>
  <c r="F123" i="15" l="1"/>
  <c r="G123" i="15" s="1"/>
  <c r="J122" i="15"/>
  <c r="F124" i="15" l="1"/>
  <c r="G124" i="15" s="1"/>
  <c r="J123" i="15"/>
  <c r="F125" i="15" l="1"/>
  <c r="G125" i="15" s="1"/>
  <c r="J124" i="15"/>
  <c r="F126" i="15" l="1"/>
  <c r="J125" i="15"/>
  <c r="G126" i="15"/>
  <c r="F127" i="15" l="1"/>
  <c r="G127" i="15" s="1"/>
  <c r="J126" i="15"/>
  <c r="F128" i="15" l="1"/>
  <c r="G128" i="15" s="1"/>
  <c r="J127" i="15"/>
  <c r="F129" i="15" l="1"/>
  <c r="G129" i="15" s="1"/>
  <c r="J128" i="15"/>
  <c r="F130" i="15" l="1"/>
  <c r="G130" i="15" s="1"/>
  <c r="J129" i="15"/>
  <c r="F131" i="15" l="1"/>
  <c r="G131" i="15" s="1"/>
  <c r="J130" i="15"/>
  <c r="F132" i="15" l="1"/>
  <c r="J131" i="15"/>
  <c r="G132" i="15"/>
  <c r="F133" i="15" l="1"/>
  <c r="G133" i="15" s="1"/>
  <c r="J133" i="15" s="1"/>
  <c r="J132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<sst xmlns="http://schemas.openxmlformats.org/spreadsheetml/2006/main" count="483" uniqueCount="308">
  <si>
    <t>file</t>
    <phoneticPr fontId="1"/>
  </si>
  <si>
    <t>start</t>
    <phoneticPr fontId="1"/>
  </si>
  <si>
    <t>finish</t>
    <phoneticPr fontId="1"/>
  </si>
  <si>
    <t>20_640</t>
    <phoneticPr fontId="1"/>
  </si>
  <si>
    <t>740_1200</t>
    <phoneticPr fontId="1"/>
  </si>
  <si>
    <t>1440_1520</t>
    <phoneticPr fontId="1"/>
  </si>
  <si>
    <t>1300_1420</t>
    <phoneticPr fontId="1"/>
  </si>
  <si>
    <t>1540_1720</t>
    <phoneticPr fontId="1"/>
  </si>
  <si>
    <t>1760_3160</t>
    <phoneticPr fontId="1"/>
  </si>
  <si>
    <t>3200_4100</t>
    <phoneticPr fontId="1"/>
  </si>
  <si>
    <t>4140_4540</t>
    <phoneticPr fontId="1"/>
  </si>
  <si>
    <t>reverse</t>
    <phoneticPr fontId="1"/>
  </si>
  <si>
    <t>4580_5180</t>
    <phoneticPr fontId="1"/>
  </si>
  <si>
    <t>unpol</t>
    <phoneticPr fontId="1"/>
  </si>
  <si>
    <t>5220_5520</t>
    <phoneticPr fontId="1"/>
  </si>
  <si>
    <t>ビームが標的に当たり始めたのが36.5h</t>
    <rPh sb="4" eb="6">
      <t xml:space="preserve">ヒョウテキニ </t>
    </rPh>
    <rPh sb="7" eb="8">
      <t xml:space="preserve">アタリハジメタノガ </t>
    </rPh>
    <phoneticPr fontId="1"/>
  </si>
  <si>
    <t>2190min</t>
    <phoneticPr fontId="1"/>
  </si>
  <si>
    <t>補正</t>
    <rPh sb="0" eb="2">
      <t xml:space="preserve">ホセイ </t>
    </rPh>
    <phoneticPr fontId="1"/>
  </si>
  <si>
    <t>3kHz</t>
    <phoneticPr fontId="1"/>
  </si>
  <si>
    <t>TD</t>
  </si>
  <si>
    <t>TD</t>
    <phoneticPr fontId="1"/>
  </si>
  <si>
    <t>TB</t>
    <phoneticPr fontId="1"/>
  </si>
  <si>
    <t>T1laser</t>
    <phoneticPr fontId="1"/>
  </si>
  <si>
    <t>Pe</t>
    <phoneticPr fontId="1"/>
  </si>
  <si>
    <t>t</t>
    <phoneticPr fontId="1"/>
  </si>
  <si>
    <t>P</t>
    <phoneticPr fontId="1"/>
  </si>
  <si>
    <t>1.5kHz</t>
    <phoneticPr fontId="1"/>
  </si>
  <si>
    <t>a</t>
    <phoneticPr fontId="1"/>
  </si>
  <si>
    <t>b</t>
    <phoneticPr fontId="1"/>
  </si>
  <si>
    <t>誤差</t>
    <rPh sb="0" eb="2">
      <t xml:space="preserve">ゴサ </t>
    </rPh>
    <phoneticPr fontId="1"/>
  </si>
  <si>
    <t>TB</t>
  </si>
  <si>
    <t>TL</t>
  </si>
  <si>
    <t>TL</t>
    <phoneticPr fontId="1"/>
  </si>
  <si>
    <t>TB/TL</t>
  </si>
  <si>
    <t>TB/TL</t>
    <phoneticPr fontId="1"/>
  </si>
  <si>
    <t>1+TB/TL</t>
  </si>
  <si>
    <t>1+TB/TL</t>
    <phoneticPr fontId="1"/>
  </si>
  <si>
    <t>Pe/(1+TB/TL)</t>
    <phoneticPr fontId="1"/>
  </si>
  <si>
    <t>error</t>
  </si>
  <si>
    <t>error</t>
    <phoneticPr fontId="1"/>
  </si>
  <si>
    <t>value</t>
  </si>
  <si>
    <t>value</t>
    <phoneticPr fontId="1"/>
  </si>
  <si>
    <t>1/TD</t>
  </si>
  <si>
    <t>1/TD</t>
    <phoneticPr fontId="1"/>
  </si>
  <si>
    <t>1/TL</t>
  </si>
  <si>
    <t>1/TL</t>
    <phoneticPr fontId="1"/>
  </si>
  <si>
    <t>1/TD-1/TL</t>
  </si>
  <si>
    <t>1/TD-1/TL</t>
    <phoneticPr fontId="1"/>
  </si>
  <si>
    <t>3kHz S.I.</t>
  </si>
  <si>
    <t>3kHz S.I.</t>
    <phoneticPr fontId="1"/>
  </si>
  <si>
    <t>1.5kHz S.I.</t>
  </si>
  <si>
    <t>1.5kHz S.I.</t>
    <phoneticPr fontId="1"/>
  </si>
  <si>
    <t>1.5kHz P</t>
  </si>
  <si>
    <t>1.5kHz P</t>
    <phoneticPr fontId="1"/>
  </si>
  <si>
    <t>P=Pe/(1+TB/TL)</t>
  </si>
  <si>
    <t>P=Pe/(1+TB/TL)</t>
    <phoneticPr fontId="1"/>
  </si>
  <si>
    <t>buildup time [h]</t>
    <phoneticPr fontId="1"/>
  </si>
  <si>
    <t>buildup time [min]</t>
    <phoneticPr fontId="1"/>
  </si>
  <si>
    <t>corrected</t>
    <phoneticPr fontId="1"/>
  </si>
  <si>
    <t>S.I.</t>
    <phoneticPr fontId="1"/>
  </si>
  <si>
    <t>直前のNMR時刻</t>
    <rPh sb="0" eb="2">
      <t xml:space="preserve">チョクゼンオ </t>
    </rPh>
    <rPh sb="6" eb="8">
      <t xml:space="preserve">ジコク </t>
    </rPh>
    <phoneticPr fontId="1"/>
  </si>
  <si>
    <t>beam start</t>
    <phoneticPr fontId="1"/>
  </si>
  <si>
    <t>beam stop</t>
    <phoneticPr fontId="1"/>
  </si>
  <si>
    <t>ファイルごとの補正</t>
    <rPh sb="7" eb="9">
      <t xml:space="preserve">ホセイ </t>
    </rPh>
    <phoneticPr fontId="1"/>
  </si>
  <si>
    <t>参照ファイル</t>
    <rPh sb="0" eb="2">
      <t xml:space="preserve">サンショウファイル </t>
    </rPh>
    <phoneticPr fontId="1"/>
  </si>
  <si>
    <t>slope[/h]</t>
    <phoneticPr fontId="1"/>
  </si>
  <si>
    <t>spin reverse</t>
    <phoneticPr fontId="1"/>
  </si>
  <si>
    <t>fit result</t>
    <phoneticPr fontId="1"/>
  </si>
  <si>
    <t>1044         (7.438%)</t>
  </si>
  <si>
    <t>3119         (48.77%)</t>
  </si>
  <si>
    <t>1006         (14.22%)</t>
  </si>
  <si>
    <t>3200start</t>
    <phoneticPr fontId="1"/>
  </si>
  <si>
    <t>範囲</t>
    <rPh sb="0" eb="2">
      <t xml:space="preserve">ハンイ </t>
    </rPh>
    <phoneticPr fontId="1"/>
  </si>
  <si>
    <t>積分値</t>
    <rPh sb="0" eb="3">
      <t xml:space="preserve">セキブンチ </t>
    </rPh>
    <phoneticPr fontId="1"/>
  </si>
  <si>
    <t>inversuin9018090</t>
    <phoneticPr fontId="1"/>
  </si>
  <si>
    <t>-100.586-&gt;100.586</t>
    <phoneticPr fontId="1"/>
  </si>
  <si>
    <t>反転効率</t>
    <rPh sb="0" eb="4">
      <t xml:space="preserve">ハンテンコウリツ </t>
    </rPh>
    <phoneticPr fontId="1"/>
  </si>
  <si>
    <t>4140start</t>
    <phoneticPr fontId="1"/>
  </si>
  <si>
    <t>-100.586-&gt;100.587</t>
  </si>
  <si>
    <t>実験条件</t>
    <rPh sb="0" eb="4">
      <t xml:space="preserve">ジッケンジョウケン </t>
    </rPh>
    <phoneticPr fontId="1"/>
  </si>
  <si>
    <t>inversion</t>
    <phoneticPr fontId="1"/>
  </si>
  <si>
    <t>f1</t>
    <phoneticPr fontId="1"/>
  </si>
  <si>
    <t>f1offset</t>
    <phoneticPr fontId="1"/>
  </si>
  <si>
    <t>pw1</t>
    <phoneticPr fontId="1"/>
  </si>
  <si>
    <t>pw2</t>
    <phoneticPr fontId="1"/>
  </si>
  <si>
    <t>rd</t>
    <phoneticPr fontId="1"/>
  </si>
  <si>
    <t>ad</t>
    <phoneticPr fontId="1"/>
  </si>
  <si>
    <t>PD</t>
    <phoneticPr fontId="1"/>
  </si>
  <si>
    <t>NA</t>
    <phoneticPr fontId="1"/>
  </si>
  <si>
    <t>DW</t>
    <phoneticPr fontId="1"/>
  </si>
  <si>
    <t>AL</t>
    <phoneticPr fontId="1"/>
  </si>
  <si>
    <t>ND</t>
    <phoneticPr fontId="1"/>
  </si>
  <si>
    <t>tau</t>
    <phoneticPr fontId="1"/>
  </si>
  <si>
    <t>-</t>
    <phoneticPr fontId="1"/>
  </si>
  <si>
    <t>inversion_3</t>
  </si>
  <si>
    <t>inversion_4</t>
  </si>
  <si>
    <t>inversion_5</t>
  </si>
  <si>
    <t>inversion_6</t>
  </si>
  <si>
    <t>inversion_9</t>
  </si>
  <si>
    <t>c</t>
    <phoneticPr fontId="1"/>
  </si>
  <si>
    <t>to</t>
    <phoneticPr fontId="1"/>
  </si>
  <si>
    <t>inversion9018090 2</t>
  </si>
  <si>
    <t>inversion9018090</t>
    <phoneticPr fontId="1"/>
  </si>
  <si>
    <t>inversion_20us1,5kHz_1,5W_biuldup_PD20min</t>
  </si>
  <si>
    <t>int_100(410-616)</t>
    <phoneticPr fontId="1"/>
  </si>
  <si>
    <t>竹NMR操作</t>
    <rPh sb="0" eb="1">
      <t xml:space="preserve">タケ </t>
    </rPh>
    <rPh sb="4" eb="6">
      <t xml:space="preserve">ソウサス </t>
    </rPh>
    <phoneticPr fontId="1"/>
  </si>
  <si>
    <t>10cut</t>
    <phoneticPr fontId="1"/>
  </si>
  <si>
    <t>Abs</t>
    <phoneticPr fontId="1"/>
  </si>
  <si>
    <t>int_200(308-718)</t>
    <phoneticPr fontId="1"/>
  </si>
  <si>
    <t>opp</t>
    <phoneticPr fontId="1"/>
  </si>
  <si>
    <t>inversion_1(12/4)</t>
    <phoneticPr fontId="1"/>
  </si>
  <si>
    <t>inversion_2(12/5)</t>
    <phoneticPr fontId="1"/>
  </si>
  <si>
    <t>inversion_7</t>
    <phoneticPr fontId="1"/>
  </si>
  <si>
    <t>inversion_8(PC上では7と表記)</t>
    <rPh sb="14" eb="15">
      <t xml:space="preserve">ジョウ </t>
    </rPh>
    <rPh sb="19" eb="21">
      <t xml:space="preserve">ヒョウキ </t>
    </rPh>
    <phoneticPr fontId="1"/>
  </si>
  <si>
    <t>1_inversion9018090_n-p</t>
    <phoneticPr fontId="1"/>
  </si>
  <si>
    <t>2_inversion9018090_n-p</t>
    <phoneticPr fontId="1"/>
  </si>
  <si>
    <t>頂点から外れている</t>
    <rPh sb="0" eb="2">
      <t xml:space="preserve">チョウテンカラ </t>
    </rPh>
    <rPh sb="4" eb="5">
      <t xml:space="preserve">ハズレテイル </t>
    </rPh>
    <phoneticPr fontId="1"/>
  </si>
  <si>
    <t>調整の必要あり？</t>
    <rPh sb="0" eb="2">
      <t xml:space="preserve">チョウセイノヒツヨウアリ？ </t>
    </rPh>
    <phoneticPr fontId="1"/>
  </si>
  <si>
    <t>3_inversion9018090_n-p</t>
    <phoneticPr fontId="1"/>
  </si>
  <si>
    <t>4_inversion9018090_n-p</t>
    <phoneticPr fontId="1"/>
  </si>
  <si>
    <t>6_inversion9018090_n-p</t>
    <phoneticPr fontId="1"/>
  </si>
  <si>
    <t>1.5kHz発展後信号強度</t>
    <rPh sb="6" eb="9">
      <t xml:space="preserve">ハッテンゴ </t>
    </rPh>
    <rPh sb="9" eb="13">
      <t xml:space="preserve">シンゴウキョウド </t>
    </rPh>
    <phoneticPr fontId="1"/>
  </si>
  <si>
    <t>その時の偏極度</t>
    <rPh sb="4" eb="6">
      <t xml:space="preserve">ヘンキョクド </t>
    </rPh>
    <rPh sb="6" eb="7">
      <t>℃</t>
    </rPh>
    <phoneticPr fontId="1"/>
  </si>
  <si>
    <t>減偏極[%/h]</t>
    <rPh sb="0" eb="3">
      <t xml:space="preserve">ゲンヘンキョク </t>
    </rPh>
    <phoneticPr fontId="1"/>
  </si>
  <si>
    <t>1.5 kHzbuildup</t>
    <phoneticPr fontId="1"/>
  </si>
  <si>
    <t>信号強度</t>
    <rPh sb="0" eb="4">
      <t xml:space="preserve">シンゴウキョウド </t>
    </rPh>
    <phoneticPr fontId="1"/>
  </si>
  <si>
    <t>偏極度</t>
    <rPh sb="0" eb="3">
      <t xml:space="preserve">ヘンキョクド </t>
    </rPh>
    <phoneticPr fontId="1"/>
  </si>
  <si>
    <t>fit①</t>
    <phoneticPr fontId="1"/>
  </si>
  <si>
    <t>fit②</t>
    <phoneticPr fontId="1"/>
  </si>
  <si>
    <t>fit③</t>
    <phoneticPr fontId="1"/>
  </si>
  <si>
    <t>フリップ角</t>
    <rPh sb="4" eb="5">
      <t xml:space="preserve">カク </t>
    </rPh>
    <phoneticPr fontId="1"/>
  </si>
  <si>
    <t>NMR測定間隔</t>
    <rPh sb="3" eb="5">
      <t xml:space="preserve">ソクテイ </t>
    </rPh>
    <rPh sb="5" eb="7">
      <t xml:space="preserve">カンカク </t>
    </rPh>
    <phoneticPr fontId="1"/>
  </si>
  <si>
    <t>min</t>
    <phoneticPr fontId="1"/>
  </si>
  <si>
    <t>deg</t>
    <phoneticPr fontId="1"/>
  </si>
  <si>
    <t>time</t>
    <phoneticPr fontId="1"/>
  </si>
  <si>
    <t>b=TD</t>
    <phoneticPr fontId="1"/>
  </si>
  <si>
    <t>経過時間[min]</t>
    <rPh sb="0" eb="4">
      <t xml:space="preserve">ケイカジカン </t>
    </rPh>
    <phoneticPr fontId="1"/>
  </si>
  <si>
    <t>変化量</t>
    <rPh sb="0" eb="3">
      <t xml:space="preserve">ヘンカリョウ </t>
    </rPh>
    <phoneticPr fontId="1"/>
  </si>
  <si>
    <t>増加割合</t>
    <rPh sb="0" eb="2">
      <t xml:space="preserve">ゾウカ </t>
    </rPh>
    <rPh sb="2" eb="4">
      <t xml:space="preserve">ワリアイ </t>
    </rPh>
    <phoneticPr fontId="1"/>
  </si>
  <si>
    <t>減少割合</t>
    <rPh sb="0" eb="2">
      <t xml:space="preserve">ゲンショウ </t>
    </rPh>
    <rPh sb="2" eb="4">
      <t xml:space="preserve">ワリアイ </t>
    </rPh>
    <phoneticPr fontId="1"/>
  </si>
  <si>
    <t>１回のNMRによる信号減少は0.5%</t>
    <rPh sb="9" eb="13">
      <t xml:space="preserve">シンゴウゲンショウ </t>
    </rPh>
    <phoneticPr fontId="1"/>
  </si>
  <si>
    <t>buildup開始時</t>
    <rPh sb="7" eb="10">
      <t xml:space="preserve">カイシジ </t>
    </rPh>
    <phoneticPr fontId="1"/>
  </si>
  <si>
    <t>飽和している時、100%→99.5%になる</t>
    <rPh sb="0" eb="2">
      <t xml:space="preserve">ホウワ </t>
    </rPh>
    <phoneticPr fontId="1"/>
  </si>
  <si>
    <t>99.5%→100%に戻るのにかかる時間</t>
    <rPh sb="11" eb="12">
      <t xml:space="preserve">モドルノニカカルジカン </t>
    </rPh>
    <phoneticPr fontId="1"/>
  </si>
  <si>
    <t>buildupでcosを掛けると発展後にNMRによる減衰を考慮できない</t>
    <rPh sb="12" eb="13">
      <t xml:space="preserve">カケルト </t>
    </rPh>
    <rPh sb="16" eb="19">
      <t xml:space="preserve">ハッテンゴニ </t>
    </rPh>
    <rPh sb="26" eb="28">
      <t xml:space="preserve">ゲンスイヲ </t>
    </rPh>
    <rPh sb="29" eb="31">
      <t xml:space="preserve">コウリョデキナイ </t>
    </rPh>
    <phoneticPr fontId="1"/>
  </si>
  <si>
    <t>本来、発展のスピードは発展時間ではなく偏極度に依存しているが、フィッティングではそれを時間依存として表現している</t>
    <rPh sb="0" eb="2">
      <t xml:space="preserve">ホンライ、 </t>
    </rPh>
    <rPh sb="3" eb="5">
      <t xml:space="preserve">ハッテン </t>
    </rPh>
    <rPh sb="11" eb="15">
      <t xml:space="preserve">ハッテンジカンデハナク </t>
    </rPh>
    <rPh sb="19" eb="22">
      <t xml:space="preserve">ヘンキョクド </t>
    </rPh>
    <rPh sb="23" eb="25">
      <t xml:space="preserve">イゾンシテイル </t>
    </rPh>
    <rPh sb="43" eb="45">
      <t xml:space="preserve">ジカン </t>
    </rPh>
    <rPh sb="45" eb="47">
      <t xml:space="preserve">イゾン </t>
    </rPh>
    <rPh sb="50" eb="52">
      <t xml:space="preserve">ヒョウゲンシテイル </t>
    </rPh>
    <phoneticPr fontId="1"/>
  </si>
  <si>
    <t>だから、実際はNMRによって偏極度が下がれば発展スピードは上がるはず</t>
    <rPh sb="4" eb="6">
      <t xml:space="preserve">ジッサイハ </t>
    </rPh>
    <rPh sb="14" eb="16">
      <t xml:space="preserve">ヘンキョクド </t>
    </rPh>
    <rPh sb="16" eb="17">
      <t xml:space="preserve">ド </t>
    </rPh>
    <rPh sb="18" eb="19">
      <t xml:space="preserve">サガレバ </t>
    </rPh>
    <rPh sb="22" eb="24">
      <t xml:space="preserve">ハッテンスピードハ </t>
    </rPh>
    <rPh sb="29" eb="30">
      <t xml:space="preserve">アガルハズ </t>
    </rPh>
    <phoneticPr fontId="1"/>
  </si>
  <si>
    <t>time[h]</t>
    <phoneticPr fontId="1"/>
  </si>
  <si>
    <t>buildup</t>
    <phoneticPr fontId="1"/>
  </si>
  <si>
    <t>cos込み</t>
    <rPh sb="3" eb="4">
      <t xml:space="preserve">コミ </t>
    </rPh>
    <phoneticPr fontId="1"/>
  </si>
  <si>
    <t>cosなし</t>
    <phoneticPr fontId="1"/>
  </si>
  <si>
    <t>laser_relax</t>
    <phoneticPr fontId="1"/>
  </si>
  <si>
    <t>cosあり</t>
    <phoneticPr fontId="1"/>
  </si>
  <si>
    <t>緩和のみcosあり</t>
    <rPh sb="0" eb="2">
      <t xml:space="preserve">カンワ </t>
    </rPh>
    <phoneticPr fontId="1"/>
  </si>
  <si>
    <t>hirasawa</t>
    <phoneticPr fontId="1"/>
  </si>
  <si>
    <t>maruta</t>
    <phoneticPr fontId="1"/>
  </si>
  <si>
    <t>フリップ角確認→12degだった</t>
    <rPh sb="4" eb="5">
      <t xml:space="preserve">カク </t>
    </rPh>
    <rPh sb="5" eb="7">
      <t xml:space="preserve">カクニン </t>
    </rPh>
    <phoneticPr fontId="1"/>
  </si>
  <si>
    <t>漸化式？</t>
    <rPh sb="0" eb="3">
      <t xml:space="preserve">ゼンカシキ </t>
    </rPh>
    <phoneticPr fontId="1"/>
  </si>
  <si>
    <t>BC</t>
    <phoneticPr fontId="1"/>
  </si>
  <si>
    <t>data</t>
    <phoneticPr fontId="1"/>
  </si>
  <si>
    <t>duration</t>
    <phoneticPr fontId="1"/>
  </si>
  <si>
    <t>BI</t>
    <phoneticPr fontId="1"/>
  </si>
  <si>
    <t>ΔBI</t>
    <phoneticPr fontId="1"/>
  </si>
  <si>
    <t>average</t>
    <phoneticPr fontId="1"/>
  </si>
  <si>
    <t>43.6deg</t>
    <phoneticPr fontId="1"/>
  </si>
  <si>
    <t>int200</t>
    <phoneticPr fontId="1"/>
  </si>
  <si>
    <t>int100</t>
    <phoneticPr fontId="1"/>
  </si>
  <si>
    <t>correction</t>
    <phoneticPr fontId="1"/>
  </si>
  <si>
    <t>/(1.12858650514643E+0006*1.10E+00)</t>
  </si>
  <si>
    <t>1760ファイル中の最大値x補正値で規格化</t>
    <rPh sb="8" eb="9">
      <t xml:space="preserve">チュウノ </t>
    </rPh>
    <rPh sb="10" eb="13">
      <t xml:space="preserve">サイダイチ </t>
    </rPh>
    <rPh sb="14" eb="17">
      <t xml:space="preserve">ホセイチ </t>
    </rPh>
    <rPh sb="18" eb="21">
      <t xml:space="preserve">キカクカ </t>
    </rPh>
    <phoneticPr fontId="1"/>
  </si>
  <si>
    <t>/1.09114e+06*50.45709164</t>
    <phoneticPr fontId="1"/>
  </si>
  <si>
    <t>aと1.5kHz偏極度から％に変換</t>
    <rPh sb="8" eb="11">
      <t xml:space="preserve">ヘンキョクド </t>
    </rPh>
    <rPh sb="15" eb="17">
      <t xml:space="preserve">ヘンカン </t>
    </rPh>
    <phoneticPr fontId="1"/>
  </si>
  <si>
    <t>線形フィット</t>
    <rPh sb="0" eb="2">
      <t xml:space="preserve">センケイ </t>
    </rPh>
    <phoneticPr fontId="1"/>
  </si>
  <si>
    <t>slope</t>
    <phoneticPr fontId="1"/>
  </si>
  <si>
    <t>平均ビームレート[cps]</t>
    <rPh sb="0" eb="2">
      <t xml:space="preserve">ヘイキン </t>
    </rPh>
    <phoneticPr fontId="1"/>
  </si>
  <si>
    <t>Tr</t>
    <phoneticPr fontId="1"/>
  </si>
  <si>
    <t>Tr(TL含む)</t>
    <rPh sb="5" eb="6">
      <t xml:space="preserve">フクム </t>
    </rPh>
    <phoneticPr fontId="1"/>
  </si>
  <si>
    <t>Tr(TLなし)</t>
    <phoneticPr fontId="1"/>
  </si>
  <si>
    <t>TL含む</t>
    <rPh sb="2" eb="3">
      <t xml:space="preserve">フクム </t>
    </rPh>
    <phoneticPr fontId="1"/>
  </si>
  <si>
    <t>a = 0</t>
    <phoneticPr fontId="1"/>
  </si>
  <si>
    <t>chi</t>
    <phoneticPr fontId="1"/>
  </si>
  <si>
    <t>b=0</t>
    <phoneticPr fontId="1"/>
  </si>
  <si>
    <t>最大偏極度53.3%になるのは</t>
    <rPh sb="0" eb="5">
      <t xml:space="preserve">サイダイヘンキョクド </t>
    </rPh>
    <phoneticPr fontId="1"/>
  </si>
  <si>
    <t>h</t>
    <phoneticPr fontId="1"/>
  </si>
  <si>
    <t>=</t>
    <phoneticPr fontId="1"/>
  </si>
  <si>
    <t>#</t>
    <phoneticPr fontId="1"/>
  </si>
  <si>
    <t>減偏極</t>
    <rPh sb="0" eb="3">
      <t xml:space="preserve">ゲンヘンキョク </t>
    </rPh>
    <phoneticPr fontId="1"/>
  </si>
  <si>
    <t>P0</t>
    <phoneticPr fontId="1"/>
  </si>
  <si>
    <t>ビーム照射(2190)前10点くらいの平均</t>
    <rPh sb="11" eb="12">
      <t xml:space="preserve">マエ </t>
    </rPh>
    <rPh sb="14" eb="15">
      <t xml:space="preserve">テンクライノ </t>
    </rPh>
    <rPh sb="19" eb="21">
      <t xml:space="preserve">ヘイキン </t>
    </rPh>
    <phoneticPr fontId="1"/>
  </si>
  <si>
    <t>補正後偏極度</t>
    <rPh sb="0" eb="3">
      <t xml:space="preserve">ホセイゴ </t>
    </rPh>
    <rPh sb="3" eb="6">
      <t xml:space="preserve">ヘンキョクド </t>
    </rPh>
    <phoneticPr fontId="1"/>
  </si>
  <si>
    <t>=P0とする</t>
    <phoneticPr fontId="1"/>
  </si>
  <si>
    <t>0_0</t>
    <phoneticPr fontId="1"/>
  </si>
  <si>
    <t>end</t>
    <phoneticPr fontId="1"/>
  </si>
  <si>
    <t>run1</t>
    <phoneticPr fontId="1"/>
  </si>
  <si>
    <t>run2</t>
    <phoneticPr fontId="1"/>
  </si>
  <si>
    <t>run3</t>
    <phoneticPr fontId="1"/>
  </si>
  <si>
    <t>fit</t>
    <phoneticPr fontId="1"/>
  </si>
  <si>
    <t>beamtime_sum</t>
    <phoneticPr fontId="1"/>
  </si>
  <si>
    <t>2180-2640</t>
    <phoneticPr fontId="1"/>
  </si>
  <si>
    <t>3480-3620</t>
    <phoneticPr fontId="1"/>
  </si>
  <si>
    <t>3640-3660</t>
    <phoneticPr fontId="1"/>
  </si>
  <si>
    <t>3680-4020</t>
    <phoneticPr fontId="1"/>
  </si>
  <si>
    <t>4040-4080</t>
    <phoneticPr fontId="1"/>
  </si>
  <si>
    <t>4980-5160</t>
    <phoneticPr fontId="1"/>
  </si>
  <si>
    <t>4940-4960</t>
    <phoneticPr fontId="1"/>
  </si>
  <si>
    <t>2180-2640(12/26)</t>
  </si>
  <si>
    <t>3480-3620(12/27①)</t>
  </si>
  <si>
    <t>3680-4020(12/27③)</t>
  </si>
  <si>
    <t>4040-4080(12/27④)</t>
  </si>
  <si>
    <r>
      <t>4940-4960(12/28</t>
    </r>
    <r>
      <rPr>
        <sz val="18"/>
        <color rgb="FF000000"/>
        <rFont val="Arial"/>
        <family val="2"/>
      </rPr>
      <t>①</t>
    </r>
    <r>
      <rPr>
        <sz val="18"/>
        <color rgb="FF000000"/>
        <rFont val="游ゴシック"/>
        <family val="3"/>
        <charset val="128"/>
      </rPr>
      <t>)</t>
    </r>
  </si>
  <si>
    <t>4980-5160(12/28②)</t>
  </si>
  <si>
    <t>自由度2</t>
    <rPh sb="0" eb="3">
      <t xml:space="preserve">ジユウド </t>
    </rPh>
    <phoneticPr fontId="1"/>
  </si>
  <si>
    <t>inversion_wo</t>
    <phoneticPr fontId="1"/>
  </si>
  <si>
    <t>data1</t>
    <phoneticPr fontId="1"/>
  </si>
  <si>
    <t>data2</t>
    <phoneticPr fontId="1"/>
  </si>
  <si>
    <t>a/b</t>
    <phoneticPr fontId="1"/>
  </si>
  <si>
    <t>reduced chi</t>
    <phoneticPr fontId="1"/>
  </si>
  <si>
    <t>静磁場強度</t>
    <rPh sb="0" eb="3">
      <t xml:space="preserve">セイジバ </t>
    </rPh>
    <rPh sb="3" eb="5">
      <t xml:space="preserve">キョウド </t>
    </rPh>
    <phoneticPr fontId="1"/>
  </si>
  <si>
    <t>結晶温度</t>
    <rPh sb="0" eb="4">
      <t xml:space="preserve">ケッショウオンド </t>
    </rPh>
    <phoneticPr fontId="1"/>
  </si>
  <si>
    <t>299.7 mT</t>
    <phoneticPr fontId="1"/>
  </si>
  <si>
    <t>300 W</t>
    <phoneticPr fontId="1"/>
  </si>
  <si>
    <t>4 Vpp</t>
    <phoneticPr fontId="1"/>
  </si>
  <si>
    <t>321 us</t>
    <phoneticPr fontId="1"/>
  </si>
  <si>
    <t>1.5 kHz</t>
    <phoneticPr fontId="1"/>
  </si>
  <si>
    <t>~ -130 ℃</t>
    <phoneticPr fontId="1"/>
  </si>
  <si>
    <t>556 nm</t>
    <phoneticPr fontId="1"/>
  </si>
  <si>
    <t>マイクロ波</t>
    <phoneticPr fontId="1"/>
  </si>
  <si>
    <t>周波数</t>
    <rPh sb="0" eb="3">
      <t xml:space="preserve">シュウハスウ </t>
    </rPh>
    <phoneticPr fontId="1"/>
  </si>
  <si>
    <t>強度</t>
    <rPh sb="0" eb="2">
      <t xml:space="preserve">キョウド </t>
    </rPh>
    <phoneticPr fontId="1"/>
  </si>
  <si>
    <t>磁場挿引</t>
    <rPh sb="0" eb="4">
      <t xml:space="preserve">ジバソウイン </t>
    </rPh>
    <phoneticPr fontId="1"/>
  </si>
  <si>
    <t>強度</t>
    <rPh sb="0" eb="1">
      <t xml:space="preserve">キョウド </t>
    </rPh>
    <phoneticPr fontId="1"/>
  </si>
  <si>
    <t>タイミング</t>
    <phoneticPr fontId="1"/>
  </si>
  <si>
    <t>レーザ</t>
    <rPh sb="0" eb="1">
      <t>レーザ</t>
    </rPh>
    <phoneticPr fontId="1"/>
  </si>
  <si>
    <t>波長</t>
    <rPh sb="0" eb="2">
      <t xml:space="preserve">ハチョウ </t>
    </rPh>
    <phoneticPr fontId="1"/>
  </si>
  <si>
    <t>繰り返し周波数</t>
    <rPh sb="0" eb="1">
      <t xml:space="preserve">クリカエシシュウハスウ </t>
    </rPh>
    <phoneticPr fontId="1"/>
  </si>
  <si>
    <t>9175 MHz</t>
    <phoneticPr fontId="1"/>
  </si>
  <si>
    <t>陽子</t>
    <rPh sb="0" eb="2">
      <t xml:space="preserve">ヨウシ </t>
    </rPh>
    <phoneticPr fontId="1"/>
  </si>
  <si>
    <t>200 MeV</t>
    <phoneticPr fontId="1"/>
  </si>
  <si>
    <t>入射粒子</t>
    <rPh sb="0" eb="2">
      <t xml:space="preserve">ニュウシャ </t>
    </rPh>
    <rPh sb="2" eb="4">
      <t xml:space="preserve">リュウシ </t>
    </rPh>
    <phoneticPr fontId="1"/>
  </si>
  <si>
    <t>ビームエネルギー</t>
    <phoneticPr fontId="1"/>
  </si>
  <si>
    <t>ビーム強度</t>
    <rPh sb="3" eb="5">
      <t xml:space="preserve">キョウド </t>
    </rPh>
    <phoneticPr fontId="1"/>
  </si>
  <si>
    <t>照射時間</t>
    <rPh sb="0" eb="2">
      <t xml:space="preserve">ショウシャ </t>
    </rPh>
    <rPh sb="2" eb="4">
      <t xml:space="preserve">ジカン </t>
    </rPh>
    <phoneticPr fontId="1"/>
  </si>
  <si>
    <t>初日：パルスビームのトップが1E6くらい→平均1E5</t>
    <rPh sb="0" eb="2">
      <t xml:space="preserve">ショニチ </t>
    </rPh>
    <rPh sb="21" eb="23">
      <t xml:space="preserve">ヘイキン </t>
    </rPh>
    <phoneticPr fontId="1"/>
  </si>
  <si>
    <t>27は1E7くらい</t>
    <phoneticPr fontId="1"/>
  </si>
  <si>
    <t>BI 999倍はDAQがとっているレート</t>
    <rPh sb="6" eb="7">
      <t xml:space="preserve">バイ </t>
    </rPh>
    <phoneticPr fontId="1"/>
  </si>
  <si>
    <t>パルス間隔は3.3s</t>
    <rPh sb="3" eb="5">
      <t xml:space="preserve">カンカク </t>
    </rPh>
    <phoneticPr fontId="1"/>
  </si>
  <si>
    <t>×</t>
    <phoneticPr fontId="1"/>
  </si>
  <si>
    <t>マイクロ波周波数</t>
    <rPh sb="5" eb="8">
      <t xml:space="preserve">シュウハスウ </t>
    </rPh>
    <phoneticPr fontId="1"/>
  </si>
  <si>
    <t>レーザ波長</t>
    <rPh sb="3" eb="5">
      <t xml:space="preserve">ハチョウ </t>
    </rPh>
    <phoneticPr fontId="1"/>
  </si>
  <si>
    <t>max 1-2E6</t>
    <phoneticPr fontId="1"/>
  </si>
  <si>
    <t>lognote</t>
    <phoneticPr fontId="1"/>
  </si>
  <si>
    <t>range</t>
    <phoneticPr fontId="1"/>
  </si>
  <si>
    <t>cps</t>
    <phoneticPr fontId="1"/>
  </si>
  <si>
    <t>Beam counter</t>
    <phoneticPr fontId="1"/>
  </si>
  <si>
    <t>加速器上流</t>
    <rPh sb="0" eb="3">
      <t xml:space="preserve">カソクキ </t>
    </rPh>
    <rPh sb="3" eb="5">
      <t xml:space="preserve">ジョウリュウ </t>
    </rPh>
    <phoneticPr fontId="1"/>
  </si>
  <si>
    <t>9.34E6ppp</t>
    <phoneticPr fontId="1"/>
  </si>
  <si>
    <t>run</t>
    <phoneticPr fontId="1"/>
  </si>
  <si>
    <t>*1.10E+00/1.09114e+06*50.45709164</t>
    <phoneticPr fontId="1"/>
  </si>
  <si>
    <t>buildup1760min-1,5kHz_1.100.txt</t>
  </si>
  <si>
    <t>buildup3200min-1,5kHz_1.087.txt</t>
  </si>
  <si>
    <t>1.09E+00/1.09114e+06*50.45709164</t>
    <phoneticPr fontId="1"/>
  </si>
  <si>
    <t>偏極緩和時間が長い</t>
    <rPh sb="0" eb="4">
      <t xml:space="preserve">ヘンキョクカンワ </t>
    </rPh>
    <rPh sb="4" eb="6">
      <t xml:space="preserve">ジカンガ </t>
    </rPh>
    <rPh sb="7" eb="8">
      <t xml:space="preserve">ナガイ </t>
    </rPh>
    <phoneticPr fontId="1"/>
  </si>
  <si>
    <t>ナフタレン</t>
    <phoneticPr fontId="1"/>
  </si>
  <si>
    <t>単結晶の作りやすさ</t>
    <rPh sb="0" eb="3">
      <t xml:space="preserve">タンケッショウ </t>
    </rPh>
    <rPh sb="4" eb="5">
      <t xml:space="preserve">ツクリヤスサ </t>
    </rPh>
    <phoneticPr fontId="1"/>
  </si>
  <si>
    <t>ホストの基準</t>
    <rPh sb="4" eb="6">
      <t xml:space="preserve">キジュン </t>
    </rPh>
    <phoneticPr fontId="1"/>
  </si>
  <si>
    <t>ペンタセンの向きを揃えるため</t>
    <rPh sb="6" eb="7">
      <t xml:space="preserve">ムキヲ </t>
    </rPh>
    <rPh sb="9" eb="10">
      <t xml:space="preserve">ソロエルタメ </t>
    </rPh>
    <phoneticPr fontId="1"/>
  </si>
  <si>
    <t>ビーム照射に耐えられる</t>
    <rPh sb="6" eb="7">
      <t xml:space="preserve">タエラレル </t>
    </rPh>
    <phoneticPr fontId="1"/>
  </si>
  <si>
    <t>*1.01E+00/1.09114e+06*50.45709164</t>
    <phoneticPr fontId="1"/>
  </si>
  <si>
    <t>buildup1540min-1,5kHz_1.011.txt</t>
  </si>
  <si>
    <t>1.5kHzに変更</t>
    <rPh sb="7" eb="9">
      <t xml:space="preserve">ヘンコウ </t>
    </rPh>
    <phoneticPr fontId="1"/>
  </si>
  <si>
    <t>alpha</t>
    <phoneticPr fontId="1"/>
  </si>
  <si>
    <t>beta</t>
    <phoneticPr fontId="1"/>
  </si>
  <si>
    <t>sum</t>
    <phoneticPr fontId="1"/>
  </si>
  <si>
    <t>time[s]</t>
    <phoneticPr fontId="1"/>
  </si>
  <si>
    <t>偏極生成</t>
    <rPh sb="0" eb="4">
      <t xml:space="preserve">ヘンキョクセイセイ </t>
    </rPh>
    <phoneticPr fontId="1"/>
  </si>
  <si>
    <t>relax(fit)</t>
    <phoneticPr fontId="1"/>
  </si>
  <si>
    <t>buildup(fit)</t>
    <phoneticPr fontId="1"/>
  </si>
  <si>
    <t>time[min]</t>
    <phoneticPr fontId="1"/>
  </si>
  <si>
    <t>parameter</t>
    <phoneticPr fontId="1"/>
  </si>
  <si>
    <t>chi^2</t>
    <phoneticPr fontId="1"/>
  </si>
  <si>
    <t>reduced chi^2</t>
    <phoneticPr fontId="1"/>
  </si>
  <si>
    <t>time_2</t>
    <phoneticPr fontId="1"/>
  </si>
  <si>
    <t>I</t>
    <phoneticPr fontId="1"/>
  </si>
  <si>
    <t>dif</t>
    <phoneticPr fontId="1"/>
  </si>
  <si>
    <t>S</t>
    <phoneticPr fontId="1"/>
  </si>
  <si>
    <t>TD[h]</t>
    <phoneticPr fontId="1"/>
  </si>
  <si>
    <t>TL[h]</t>
    <phoneticPr fontId="1"/>
  </si>
  <si>
    <t>1001-1002</t>
    <phoneticPr fontId="1"/>
  </si>
  <si>
    <t>1003-1009</t>
    <phoneticPr fontId="1"/>
  </si>
  <si>
    <t>1010-1014</t>
    <phoneticPr fontId="1"/>
  </si>
  <si>
    <t>1015-1022</t>
    <phoneticPr fontId="1"/>
  </si>
  <si>
    <t>1024-1025</t>
    <phoneticPr fontId="1"/>
  </si>
  <si>
    <t>1029-1030</t>
    <phoneticPr fontId="1"/>
  </si>
  <si>
    <t>1031-1032</t>
    <phoneticPr fontId="1"/>
  </si>
  <si>
    <t>1033-1035</t>
    <phoneticPr fontId="1"/>
  </si>
  <si>
    <t>1036-1037</t>
    <phoneticPr fontId="1"/>
  </si>
  <si>
    <t>1038-1040</t>
    <phoneticPr fontId="1"/>
  </si>
  <si>
    <t>1046-1047</t>
    <phoneticPr fontId="1"/>
  </si>
  <si>
    <t>1050-1051</t>
    <phoneticPr fontId="1"/>
  </si>
  <si>
    <t>1053-1054</t>
    <phoneticPr fontId="1"/>
  </si>
  <si>
    <t>1056-1058</t>
    <phoneticPr fontId="1"/>
  </si>
  <si>
    <t>1061-1063</t>
    <phoneticPr fontId="1"/>
  </si>
  <si>
    <t>1064-1065</t>
    <phoneticPr fontId="1"/>
  </si>
  <si>
    <t>run4(p-terphenyl)</t>
    <phoneticPr fontId="1"/>
  </si>
  <si>
    <t>※1052~しかデータがないため1044-1051は含まず平均をとった</t>
    <rPh sb="26" eb="27">
      <t>フク</t>
    </rPh>
    <rPh sb="29" eb="31">
      <t>ヘイキン</t>
    </rPh>
    <phoneticPr fontId="1"/>
  </si>
  <si>
    <t>/run1</t>
    <phoneticPr fontId="1"/>
  </si>
  <si>
    <t>/run2</t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</si>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</sst>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%"/>
    <numFmt numFmtId="178" formatCode="0.000%"/>
    <numFmt numFmtId="179" formatCode="0.0"/>
    <numFmt numFmtId="180" formatCode="0.E+00"/>
    <numFmt numFmtId="181" formatCode="yyyy/m/d\ h:mm;@"/>
  </numFmts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rgb="FF000000"/>
      <name val="Menlo"/>
      <family val="2"/>
    </font>
    <font>
      <sz val="1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8"/>
      <color rgb="FF000000"/>
      <name val="游ゴシック"/>
      <family val="3"/>
      <charset val="128"/>
    </font>
    <font>
      <sz val="18"/>
      <color rgb="FF000000"/>
      <name val="Arial"/>
      <family val="2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178" fontId="0" fillId="0" borderId="0" xfId="1" applyNumberFormat="1" applyFont="1">
      <alignment vertical="center"/>
    </xf>
    <xf numFmtId="177" fontId="2" fillId="0" borderId="0" xfId="1" applyNumberFormat="1" applyFont="1">
      <alignment vertical="center"/>
    </xf>
    <xf numFmtId="11" fontId="3" fillId="0" borderId="0" xfId="0" applyNumberFormat="1" applyFont="1">
      <alignment vertical="center"/>
    </xf>
    <xf numFmtId="9" fontId="0" fillId="0" borderId="0" xfId="1" applyFont="1">
      <alignment vertical="center"/>
    </xf>
    <xf numFmtId="0" fontId="0" fillId="0" borderId="4" xfId="0" applyBorder="1">
      <alignment vertical="center"/>
    </xf>
    <xf numFmtId="177" fontId="0" fillId="0" borderId="2" xfId="1" applyNumberFormat="1" applyFont="1" applyBorder="1">
      <alignment vertical="center"/>
    </xf>
    <xf numFmtId="177" fontId="0" fillId="0" borderId="3" xfId="1" applyNumberFormat="1" applyFont="1" applyBorder="1">
      <alignment vertical="center"/>
    </xf>
    <xf numFmtId="177" fontId="0" fillId="0" borderId="0" xfId="1" applyNumberFormat="1" applyFont="1" applyBorder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56" fontId="0" fillId="0" borderId="8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2" fontId="5" fillId="0" borderId="0" xfId="0" applyNumberFormat="1" applyFont="1">
      <alignment vertical="center"/>
    </xf>
    <xf numFmtId="179" fontId="0" fillId="0" borderId="0" xfId="0" applyNumberFormat="1">
      <alignment vertical="center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13" xfId="0" applyBorder="1">
      <alignment vertical="center"/>
    </xf>
    <xf numFmtId="21" fontId="0" fillId="0" borderId="0" xfId="0" applyNumberFormat="1" applyAlignment="1"/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1" fontId="0" fillId="0" borderId="6" xfId="0" applyNumberFormat="1" applyBorder="1">
      <alignment vertical="center"/>
    </xf>
    <xf numFmtId="11" fontId="0" fillId="0" borderId="11" xfId="0" applyNumberFormat="1" applyBorder="1">
      <alignment vertical="center"/>
    </xf>
    <xf numFmtId="0" fontId="0" fillId="2" borderId="10" xfId="0" applyFill="1" applyBorder="1">
      <alignment vertical="center"/>
    </xf>
    <xf numFmtId="181" fontId="0" fillId="0" borderId="0" xfId="0" applyNumberFormat="1">
      <alignment vertical="center"/>
    </xf>
    <xf numFmtId="181" fontId="0" fillId="0" borderId="11" xfId="0" applyNumberFormat="1" applyBorder="1">
      <alignment vertical="center"/>
    </xf>
    <xf numFmtId="181" fontId="0" fillId="0" borderId="4" xfId="0" applyNumberFormat="1" applyBorder="1">
      <alignment vertical="center"/>
    </xf>
    <xf numFmtId="0" fontId="0" fillId="0" borderId="14" xfId="0" applyBorder="1">
      <alignment vertical="center"/>
    </xf>
    <xf numFmtId="181" fontId="0" fillId="0" borderId="14" xfId="0" applyNumberFormat="1" applyBorder="1">
      <alignment vertical="center"/>
    </xf>
    <xf numFmtId="22" fontId="0" fillId="0" borderId="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7" fillId="0" borderId="17" xfId="0" applyFont="1" applyBorder="1" applyAlignment="1">
      <alignment horizontal="left" vertical="center" wrapText="1" readingOrder="1"/>
    </xf>
    <xf numFmtId="20" fontId="0" fillId="0" borderId="0" xfId="0" applyNumberFormat="1">
      <alignment vertical="center"/>
    </xf>
    <xf numFmtId="0" fontId="0" fillId="3" borderId="0" xfId="0" applyFill="1">
      <alignment vertical="center"/>
    </xf>
    <xf numFmtId="0" fontId="9" fillId="0" borderId="0" xfId="0" applyFont="1">
      <alignment vertical="center"/>
    </xf>
    <xf numFmtId="179" fontId="9" fillId="0" borderId="0" xfId="0" applyNumberFormat="1" applyFont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2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NMRロス!$M$4:$M$54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NMRロス!$N$4:$N$54</c:f>
              <c:numCache>
                <c:formatCode>General</c:formatCode>
                <c:ptCount val="51"/>
                <c:pt idx="0">
                  <c:v>0</c:v>
                </c:pt>
                <c:pt idx="1">
                  <c:v>7.8330162894648753E-2</c:v>
                </c:pt>
                <c:pt idx="2">
                  <c:v>0.14324447069836158</c:v>
                </c:pt>
                <c:pt idx="3">
                  <c:v>0.19704069940406038</c:v>
                </c:pt>
                <c:pt idx="4">
                  <c:v>0.24162307763270613</c:v>
                </c:pt>
                <c:pt idx="5">
                  <c:v>0.27856969073816118</c:v>
                </c:pt>
                <c:pt idx="6">
                  <c:v>0.30918834039752563</c:v>
                </c:pt>
                <c:pt idx="7">
                  <c:v>0.3345628369525151</c:v>
                </c:pt>
                <c:pt idx="8">
                  <c:v>0.35559136311491074</c:v>
                </c:pt>
                <c:pt idx="9">
                  <c:v>0.37301826699866913</c:v>
                </c:pt>
                <c:pt idx="10">
                  <c:v>0.38746040985872554</c:v>
                </c:pt>
                <c:pt idx="11">
                  <c:v>0.39942900116912283</c:v>
                </c:pt>
                <c:pt idx="12">
                  <c:v>0.40934769393815124</c:v>
                </c:pt>
                <c:pt idx="13">
                  <c:v>0.41756758078155215</c:v>
                </c:pt>
                <c:pt idx="14">
                  <c:v>0.42437962157076731</c:v>
                </c:pt>
                <c:pt idx="15">
                  <c:v>0.4300249425585112</c:v>
                </c:pt>
                <c:pt idx="16">
                  <c:v>0.43470337154048649</c:v>
                </c:pt>
                <c:pt idx="17">
                  <c:v>0.43858051117291919</c:v>
                </c:pt>
                <c:pt idx="18">
                  <c:v>0.44179360082059693</c:v>
                </c:pt>
                <c:pt idx="19">
                  <c:v>0.44445637442762753</c:v>
                </c:pt>
                <c:pt idx="20">
                  <c:v>0.44666308636528645</c:v>
                </c:pt>
                <c:pt idx="21">
                  <c:v>0.44849184776015266</c:v>
                </c:pt>
                <c:pt idx="22">
                  <c:v>0.45000739139875789</c:v>
                </c:pt>
                <c:pt idx="23">
                  <c:v>0.45126336307825887</c:v>
                </c:pt>
                <c:pt idx="24">
                  <c:v>0.45230422051022318</c:v>
                </c:pt>
                <c:pt idx="25">
                  <c:v>0.45316680699314921</c:v>
                </c:pt>
                <c:pt idx="26">
                  <c:v>0.45388165555710908</c:v>
                </c:pt>
                <c:pt idx="27">
                  <c:v>0.45447406974340843</c:v>
                </c:pt>
                <c:pt idx="28">
                  <c:v>0.45496501927569072</c:v>
                </c:pt>
                <c:pt idx="29">
                  <c:v>0.45537188232661435</c:v>
                </c:pt>
                <c:pt idx="30">
                  <c:v>0.45570906065416533</c:v>
                </c:pt>
                <c:pt idx="31">
                  <c:v>0.45598848938162534</c:v>
                </c:pt>
                <c:pt idx="32">
                  <c:v>0.45622005946590988</c:v>
                </c:pt>
                <c:pt idx="33">
                  <c:v>0.45641196780841647</c:v>
                </c:pt>
                <c:pt idx="34">
                  <c:v>0.45657100740127837</c:v>
                </c:pt>
                <c:pt idx="35">
                  <c:v>0.45670280777935107</c:v>
                </c:pt>
                <c:pt idx="36">
                  <c:v>0.45681203428922529</c:v>
                </c:pt>
                <c:pt idx="37">
                  <c:v>0.45690255322880458</c:v>
                </c:pt>
                <c:pt idx="38">
                  <c:v>0.45697756870290518</c:v>
                </c:pt>
                <c:pt idx="39">
                  <c:v>0.45703973603916309</c:v>
                </c:pt>
                <c:pt idx="40">
                  <c:v>0.45709125577883997</c:v>
                </c:pt>
                <c:pt idx="41">
                  <c:v>0.45713395156952596</c:v>
                </c:pt>
                <c:pt idx="42">
                  <c:v>0.45716933471691262</c:v>
                </c:pt>
                <c:pt idx="43">
                  <c:v>0.45719865768057866</c:v>
                </c:pt>
                <c:pt idx="44">
                  <c:v>0.45722295840738419</c:v>
                </c:pt>
                <c:pt idx="45">
                  <c:v>0.45724309707174299</c:v>
                </c:pt>
                <c:pt idx="46">
                  <c:v>0.4572597865232727</c:v>
                </c:pt>
                <c:pt idx="47">
                  <c:v>0.45727361751957918</c:v>
                </c:pt>
                <c:pt idx="48">
                  <c:v>0.45728507963734177</c:v>
                </c:pt>
                <c:pt idx="49">
                  <c:v>0.45729457860189171</c:v>
                </c:pt>
                <c:pt idx="50">
                  <c:v>0.45730245064869751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9-0D4E-A5F8-1F1B3482EC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NMRロス!$M$4:$M$54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NMRロス!$O$4:$O$54</c:f>
              <c:numCache>
                <c:formatCode>General</c:formatCode>
                <c:ptCount val="51"/>
                <c:pt idx="0">
                  <c:v>0</c:v>
                </c:pt>
                <c:pt idx="1">
                  <c:v>7.7133326080807724E-2</c:v>
                </c:pt>
                <c:pt idx="2">
                  <c:v>0.13890053730975327</c:v>
                </c:pt>
                <c:pt idx="3">
                  <c:v>0.18814601683182333</c:v>
                </c:pt>
                <c:pt idx="4">
                  <c:v>0.22719068931458955</c:v>
                </c:pt>
                <c:pt idx="5">
                  <c:v>0.25792830780378045</c:v>
                </c:pt>
                <c:pt idx="6">
                  <c:v>0.28190402993362096</c:v>
                </c:pt>
                <c:pt idx="7">
                  <c:v>0.30037854111115997</c:v>
                </c:pt>
                <c:pt idx="8">
                  <c:v>0.31438038310163025</c:v>
                </c:pt>
                <c:pt idx="9">
                  <c:v>0.32474865746248582</c:v>
                </c:pt>
                <c:pt idx="10">
                  <c:v>0.33216787423508115</c:v>
                </c:pt>
                <c:pt idx="11">
                  <c:v>0.3371963906617006</c:v>
                </c:pt>
                <c:pt idx="12">
                  <c:v>0.34028961895140952</c:v>
                </c:pt>
                <c:pt idx="13">
                  <c:v>0.34181896525378946</c:v>
                </c:pt>
                <c:pt idx="14">
                  <c:v>0.34208728502429842</c:v>
                </c:pt>
                <c:pt idx="15">
                  <c:v>0.3413414955417346</c:v>
                </c:pt>
                <c:pt idx="16">
                  <c:v>0.33978286847960792</c:v>
                </c:pt>
                <c:pt idx="17">
                  <c:v>0.3375754292529447</c:v>
                </c:pt>
                <c:pt idx="18">
                  <c:v>0.33485281137276185</c:v>
                </c:pt>
                <c:pt idx="19">
                  <c:v>0.33172384998812349</c:v>
                </c:pt>
                <c:pt idx="20">
                  <c:v>0.32827714652487872</c:v>
                </c:pt>
                <c:pt idx="21">
                  <c:v>0.32458479367382487</c:v>
                </c:pt>
                <c:pt idx="22">
                  <c:v>0.32070541517071272</c:v>
                </c:pt>
                <c:pt idx="23">
                  <c:v>0.31668664640303529</c:v>
                </c:pt>
                <c:pt idx="24">
                  <c:v>0.31256715869622281</c:v>
                </c:pt>
                <c:pt idx="25">
                  <c:v>0.30837831121358855</c:v>
                </c:pt>
                <c:pt idx="26">
                  <c:v>0.30414549896585025</c:v>
                </c:pt>
                <c:pt idx="27">
                  <c:v>0.29988925282721662</c:v>
                </c:pt>
                <c:pt idx="28">
                  <c:v>0.29562613717357172</c:v>
                </c:pt>
                <c:pt idx="29">
                  <c:v>0.29136948236795818</c:v>
                </c:pt>
                <c:pt idx="30">
                  <c:v>0.28712998247151078</c:v>
                </c:pt>
                <c:pt idx="31">
                  <c:v>0.28291618297035598</c:v>
                </c:pt>
                <c:pt idx="32">
                  <c:v>0.27873487874912545</c:v>
                </c:pt>
                <c:pt idx="33">
                  <c:v>0.2745914388205854</c:v>
                </c:pt>
                <c:pt idx="34">
                  <c:v>0.27049007128418562</c:v>
                </c:pt>
                <c:pt idx="35">
                  <c:v>0.26643403950819777</c:v>
                </c:pt>
                <c:pt idx="36">
                  <c:v>0.26242583850778833</c:v>
                </c:pt>
                <c:pt idx="37">
                  <c:v>0.25846733884102951</c:v>
                </c:pt>
                <c:pt idx="38">
                  <c:v>0.25455990399806555</c:v>
                </c:pt>
                <c:pt idx="39">
                  <c:v>0.25070448615958524</c:v>
                </c:pt>
                <c:pt idx="40">
                  <c:v>0.24690170430384731</c:v>
                </c:pt>
                <c:pt idx="41">
                  <c:v>0.24315190790956892</c:v>
                </c:pt>
                <c:pt idx="42">
                  <c:v>0.23945522890468346</c:v>
                </c:pt>
                <c:pt idx="43">
                  <c:v>0.23581162402353473</c:v>
                </c:pt>
                <c:pt idx="44">
                  <c:v>0.2322209093372932</c:v>
                </c:pt>
                <c:pt idx="45">
                  <c:v>0.22868278839776354</c:v>
                </c:pt>
                <c:pt idx="46">
                  <c:v>0.22519687516984688</c:v>
                </c:pt>
                <c:pt idx="47">
                  <c:v>0.22176271271173981</c:v>
                </c:pt>
                <c:pt idx="48">
                  <c:v>0.21837978838553479</c:v>
                </c:pt>
                <c:pt idx="49">
                  <c:v>0.21504754623691913</c:v>
                </c:pt>
                <c:pt idx="50">
                  <c:v>0.21176539706518147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9-0D4E-A5F8-1F1B3482E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237839"/>
        <c:axId val="1436239567"/>
      </c:lineChart>
      <c:catAx>
        <c:axId val="143623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6239567"/>
        <c:crosses val="autoZero"/>
        <c:auto val="1"/>
        <c:lblAlgn val="ctr"/>
        <c:lblOffset val="100"/>
        <c:noMultiLvlLbl val="0"/>
      </c:catAx>
      <c:valAx>
        <c:axId val="143623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623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NMRロス!$M$4:$M$54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NMRロス!$P$4:$P$54</c:f>
              <c:numCache>
                <c:formatCode>General</c:formatCode>
                <c:ptCount val="51"/>
                <c:pt idx="0">
                  <c:v>1</c:v>
                </c:pt>
                <c:pt idx="1">
                  <c:v>0.91174029619906471</c:v>
                </c:pt>
                <c:pt idx="2">
                  <c:v>0.83127036771315821</c:v>
                </c:pt>
                <c:pt idx="3">
                  <c:v>0.7579026912803003</c:v>
                </c:pt>
                <c:pt idx="4">
                  <c:v>0.69101042423796921</c:v>
                </c:pt>
                <c:pt idx="5">
                  <c:v>0.63002204887136737</c:v>
                </c:pt>
                <c:pt idx="6">
                  <c:v>0.57441648944992219</c:v>
                </c:pt>
                <c:pt idx="7">
                  <c:v>0.52371866023269886</c:v>
                </c:pt>
                <c:pt idx="8">
                  <c:v>0.47749540640553817</c:v>
                </c:pt>
                <c:pt idx="9">
                  <c:v>0.43535180326987816</c:v>
                </c:pt>
                <c:pt idx="10">
                  <c:v>0.39692778206407564</c:v>
                </c:pt>
                <c:pt idx="11">
                  <c:v>0.36189505358873814</c:v>
                </c:pt>
                <c:pt idx="12">
                  <c:v>0.32995430335197251</c:v>
                </c:pt>
                <c:pt idx="13">
                  <c:v>0.30083263427028345</c:v>
                </c:pt>
                <c:pt idx="14">
                  <c:v>0.27428123507593311</c:v>
                </c:pt>
                <c:pt idx="15">
                  <c:v>0.25007325450997653</c:v>
                </c:pt>
                <c:pt idx="16">
                  <c:v>0.22800186313839008</c:v>
                </c:pt>
                <c:pt idx="17">
                  <c:v>0.20787848623173441</c:v>
                </c:pt>
                <c:pt idx="18">
                  <c:v>0.18953119261033469</c:v>
                </c:pt>
                <c:pt idx="19">
                  <c:v>0.17280322568950854</c:v>
                </c:pt>
                <c:pt idx="20">
                  <c:v>0.15755166417430633</c:v>
                </c:pt>
                <c:pt idx="21">
                  <c:v>0.14364620096093764</c:v>
                </c:pt>
                <c:pt idx="22">
                  <c:v>0.13096802981199562</c:v>
                </c:pt>
                <c:pt idx="23">
                  <c:v>0.11940883029339683</c:v>
                </c:pt>
                <c:pt idx="24">
                  <c:v>0.10886984230048551</c:v>
                </c:pt>
                <c:pt idx="25">
                  <c:v>9.9261022266190102E-2</c:v>
                </c:pt>
                <c:pt idx="26">
                  <c:v>9.0500273841998102E-2</c:v>
                </c:pt>
                <c:pt idx="27">
                  <c:v>8.2512746478799817E-2</c:v>
                </c:pt>
                <c:pt idx="28">
                  <c:v>7.5230195914779266E-2</c:v>
                </c:pt>
                <c:pt idx="29">
                  <c:v>6.8590401106454535E-2</c:v>
                </c:pt>
                <c:pt idx="30">
                  <c:v>6.2536632621211508E-2</c:v>
                </c:pt>
                <c:pt idx="31">
                  <c:v>5.7017167949355463E-2</c:v>
                </c:pt>
                <c:pt idx="32">
                  <c:v>5.1984849594577158E-2</c:v>
                </c:pt>
                <c:pt idx="33">
                  <c:v>4.7396682167223626E-2</c:v>
                </c:pt>
                <c:pt idx="34">
                  <c:v>4.3213465037997389E-2</c:v>
                </c:pt>
                <c:pt idx="35">
                  <c:v>3.9399457413531659E-2</c:v>
                </c:pt>
                <c:pt idx="36">
                  <c:v>3.5922072972295785E-2</c:v>
                </c:pt>
                <c:pt idx="37">
                  <c:v>3.2751601451845372E-2</c:v>
                </c:pt>
                <c:pt idx="38">
                  <c:v>2.9860954808699228E-2</c:v>
                </c:pt>
                <c:pt idx="39">
                  <c:v>2.7225435782070314E-2</c:v>
                </c:pt>
                <c:pt idx="40">
                  <c:v>2.48225268840934E-2</c:v>
                </c:pt>
                <c:pt idx="41">
                  <c:v>2.2631698013712561E-2</c:v>
                </c:pt>
                <c:pt idx="42">
                  <c:v>2.0634231050510082E-2</c:v>
                </c:pt>
                <c:pt idx="43">
                  <c:v>1.8813059929831996E-2</c:v>
                </c:pt>
                <c:pt idx="44">
                  <c:v>1.7152624832835778E-2</c:v>
                </c:pt>
                <c:pt idx="45">
                  <c:v>1.5638739245681123E-2</c:v>
                </c:pt>
                <c:pt idx="46">
                  <c:v>1.4258468752037243E-2</c:v>
                </c:pt>
                <c:pt idx="47">
                  <c:v>1.3000020523327542E-2</c:v>
                </c:pt>
                <c:pt idx="48">
                  <c:v>1.1852642562532583E-2</c:v>
                </c:pt>
                <c:pt idx="49">
                  <c:v>1.0806531840705097E-2</c:v>
                </c:pt>
                <c:pt idx="50">
                  <c:v>9.8527505413290879E-3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C-AD48-BD79-1E0ACA417D3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NMRロス!$M$4:$M$54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NMRロス!$Q$4:$Q$54</c:f>
              <c:numCache>
                <c:formatCode>General</c:formatCode>
                <c:ptCount val="51"/>
                <c:pt idx="0">
                  <c:v>1</c:v>
                </c:pt>
                <c:pt idx="1">
                  <c:v>0.89780946405435191</c:v>
                </c:pt>
                <c:pt idx="2">
                  <c:v>0.80606183374556273</c:v>
                </c:pt>
                <c:pt idx="3">
                  <c:v>0.72368994294977185</c:v>
                </c:pt>
                <c:pt idx="4">
                  <c:v>0.64973567982125913</c:v>
                </c:pt>
                <c:pt idx="5">
                  <c:v>0.5833388424773146</c:v>
                </c:pt>
                <c:pt idx="6">
                  <c:v>0.52372713352664391</c:v>
                </c:pt>
                <c:pt idx="7">
                  <c:v>0.4702071770622781</c:v>
                </c:pt>
                <c:pt idx="8">
                  <c:v>0.42215645363279369</c:v>
                </c:pt>
                <c:pt idx="9">
                  <c:v>0.37901605938314437</c:v>
                </c:pt>
                <c:pt idx="10">
                  <c:v>0.3402842051427733</c:v>
                </c:pt>
                <c:pt idx="11">
                  <c:v>0.30551037984539442</c:v>
                </c:pt>
                <c:pt idx="12">
                  <c:v>0.2742901103920351</c:v>
                </c:pt>
                <c:pt idx="13">
                  <c:v>0.24626025700648202</c:v>
                </c:pt>
                <c:pt idx="14">
                  <c:v>0.22109478936087659</c:v>
                </c:pt>
                <c:pt idx="15">
                  <c:v>0.19850099434129845</c:v>
                </c:pt>
                <c:pt idx="16">
                  <c:v>0.17821607134381709</c:v>
                </c:pt>
                <c:pt idx="17">
                  <c:v>0.16000407549906459</c:v>
                </c:pt>
                <c:pt idx="18">
                  <c:v>0.14365317327032723</c:v>
                </c:pt>
                <c:pt idx="19">
                  <c:v>0.12897317850353945</c:v>
                </c:pt>
                <c:pt idx="20">
                  <c:v>0.11579334026964902</c:v>
                </c:pt>
                <c:pt idx="21">
                  <c:v>0.10396035676855678</c:v>
                </c:pt>
                <c:pt idx="22">
                  <c:v>9.3336592193277182E-2</c:v>
                </c:pt>
                <c:pt idx="23">
                  <c:v>8.3798475813705794E-2</c:v>
                </c:pt>
                <c:pt idx="24">
                  <c:v>7.5235064658874806E-2</c:v>
                </c:pt>
                <c:pt idx="25">
                  <c:v>6.7546753079478883E-2</c:v>
                </c:pt>
                <c:pt idx="26">
                  <c:v>6.0644114180898573E-2</c:v>
                </c:pt>
                <c:pt idx="27">
                  <c:v>5.4446859650803474E-2</c:v>
                </c:pt>
                <c:pt idx="28">
                  <c:v>4.8882905882530379E-2</c:v>
                </c:pt>
                <c:pt idx="29">
                  <c:v>4.3887535531813938E-2</c:v>
                </c:pt>
                <c:pt idx="30">
                  <c:v>3.9402644754484205E-2</c:v>
                </c:pt>
                <c:pt idx="31">
                  <c:v>3.537606736934748E-2</c:v>
                </c:pt>
                <c:pt idx="32">
                  <c:v>3.1760968085224502E-2</c:v>
                </c:pt>
                <c:pt idx="33">
                  <c:v>2.8515297734442797E-2</c:v>
                </c:pt>
                <c:pt idx="34">
                  <c:v>2.560130417631036E-2</c:v>
                </c:pt>
                <c:pt idx="35">
                  <c:v>2.2985093181625643E-2</c:v>
                </c:pt>
                <c:pt idx="36">
                  <c:v>2.0636234190634657E-2</c:v>
                </c:pt>
                <c:pt idx="37">
                  <c:v>1.852740635879379E-2</c:v>
                </c:pt>
                <c:pt idx="38">
                  <c:v>1.6634080773305852E-2</c:v>
                </c:pt>
                <c:pt idx="39">
                  <c:v>1.4934235144118525E-2</c:v>
                </c:pt>
                <c:pt idx="40">
                  <c:v>1.340809765080272E-2</c:v>
                </c:pt>
                <c:pt idx="41">
                  <c:v>1.2037916965855603E-2</c:v>
                </c:pt>
                <c:pt idx="42">
                  <c:v>1.0807755779445613E-2</c:v>
                </c:pt>
                <c:pt idx="43">
                  <c:v>9.7033054239743892E-3</c:v>
                </c:pt>
                <c:pt idx="44">
                  <c:v>8.7117194422541323E-3</c:v>
                </c:pt>
                <c:pt idx="45">
                  <c:v>7.8214641634420604E-3</c:v>
                </c:pt>
                <c:pt idx="46">
                  <c:v>7.0221845487002344E-3</c:v>
                </c:pt>
                <c:pt idx="47">
                  <c:v>6.3045837461593078E-3</c:v>
                </c:pt>
                <c:pt idx="48">
                  <c:v>5.660314954225071E-3</c:v>
                </c:pt>
                <c:pt idx="49">
                  <c:v>5.0818843354316443E-3</c:v>
                </c:pt>
                <c:pt idx="50">
                  <c:v>4.5625638515800907E-3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C-AD48-BD79-1E0ACA417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37807"/>
        <c:axId val="1442240335"/>
      </c:lineChart>
      <c:catAx>
        <c:axId val="143723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2240335"/>
        <c:crosses val="autoZero"/>
        <c:auto val="1"/>
        <c:lblAlgn val="ctr"/>
        <c:lblOffset val="100"/>
        <c:noMultiLvlLbl val="0"/>
      </c:catAx>
      <c:valAx>
        <c:axId val="144224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723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Intensity'!$G$70:$G$91</c:f>
              <c:numCache>
                <c:formatCode>General</c:formatCode>
                <c:ptCount val="22"/>
                <c:pt idx="0">
                  <c:v>26.976855172413796</c:v>
                </c:pt>
                <c:pt idx="3">
                  <c:v>15.995120492524187</c:v>
                </c:pt>
                <c:pt idx="6">
                  <c:v>55.808766787878788</c:v>
                </c:pt>
                <c:pt idx="9">
                  <c:v>71.600999999999999</c:v>
                </c:pt>
                <c:pt idx="12">
                  <c:v>204.59</c:v>
                </c:pt>
                <c:pt idx="15">
                  <c:v>548.819778449144</c:v>
                </c:pt>
                <c:pt idx="18">
                  <c:v>942.3</c:v>
                </c:pt>
                <c:pt idx="21">
                  <c:v>713.58612791522376</c:v>
                </c:pt>
              </c:numCache>
            </c:numRef>
          </c:xVal>
          <c:yVal>
            <c:numRef>
              <c:f>'Beam Intensity'!$I$70:$I$90</c:f>
              <c:numCache>
                <c:formatCode>General</c:formatCode>
                <c:ptCount val="21"/>
                <c:pt idx="0">
                  <c:v>-0.315106</c:v>
                </c:pt>
                <c:pt idx="3">
                  <c:v>-0.222968</c:v>
                </c:pt>
                <c:pt idx="6">
                  <c:v>0.69874000000000003</c:v>
                </c:pt>
                <c:pt idx="9">
                  <c:v>0.143931</c:v>
                </c:pt>
                <c:pt idx="12">
                  <c:v>-1.1556</c:v>
                </c:pt>
                <c:pt idx="15">
                  <c:v>-0.78410199999999997</c:v>
                </c:pt>
                <c:pt idx="18">
                  <c:v>4.2778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C-544B-82D6-DB00E71D8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511087"/>
        <c:axId val="1442600815"/>
      </c:scatterChart>
      <c:valAx>
        <c:axId val="147951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2600815"/>
        <c:crosses val="autoZero"/>
        <c:crossBetween val="midCat"/>
      </c:valAx>
      <c:valAx>
        <c:axId val="144260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951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'Beam Intensity'!$G$100:$G$119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'Beam Intensity'!$H$100:$H$119</c:f>
              <c:numCache>
                <c:formatCode>General</c:formatCode>
                <c:ptCount val="20"/>
                <c:pt idx="0">
                  <c:v>-0.54287075999999901</c:v>
                </c:pt>
                <c:pt idx="1">
                  <c:v>-0.56806762</c:v>
                </c:pt>
                <c:pt idx="2">
                  <c:v>-6.0576239999996E-2</c:v>
                </c:pt>
                <c:pt idx="3">
                  <c:v>-2.0392600000107499E-3</c:v>
                </c:pt>
                <c:pt idx="4">
                  <c:v>0.263400779999997</c:v>
                </c:pt>
                <c:pt idx="5">
                  <c:v>-5.2944929999995297E-2</c:v>
                </c:pt>
                <c:pt idx="6">
                  <c:v>-0.61955209000000599</c:v>
                </c:pt>
                <c:pt idx="7">
                  <c:v>0.72169982999999105</c:v>
                </c:pt>
                <c:pt idx="8">
                  <c:v>0.59368498000000602</c:v>
                </c:pt>
                <c:pt idx="9">
                  <c:v>-0.81183113000000096</c:v>
                </c:pt>
                <c:pt idx="10">
                  <c:v>-1.53507806</c:v>
                </c:pt>
                <c:pt idx="11">
                  <c:v>-0.45281542999999402</c:v>
                </c:pt>
                <c:pt idx="12">
                  <c:v>-0.22101877</c:v>
                </c:pt>
                <c:pt idx="13">
                  <c:v>-1.6103355799999901</c:v>
                </c:pt>
                <c:pt idx="14">
                  <c:v>-0.91264679999999698</c:v>
                </c:pt>
                <c:pt idx="15">
                  <c:v>-1.0399513499999999</c:v>
                </c:pt>
                <c:pt idx="16">
                  <c:v>-1.44017660999999</c:v>
                </c:pt>
                <c:pt idx="17">
                  <c:v>-1.7514613400000001</c:v>
                </c:pt>
                <c:pt idx="18">
                  <c:v>-1.7948342099999901</c:v>
                </c:pt>
                <c:pt idx="19">
                  <c:v>-0.990951260000002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8-6C48-82E4-D59F310C696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'Beam Intensity'!$G$100:$G$119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'Beam Intensity'!$I$100:$I$119</c:f>
              <c:numCache>
                <c:formatCode>General</c:formatCode>
                <c:ptCount val="20"/>
                <c:pt idx="0">
                  <c:v>-0.49865076000001002</c:v>
                </c:pt>
                <c:pt idx="1">
                  <c:v>-0.470887620000006</c:v>
                </c:pt>
                <c:pt idx="2">
                  <c:v>9.7533760000004494E-2</c:v>
                </c:pt>
                <c:pt idx="3">
                  <c:v>0.224250740000002</c:v>
                </c:pt>
                <c:pt idx="4">
                  <c:v>0.564460779999997</c:v>
                </c:pt>
                <c:pt idx="5">
                  <c:v>0.32885507000000302</c:v>
                </c:pt>
                <c:pt idx="6">
                  <c:v>-0.15159209000000101</c:v>
                </c:pt>
                <c:pt idx="7">
                  <c:v>1.2807298299999901</c:v>
                </c:pt>
                <c:pt idx="8">
                  <c:v>1.24821498</c:v>
                </c:pt>
                <c:pt idx="9">
                  <c:v>-5.7791129999998199E-2</c:v>
                </c:pt>
                <c:pt idx="10">
                  <c:v>-0.67792806000000605</c:v>
                </c:pt>
                <c:pt idx="11">
                  <c:v>0.51069457000000495</c:v>
                </c:pt>
                <c:pt idx="12">
                  <c:v>0.85174123000000102</c:v>
                </c:pt>
                <c:pt idx="13">
                  <c:v>-0.42572557999999799</c:v>
                </c:pt>
                <c:pt idx="14">
                  <c:v>0.38614319999999902</c:v>
                </c:pt>
                <c:pt idx="15">
                  <c:v>0.37507864999999802</c:v>
                </c:pt>
                <c:pt idx="16">
                  <c:v>9.29033900000035E-2</c:v>
                </c:pt>
                <c:pt idx="17">
                  <c:v>-9.8721339999997298E-2</c:v>
                </c:pt>
                <c:pt idx="18">
                  <c:v>-2.1014210000004099E-2</c:v>
                </c:pt>
                <c:pt idx="19">
                  <c:v>0.90516874000000003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98-6C48-82E4-D59F310C6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487423"/>
        <c:axId val="1502146767"/>
      </c:lineChart>
      <c:catAx>
        <c:axId val="143748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2146767"/>
        <c:crosses val="autoZero"/>
        <c:auto val="1"/>
        <c:lblAlgn val="ctr"/>
        <c:lblOffset val="100"/>
        <c:noMultiLvlLbl val="0"/>
      </c:catAx>
      <c:valAx>
        <c:axId val="150214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748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'Beam Intensity'!$G$100:$G$119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'Beam Intensity'!$J$100:$J$119</c:f>
              <c:numCache>
                <c:formatCode>General</c:formatCode>
                <c:ptCount val="20"/>
                <c:pt idx="0">
                  <c:v>0.29470866206297652</c:v>
                </c:pt>
                <c:pt idx="1">
                  <c:v>0.32270082089246438</c:v>
                </c:pt>
                <c:pt idx="2">
                  <c:v>3.6694808525371153E-3</c:v>
                </c:pt>
                <c:pt idx="3">
                  <c:v>4.1585813476438438E-6</c:v>
                </c:pt>
                <c:pt idx="4">
                  <c:v>6.9379970904606819E-2</c:v>
                </c:pt>
                <c:pt idx="5">
                  <c:v>2.8031656127044018E-3</c:v>
                </c:pt>
                <c:pt idx="6">
                  <c:v>0.38384479222337553</c:v>
                </c:pt>
                <c:pt idx="7">
                  <c:v>0.52085064462201602</c:v>
                </c:pt>
                <c:pt idx="8">
                  <c:v>0.35246185547760756</c:v>
                </c:pt>
                <c:pt idx="9">
                  <c:v>0.65906978363707847</c:v>
                </c:pt>
                <c:pt idx="10">
                  <c:v>2.3564646502933635</c:v>
                </c:pt>
                <c:pt idx="11">
                  <c:v>0.20504181364607948</c:v>
                </c:pt>
                <c:pt idx="12">
                  <c:v>4.8849296692312902E-2</c:v>
                </c:pt>
                <c:pt idx="13">
                  <c:v>2.5931806802139046</c:v>
                </c:pt>
                <c:pt idx="14">
                  <c:v>0.83292418155023451</c:v>
                </c:pt>
                <c:pt idx="15">
                  <c:v>1.0814988103668224</c:v>
                </c:pt>
                <c:pt idx="16">
                  <c:v>2.0741086679910632</c:v>
                </c:pt>
                <c:pt idx="17">
                  <c:v>3.0676168255145959</c:v>
                </c:pt>
                <c:pt idx="18">
                  <c:v>3.2214298413862887</c:v>
                </c:pt>
                <c:pt idx="19">
                  <c:v>0.98198439969559159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8-6E43-B087-75400927E0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'Beam Intensity'!$G$100:$G$119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'Beam Intensity'!$K$100:$K$119</c:f>
              <c:numCache>
                <c:formatCode>General</c:formatCode>
                <c:ptCount val="20"/>
                <c:pt idx="0">
                  <c:v>0.2486525804485876</c:v>
                </c:pt>
                <c:pt idx="1">
                  <c:v>0.22173515066927005</c:v>
                </c:pt>
                <c:pt idx="2">
                  <c:v>9.5128343397384765E-3</c:v>
                </c:pt>
                <c:pt idx="3">
                  <c:v>5.0288394390548496E-2</c:v>
                </c:pt>
                <c:pt idx="4">
                  <c:v>0.31861597215820503</c:v>
                </c:pt>
                <c:pt idx="5">
                  <c:v>0.10814565706470688</c:v>
                </c:pt>
                <c:pt idx="6">
                  <c:v>2.2980161750568408E-2</c:v>
                </c:pt>
                <c:pt idx="7">
                  <c:v>1.6402688974518034</c:v>
                </c:pt>
                <c:pt idx="8">
                  <c:v>1.5580406362964003</c:v>
                </c:pt>
                <c:pt idx="9">
                  <c:v>3.339814706676692E-3</c:v>
                </c:pt>
                <c:pt idx="10">
                  <c:v>0.45958645453537178</c:v>
                </c:pt>
                <c:pt idx="11">
                  <c:v>0.26080894382748998</c:v>
                </c:pt>
                <c:pt idx="12">
                  <c:v>0.72546312288191461</c:v>
                </c:pt>
                <c:pt idx="13">
                  <c:v>0.1812422694663347</c:v>
                </c:pt>
                <c:pt idx="14">
                  <c:v>0.14910657090623924</c:v>
                </c:pt>
                <c:pt idx="15">
                  <c:v>0.14068399368582102</c:v>
                </c:pt>
                <c:pt idx="16">
                  <c:v>8.6310398734927504E-3</c:v>
                </c:pt>
                <c:pt idx="17">
                  <c:v>9.7459029713950658E-3</c:v>
                </c:pt>
                <c:pt idx="18">
                  <c:v>4.415970219242723E-4</c:v>
                </c:pt>
                <c:pt idx="19">
                  <c:v>0.81933044787318765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8-6E43-B087-75400927E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850191"/>
        <c:axId val="1453280799"/>
      </c:lineChart>
      <c:catAx>
        <c:axId val="144185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53280799"/>
        <c:crosses val="autoZero"/>
        <c:auto val="1"/>
        <c:lblAlgn val="ctr"/>
        <c:lblOffset val="100"/>
        <c:noMultiLvlLbl val="0"/>
      </c:catAx>
      <c:valAx>
        <c:axId val="145328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185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微分方程式計算確認!$A$6:$A$133</c:f>
              <c:numCache>
                <c:formatCode>General</c:formatCode>
                <c:ptCount val="128"/>
                <c:pt idx="0">
                  <c:v>1540</c:v>
                </c:pt>
                <c:pt idx="1">
                  <c:v>1560</c:v>
                </c:pt>
                <c:pt idx="2">
                  <c:v>1580</c:v>
                </c:pt>
                <c:pt idx="3">
                  <c:v>1600</c:v>
                </c:pt>
                <c:pt idx="4">
                  <c:v>1620</c:v>
                </c:pt>
                <c:pt idx="5">
                  <c:v>1640</c:v>
                </c:pt>
                <c:pt idx="6">
                  <c:v>1660</c:v>
                </c:pt>
                <c:pt idx="7">
                  <c:v>1680</c:v>
                </c:pt>
                <c:pt idx="8">
                  <c:v>1700</c:v>
                </c:pt>
                <c:pt idx="9">
                  <c:v>1720</c:v>
                </c:pt>
                <c:pt idx="10">
                  <c:v>1740</c:v>
                </c:pt>
                <c:pt idx="11">
                  <c:v>1760</c:v>
                </c:pt>
                <c:pt idx="12">
                  <c:v>1780</c:v>
                </c:pt>
                <c:pt idx="13">
                  <c:v>1800</c:v>
                </c:pt>
                <c:pt idx="14">
                  <c:v>1820</c:v>
                </c:pt>
                <c:pt idx="15">
                  <c:v>1840</c:v>
                </c:pt>
                <c:pt idx="16">
                  <c:v>1860</c:v>
                </c:pt>
                <c:pt idx="17">
                  <c:v>1880</c:v>
                </c:pt>
                <c:pt idx="18">
                  <c:v>1900</c:v>
                </c:pt>
                <c:pt idx="19">
                  <c:v>1920</c:v>
                </c:pt>
                <c:pt idx="20">
                  <c:v>1940</c:v>
                </c:pt>
                <c:pt idx="21">
                  <c:v>1960</c:v>
                </c:pt>
                <c:pt idx="22">
                  <c:v>1980</c:v>
                </c:pt>
                <c:pt idx="23">
                  <c:v>2000</c:v>
                </c:pt>
                <c:pt idx="24">
                  <c:v>2020</c:v>
                </c:pt>
                <c:pt idx="25">
                  <c:v>2040</c:v>
                </c:pt>
                <c:pt idx="26">
                  <c:v>2060</c:v>
                </c:pt>
                <c:pt idx="27">
                  <c:v>2080</c:v>
                </c:pt>
                <c:pt idx="28">
                  <c:v>2100</c:v>
                </c:pt>
                <c:pt idx="29">
                  <c:v>2120</c:v>
                </c:pt>
                <c:pt idx="30">
                  <c:v>2140</c:v>
                </c:pt>
                <c:pt idx="31">
                  <c:v>2160</c:v>
                </c:pt>
                <c:pt idx="32">
                  <c:v>2180</c:v>
                </c:pt>
                <c:pt idx="33">
                  <c:v>2200</c:v>
                </c:pt>
                <c:pt idx="34">
                  <c:v>2220</c:v>
                </c:pt>
                <c:pt idx="35">
                  <c:v>2240</c:v>
                </c:pt>
                <c:pt idx="36">
                  <c:v>2260</c:v>
                </c:pt>
                <c:pt idx="37">
                  <c:v>2280</c:v>
                </c:pt>
                <c:pt idx="38">
                  <c:v>2300</c:v>
                </c:pt>
                <c:pt idx="39">
                  <c:v>2320</c:v>
                </c:pt>
                <c:pt idx="40">
                  <c:v>2340</c:v>
                </c:pt>
                <c:pt idx="41">
                  <c:v>2360</c:v>
                </c:pt>
                <c:pt idx="42">
                  <c:v>2380</c:v>
                </c:pt>
                <c:pt idx="43">
                  <c:v>2400</c:v>
                </c:pt>
                <c:pt idx="44">
                  <c:v>2420</c:v>
                </c:pt>
                <c:pt idx="45">
                  <c:v>2440</c:v>
                </c:pt>
                <c:pt idx="46">
                  <c:v>2460</c:v>
                </c:pt>
                <c:pt idx="47">
                  <c:v>2480</c:v>
                </c:pt>
                <c:pt idx="48">
                  <c:v>2500</c:v>
                </c:pt>
                <c:pt idx="49">
                  <c:v>2520</c:v>
                </c:pt>
                <c:pt idx="50">
                  <c:v>2540</c:v>
                </c:pt>
                <c:pt idx="51">
                  <c:v>2560</c:v>
                </c:pt>
                <c:pt idx="52">
                  <c:v>2580</c:v>
                </c:pt>
                <c:pt idx="53">
                  <c:v>2600</c:v>
                </c:pt>
                <c:pt idx="54">
                  <c:v>2620</c:v>
                </c:pt>
                <c:pt idx="55">
                  <c:v>2640</c:v>
                </c:pt>
                <c:pt idx="56">
                  <c:v>2660</c:v>
                </c:pt>
                <c:pt idx="57">
                  <c:v>2680</c:v>
                </c:pt>
                <c:pt idx="58">
                  <c:v>2700</c:v>
                </c:pt>
                <c:pt idx="59">
                  <c:v>2720</c:v>
                </c:pt>
                <c:pt idx="60">
                  <c:v>2740</c:v>
                </c:pt>
                <c:pt idx="61">
                  <c:v>2760</c:v>
                </c:pt>
                <c:pt idx="62">
                  <c:v>2780</c:v>
                </c:pt>
                <c:pt idx="63">
                  <c:v>2800</c:v>
                </c:pt>
                <c:pt idx="64">
                  <c:v>2820</c:v>
                </c:pt>
                <c:pt idx="65">
                  <c:v>2840</c:v>
                </c:pt>
                <c:pt idx="66">
                  <c:v>2860</c:v>
                </c:pt>
                <c:pt idx="67">
                  <c:v>2880</c:v>
                </c:pt>
                <c:pt idx="68">
                  <c:v>2900</c:v>
                </c:pt>
                <c:pt idx="69">
                  <c:v>2920</c:v>
                </c:pt>
                <c:pt idx="70">
                  <c:v>2940</c:v>
                </c:pt>
                <c:pt idx="71">
                  <c:v>2960</c:v>
                </c:pt>
                <c:pt idx="72">
                  <c:v>2980</c:v>
                </c:pt>
                <c:pt idx="73">
                  <c:v>3000</c:v>
                </c:pt>
                <c:pt idx="74">
                  <c:v>3020</c:v>
                </c:pt>
                <c:pt idx="75">
                  <c:v>3040</c:v>
                </c:pt>
                <c:pt idx="76">
                  <c:v>3060</c:v>
                </c:pt>
                <c:pt idx="77">
                  <c:v>3080</c:v>
                </c:pt>
                <c:pt idx="78">
                  <c:v>3100</c:v>
                </c:pt>
                <c:pt idx="79">
                  <c:v>3120</c:v>
                </c:pt>
                <c:pt idx="80">
                  <c:v>3140</c:v>
                </c:pt>
                <c:pt idx="81">
                  <c:v>3160</c:v>
                </c:pt>
                <c:pt idx="82">
                  <c:v>3180</c:v>
                </c:pt>
                <c:pt idx="83">
                  <c:v>3200</c:v>
                </c:pt>
                <c:pt idx="84">
                  <c:v>3220</c:v>
                </c:pt>
                <c:pt idx="85">
                  <c:v>3240</c:v>
                </c:pt>
                <c:pt idx="86">
                  <c:v>3260</c:v>
                </c:pt>
                <c:pt idx="87">
                  <c:v>3280</c:v>
                </c:pt>
                <c:pt idx="88">
                  <c:v>3300</c:v>
                </c:pt>
                <c:pt idx="89">
                  <c:v>3320</c:v>
                </c:pt>
                <c:pt idx="90">
                  <c:v>3340</c:v>
                </c:pt>
                <c:pt idx="91">
                  <c:v>3360</c:v>
                </c:pt>
                <c:pt idx="92">
                  <c:v>3380</c:v>
                </c:pt>
                <c:pt idx="93">
                  <c:v>3400</c:v>
                </c:pt>
                <c:pt idx="94">
                  <c:v>3420</c:v>
                </c:pt>
                <c:pt idx="95">
                  <c:v>3440</c:v>
                </c:pt>
                <c:pt idx="96">
                  <c:v>3460</c:v>
                </c:pt>
                <c:pt idx="97">
                  <c:v>3480</c:v>
                </c:pt>
                <c:pt idx="98">
                  <c:v>3500</c:v>
                </c:pt>
                <c:pt idx="99">
                  <c:v>3520</c:v>
                </c:pt>
                <c:pt idx="100">
                  <c:v>3540</c:v>
                </c:pt>
                <c:pt idx="101">
                  <c:v>3560</c:v>
                </c:pt>
                <c:pt idx="102">
                  <c:v>3580</c:v>
                </c:pt>
                <c:pt idx="103">
                  <c:v>3600</c:v>
                </c:pt>
                <c:pt idx="104">
                  <c:v>3620</c:v>
                </c:pt>
                <c:pt idx="105">
                  <c:v>3640</c:v>
                </c:pt>
                <c:pt idx="106">
                  <c:v>3660</c:v>
                </c:pt>
                <c:pt idx="107">
                  <c:v>3680</c:v>
                </c:pt>
                <c:pt idx="108">
                  <c:v>3700</c:v>
                </c:pt>
                <c:pt idx="109">
                  <c:v>3720</c:v>
                </c:pt>
                <c:pt idx="110">
                  <c:v>3740</c:v>
                </c:pt>
                <c:pt idx="111">
                  <c:v>3760</c:v>
                </c:pt>
                <c:pt idx="112">
                  <c:v>3780</c:v>
                </c:pt>
                <c:pt idx="113">
                  <c:v>3800</c:v>
                </c:pt>
                <c:pt idx="114">
                  <c:v>3820</c:v>
                </c:pt>
                <c:pt idx="115">
                  <c:v>3840</c:v>
                </c:pt>
                <c:pt idx="116">
                  <c:v>3860</c:v>
                </c:pt>
                <c:pt idx="117">
                  <c:v>3880</c:v>
                </c:pt>
                <c:pt idx="118">
                  <c:v>3900</c:v>
                </c:pt>
                <c:pt idx="119">
                  <c:v>3920</c:v>
                </c:pt>
                <c:pt idx="120">
                  <c:v>3940</c:v>
                </c:pt>
                <c:pt idx="121">
                  <c:v>3960</c:v>
                </c:pt>
                <c:pt idx="122">
                  <c:v>3980</c:v>
                </c:pt>
                <c:pt idx="123">
                  <c:v>4000</c:v>
                </c:pt>
                <c:pt idx="124">
                  <c:v>4020</c:v>
                </c:pt>
                <c:pt idx="125">
                  <c:v>4040</c:v>
                </c:pt>
                <c:pt idx="126">
                  <c:v>4060</c:v>
                </c:pt>
                <c:pt idx="127">
                  <c:v>4080</c:v>
                </c:pt>
              </c:numCache>
            </c:numRef>
          </c:xVal>
          <c:yVal>
            <c:numRef>
              <c:f>微分方程式計算確認!$G$6:$G$133</c:f>
              <c:numCache>
                <c:formatCode>0.00E+00</c:formatCode>
                <c:ptCount val="128"/>
                <c:pt idx="0" formatCode="General">
                  <c:v>0.50181031700000001</c:v>
                </c:pt>
                <c:pt idx="1">
                  <c:v>0.50786245908810723</c:v>
                </c:pt>
                <c:pt idx="2">
                  <c:v>0.51339410891616255</c:v>
                </c:pt>
                <c:pt idx="3">
                  <c:v>0.51845002951002195</c:v>
                </c:pt>
                <c:pt idx="4">
                  <c:v>0.5230711342158485</c:v>
                </c:pt>
                <c:pt idx="5">
                  <c:v>0.52729481777768072</c:v>
                </c:pt>
                <c:pt idx="6">
                  <c:v>0.53115525894188942</c:v>
                </c:pt>
                <c:pt idx="7">
                  <c:v>0.53468369703725005</c:v>
                </c:pt>
                <c:pt idx="8">
                  <c:v>0.53790868476876075</c:v>
                </c:pt>
                <c:pt idx="9">
                  <c:v>0.54085631927085664</c:v>
                </c:pt>
                <c:pt idx="10">
                  <c:v>0.54355045328974061</c:v>
                </c:pt>
                <c:pt idx="11">
                  <c:v>0.54601288820375271</c:v>
                </c:pt>
                <c:pt idx="12">
                  <c:v>0.54826355044373198</c:v>
                </c:pt>
                <c:pt idx="13">
                  <c:v>0.55032065274099251</c:v>
                </c:pt>
                <c:pt idx="14">
                  <c:v>0.55220084150775883</c:v>
                </c:pt>
                <c:pt idx="15">
                  <c:v>0.55391933154268913</c:v>
                </c:pt>
                <c:pt idx="16">
                  <c:v>0.55549002915154355</c:v>
                </c:pt>
                <c:pt idx="17">
                  <c:v>0.55692564467931183</c:v>
                </c:pt>
                <c:pt idx="18">
                  <c:v>0.55823779536442841</c:v>
                </c:pt>
                <c:pt idx="19">
                  <c:v>0.55943709934738861</c:v>
                </c:pt>
                <c:pt idx="20">
                  <c:v>0.56053326159449846</c:v>
                </c:pt>
                <c:pt idx="21">
                  <c:v>0.56153515243206842</c:v>
                </c:pt>
                <c:pt idx="22">
                  <c:v>0.56245087932656157</c:v>
                </c:pt>
                <c:pt idx="23">
                  <c:v>0.56328785249155433</c:v>
                </c:pt>
                <c:pt idx="24">
                  <c:v>0.56405284485241058</c:v>
                </c:pt>
                <c:pt idx="25">
                  <c:v>0.56475204685391511</c:v>
                </c:pt>
                <c:pt idx="26">
                  <c:v>0.56539111655437679</c:v>
                </c:pt>
                <c:pt idx="27">
                  <c:v>0.56597522541157319</c:v>
                </c:pt>
                <c:pt idx="28">
                  <c:v>0.56650910013104239</c:v>
                </c:pt>
                <c:pt idx="29">
                  <c:v>0.56699706091536672</c:v>
                </c:pt>
                <c:pt idx="30">
                  <c:v>0.56744305642396675</c:v>
                </c:pt>
                <c:pt idx="31">
                  <c:v>0.5678506957263072</c:v>
                </c:pt>
                <c:pt idx="32">
                  <c:v>0.56822327750708379</c:v>
                </c:pt>
                <c:pt idx="33">
                  <c:v>0.56856381664219346</c:v>
                </c:pt>
                <c:pt idx="34">
                  <c:v>0.56845356877744824</c:v>
                </c:pt>
                <c:pt idx="35">
                  <c:v>0.56793146565653818</c:v>
                </c:pt>
                <c:pt idx="36">
                  <c:v>0.56703400681814398</c:v>
                </c:pt>
                <c:pt idx="37">
                  <c:v>0.56579536053424939</c:v>
                </c:pt>
                <c:pt idx="38">
                  <c:v>0.56424746470895359</c:v>
                </c:pt>
                <c:pt idx="39">
                  <c:v>0.56242012729237656</c:v>
                </c:pt>
                <c:pt idx="40">
                  <c:v>0.56034112580507434</c:v>
                </c:pt>
                <c:pt idx="41">
                  <c:v>0.55803630560808948</c:v>
                </c:pt>
                <c:pt idx="42">
                  <c:v>0.5555296765921941</c:v>
                </c:pt>
                <c:pt idx="43">
                  <c:v>0.55284350799688575</c:v>
                </c:pt>
                <c:pt idx="44">
                  <c:v>0.5499984211051524</c:v>
                </c:pt>
                <c:pt idx="45">
                  <c:v>0.54701347959383095</c:v>
                </c:pt>
                <c:pt idx="46">
                  <c:v>0.54390627735146446</c:v>
                </c:pt>
                <c:pt idx="47">
                  <c:v>0.5406930236058578</c:v>
                </c:pt>
                <c:pt idx="48">
                  <c:v>0.53738862523199882</c:v>
                </c:pt>
                <c:pt idx="49">
                  <c:v>0.53400676613763165</c:v>
                </c:pt>
                <c:pt idx="50">
                  <c:v>0.53055998364852697</c:v>
                </c:pt>
                <c:pt idx="51">
                  <c:v>0.52705974183840532</c:v>
                </c:pt>
                <c:pt idx="52">
                  <c:v>0.52351650176954689</c:v>
                </c:pt>
                <c:pt idx="53">
                  <c:v>0.51993978862940393</c:v>
                </c:pt>
                <c:pt idx="54">
                  <c:v>0.51633825576605175</c:v>
                </c:pt>
                <c:pt idx="55">
                  <c:v>0.51271974564113432</c:v>
                </c:pt>
                <c:pt idx="56">
                  <c:v>0.50909134783918353</c:v>
                </c:pt>
                <c:pt idx="57">
                  <c:v>0.50583686438526143</c:v>
                </c:pt>
                <c:pt idx="58">
                  <c:v>0.50291776258607102</c:v>
                </c:pt>
                <c:pt idx="59">
                  <c:v>0.50029948062683494</c:v>
                </c:pt>
                <c:pt idx="60">
                  <c:v>0.49795101836355843</c:v>
                </c:pt>
                <c:pt idx="61">
                  <c:v>0.49584457028504708</c:v>
                </c:pt>
                <c:pt idx="62">
                  <c:v>0.49395519629899309</c:v>
                </c:pt>
                <c:pt idx="63">
                  <c:v>0.49226052644427715</c:v>
                </c:pt>
                <c:pt idx="64">
                  <c:v>0.49074049603331488</c:v>
                </c:pt>
                <c:pt idx="65">
                  <c:v>0.48937710808856544</c:v>
                </c:pt>
                <c:pt idx="66">
                  <c:v>0.48815422026047822</c:v>
                </c:pt>
                <c:pt idx="67">
                  <c:v>0.48705735370401271</c:v>
                </c:pt>
                <c:pt idx="68">
                  <c:v>0.48607352165085188</c:v>
                </c:pt>
                <c:pt idx="69">
                  <c:v>0.48519107564762459</c:v>
                </c:pt>
                <c:pt idx="70">
                  <c:v>0.4843995676396165</c:v>
                </c:pt>
                <c:pt idx="71">
                  <c:v>0.48368962626705686</c:v>
                </c:pt>
                <c:pt idx="72">
                  <c:v>0.48305284590934422</c:v>
                </c:pt>
                <c:pt idx="73">
                  <c:v>0.48248168716350759</c:v>
                </c:pt>
                <c:pt idx="74">
                  <c:v>0.48196938757858093</c:v>
                </c:pt>
                <c:pt idx="75">
                  <c:v>0.48150988158899549</c:v>
                </c:pt>
                <c:pt idx="76">
                  <c:v>0.48109772869901196</c:v>
                </c:pt>
                <c:pt idx="77">
                  <c:v>0.48072804906790412</c:v>
                </c:pt>
                <c:pt idx="78">
                  <c:v>0.48039646573323075</c:v>
                </c:pt>
                <c:pt idx="79">
                  <c:v>0.4800990527881257</c:v>
                </c:pt>
                <c:pt idx="80">
                  <c:v>0.47983228889903223</c:v>
                </c:pt>
                <c:pt idx="81">
                  <c:v>0.4795930156135364</c:v>
                </c:pt>
                <c:pt idx="82">
                  <c:v>0.4793783999646698</c:v>
                </c:pt>
                <c:pt idx="83">
                  <c:v>0.47918590092892083</c:v>
                </c:pt>
                <c:pt idx="84">
                  <c:v>0.47901323934082152</c:v>
                </c:pt>
                <c:pt idx="85">
                  <c:v>0.47885837090790184</c:v>
                </c:pt>
                <c:pt idx="86">
                  <c:v>0.47871946200651266</c:v>
                </c:pt>
                <c:pt idx="87">
                  <c:v>0.47859486797194167</c:v>
                </c:pt>
                <c:pt idx="88">
                  <c:v>0.47848311362578078</c:v>
                </c:pt>
                <c:pt idx="89">
                  <c:v>0.47838287580999084</c:v>
                </c:pt>
                <c:pt idx="90">
                  <c:v>0.47829296772086943</c:v>
                </c:pt>
                <c:pt idx="91">
                  <c:v>0.47821232485743753</c:v>
                </c:pt>
                <c:pt idx="92">
                  <c:v>0.47813999241787564</c:v>
                </c:pt>
                <c:pt idx="93">
                  <c:v>0.47807511399478503</c:v>
                </c:pt>
                <c:pt idx="94">
                  <c:v>0.4780169214354269</c:v>
                </c:pt>
                <c:pt idx="95">
                  <c:v>0.4779647257468862</c:v>
                </c:pt>
                <c:pt idx="96">
                  <c:v>0.47791790893847824</c:v>
                </c:pt>
                <c:pt idx="97">
                  <c:v>0.47787591642908678</c:v>
                </c:pt>
                <c:pt idx="98">
                  <c:v>0.47685010966970498</c:v>
                </c:pt>
                <c:pt idx="99">
                  <c:v>0.47494611515903712</c:v>
                </c:pt>
                <c:pt idx="100">
                  <c:v>0.47226412204740975</c:v>
                </c:pt>
                <c:pt idx="101">
                  <c:v>0.46889861379145709</c:v>
                </c:pt>
                <c:pt idx="102">
                  <c:v>0.46493818645294066</c:v>
                </c:pt>
                <c:pt idx="103">
                  <c:v>0.46046544696714237</c:v>
                </c:pt>
                <c:pt idx="104">
                  <c:v>0.4555569842365822</c:v>
                </c:pt>
                <c:pt idx="105">
                  <c:v>0.38724504411653987</c:v>
                </c:pt>
                <c:pt idx="106">
                  <c:v>0.32975834166107254</c:v>
                </c:pt>
                <c:pt idx="107">
                  <c:v>0.28232239155728711</c:v>
                </c:pt>
                <c:pt idx="108">
                  <c:v>0.24383324514573401</c:v>
                </c:pt>
                <c:pt idx="109">
                  <c:v>0.21301999214478071</c:v>
                </c:pt>
                <c:pt idx="110">
                  <c:v>0.18857999492255317</c:v>
                </c:pt>
                <c:pt idx="111">
                  <c:v>0.16927964704490658</c:v>
                </c:pt>
                <c:pt idx="112">
                  <c:v>0.15401954338219134</c:v>
                </c:pt>
                <c:pt idx="113">
                  <c:v>0.1418676283872356</c:v>
                </c:pt>
                <c:pt idx="114">
                  <c:v>0.13206677838660111</c:v>
                </c:pt>
                <c:pt idx="115">
                  <c:v>0.12402440964392504</c:v>
                </c:pt>
                <c:pt idx="116">
                  <c:v>0.11729142096579889</c:v>
                </c:pt>
                <c:pt idx="117">
                  <c:v>0.11153656318610675</c:v>
                </c:pt>
                <c:pt idx="118">
                  <c:v>0.10652067649155515</c:v>
                </c:pt>
                <c:pt idx="119">
                  <c:v>0.10207356148958074</c:v>
                </c:pt>
                <c:pt idx="120">
                  <c:v>9.807482439453051E-2</c:v>
                </c:pt>
                <c:pt idx="121">
                  <c:v>9.4438990883647628E-2</c:v>
                </c:pt>
                <c:pt idx="122">
                  <c:v>9.1104530995287827E-2</c:v>
                </c:pt>
                <c:pt idx="123">
                  <c:v>8.8026118200975251E-2</c:v>
                </c:pt>
                <c:pt idx="124">
                  <c:v>8.5169365584114892E-2</c:v>
                </c:pt>
                <c:pt idx="125">
                  <c:v>8.2507345750432351E-2</c:v>
                </c:pt>
                <c:pt idx="126">
                  <c:v>8.0018331188614081E-2</c:v>
                </c:pt>
                <c:pt idx="127">
                  <c:v>7.7684335461139301E-2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8-4DFD-BAEF-8CF509AC1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94047"/>
        <c:axId val="116795295"/>
      </c:scatterChart>
      <c:valAx>
        <c:axId val="116794047"/>
        <c:scaling>
          <c:orientation val="minMax"/>
          <c:max val="4080"/>
          <c:min val="15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795295"/>
        <c:crosses val="autoZero"/>
        <c:crossBetween val="midCat"/>
      </c:valAx>
      <c:valAx>
        <c:axId val="116795295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79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ループ時間!$F$3:$F$14</c:f>
              <c:numCache>
                <c:formatCode>General</c:formatCode>
                <c:ptCount val="12"/>
                <c:pt idx="0">
                  <c:v>2500</c:v>
                </c:pt>
                <c:pt idx="1">
                  <c:v>625</c:v>
                </c:pt>
                <c:pt idx="2">
                  <c:v>625</c:v>
                </c:pt>
                <c:pt idx="3">
                  <c:v>2500</c:v>
                </c:pt>
                <c:pt idx="4">
                  <c:v>625</c:v>
                </c:pt>
                <c:pt idx="5">
                  <c:v>1600</c:v>
                </c:pt>
                <c:pt idx="6">
                  <c:v>3600</c:v>
                </c:pt>
                <c:pt idx="7">
                  <c:v>225</c:v>
                </c:pt>
                <c:pt idx="8">
                  <c:v>40000</c:v>
                </c:pt>
                <c:pt idx="9">
                  <c:v>400</c:v>
                </c:pt>
                <c:pt idx="10">
                  <c:v>160000</c:v>
                </c:pt>
                <c:pt idx="11">
                  <c:v>8000</c:v>
                </c:pt>
              </c:numCache>
            </c:numRef>
          </c:xVal>
          <c:yVal>
            <c:numRef>
              <c:f>ループ時間!$G$3:$G$14</c:f>
              <c:numCache>
                <c:formatCode>0.0</c:formatCode>
                <c:ptCount val="12"/>
                <c:pt idx="0">
                  <c:v>377.56362410000003</c:v>
                </c:pt>
                <c:pt idx="1">
                  <c:v>93.495862000000002</c:v>
                </c:pt>
                <c:pt idx="2">
                  <c:v>90.696812899999998</c:v>
                </c:pt>
                <c:pt idx="3">
                  <c:v>392.3590729</c:v>
                </c:pt>
                <c:pt idx="4">
                  <c:v>100.44508</c:v>
                </c:pt>
                <c:pt idx="5">
                  <c:v>257.65500500000002</c:v>
                </c:pt>
                <c:pt idx="6">
                  <c:v>519.25213529999996</c:v>
                </c:pt>
                <c:pt idx="7">
                  <c:v>31.148304199999998</c:v>
                </c:pt>
                <c:pt idx="8">
                  <c:v>4296.6505798999997</c:v>
                </c:pt>
                <c:pt idx="9">
                  <c:v>37.219534899999999</c:v>
                </c:pt>
                <c:pt idx="10" formatCode="General">
                  <c:v>15839.4609318</c:v>
                </c:pt>
                <c:pt idx="11" formatCode="General">
                  <c:v>807.3726289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E-DA46-964B-93F0E1F41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617648"/>
        <c:axId val="1455348976"/>
      </c:scatterChart>
      <c:valAx>
        <c:axId val="132161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ループ回数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55348976"/>
        <c:crosses val="autoZero"/>
        <c:crossBetween val="midCat"/>
      </c:valAx>
      <c:valAx>
        <c:axId val="14553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計算時間</a:t>
                </a:r>
                <a:r>
                  <a:rPr lang="en-US" altLang="ja-JP"/>
                  <a:t> [s]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161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1</xdr:row>
      <xdr:rowOff>133350</xdr:rowOff>
    </xdr:from>
    <xdr:to>
      <xdr:col>11</xdr:col>
      <xdr:colOff>368300</xdr:colOff>
      <xdr:row>12</xdr:row>
      <xdr:rowOff>82550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1E50C48-E854-2BDF-F7A8-DCA666662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592475</xdr:colOff>
      <xdr:row>13</xdr:row>
      <xdr:rowOff>215081</xdr:rowOff>
    </xdr:from>
    <xdr:to>
      <xdr:col>11</xdr:col>
      <xdr:colOff>350766</xdr:colOff>
      <xdr:row>24</xdr:row>
      <xdr:rowOff>254410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B5F7DB4-B21F-54D9-2479-41B25F38D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660400</xdr:colOff>
      <xdr:row>87</xdr:row>
      <xdr:rowOff>222250</xdr:rowOff>
    </xdr:from>
    <xdr:to>
      <xdr:col>33</xdr:col>
      <xdr:colOff>469900</xdr:colOff>
      <xdr:row>98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C8BBF19-604D-9799-5DD8-197164027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596900</xdr:colOff>
      <xdr:row>98</xdr:row>
      <xdr:rowOff>82550</xdr:rowOff>
    </xdr:from>
    <xdr:to>
      <xdr:col>26</xdr:col>
      <xdr:colOff>406400</xdr:colOff>
      <xdr:row>109</xdr:row>
      <xdr:rowOff>19050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08A5102-A242-8EFE-51B9-9FED2DAE8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611414</xdr:colOff>
      <xdr:row>95</xdr:row>
      <xdr:rowOff>11792</xdr:rowOff>
    </xdr:from>
    <xdr:to>
      <xdr:col>33</xdr:col>
      <xdr:colOff>475342</xdr:colOff>
      <xdr:row>106</xdr:row>
      <xdr:rowOff>196850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64A430C-C5E5-3A51-CF4E-F89B5A270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628385</xdr:colOff>
      <xdr:row>6</xdr:row>
      <xdr:rowOff>264</xdr:rowOff>
    </xdr:from>
    <xdr:to>
      <xdr:col>19</xdr:col>
      <xdr:colOff>628385</xdr:colOff>
      <xdr:row>16</xdr:row>
      <xdr:rowOff>203464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F4BF1FC-AC85-1688-8C0E-CD954C134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165100</xdr:colOff>
      <xdr:row>1</xdr:row>
      <xdr:rowOff>171450</xdr:rowOff>
    </xdr:from>
    <xdr:to>
      <xdr:col>13</xdr:col>
      <xdr:colOff>927100</xdr:colOff>
      <xdr:row>12</xdr:row>
      <xdr:rowOff>120650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B03096-057B-051D-5E10-BE80E592A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24D2-E194-E847-85FE-F84423B47C18}">
  <dimension ref="A1:AA80"/>
  <sheetViews>
    <sheetView topLeftCell="A41" zoomScale="87" workbookViewId="0">
      <selection activeCell="E50" sqref="E50"/>
    </sheetView>
  </sheetViews>
  <sheetFormatPr defaultColWidth="11.07421875" defaultRowHeight="20"/>
  <cols>
    <col min="13" max="13" width="10.84375" bestFit="1" customWidth="1"/>
    <col min="14" max="14" width="19.3828125" customWidth="1"/>
    <col min="20" max="20" width="12.84375" bestFit="1" customWidth="1"/>
  </cols>
  <sheetData>
    <row r="1" spans="1:27">
      <c r="A1" t="s">
        <v>165</v>
      </c>
      <c r="J1" t="s">
        <v>166</v>
      </c>
    </row>
    <row r="2" spans="1:27">
      <c r="A2" t="s">
        <v>0</v>
      </c>
      <c r="B2" t="s">
        <v>1</v>
      </c>
      <c r="C2" t="s">
        <v>2</v>
      </c>
      <c r="J2" t="s">
        <v>0</v>
      </c>
      <c r="K2" t="s">
        <v>1</v>
      </c>
      <c r="L2" t="s">
        <v>2</v>
      </c>
      <c r="N2" t="s">
        <v>167</v>
      </c>
    </row>
    <row r="3" spans="1:27">
      <c r="A3" t="s">
        <v>3</v>
      </c>
      <c r="B3" s="1">
        <v>82445.956127931393</v>
      </c>
      <c r="C3" s="1">
        <v>994655.64703527803</v>
      </c>
      <c r="J3">
        <v>20</v>
      </c>
      <c r="K3" s="1">
        <v>89379.804231602902</v>
      </c>
      <c r="L3" s="1">
        <v>1020167.66617084</v>
      </c>
    </row>
    <row r="4" spans="1:27">
      <c r="A4" t="s">
        <v>4</v>
      </c>
      <c r="B4" s="1">
        <v>1099144.16240869</v>
      </c>
      <c r="C4" s="1">
        <v>1150753.8660324099</v>
      </c>
      <c r="D4" s="1">
        <f t="shared" ref="D4:D9" si="0">B4/C3</f>
        <v>1.1050499393281039</v>
      </c>
      <c r="J4">
        <v>740</v>
      </c>
      <c r="K4" s="1">
        <v>1099144.16240869</v>
      </c>
      <c r="L4" s="1">
        <v>1166628.2420963401</v>
      </c>
      <c r="M4" s="1">
        <f>L3/K4</f>
        <v>0.92814728136773339</v>
      </c>
      <c r="N4" s="1">
        <f>M4</f>
        <v>0.92814728136773339</v>
      </c>
    </row>
    <row r="5" spans="1:27">
      <c r="A5" t="s">
        <v>6</v>
      </c>
      <c r="B5" s="1">
        <v>1050934.7784424699</v>
      </c>
      <c r="C5" s="1">
        <v>1061985.17790139</v>
      </c>
      <c r="D5" s="1">
        <f t="shared" si="0"/>
        <v>0.91325765610147536</v>
      </c>
      <c r="E5" s="1">
        <f>D4*D5</f>
        <v>1.0091953174658617</v>
      </c>
      <c r="J5">
        <v>1210</v>
      </c>
      <c r="K5" s="1">
        <v>1081458.93731782</v>
      </c>
      <c r="L5" s="1">
        <v>1100407.0995171799</v>
      </c>
      <c r="M5" s="1">
        <f t="shared" ref="M5:M10" si="1">L4/K5</f>
        <v>1.0787540810284972</v>
      </c>
      <c r="N5" s="1">
        <f t="shared" ref="N5:N10" si="2">N4*M5</f>
        <v>1.0012426675709474</v>
      </c>
      <c r="X5">
        <v>4880</v>
      </c>
      <c r="Y5" s="1">
        <v>954031.04558464698</v>
      </c>
      <c r="Z5">
        <v>4880</v>
      </c>
      <c r="AA5">
        <f>Y5*1.02/1091140*50.45709164</f>
        <v>44.999160998917596</v>
      </c>
    </row>
    <row r="6" spans="1:27">
      <c r="A6" t="s">
        <v>5</v>
      </c>
      <c r="B6" s="1">
        <v>1095818.1187851999</v>
      </c>
      <c r="C6" s="1">
        <v>1058448.73073898</v>
      </c>
      <c r="D6" s="1">
        <f t="shared" si="0"/>
        <v>1.0318582044154965</v>
      </c>
      <c r="E6" s="1">
        <f>E5*D6</f>
        <v>1.041346468184851</v>
      </c>
      <c r="J6">
        <v>1300</v>
      </c>
      <c r="K6" s="1">
        <v>1050934.7784424699</v>
      </c>
      <c r="L6" s="1">
        <v>1073346.1176670899</v>
      </c>
      <c r="M6" s="1">
        <f t="shared" si="1"/>
        <v>1.0470745873954519</v>
      </c>
      <c r="N6" s="1">
        <f t="shared" si="2"/>
        <v>1.0483757530295714</v>
      </c>
      <c r="X6">
        <v>4900</v>
      </c>
      <c r="Y6" s="1">
        <v>981475.25688309397</v>
      </c>
      <c r="Z6">
        <v>4900</v>
      </c>
      <c r="AA6">
        <f t="shared" ref="AA6:AA19" si="3">Y6*1.02/1091140*50.45709164</f>
        <v>46.293633006325194</v>
      </c>
    </row>
    <row r="7" spans="1:27">
      <c r="A7" t="s">
        <v>7</v>
      </c>
      <c r="B7" s="1">
        <v>1017878.66109053</v>
      </c>
      <c r="C7" s="1">
        <v>1090901.1456870299</v>
      </c>
      <c r="D7" s="1">
        <f t="shared" si="0"/>
        <v>0.96167025527998407</v>
      </c>
      <c r="E7" s="1">
        <f>E6*D7</f>
        <v>1.0014319238942355</v>
      </c>
      <c r="J7">
        <v>1440</v>
      </c>
      <c r="K7" s="1">
        <v>1124728.34103214</v>
      </c>
      <c r="L7" s="1">
        <v>1085199.0180031999</v>
      </c>
      <c r="M7" s="1">
        <f t="shared" si="1"/>
        <v>0.95431588100829967</v>
      </c>
      <c r="N7" s="1">
        <f t="shared" si="2"/>
        <v>1.0004816303801551</v>
      </c>
      <c r="X7">
        <v>4920</v>
      </c>
      <c r="Y7" s="1">
        <v>945157.27408987703</v>
      </c>
      <c r="Z7">
        <v>4920</v>
      </c>
      <c r="AA7">
        <f t="shared" si="3"/>
        <v>44.580608296666639</v>
      </c>
    </row>
    <row r="8" spans="1:27">
      <c r="A8" t="s">
        <v>8</v>
      </c>
      <c r="B8" s="1">
        <v>1045748.89513335</v>
      </c>
      <c r="C8" s="1">
        <v>1008138.195499</v>
      </c>
      <c r="D8" s="1">
        <f t="shared" si="0"/>
        <v>0.95861013554510133</v>
      </c>
      <c r="E8" s="1">
        <f>E7*D8</f>
        <v>0.95998279230344474</v>
      </c>
      <c r="J8">
        <v>1540</v>
      </c>
      <c r="K8" s="1">
        <v>1074425.9158528401</v>
      </c>
      <c r="L8" s="1">
        <v>1138253.89519113</v>
      </c>
      <c r="M8" s="1">
        <f t="shared" si="1"/>
        <v>1.0100268450261725</v>
      </c>
      <c r="N8" s="1">
        <f t="shared" si="2"/>
        <v>1.0105133046395094</v>
      </c>
      <c r="X8">
        <v>4940</v>
      </c>
      <c r="Y8" s="1">
        <v>962067.564580395</v>
      </c>
      <c r="Z8">
        <v>4940</v>
      </c>
      <c r="AA8">
        <f t="shared" si="3"/>
        <v>45.378222680226834</v>
      </c>
    </row>
    <row r="9" spans="1:27">
      <c r="A9" t="s">
        <v>9</v>
      </c>
      <c r="B9" s="1">
        <v>1007459.73044224</v>
      </c>
      <c r="C9" s="1">
        <v>899252.02569093602</v>
      </c>
      <c r="D9" s="1">
        <f t="shared" si="0"/>
        <v>0.99932701185235406</v>
      </c>
      <c r="E9" s="1">
        <f>E8*D9</f>
        <v>0.95933673526228047</v>
      </c>
      <c r="J9">
        <v>1760</v>
      </c>
      <c r="K9" s="1">
        <v>1045748.89513335</v>
      </c>
      <c r="L9" s="1">
        <v>995383.73779672</v>
      </c>
      <c r="M9" s="1">
        <f t="shared" si="1"/>
        <v>1.0884581379796572</v>
      </c>
      <c r="N9" s="1">
        <f t="shared" si="2"/>
        <v>1.0999014299715906</v>
      </c>
      <c r="X9">
        <v>4960</v>
      </c>
      <c r="Y9" s="1">
        <v>931836.202740932</v>
      </c>
      <c r="Z9">
        <v>4960</v>
      </c>
      <c r="AA9">
        <f t="shared" si="3"/>
        <v>43.952288036981692</v>
      </c>
    </row>
    <row r="10" spans="1:27">
      <c r="A10" t="s">
        <v>11</v>
      </c>
      <c r="J10">
        <v>3200</v>
      </c>
      <c r="K10" s="1">
        <v>1007459.73044224</v>
      </c>
      <c r="L10" s="1">
        <v>899252.02569093602</v>
      </c>
      <c r="M10" s="1">
        <f t="shared" si="1"/>
        <v>0.98801342398051084</v>
      </c>
      <c r="N10" s="1">
        <f t="shared" si="2"/>
        <v>1.0867173778672912</v>
      </c>
      <c r="X10">
        <v>4980</v>
      </c>
      <c r="Y10" s="1">
        <v>959219.23283811996</v>
      </c>
      <c r="Z10">
        <v>4980</v>
      </c>
      <c r="AA10">
        <f t="shared" si="3"/>
        <v>45.243874286385612</v>
      </c>
    </row>
    <row r="11" spans="1:27">
      <c r="A11" t="s">
        <v>10</v>
      </c>
      <c r="B11" s="1">
        <v>499870.852194387</v>
      </c>
      <c r="C11" s="1">
        <v>859446.34076068201</v>
      </c>
      <c r="X11">
        <v>5000</v>
      </c>
      <c r="Y11" s="1">
        <v>922654.38390625198</v>
      </c>
      <c r="Z11">
        <v>5000</v>
      </c>
      <c r="AA11">
        <f t="shared" si="3"/>
        <v>43.519205543579751</v>
      </c>
    </row>
    <row r="12" spans="1:27">
      <c r="A12" t="s">
        <v>12</v>
      </c>
      <c r="B12" s="1">
        <v>856603.62009359698</v>
      </c>
      <c r="C12" s="1">
        <v>902365.163609521</v>
      </c>
      <c r="D12" s="1">
        <f>B12/C11</f>
        <v>0.99669238144109262</v>
      </c>
      <c r="J12">
        <v>4140</v>
      </c>
      <c r="K12" s="1">
        <v>534093.82759148697</v>
      </c>
      <c r="L12" s="1">
        <v>875915.32589779305</v>
      </c>
      <c r="M12" s="1"/>
      <c r="N12" s="1"/>
      <c r="X12">
        <v>5020</v>
      </c>
      <c r="Y12" s="1">
        <v>917884.74988775502</v>
      </c>
      <c r="Z12">
        <v>5020</v>
      </c>
      <c r="AA12">
        <f t="shared" si="3"/>
        <v>43.294234322677049</v>
      </c>
    </row>
    <row r="13" spans="1:27">
      <c r="A13" t="s">
        <v>13</v>
      </c>
      <c r="J13">
        <v>4580</v>
      </c>
      <c r="K13" s="1">
        <v>856603.62009359698</v>
      </c>
      <c r="L13" s="1">
        <v>935998.68991512305</v>
      </c>
      <c r="M13" s="1">
        <f>L12/K13</f>
        <v>1.0225445064101948</v>
      </c>
      <c r="N13" s="1">
        <f>M13</f>
        <v>1.0225445064101948</v>
      </c>
      <c r="X13">
        <v>5040</v>
      </c>
      <c r="Y13" s="1">
        <v>951783.52381526795</v>
      </c>
      <c r="Z13">
        <v>5040</v>
      </c>
      <c r="AA13">
        <f t="shared" si="3"/>
        <v>44.893151247540082</v>
      </c>
    </row>
    <row r="14" spans="1:27">
      <c r="A14" t="s">
        <v>14</v>
      </c>
      <c r="B14" s="1">
        <v>20285.129582675501</v>
      </c>
      <c r="C14" s="1">
        <v>5391.9648499140103</v>
      </c>
      <c r="X14">
        <v>5060</v>
      </c>
      <c r="Y14" s="1">
        <v>929818.23009876895</v>
      </c>
      <c r="Z14">
        <v>5060</v>
      </c>
      <c r="AA14">
        <f t="shared" si="3"/>
        <v>43.857105520399692</v>
      </c>
    </row>
    <row r="15" spans="1:27">
      <c r="J15" t="s">
        <v>169</v>
      </c>
      <c r="K15" t="s">
        <v>168</v>
      </c>
      <c r="X15">
        <v>5080</v>
      </c>
      <c r="Y15" s="1">
        <v>950524.98787042999</v>
      </c>
      <c r="Z15">
        <v>5080</v>
      </c>
      <c r="AA15">
        <f t="shared" si="3"/>
        <v>44.83378938309469</v>
      </c>
    </row>
    <row r="16" spans="1:27">
      <c r="A16" t="s">
        <v>15</v>
      </c>
      <c r="B16" t="s">
        <v>16</v>
      </c>
      <c r="X16">
        <v>5100</v>
      </c>
      <c r="Y16" s="1">
        <v>935499.44098109205</v>
      </c>
      <c r="Z16">
        <v>5100</v>
      </c>
      <c r="AA16">
        <f t="shared" si="3"/>
        <v>44.125073449059485</v>
      </c>
    </row>
    <row r="17" spans="1:27">
      <c r="C17" t="s">
        <v>17</v>
      </c>
      <c r="X17">
        <v>5120</v>
      </c>
      <c r="Y17" s="1">
        <v>938359.96442905499</v>
      </c>
      <c r="Z17">
        <v>5120</v>
      </c>
      <c r="AA17">
        <f t="shared" si="3"/>
        <v>44.259996893922001</v>
      </c>
    </row>
    <row r="18" spans="1:27">
      <c r="A18">
        <v>2180</v>
      </c>
      <c r="B18" s="1">
        <v>1048044.08001205</v>
      </c>
      <c r="C18" s="1">
        <f>B18/E8</f>
        <v>1091732.1522996316</v>
      </c>
      <c r="I18" t="s">
        <v>276</v>
      </c>
      <c r="J18" t="s">
        <v>20</v>
      </c>
      <c r="K18" s="9">
        <v>4.0731700000000002</v>
      </c>
      <c r="L18" s="9">
        <v>5.4399999999999997E-2</v>
      </c>
      <c r="M18">
        <v>10</v>
      </c>
      <c r="X18">
        <v>5140</v>
      </c>
      <c r="Y18" s="1">
        <v>926984.41766805795</v>
      </c>
      <c r="Z18">
        <v>5140</v>
      </c>
      <c r="AA18">
        <f t="shared" si="3"/>
        <v>43.723441964689982</v>
      </c>
    </row>
    <row r="19" spans="1:27">
      <c r="B19" s="1"/>
      <c r="C19" s="1"/>
      <c r="I19" t="s">
        <v>275</v>
      </c>
      <c r="J19" t="s">
        <v>32</v>
      </c>
      <c r="K19" s="9">
        <v>9.2705699999999993</v>
      </c>
      <c r="L19" s="9">
        <v>9.7879999999999995E-2</v>
      </c>
      <c r="M19">
        <v>16</v>
      </c>
      <c r="P19" t="s">
        <v>182</v>
      </c>
      <c r="R19" t="s">
        <v>20</v>
      </c>
      <c r="S19" t="s">
        <v>32</v>
      </c>
      <c r="T19" t="s">
        <v>25</v>
      </c>
      <c r="X19">
        <v>5160</v>
      </c>
      <c r="Y19" s="1">
        <v>935998.68991512305</v>
      </c>
      <c r="Z19">
        <v>5160</v>
      </c>
      <c r="AA19">
        <f t="shared" si="3"/>
        <v>44.148621721691676</v>
      </c>
    </row>
    <row r="20" spans="1:27" ht="20.5" thickBot="1">
      <c r="A20" t="s">
        <v>18</v>
      </c>
      <c r="B20" t="s">
        <v>27</v>
      </c>
      <c r="C20" s="4">
        <v>1046170</v>
      </c>
      <c r="D20" t="s">
        <v>26</v>
      </c>
      <c r="I20" t="s">
        <v>274</v>
      </c>
      <c r="J20" t="s">
        <v>21</v>
      </c>
      <c r="K20">
        <f>1/(1/K18-1/K19)</f>
        <v>7.2652879529957302</v>
      </c>
      <c r="M20">
        <f>1/(1/M18-1/M19)</f>
        <v>26.666666666666664</v>
      </c>
      <c r="R20">
        <v>6.37</v>
      </c>
      <c r="S20">
        <v>9.27</v>
      </c>
      <c r="T20">
        <f>0.9/(1+R20/S20)</f>
        <v>0.53343989769820965</v>
      </c>
    </row>
    <row r="21" spans="1:27" ht="20.5" thickBot="1">
      <c r="B21" t="s">
        <v>28</v>
      </c>
      <c r="C21" s="2">
        <v>4.1315499999999998</v>
      </c>
      <c r="J21" t="s">
        <v>25</v>
      </c>
      <c r="K21" s="5">
        <f>0.9/(1+K20/K19)</f>
        <v>0.50457091635142171</v>
      </c>
      <c r="L21">
        <f>K21*100</f>
        <v>50.45709163514217</v>
      </c>
      <c r="M21">
        <f>0.9/(1+M20/M19)</f>
        <v>0.33750000000000002</v>
      </c>
    </row>
    <row r="22" spans="1:27">
      <c r="B22" s="3" t="s">
        <v>21</v>
      </c>
      <c r="C22" s="2">
        <v>9.6999999999999993</v>
      </c>
      <c r="D22">
        <v>7.467E-2</v>
      </c>
    </row>
    <row r="23" spans="1:27">
      <c r="B23" t="s">
        <v>20</v>
      </c>
      <c r="C23">
        <f>1/(1/C22-1/C24)</f>
        <v>-212.56684305017552</v>
      </c>
      <c r="J23" t="s">
        <v>171</v>
      </c>
      <c r="K23" t="s">
        <v>170</v>
      </c>
    </row>
    <row r="24" spans="1:27" ht="20.5" thickBot="1">
      <c r="B24" t="s">
        <v>22</v>
      </c>
      <c r="C24" s="9">
        <v>9.2766800000000007</v>
      </c>
      <c r="D24" s="9">
        <v>0.11509999999999999</v>
      </c>
    </row>
    <row r="25" spans="1:27">
      <c r="B25" t="s">
        <v>23</v>
      </c>
      <c r="C25">
        <v>0.9</v>
      </c>
      <c r="J25" s="21" t="s">
        <v>172</v>
      </c>
      <c r="K25" s="22" t="s">
        <v>173</v>
      </c>
      <c r="L25" s="23"/>
    </row>
    <row r="26" spans="1:27">
      <c r="B26" t="s">
        <v>24</v>
      </c>
      <c r="C26">
        <v>1000</v>
      </c>
      <c r="J26" s="26">
        <v>45286</v>
      </c>
      <c r="K26" s="9">
        <v>0.32196900000000001</v>
      </c>
      <c r="L26" s="31">
        <v>4.6989999999999997E-2</v>
      </c>
      <c r="M26">
        <v>22.324178859768974</v>
      </c>
    </row>
    <row r="27" spans="1:27" ht="20.5" thickBot="1">
      <c r="B27" t="s">
        <v>35</v>
      </c>
      <c r="C27">
        <f>1+C23/C24</f>
        <v>-21.91410753094593</v>
      </c>
      <c r="J27" s="26">
        <v>45287</v>
      </c>
      <c r="K27" s="9">
        <v>0.67822700000000002</v>
      </c>
      <c r="L27" s="31">
        <v>5.0450000000000002E-2</v>
      </c>
      <c r="M27">
        <v>413.06179523741599</v>
      </c>
    </row>
    <row r="28" spans="1:27" ht="20.5" thickBot="1">
      <c r="B28" t="s">
        <v>25</v>
      </c>
      <c r="C28">
        <f>$C$25/(1+($C$23/$C$24))*(1-EXP(-(1/$C$23+1/$C$24)*C26))</f>
        <v>-4.1069434323486281E-2</v>
      </c>
      <c r="E28" s="5">
        <f>C28*C18/C20</f>
        <v>-4.2858065063716262E-2</v>
      </c>
      <c r="J28" s="26">
        <v>45288</v>
      </c>
      <c r="K28" s="32">
        <v>0.28656100000000001</v>
      </c>
      <c r="L28" s="33">
        <v>0.127</v>
      </c>
      <c r="M28">
        <v>847.60673796791446</v>
      </c>
    </row>
    <row r="30" spans="1:27">
      <c r="K30" t="s">
        <v>176</v>
      </c>
      <c r="M30" t="s">
        <v>177</v>
      </c>
      <c r="S30">
        <f>176000000000</f>
        <v>176000000000</v>
      </c>
      <c r="T30">
        <f>S30/(2*PI())*10^-6</f>
        <v>28011.269984173578</v>
      </c>
    </row>
    <row r="31" spans="1:27">
      <c r="B31" t="s">
        <v>29</v>
      </c>
      <c r="F31" t="s">
        <v>41</v>
      </c>
      <c r="G31" t="s">
        <v>39</v>
      </c>
      <c r="J31" s="20">
        <v>45286</v>
      </c>
      <c r="K31" s="9">
        <v>9.7029999999999994</v>
      </c>
      <c r="L31" s="9">
        <v>0.11269999999999999</v>
      </c>
      <c r="M31">
        <f>1/(1/K31-1/$K$19)</f>
        <v>-208.01595798163848</v>
      </c>
      <c r="S31">
        <f>267*10^6</f>
        <v>267000000</v>
      </c>
      <c r="T31">
        <f>S31/(2*PI())*10^-6</f>
        <v>42.494369805536053</v>
      </c>
    </row>
    <row r="32" spans="1:27">
      <c r="B32" t="s">
        <v>27</v>
      </c>
      <c r="C32">
        <v>7948</v>
      </c>
      <c r="E32" t="s">
        <v>20</v>
      </c>
      <c r="F32">
        <v>4.0730000000000004</v>
      </c>
      <c r="G32">
        <v>5.3999999999999999E-2</v>
      </c>
      <c r="K32" s="9">
        <v>8.3642000000000003</v>
      </c>
      <c r="L32" s="9">
        <v>0.13950000000000001</v>
      </c>
      <c r="M32">
        <f>1/(1/K32-1/$K$19)</f>
        <v>85.551046034180374</v>
      </c>
      <c r="V32" t="s">
        <v>264</v>
      </c>
    </row>
    <row r="33" spans="2:23">
      <c r="B33" t="s">
        <v>21</v>
      </c>
      <c r="C33">
        <v>7.467E-2</v>
      </c>
      <c r="E33" t="s">
        <v>32</v>
      </c>
      <c r="F33">
        <v>9.2710000000000008</v>
      </c>
      <c r="G33">
        <v>9.8000000000000004E-2</v>
      </c>
      <c r="U33" t="s">
        <v>262</v>
      </c>
      <c r="V33" t="s">
        <v>261</v>
      </c>
    </row>
    <row r="34" spans="2:23">
      <c r="B34" t="s">
        <v>32</v>
      </c>
      <c r="C34">
        <v>0.11509999999999999</v>
      </c>
      <c r="E34" t="s">
        <v>43</v>
      </c>
      <c r="F34">
        <f>1/F32</f>
        <v>0.24551927326295112</v>
      </c>
      <c r="G34">
        <f>G32/(F32^2)</f>
        <v>3.2551045313526537E-3</v>
      </c>
      <c r="V34" t="s">
        <v>263</v>
      </c>
      <c r="W34" t="s">
        <v>265</v>
      </c>
    </row>
    <row r="35" spans="2:23">
      <c r="E35" t="s">
        <v>45</v>
      </c>
      <c r="F35">
        <f>1/F33</f>
        <v>0.10786322942508898</v>
      </c>
      <c r="G35">
        <f>G33/(F33^2)</f>
        <v>1.1401786736769193E-3</v>
      </c>
      <c r="V35" t="s">
        <v>266</v>
      </c>
    </row>
    <row r="36" spans="2:23">
      <c r="B36" t="s">
        <v>34</v>
      </c>
      <c r="C36">
        <f>SQRT((C33/C24)^2+((C23/C24^2)*C34)^2)</f>
        <v>0.28441970479792211</v>
      </c>
      <c r="E36" t="s">
        <v>47</v>
      </c>
      <c r="F36">
        <f>F34-F35</f>
        <v>0.13765604383786212</v>
      </c>
      <c r="G36">
        <f>SQRT(G34^2+G35^2)</f>
        <v>3.449016224655987E-3</v>
      </c>
      <c r="M36" t="s">
        <v>123</v>
      </c>
      <c r="N36" t="s">
        <v>174</v>
      </c>
      <c r="P36" t="s">
        <v>178</v>
      </c>
      <c r="S36" t="s">
        <v>175</v>
      </c>
    </row>
    <row r="37" spans="2:23">
      <c r="B37" t="s">
        <v>36</v>
      </c>
      <c r="C37">
        <f>C36</f>
        <v>0.28441970479792211</v>
      </c>
      <c r="E37" t="s">
        <v>21</v>
      </c>
      <c r="F37">
        <f>1/F36</f>
        <v>7.2644830704116989</v>
      </c>
      <c r="G37">
        <f>G36/(F36^2)</f>
        <v>0.18201394777188312</v>
      </c>
      <c r="L37" s="20">
        <v>45286</v>
      </c>
      <c r="M37" s="34">
        <v>-0.32196900000000001</v>
      </c>
      <c r="N37" s="35">
        <v>22.324178859768974</v>
      </c>
      <c r="P37" s="9">
        <v>9.7522000000000002</v>
      </c>
      <c r="Q37" s="9">
        <v>8.9829999999999993E-2</v>
      </c>
      <c r="S37">
        <f>1/(1/P37-1/$K$19)</f>
        <v>-187.71349947885287</v>
      </c>
    </row>
    <row r="38" spans="2:23">
      <c r="B38" t="s">
        <v>37</v>
      </c>
      <c r="C38">
        <f>C25/C27^2*C37</f>
        <v>5.3303363461224224E-4</v>
      </c>
      <c r="E38" t="s">
        <v>34</v>
      </c>
      <c r="F38">
        <f>F37/F33</f>
        <v>0.78357060407849188</v>
      </c>
      <c r="G38">
        <f>SQRT((G37/F33)^2+((F37/F33^2)*G33)^2)</f>
        <v>2.1308317192438184E-2</v>
      </c>
      <c r="L38" s="20">
        <v>45287</v>
      </c>
      <c r="M38" s="34">
        <v>-0.67822700000000002</v>
      </c>
      <c r="N38" s="36">
        <v>413.06179523741616</v>
      </c>
      <c r="P38" s="9">
        <v>8.4706899999999994</v>
      </c>
      <c r="Q38">
        <v>0.1234</v>
      </c>
      <c r="S38">
        <f>1/(1/P38-1/$K$19)</f>
        <v>98.174881973921117</v>
      </c>
    </row>
    <row r="39" spans="2:23">
      <c r="E39" t="s">
        <v>55</v>
      </c>
      <c r="F39">
        <f>C25/(1+F38)</f>
        <v>0.50460575989645129</v>
      </c>
      <c r="G39">
        <f>C25/(1+F38)^2*G38</f>
        <v>6.0285247830490123E-3</v>
      </c>
      <c r="L39" s="20">
        <v>45288</v>
      </c>
      <c r="M39" s="34">
        <v>-0.28656100000000001</v>
      </c>
      <c r="N39" s="36">
        <v>847.60673796791446</v>
      </c>
      <c r="P39" s="9">
        <v>6.8396499999999998</v>
      </c>
      <c r="Q39" s="9">
        <v>0.10639999999999999</v>
      </c>
      <c r="S39">
        <f>1/(1/P39-1/$K$19)</f>
        <v>26.083727189911635</v>
      </c>
    </row>
    <row r="41" spans="2:23">
      <c r="E41" t="s">
        <v>49</v>
      </c>
      <c r="F41" s="1">
        <v>1091100</v>
      </c>
      <c r="G41" s="1">
        <v>5700</v>
      </c>
      <c r="H41" s="1"/>
    </row>
    <row r="42" spans="2:23">
      <c r="E42" t="s">
        <v>51</v>
      </c>
      <c r="F42" s="1">
        <v>1152700</v>
      </c>
    </row>
    <row r="43" spans="2:23">
      <c r="F43">
        <f>F42/F41</f>
        <v>1.0564567867289891</v>
      </c>
      <c r="G43">
        <f>F42/F41^2*G41</f>
        <v>5.5190208820046173E-3</v>
      </c>
    </row>
    <row r="44" spans="2:23">
      <c r="E44" t="s">
        <v>53</v>
      </c>
      <c r="F44">
        <f>F39*F43</f>
        <v>0.53309417966514472</v>
      </c>
      <c r="G44">
        <f>SQRT((F43*G39)^2+(F39*G43)^2)</f>
        <v>6.9511448032914293E-3</v>
      </c>
    </row>
    <row r="49" spans="3:5">
      <c r="C49" s="1"/>
    </row>
    <row r="50" spans="3:5">
      <c r="C50" s="1"/>
      <c r="D50" s="1"/>
      <c r="E50" s="14" t="s">
        <v>307</v>
      </c>
    </row>
    <row r="51" spans="3:5">
      <c r="C51" s="1"/>
      <c r="D51" s="1"/>
      <c r="E51" s="14"/>
    </row>
    <row r="52" spans="3:5">
      <c r="C52" s="1"/>
      <c r="D52" s="1"/>
      <c r="E52" s="14"/>
    </row>
    <row r="53" spans="3:5">
      <c r="C53" s="1"/>
      <c r="D53" s="1"/>
      <c r="E53" s="14"/>
    </row>
    <row r="54" spans="3:5">
      <c r="C54" s="1"/>
      <c r="D54" s="1"/>
      <c r="E54" s="14"/>
    </row>
    <row r="55" spans="3:5">
      <c r="C55" s="1"/>
      <c r="D55" s="1"/>
      <c r="E55" s="14"/>
    </row>
    <row r="56" spans="3:5">
      <c r="C56" s="1"/>
      <c r="D56" s="1"/>
      <c r="E56" s="14"/>
    </row>
    <row r="57" spans="3:5">
      <c r="C57" s="1"/>
      <c r="D57" s="1"/>
      <c r="E57" s="14"/>
    </row>
    <row r="58" spans="3:5">
      <c r="C58" s="1"/>
      <c r="D58" s="1"/>
      <c r="E58" s="14"/>
    </row>
    <row r="59" spans="3:5">
      <c r="C59" s="1"/>
      <c r="D59" s="1"/>
      <c r="E59" s="14"/>
    </row>
    <row r="60" spans="3:5">
      <c r="C60" s="1"/>
      <c r="D60" s="1"/>
      <c r="E60" s="14"/>
    </row>
    <row r="61" spans="3:5">
      <c r="C61" s="1"/>
      <c r="D61" s="1"/>
      <c r="E61" s="14"/>
    </row>
    <row r="62" spans="3:5">
      <c r="C62" s="1"/>
      <c r="D62" s="1"/>
      <c r="E62" s="14"/>
    </row>
    <row r="63" spans="3:5">
      <c r="C63" s="1"/>
      <c r="D63" s="1"/>
      <c r="E63" s="14"/>
    </row>
    <row r="64" spans="3:5">
      <c r="C64" s="1"/>
      <c r="D64" s="1"/>
      <c r="E64" s="14"/>
    </row>
    <row r="65" spans="3:5">
      <c r="C65" s="1"/>
      <c r="D65" s="1"/>
      <c r="E65" s="14"/>
    </row>
    <row r="66" spans="3:5">
      <c r="C66" s="1"/>
      <c r="D66" s="1"/>
      <c r="E66" s="14"/>
    </row>
    <row r="67" spans="3:5">
      <c r="C67" s="1"/>
      <c r="D67" s="1"/>
      <c r="E67" s="14"/>
    </row>
    <row r="68" spans="3:5">
      <c r="C68" s="1"/>
      <c r="D68" s="1"/>
      <c r="E68" s="14"/>
    </row>
    <row r="69" spans="3:5">
      <c r="C69" s="1"/>
      <c r="D69" s="1"/>
      <c r="E69" s="14"/>
    </row>
    <row r="70" spans="3:5">
      <c r="C70" s="1"/>
      <c r="D70" s="1"/>
      <c r="E70" s="14"/>
    </row>
    <row r="71" spans="3:5">
      <c r="C71" s="1"/>
      <c r="D71" s="1"/>
      <c r="E71" s="14"/>
    </row>
    <row r="72" spans="3:5">
      <c r="C72" s="1"/>
      <c r="D72" s="1"/>
      <c r="E72" s="14"/>
    </row>
    <row r="73" spans="3:5">
      <c r="C73" s="1"/>
      <c r="D73" s="1"/>
      <c r="E73" s="14"/>
    </row>
    <row r="74" spans="3:5">
      <c r="C74" s="1"/>
      <c r="D74" s="1"/>
      <c r="E74" s="14"/>
    </row>
    <row r="75" spans="3:5">
      <c r="C75" s="1"/>
      <c r="D75" s="1"/>
      <c r="E75" s="14"/>
    </row>
    <row r="76" spans="3:5">
      <c r="C76" s="1"/>
      <c r="D76" s="1"/>
      <c r="E76" s="14"/>
    </row>
    <row r="77" spans="3:5">
      <c r="C77" s="1"/>
      <c r="D77" s="1"/>
      <c r="E77" s="14"/>
    </row>
    <row r="78" spans="3:5">
      <c r="C78" s="1"/>
      <c r="D78" s="1"/>
      <c r="E78" s="14"/>
    </row>
    <row r="79" spans="3:5">
      <c r="C79" s="1"/>
      <c r="D79" s="1"/>
      <c r="E79" s="14"/>
    </row>
    <row r="80" spans="3:5">
      <c r="C80" s="1"/>
      <c r="D80" s="1"/>
      <c r="E80" s="1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77F7-243D-7F47-B000-733F559DF89C}">
  <dimension ref="A1:N49"/>
  <sheetViews>
    <sheetView workbookViewId="0">
      <selection activeCell="F25" sqref="F25"/>
    </sheetView>
  </sheetViews>
  <sheetFormatPr defaultColWidth="11.07421875" defaultRowHeight="20"/>
  <sheetData>
    <row r="1" spans="1:14">
      <c r="A1" t="s">
        <v>179</v>
      </c>
      <c r="C1" s="1"/>
      <c r="D1" t="s">
        <v>181</v>
      </c>
    </row>
    <row r="2" spans="1:14">
      <c r="A2" t="s">
        <v>28</v>
      </c>
      <c r="B2" t="s">
        <v>180</v>
      </c>
      <c r="C2" s="1"/>
      <c r="D2" t="s">
        <v>27</v>
      </c>
      <c r="E2" t="s">
        <v>180</v>
      </c>
    </row>
    <row r="3" spans="1:14">
      <c r="A3" s="37">
        <v>1</v>
      </c>
      <c r="B3">
        <v>28135.885983388402</v>
      </c>
      <c r="C3" s="1"/>
      <c r="D3">
        <v>1</v>
      </c>
      <c r="E3">
        <v>26824.5659859427</v>
      </c>
    </row>
    <row r="4" spans="1:14">
      <c r="A4" s="37">
        <v>10</v>
      </c>
      <c r="B4" s="1">
        <v>8.6021122405203199E+63</v>
      </c>
      <c r="C4" s="1"/>
      <c r="D4">
        <v>10</v>
      </c>
      <c r="E4" s="1">
        <v>1.8200061298277499E+214</v>
      </c>
    </row>
    <row r="5" spans="1:14">
      <c r="A5" s="37">
        <v>0.1</v>
      </c>
      <c r="B5">
        <v>20502.9004367706</v>
      </c>
      <c r="C5" s="1"/>
      <c r="D5">
        <v>0.1</v>
      </c>
      <c r="E5">
        <v>18889.248112225399</v>
      </c>
    </row>
    <row r="6" spans="1:14">
      <c r="A6" s="37">
        <v>0.01</v>
      </c>
      <c r="B6">
        <v>2350.11371729844</v>
      </c>
      <c r="C6" s="1"/>
      <c r="D6">
        <v>0.01</v>
      </c>
      <c r="E6">
        <v>3531.5308648025298</v>
      </c>
    </row>
    <row r="7" spans="1:14">
      <c r="A7" s="37">
        <v>1E-3</v>
      </c>
      <c r="B7">
        <v>77.952076597977793</v>
      </c>
      <c r="C7" s="1"/>
      <c r="D7">
        <v>1E-3</v>
      </c>
      <c r="E7">
        <v>121.02163952237601</v>
      </c>
    </row>
    <row r="8" spans="1:14">
      <c r="A8" s="37">
        <v>1E-4</v>
      </c>
      <c r="B8">
        <v>16.203806937737301</v>
      </c>
      <c r="C8" s="1"/>
    </row>
    <row r="9" spans="1:14">
      <c r="A9" s="37">
        <v>1.0000000000000001E-5</v>
      </c>
      <c r="B9">
        <v>12.7064699568236</v>
      </c>
      <c r="C9" s="1"/>
    </row>
    <row r="10" spans="1:14">
      <c r="C10" s="1"/>
      <c r="D10">
        <v>0</v>
      </c>
      <c r="E10">
        <v>12.349468979651499</v>
      </c>
    </row>
    <row r="11" spans="1:14">
      <c r="C11" s="1"/>
    </row>
    <row r="12" spans="1:14">
      <c r="C12" s="1"/>
    </row>
    <row r="13" spans="1:14">
      <c r="C13" s="1"/>
    </row>
    <row r="14" spans="1:14">
      <c r="C14" s="1"/>
    </row>
    <row r="15" spans="1:14">
      <c r="C15" s="1"/>
      <c r="K15">
        <v>20</v>
      </c>
      <c r="L15" s="1">
        <v>89379.804231602902</v>
      </c>
      <c r="M15">
        <v>20</v>
      </c>
      <c r="N15">
        <f>L15/1091140*50.45709164</f>
        <v>4.1331497084510218</v>
      </c>
    </row>
    <row r="16" spans="1:14">
      <c r="A16">
        <v>0</v>
      </c>
      <c r="B16">
        <v>12.349468979651499</v>
      </c>
      <c r="C16" s="1"/>
      <c r="K16">
        <v>40</v>
      </c>
      <c r="L16" s="1">
        <v>165475.23433947301</v>
      </c>
      <c r="M16">
        <v>40</v>
      </c>
      <c r="N16">
        <f t="shared" ref="N16:N49" si="0">L16/1091140*50.45709164</f>
        <v>7.6519961354338264</v>
      </c>
    </row>
    <row r="17" spans="1:14">
      <c r="A17">
        <v>-1</v>
      </c>
      <c r="B17" s="1">
        <v>4.5292578113002797E+60</v>
      </c>
      <c r="C17" s="1"/>
      <c r="K17">
        <v>60</v>
      </c>
      <c r="L17" s="1">
        <v>237909.089285161</v>
      </c>
      <c r="M17">
        <v>60</v>
      </c>
      <c r="N17">
        <f t="shared" si="0"/>
        <v>11.001522004555154</v>
      </c>
    </row>
    <row r="18" spans="1:14">
      <c r="C18" s="1"/>
      <c r="K18">
        <v>80</v>
      </c>
      <c r="L18" s="1">
        <v>314860.57726681698</v>
      </c>
      <c r="M18">
        <v>80</v>
      </c>
      <c r="N18">
        <f t="shared" si="0"/>
        <v>14.55995472714325</v>
      </c>
    </row>
    <row r="19" spans="1:14">
      <c r="C19" s="1"/>
      <c r="K19">
        <v>100</v>
      </c>
      <c r="L19" s="1">
        <v>372958.99763817602</v>
      </c>
      <c r="M19">
        <v>100</v>
      </c>
      <c r="N19">
        <f t="shared" si="0"/>
        <v>17.246573603563238</v>
      </c>
    </row>
    <row r="20" spans="1:14">
      <c r="C20" s="1"/>
      <c r="K20">
        <v>120</v>
      </c>
      <c r="L20" s="1">
        <v>430404.12157832203</v>
      </c>
      <c r="M20">
        <v>120</v>
      </c>
      <c r="N20">
        <f t="shared" si="0"/>
        <v>19.902982389712683</v>
      </c>
    </row>
    <row r="21" spans="1:14">
      <c r="C21" s="1"/>
      <c r="K21">
        <v>140</v>
      </c>
      <c r="L21" s="1">
        <v>471983.37440709397</v>
      </c>
      <c r="M21">
        <v>140</v>
      </c>
      <c r="N21">
        <f t="shared" si="0"/>
        <v>21.825712901199822</v>
      </c>
    </row>
    <row r="22" spans="1:14">
      <c r="C22" s="1"/>
      <c r="K22">
        <v>160</v>
      </c>
      <c r="L22" s="1">
        <v>521956.34050305898</v>
      </c>
      <c r="M22">
        <v>160</v>
      </c>
      <c r="N22">
        <f t="shared" si="0"/>
        <v>24.136590084537172</v>
      </c>
    </row>
    <row r="23" spans="1:14">
      <c r="C23" s="1"/>
      <c r="F23" t="s">
        <v>215</v>
      </c>
      <c r="G23" t="s">
        <v>216</v>
      </c>
      <c r="K23">
        <v>180</v>
      </c>
      <c r="L23" s="1">
        <v>566377.46584717801</v>
      </c>
      <c r="M23">
        <v>180</v>
      </c>
      <c r="N23">
        <f t="shared" si="0"/>
        <v>26.190736016535027</v>
      </c>
    </row>
    <row r="24" spans="1:14">
      <c r="C24" s="1"/>
      <c r="E24" t="s">
        <v>213</v>
      </c>
      <c r="F24">
        <v>11</v>
      </c>
      <c r="K24">
        <v>200</v>
      </c>
      <c r="L24" s="1">
        <v>610601.85997000802</v>
      </c>
      <c r="M24">
        <v>200</v>
      </c>
      <c r="N24">
        <f t="shared" si="0"/>
        <v>28.23578459598323</v>
      </c>
    </row>
    <row r="25" spans="1:14">
      <c r="E25" t="s">
        <v>214</v>
      </c>
      <c r="F25">
        <v>0.33</v>
      </c>
      <c r="K25">
        <v>220</v>
      </c>
      <c r="L25" s="1">
        <v>646866.84003672702</v>
      </c>
      <c r="M25">
        <v>220</v>
      </c>
      <c r="N25">
        <f t="shared" si="0"/>
        <v>29.912769604826476</v>
      </c>
    </row>
    <row r="26" spans="1:14">
      <c r="K26">
        <v>240</v>
      </c>
      <c r="L26" s="1">
        <v>687563.44197933201</v>
      </c>
      <c r="M26">
        <v>240</v>
      </c>
      <c r="N26">
        <f t="shared" si="0"/>
        <v>31.794684092110067</v>
      </c>
    </row>
    <row r="27" spans="1:14">
      <c r="K27">
        <v>260</v>
      </c>
      <c r="L27" s="1">
        <v>718250.46695866098</v>
      </c>
      <c r="M27">
        <v>260</v>
      </c>
      <c r="N27">
        <f t="shared" si="0"/>
        <v>33.213730256251218</v>
      </c>
    </row>
    <row r="28" spans="1:14">
      <c r="K28">
        <v>280</v>
      </c>
      <c r="L28" s="1">
        <v>750747.57559187501</v>
      </c>
      <c r="M28">
        <v>280</v>
      </c>
      <c r="N28">
        <f t="shared" si="0"/>
        <v>34.716479297016939</v>
      </c>
    </row>
    <row r="29" spans="1:14">
      <c r="K29">
        <v>300</v>
      </c>
      <c r="L29" s="1">
        <v>794709.03966330504</v>
      </c>
      <c r="M29">
        <v>300</v>
      </c>
      <c r="N29">
        <f t="shared" si="0"/>
        <v>36.749369321469082</v>
      </c>
    </row>
    <row r="30" spans="1:14">
      <c r="K30">
        <v>320</v>
      </c>
      <c r="L30" s="1">
        <v>780350.85274624405</v>
      </c>
      <c r="M30">
        <v>320</v>
      </c>
      <c r="N30">
        <f t="shared" si="0"/>
        <v>36.085410202512399</v>
      </c>
    </row>
    <row r="31" spans="1:14">
      <c r="K31">
        <v>340</v>
      </c>
      <c r="L31" s="1">
        <v>801534.20462261001</v>
      </c>
      <c r="M31">
        <v>340</v>
      </c>
      <c r="N31">
        <f t="shared" si="0"/>
        <v>37.064982326042077</v>
      </c>
    </row>
    <row r="32" spans="1:14">
      <c r="K32">
        <v>360</v>
      </c>
      <c r="L32" s="1">
        <v>847731.59167475696</v>
      </c>
      <c r="M32">
        <v>360</v>
      </c>
      <c r="N32">
        <f t="shared" si="0"/>
        <v>39.201267121777477</v>
      </c>
    </row>
    <row r="33" spans="11:14">
      <c r="K33">
        <v>380</v>
      </c>
      <c r="L33" s="1">
        <v>857111.46682754997</v>
      </c>
      <c r="M33">
        <v>380</v>
      </c>
      <c r="N33">
        <f t="shared" si="0"/>
        <v>39.635016429983786</v>
      </c>
    </row>
    <row r="34" spans="11:14">
      <c r="K34">
        <v>400</v>
      </c>
      <c r="L34" s="1">
        <v>858598.601035662</v>
      </c>
      <c r="M34">
        <v>400</v>
      </c>
      <c r="N34">
        <f t="shared" si="0"/>
        <v>39.703785302007255</v>
      </c>
    </row>
    <row r="35" spans="11:14">
      <c r="K35">
        <v>420</v>
      </c>
      <c r="L35" s="1">
        <v>898351.935286992</v>
      </c>
      <c r="M35">
        <v>420</v>
      </c>
      <c r="N35">
        <f t="shared" si="0"/>
        <v>41.542080689688859</v>
      </c>
    </row>
    <row r="36" spans="11:14">
      <c r="K36">
        <v>440</v>
      </c>
      <c r="L36" s="1">
        <v>895685.57023619197</v>
      </c>
      <c r="M36">
        <v>440</v>
      </c>
      <c r="N36">
        <f t="shared" si="0"/>
        <v>41.418781181180414</v>
      </c>
    </row>
    <row r="37" spans="11:14">
      <c r="K37">
        <v>460</v>
      </c>
      <c r="L37" s="1">
        <v>929818.200766586</v>
      </c>
      <c r="M37">
        <v>460</v>
      </c>
      <c r="N37">
        <f t="shared" si="0"/>
        <v>42.997160918506836</v>
      </c>
    </row>
    <row r="38" spans="11:14">
      <c r="K38">
        <v>480</v>
      </c>
      <c r="L38" s="1">
        <v>937864.62078645802</v>
      </c>
      <c r="M38">
        <v>480</v>
      </c>
      <c r="N38">
        <f t="shared" si="0"/>
        <v>43.369247866393096</v>
      </c>
    </row>
    <row r="39" spans="11:14">
      <c r="K39">
        <v>500</v>
      </c>
      <c r="L39" s="1">
        <v>947585.13664289401</v>
      </c>
      <c r="M39">
        <v>500</v>
      </c>
      <c r="N39">
        <f t="shared" si="0"/>
        <v>43.818749268006329</v>
      </c>
    </row>
    <row r="40" spans="11:14">
      <c r="K40">
        <v>520</v>
      </c>
      <c r="L40" s="1">
        <v>946781.61346376606</v>
      </c>
      <c r="M40">
        <v>520</v>
      </c>
      <c r="N40">
        <f t="shared" si="0"/>
        <v>43.781592310435236</v>
      </c>
    </row>
    <row r="41" spans="11:14">
      <c r="K41">
        <v>540</v>
      </c>
      <c r="L41" s="1">
        <v>964771.49891150999</v>
      </c>
      <c r="M41">
        <v>540</v>
      </c>
      <c r="N41">
        <f t="shared" si="0"/>
        <v>44.613490415747037</v>
      </c>
    </row>
    <row r="42" spans="11:14">
      <c r="K42">
        <v>560</v>
      </c>
      <c r="L42" s="1">
        <v>980699.69647872704</v>
      </c>
      <c r="M42">
        <v>560</v>
      </c>
      <c r="N42">
        <f t="shared" si="0"/>
        <v>45.350050824410538</v>
      </c>
    </row>
    <row r="43" spans="11:14">
      <c r="K43">
        <v>580</v>
      </c>
      <c r="L43" s="1">
        <v>999638.01938484597</v>
      </c>
      <c r="M43">
        <v>580</v>
      </c>
      <c r="N43">
        <f t="shared" si="0"/>
        <v>46.22580709251725</v>
      </c>
    </row>
    <row r="44" spans="11:14">
      <c r="K44">
        <v>600</v>
      </c>
      <c r="L44" s="1">
        <v>999498.38373898296</v>
      </c>
      <c r="M44">
        <v>600</v>
      </c>
      <c r="N44">
        <f t="shared" si="0"/>
        <v>46.219349984740504</v>
      </c>
    </row>
    <row r="45" spans="11:14">
      <c r="K45">
        <v>620</v>
      </c>
      <c r="L45" s="1">
        <v>1005075.20902215</v>
      </c>
      <c r="M45">
        <v>620</v>
      </c>
      <c r="N45">
        <f t="shared" si="0"/>
        <v>46.477236584418847</v>
      </c>
    </row>
    <row r="46" spans="11:14">
      <c r="K46">
        <v>640</v>
      </c>
      <c r="L46" s="1">
        <v>1027797.3450324</v>
      </c>
      <c r="M46">
        <v>640</v>
      </c>
      <c r="N46">
        <f t="shared" si="0"/>
        <v>47.52796600404028</v>
      </c>
    </row>
    <row r="47" spans="11:14">
      <c r="K47">
        <v>660</v>
      </c>
      <c r="L47" s="1">
        <v>1016390.78372105</v>
      </c>
      <c r="M47">
        <v>660</v>
      </c>
      <c r="N47">
        <f t="shared" si="0"/>
        <v>47.000497567923858</v>
      </c>
    </row>
    <row r="48" spans="11:14">
      <c r="K48">
        <v>680</v>
      </c>
      <c r="L48" s="1">
        <v>1043827.17404728</v>
      </c>
      <c r="M48">
        <v>680</v>
      </c>
      <c r="N48">
        <f t="shared" si="0"/>
        <v>48.269226109597156</v>
      </c>
    </row>
    <row r="49" spans="11:14">
      <c r="K49">
        <v>700</v>
      </c>
      <c r="L49" s="1">
        <v>1020167.66617084</v>
      </c>
      <c r="M49">
        <v>700</v>
      </c>
      <c r="N49">
        <f t="shared" si="0"/>
        <v>47.175150228336427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7FF8-D325-3A42-BC29-808D352D3881}">
  <dimension ref="A1:Q60"/>
  <sheetViews>
    <sheetView topLeftCell="A2" zoomScale="125" workbookViewId="0">
      <selection activeCell="D6" sqref="D6"/>
    </sheetView>
  </sheetViews>
  <sheetFormatPr defaultColWidth="11.07421875" defaultRowHeight="20"/>
  <cols>
    <col min="5" max="6" width="15" customWidth="1"/>
  </cols>
  <sheetData>
    <row r="1" spans="1:17">
      <c r="B1" t="s">
        <v>154</v>
      </c>
      <c r="D1" t="s">
        <v>155</v>
      </c>
    </row>
    <row r="2" spans="1:17">
      <c r="A2" t="s">
        <v>130</v>
      </c>
      <c r="B2">
        <v>5.8</v>
      </c>
      <c r="C2" t="s">
        <v>133</v>
      </c>
      <c r="D2">
        <v>12</v>
      </c>
      <c r="E2" t="s">
        <v>133</v>
      </c>
      <c r="F2" t="s">
        <v>156</v>
      </c>
      <c r="N2" t="s">
        <v>148</v>
      </c>
      <c r="P2" t="s">
        <v>151</v>
      </c>
    </row>
    <row r="3" spans="1:17">
      <c r="A3" t="s">
        <v>131</v>
      </c>
      <c r="B3">
        <v>20</v>
      </c>
      <c r="C3" t="s">
        <v>132</v>
      </c>
      <c r="M3" t="s">
        <v>147</v>
      </c>
      <c r="N3" t="s">
        <v>150</v>
      </c>
      <c r="O3" t="s">
        <v>149</v>
      </c>
      <c r="P3" t="s">
        <v>150</v>
      </c>
      <c r="Q3" t="s">
        <v>149</v>
      </c>
    </row>
    <row r="4" spans="1:17">
      <c r="M4">
        <v>0</v>
      </c>
      <c r="N4">
        <f>$C$25*(1-EXP(-1/$C$20*M4))</f>
        <v>0</v>
      </c>
      <c r="O4">
        <f>N4*COS($B$2*PI()/180)^(M4*60/20)</f>
        <v>0</v>
      </c>
      <c r="P4">
        <f>EXP(-M4/$C$22)</f>
        <v>1</v>
      </c>
      <c r="Q4">
        <f>P4*COS($B$2*PI()/180)^(M4*60/20)</f>
        <v>1</v>
      </c>
    </row>
    <row r="5" spans="1:17">
      <c r="A5" t="s">
        <v>134</v>
      </c>
      <c r="B5" t="s">
        <v>139</v>
      </c>
      <c r="M5">
        <v>1</v>
      </c>
      <c r="N5">
        <f>$C$25*(1-EXP(-1/$C$20*M5))</f>
        <v>7.8330162894648753E-2</v>
      </c>
      <c r="O5">
        <f>N5*COS($B$2*PI()/180)^(M5*60/20)</f>
        <v>7.7133326080807724E-2</v>
      </c>
      <c r="P5">
        <f t="shared" ref="P5:P54" si="0">EXP(-M5/$C$22)</f>
        <v>0.91174029619906471</v>
      </c>
      <c r="Q5">
        <f t="shared" ref="Q5:Q54" si="1">P5*COS($B$2*PI()/180)^(M5*60/20)</f>
        <v>0.89780946405435191</v>
      </c>
    </row>
    <row r="6" spans="1:17">
      <c r="A6">
        <v>0</v>
      </c>
      <c r="B6" s="14">
        <f>1-COS($B$2*PI()/180)^(A6/(20/60))</f>
        <v>0</v>
      </c>
      <c r="D6" s="14">
        <f>1-COS($D$2*PI()/180)^(A6/(20/60))</f>
        <v>0</v>
      </c>
      <c r="F6" t="s">
        <v>157</v>
      </c>
      <c r="M6">
        <v>2</v>
      </c>
      <c r="N6">
        <f t="shared" ref="N6:N54" si="2">$C$25*(1-EXP(-1/$C$20*M6))</f>
        <v>0.14324447069836158</v>
      </c>
      <c r="O6">
        <f t="shared" ref="O6:O24" si="3">N6*COS($B$2*PI()/180)^(M6*60/20)</f>
        <v>0.13890053730975327</v>
      </c>
      <c r="P6">
        <f t="shared" si="0"/>
        <v>0.83127036771315821</v>
      </c>
      <c r="Q6">
        <f t="shared" si="1"/>
        <v>0.80606183374556273</v>
      </c>
    </row>
    <row r="7" spans="1:17">
      <c r="A7">
        <f>20/60</f>
        <v>0.33333333333333331</v>
      </c>
      <c r="B7" s="14">
        <f>1-COS($B$2*PI()/180)^(A7/(20/60))</f>
        <v>5.1192911712117928E-3</v>
      </c>
      <c r="D7" s="14">
        <f>1-COS($D$2*PI()/180)^(A7/(20/60))</f>
        <v>2.1852399266194311E-2</v>
      </c>
      <c r="M7">
        <v>3</v>
      </c>
      <c r="N7">
        <f t="shared" si="2"/>
        <v>0.19704069940406038</v>
      </c>
      <c r="O7">
        <f t="shared" si="3"/>
        <v>0.18814601683182333</v>
      </c>
      <c r="P7">
        <f t="shared" si="0"/>
        <v>0.7579026912803003</v>
      </c>
      <c r="Q7">
        <f t="shared" si="1"/>
        <v>0.72368994294977185</v>
      </c>
    </row>
    <row r="8" spans="1:17">
      <c r="A8">
        <v>2</v>
      </c>
      <c r="B8" s="14">
        <f t="shared" ref="B8:B16" si="4">1-COS($B$2*PI()/180)^(A8/(20/60))</f>
        <v>3.0325312854522557E-2</v>
      </c>
      <c r="D8" s="14">
        <f t="shared" ref="D8:D16" si="5">1-COS($D$2*PI()/180)^(A8/(20/60))</f>
        <v>0.12415679696352744</v>
      </c>
      <c r="M8">
        <v>4</v>
      </c>
      <c r="N8">
        <f t="shared" si="2"/>
        <v>0.24162307763270613</v>
      </c>
      <c r="O8">
        <f t="shared" si="3"/>
        <v>0.22719068931458955</v>
      </c>
      <c r="P8">
        <f t="shared" si="0"/>
        <v>0.69101042423796921</v>
      </c>
      <c r="Q8">
        <f t="shared" si="1"/>
        <v>0.64973567982125913</v>
      </c>
    </row>
    <row r="9" spans="1:17">
      <c r="A9">
        <v>3</v>
      </c>
      <c r="B9" s="14">
        <f t="shared" si="4"/>
        <v>4.514134693562577E-2</v>
      </c>
      <c r="D9" s="14">
        <f t="shared" si="5"/>
        <v>0.1803290453320735</v>
      </c>
      <c r="M9">
        <v>5</v>
      </c>
      <c r="N9">
        <f t="shared" si="2"/>
        <v>0.27856969073816118</v>
      </c>
      <c r="O9">
        <f t="shared" si="3"/>
        <v>0.25792830780378045</v>
      </c>
      <c r="P9">
        <f t="shared" si="0"/>
        <v>0.63002204887136737</v>
      </c>
      <c r="Q9">
        <f t="shared" si="1"/>
        <v>0.5833388424773146</v>
      </c>
    </row>
    <row r="10" spans="1:17">
      <c r="A10">
        <v>4</v>
      </c>
      <c r="B10" s="14">
        <f t="shared" si="4"/>
        <v>5.9731001109320392E-2</v>
      </c>
      <c r="D10" s="14">
        <f t="shared" si="5"/>
        <v>0.23289868369481226</v>
      </c>
      <c r="M10">
        <v>6</v>
      </c>
      <c r="N10">
        <f t="shared" si="2"/>
        <v>0.30918834039752563</v>
      </c>
      <c r="O10">
        <f t="shared" si="3"/>
        <v>0.28190402993362096</v>
      </c>
      <c r="P10">
        <f t="shared" si="0"/>
        <v>0.57441648944992219</v>
      </c>
      <c r="Q10">
        <f t="shared" si="1"/>
        <v>0.52372713352664391</v>
      </c>
    </row>
    <row r="11" spans="1:17">
      <c r="A11">
        <v>5</v>
      </c>
      <c r="B11" s="14">
        <f t="shared" si="4"/>
        <v>7.409773432165101E-2</v>
      </c>
      <c r="D11" s="14">
        <f t="shared" si="5"/>
        <v>0.28209676562768005</v>
      </c>
      <c r="M11">
        <v>7</v>
      </c>
      <c r="N11">
        <f t="shared" si="2"/>
        <v>0.3345628369525151</v>
      </c>
      <c r="O11">
        <f t="shared" si="3"/>
        <v>0.30037854111115997</v>
      </c>
      <c r="P11">
        <f t="shared" si="0"/>
        <v>0.52371866023269886</v>
      </c>
      <c r="Q11">
        <f t="shared" si="1"/>
        <v>0.4702071770622781</v>
      </c>
    </row>
    <row r="12" spans="1:17">
      <c r="A12">
        <v>6</v>
      </c>
      <c r="B12" s="14">
        <f t="shared" si="4"/>
        <v>8.8244952668089072E-2</v>
      </c>
      <c r="D12" s="14">
        <f t="shared" si="5"/>
        <v>0.32813952607376995</v>
      </c>
      <c r="G12" t="s">
        <v>140</v>
      </c>
      <c r="M12">
        <v>8</v>
      </c>
      <c r="N12">
        <f t="shared" si="2"/>
        <v>0.35559136311491074</v>
      </c>
      <c r="O12">
        <f t="shared" si="3"/>
        <v>0.31438038310163025</v>
      </c>
      <c r="P12">
        <f t="shared" si="0"/>
        <v>0.47749540640553817</v>
      </c>
      <c r="Q12">
        <f t="shared" si="1"/>
        <v>0.42215645363279369</v>
      </c>
    </row>
    <row r="13" spans="1:17">
      <c r="A13">
        <v>7</v>
      </c>
      <c r="B13" s="14">
        <f t="shared" si="4"/>
        <v>0.10217601020105815</v>
      </c>
      <c r="D13" s="14">
        <f t="shared" si="5"/>
        <v>0.37122933173710371</v>
      </c>
      <c r="G13" t="s">
        <v>141</v>
      </c>
      <c r="M13">
        <v>9</v>
      </c>
      <c r="N13">
        <f t="shared" si="2"/>
        <v>0.37301826699866913</v>
      </c>
      <c r="O13">
        <f t="shared" si="3"/>
        <v>0.32474865746248582</v>
      </c>
      <c r="P13">
        <f t="shared" si="0"/>
        <v>0.43535180326987816</v>
      </c>
      <c r="Q13">
        <f t="shared" si="1"/>
        <v>0.37901605938314437</v>
      </c>
    </row>
    <row r="14" spans="1:17">
      <c r="A14">
        <v>8</v>
      </c>
      <c r="B14" s="14">
        <f t="shared" si="4"/>
        <v>0.11589420972511921</v>
      </c>
      <c r="D14" s="14">
        <f t="shared" si="5"/>
        <v>0.41155557052284819</v>
      </c>
      <c r="G14" t="s">
        <v>142</v>
      </c>
      <c r="M14">
        <v>10</v>
      </c>
      <c r="N14">
        <f t="shared" si="2"/>
        <v>0.38746040985872554</v>
      </c>
      <c r="O14">
        <f t="shared" si="3"/>
        <v>0.33216787423508115</v>
      </c>
      <c r="P14">
        <f t="shared" si="0"/>
        <v>0.39692778206407564</v>
      </c>
      <c r="Q14">
        <f t="shared" si="1"/>
        <v>0.3402842051427733</v>
      </c>
    </row>
    <row r="15" spans="1:17">
      <c r="A15">
        <v>9</v>
      </c>
      <c r="B15" s="14">
        <f t="shared" si="4"/>
        <v>0.12940280358000678</v>
      </c>
      <c r="D15" s="14">
        <f t="shared" si="5"/>
        <v>0.44929548393324159</v>
      </c>
      <c r="K15">
        <f>$C$23/(1+($C$21/$C$22))*(1-EXP(-(1/$C$20+1/$C$22)*J15))</f>
        <v>0</v>
      </c>
      <c r="M15">
        <v>11</v>
      </c>
      <c r="N15">
        <f t="shared" si="2"/>
        <v>0.39942900116912283</v>
      </c>
      <c r="O15">
        <f t="shared" si="3"/>
        <v>0.3371963906617006</v>
      </c>
      <c r="P15">
        <f t="shared" si="0"/>
        <v>0.36189505358873814</v>
      </c>
      <c r="Q15">
        <f t="shared" si="1"/>
        <v>0.30551037984539442</v>
      </c>
    </row>
    <row r="16" spans="1:17">
      <c r="A16">
        <v>10</v>
      </c>
      <c r="B16" s="14">
        <f t="shared" si="4"/>
        <v>0.14270499441169993</v>
      </c>
      <c r="D16" s="14">
        <f t="shared" si="5"/>
        <v>0.48461494607776168</v>
      </c>
      <c r="G16" t="s">
        <v>143</v>
      </c>
      <c r="M16">
        <v>12</v>
      </c>
      <c r="N16">
        <f t="shared" si="2"/>
        <v>0.40934769393815124</v>
      </c>
      <c r="O16">
        <f t="shared" si="3"/>
        <v>0.34028961895140952</v>
      </c>
      <c r="P16">
        <f t="shared" si="0"/>
        <v>0.32995430335197251</v>
      </c>
      <c r="Q16">
        <f t="shared" si="1"/>
        <v>0.2742901103920351</v>
      </c>
    </row>
    <row r="17" spans="1:17">
      <c r="M17">
        <v>13</v>
      </c>
      <c r="N17">
        <f t="shared" si="2"/>
        <v>0.41756758078155215</v>
      </c>
      <c r="O17">
        <f t="shared" si="3"/>
        <v>0.34181896525378946</v>
      </c>
      <c r="P17">
        <f t="shared" si="0"/>
        <v>0.30083263427028345</v>
      </c>
      <c r="Q17">
        <f t="shared" si="1"/>
        <v>0.24626025700648202</v>
      </c>
    </row>
    <row r="18" spans="1:17">
      <c r="C18" t="s">
        <v>152</v>
      </c>
      <c r="D18" t="s">
        <v>150</v>
      </c>
      <c r="E18" t="s">
        <v>153</v>
      </c>
      <c r="G18" t="s">
        <v>144</v>
      </c>
      <c r="M18">
        <v>14</v>
      </c>
      <c r="N18">
        <f t="shared" si="2"/>
        <v>0.42437962157076731</v>
      </c>
      <c r="O18">
        <f t="shared" si="3"/>
        <v>0.34208728502429842</v>
      </c>
      <c r="P18">
        <f t="shared" si="0"/>
        <v>0.27428123507593311</v>
      </c>
      <c r="Q18">
        <f t="shared" si="1"/>
        <v>0.22109478936087659</v>
      </c>
    </row>
    <row r="19" spans="1:17">
      <c r="A19" t="s">
        <v>18</v>
      </c>
      <c r="B19" t="s">
        <v>27</v>
      </c>
      <c r="C19" s="13">
        <v>1306410</v>
      </c>
      <c r="D19" s="2"/>
      <c r="G19" t="s">
        <v>145</v>
      </c>
      <c r="M19">
        <v>15</v>
      </c>
      <c r="N19">
        <f t="shared" si="2"/>
        <v>0.4300249425585112</v>
      </c>
      <c r="O19">
        <f t="shared" si="3"/>
        <v>0.3413414955417346</v>
      </c>
      <c r="P19">
        <f t="shared" si="0"/>
        <v>0.25007325450997653</v>
      </c>
      <c r="Q19">
        <f t="shared" si="1"/>
        <v>0.19850099434129845</v>
      </c>
    </row>
    <row r="20" spans="1:17">
      <c r="B20" t="s">
        <v>135</v>
      </c>
      <c r="C20" s="9">
        <v>5.3229800000000003</v>
      </c>
      <c r="D20" s="2">
        <v>4.1315499999999998</v>
      </c>
      <c r="E20" s="2">
        <v>4.1315499999999998</v>
      </c>
      <c r="F20" s="2"/>
      <c r="G20" t="s">
        <v>146</v>
      </c>
      <c r="M20">
        <v>16</v>
      </c>
      <c r="N20">
        <f t="shared" si="2"/>
        <v>0.43470337154048649</v>
      </c>
      <c r="O20">
        <f t="shared" si="3"/>
        <v>0.33978286847960792</v>
      </c>
      <c r="P20">
        <f t="shared" si="0"/>
        <v>0.22800186313839008</v>
      </c>
      <c r="Q20">
        <f t="shared" si="1"/>
        <v>0.17821607134381709</v>
      </c>
    </row>
    <row r="21" spans="1:17">
      <c r="B21" t="s">
        <v>21</v>
      </c>
      <c r="C21">
        <f>1/(1/C20-1/C22)</f>
        <v>10.475087107602119</v>
      </c>
      <c r="D21">
        <f>1/(1/D20-1/D22)</f>
        <v>7.4535061156574445</v>
      </c>
      <c r="E21">
        <f>1/(1/E20-1/E22)</f>
        <v>6.6827131984247385</v>
      </c>
      <c r="M21">
        <v>17</v>
      </c>
      <c r="N21">
        <f t="shared" si="2"/>
        <v>0.43858051117291919</v>
      </c>
      <c r="O21">
        <f t="shared" si="3"/>
        <v>0.3375754292529447</v>
      </c>
      <c r="P21">
        <f t="shared" si="0"/>
        <v>0.20787848623173441</v>
      </c>
      <c r="Q21">
        <f t="shared" si="1"/>
        <v>0.16000407549906459</v>
      </c>
    </row>
    <row r="22" spans="1:17">
      <c r="B22" t="s">
        <v>22</v>
      </c>
      <c r="C22" s="9">
        <v>10.8225</v>
      </c>
      <c r="D22">
        <v>9.27</v>
      </c>
      <c r="E22">
        <v>10.8225</v>
      </c>
      <c r="M22">
        <v>18</v>
      </c>
      <c r="N22">
        <f t="shared" si="2"/>
        <v>0.44179360082059693</v>
      </c>
      <c r="O22">
        <f t="shared" si="3"/>
        <v>0.33485281137276185</v>
      </c>
      <c r="P22">
        <f t="shared" si="0"/>
        <v>0.18953119261033469</v>
      </c>
      <c r="Q22">
        <f t="shared" si="1"/>
        <v>0.14365317327032723</v>
      </c>
    </row>
    <row r="23" spans="1:17">
      <c r="B23" t="s">
        <v>23</v>
      </c>
      <c r="C23">
        <v>0.9</v>
      </c>
      <c r="D23">
        <v>0.9</v>
      </c>
      <c r="E23">
        <v>0.9</v>
      </c>
      <c r="M23">
        <v>19</v>
      </c>
      <c r="N23">
        <f t="shared" si="2"/>
        <v>0.44445637442762753</v>
      </c>
      <c r="O23">
        <f t="shared" si="3"/>
        <v>0.33172384998812349</v>
      </c>
      <c r="P23">
        <f t="shared" si="0"/>
        <v>0.17280322568950854</v>
      </c>
      <c r="Q23">
        <f t="shared" si="1"/>
        <v>0.12897317850353945</v>
      </c>
    </row>
    <row r="24" spans="1:17" ht="20.5" thickBot="1">
      <c r="B24" t="s">
        <v>35</v>
      </c>
      <c r="C24">
        <f>1+C21/C22</f>
        <v>1.9678990166414525</v>
      </c>
      <c r="D24">
        <f>1+D21/D22</f>
        <v>1.8040459671690878</v>
      </c>
      <c r="E24">
        <f>1+E21/E22</f>
        <v>1.6174833170177627</v>
      </c>
      <c r="M24">
        <v>20</v>
      </c>
      <c r="N24">
        <f t="shared" si="2"/>
        <v>0.44666308636528645</v>
      </c>
      <c r="O24">
        <f t="shared" si="3"/>
        <v>0.32827714652487872</v>
      </c>
      <c r="P24">
        <f t="shared" si="0"/>
        <v>0.15755166417430633</v>
      </c>
      <c r="Q24">
        <f t="shared" si="1"/>
        <v>0.11579334026964902</v>
      </c>
    </row>
    <row r="25" spans="1:17" ht="20.5" thickBot="1">
      <c r="B25" t="s">
        <v>25</v>
      </c>
      <c r="C25" s="16">
        <f>$C$23/(1+($C$21/$C$22))</f>
        <v>0.45734054054054052</v>
      </c>
      <c r="D25" s="17">
        <f>$D$23/(1+($D$21/$D$22))</f>
        <v>0.49887864077669908</v>
      </c>
      <c r="E25" s="17">
        <f>$E$23/(1+($E$21/$E$22))</f>
        <v>0.5564199584199585</v>
      </c>
      <c r="F25" s="18"/>
      <c r="M25">
        <v>21</v>
      </c>
      <c r="N25">
        <f t="shared" si="2"/>
        <v>0.44849184776015266</v>
      </c>
      <c r="O25">
        <f t="shared" ref="O25:O54" si="6">N25*COS($B$2*PI()/180)^(M25*60/20)</f>
        <v>0.32458479367382487</v>
      </c>
      <c r="P25">
        <f t="shared" si="0"/>
        <v>0.14364620096093764</v>
      </c>
      <c r="Q25">
        <f t="shared" si="1"/>
        <v>0.10396035676855678</v>
      </c>
    </row>
    <row r="26" spans="1:17">
      <c r="M26">
        <v>22</v>
      </c>
      <c r="N26">
        <f t="shared" si="2"/>
        <v>0.45000739139875789</v>
      </c>
      <c r="O26">
        <f t="shared" si="6"/>
        <v>0.32070541517071272</v>
      </c>
      <c r="P26">
        <f t="shared" si="0"/>
        <v>0.13096802981199562</v>
      </c>
      <c r="Q26">
        <f t="shared" si="1"/>
        <v>9.3336592193277182E-2</v>
      </c>
    </row>
    <row r="27" spans="1:17">
      <c r="M27">
        <v>23</v>
      </c>
      <c r="N27">
        <f t="shared" si="2"/>
        <v>0.45126336307825887</v>
      </c>
      <c r="O27">
        <f t="shared" si="6"/>
        <v>0.31668664640303529</v>
      </c>
      <c r="P27">
        <f t="shared" si="0"/>
        <v>0.11940883029339683</v>
      </c>
      <c r="Q27">
        <f t="shared" si="1"/>
        <v>8.3798475813705794E-2</v>
      </c>
    </row>
    <row r="28" spans="1:17">
      <c r="A28" t="s">
        <v>136</v>
      </c>
      <c r="B28" t="s">
        <v>125</v>
      </c>
      <c r="C28" t="s">
        <v>137</v>
      </c>
      <c r="D28" t="s">
        <v>138</v>
      </c>
      <c r="M28">
        <v>24</v>
      </c>
      <c r="N28">
        <f t="shared" si="2"/>
        <v>0.45230422051022318</v>
      </c>
      <c r="O28">
        <f t="shared" si="6"/>
        <v>0.31256715869622281</v>
      </c>
      <c r="P28">
        <f t="shared" si="0"/>
        <v>0.10886984230048551</v>
      </c>
      <c r="Q28">
        <f t="shared" si="1"/>
        <v>7.5235064658874806E-2</v>
      </c>
    </row>
    <row r="29" spans="1:17">
      <c r="A29">
        <v>20</v>
      </c>
      <c r="B29" s="1">
        <v>82445.956127931393</v>
      </c>
      <c r="M29">
        <v>25</v>
      </c>
      <c r="N29">
        <f t="shared" si="2"/>
        <v>0.45316680699314921</v>
      </c>
      <c r="O29">
        <f t="shared" si="6"/>
        <v>0.30837831121358855</v>
      </c>
      <c r="P29">
        <f t="shared" si="0"/>
        <v>9.9261022266190102E-2</v>
      </c>
      <c r="Q29">
        <f t="shared" si="1"/>
        <v>6.7546753079478883E-2</v>
      </c>
    </row>
    <row r="30" spans="1:17">
      <c r="A30">
        <v>40</v>
      </c>
      <c r="B30" s="1">
        <v>156410.138731971</v>
      </c>
      <c r="C30" s="1">
        <f>B30-B29</f>
        <v>73964.182604039612</v>
      </c>
      <c r="D30" s="14">
        <f>C30/B30</f>
        <v>0.4728861134174096</v>
      </c>
      <c r="M30">
        <v>26</v>
      </c>
      <c r="N30">
        <f t="shared" si="2"/>
        <v>0.45388165555710908</v>
      </c>
      <c r="O30">
        <f t="shared" si="6"/>
        <v>0.30414549896585025</v>
      </c>
      <c r="P30">
        <f t="shared" si="0"/>
        <v>9.0500273841998102E-2</v>
      </c>
      <c r="Q30">
        <f t="shared" si="1"/>
        <v>6.0644114180898573E-2</v>
      </c>
    </row>
    <row r="31" spans="1:17">
      <c r="A31">
        <v>60</v>
      </c>
      <c r="B31" s="1">
        <v>227444.22955213799</v>
      </c>
      <c r="C31" s="1">
        <f>B31-B30</f>
        <v>71034.090820166981</v>
      </c>
      <c r="D31" s="14">
        <f t="shared" ref="D31:D60" si="7">C31/B31</f>
        <v>0.3123143240874508</v>
      </c>
      <c r="M31">
        <v>27</v>
      </c>
      <c r="N31">
        <f t="shared" si="2"/>
        <v>0.45447406974340843</v>
      </c>
      <c r="O31">
        <f t="shared" si="6"/>
        <v>0.29988925282721662</v>
      </c>
      <c r="P31">
        <f t="shared" si="0"/>
        <v>8.2512746478799817E-2</v>
      </c>
      <c r="Q31">
        <f t="shared" si="1"/>
        <v>5.4446859650803474E-2</v>
      </c>
    </row>
    <row r="32" spans="1:17">
      <c r="A32">
        <v>80</v>
      </c>
      <c r="B32" s="1">
        <v>287073.81785291497</v>
      </c>
      <c r="C32" s="1">
        <f t="shared" ref="C32:C60" si="8">B32-B31</f>
        <v>59629.588300776988</v>
      </c>
      <c r="D32" s="14">
        <f t="shared" si="7"/>
        <v>0.20771517495659872</v>
      </c>
      <c r="M32">
        <v>28</v>
      </c>
      <c r="N32">
        <f t="shared" si="2"/>
        <v>0.45496501927569072</v>
      </c>
      <c r="O32">
        <f t="shared" si="6"/>
        <v>0.29562613717357172</v>
      </c>
      <c r="P32">
        <f t="shared" si="0"/>
        <v>7.5230195914779266E-2</v>
      </c>
      <c r="Q32">
        <f t="shared" si="1"/>
        <v>4.8882905882530379E-2</v>
      </c>
    </row>
    <row r="33" spans="1:17">
      <c r="A33">
        <v>100</v>
      </c>
      <c r="B33" s="1">
        <v>348118.40290163201</v>
      </c>
      <c r="C33" s="1">
        <f t="shared" si="8"/>
        <v>61044.585048717039</v>
      </c>
      <c r="D33" s="14">
        <f t="shared" si="7"/>
        <v>0.17535581152820134</v>
      </c>
      <c r="M33">
        <v>29</v>
      </c>
      <c r="N33">
        <f t="shared" si="2"/>
        <v>0.45537188232661435</v>
      </c>
      <c r="O33">
        <f t="shared" si="6"/>
        <v>0.29136948236795818</v>
      </c>
      <c r="P33">
        <f t="shared" si="0"/>
        <v>6.8590401106454535E-2</v>
      </c>
      <c r="Q33">
        <f t="shared" si="1"/>
        <v>4.3887535531813938E-2</v>
      </c>
    </row>
    <row r="34" spans="1:17">
      <c r="A34">
        <v>120</v>
      </c>
      <c r="B34" s="1">
        <v>401705.64075181901</v>
      </c>
      <c r="C34" s="1">
        <f t="shared" si="8"/>
        <v>53587.237850186997</v>
      </c>
      <c r="D34" s="14">
        <f t="shared" si="7"/>
        <v>0.13339926656218939</v>
      </c>
      <c r="M34">
        <v>30</v>
      </c>
      <c r="N34">
        <f t="shared" si="2"/>
        <v>0.45570906065416533</v>
      </c>
      <c r="O34">
        <f t="shared" si="6"/>
        <v>0.28712998247151078</v>
      </c>
      <c r="P34">
        <f t="shared" si="0"/>
        <v>6.2536632621211508E-2</v>
      </c>
      <c r="Q34">
        <f t="shared" si="1"/>
        <v>3.9402644754484205E-2</v>
      </c>
    </row>
    <row r="35" spans="1:17">
      <c r="A35">
        <v>140</v>
      </c>
      <c r="B35" s="1">
        <v>439075.15339022799</v>
      </c>
      <c r="C35" s="1">
        <f t="shared" si="8"/>
        <v>37369.512638408982</v>
      </c>
      <c r="D35" s="14">
        <f t="shared" si="7"/>
        <v>8.5109604471735684E-2</v>
      </c>
      <c r="M35">
        <v>31</v>
      </c>
      <c r="N35">
        <f t="shared" si="2"/>
        <v>0.45598848938162534</v>
      </c>
      <c r="O35">
        <f t="shared" si="6"/>
        <v>0.28291618297035598</v>
      </c>
      <c r="P35">
        <f t="shared" si="0"/>
        <v>5.7017167949355463E-2</v>
      </c>
      <c r="Q35">
        <f t="shared" si="1"/>
        <v>3.537606736934748E-2</v>
      </c>
    </row>
    <row r="36" spans="1:17">
      <c r="A36">
        <v>160</v>
      </c>
      <c r="B36" s="1">
        <v>508795.347885961</v>
      </c>
      <c r="C36" s="1">
        <f t="shared" si="8"/>
        <v>69720.194495733012</v>
      </c>
      <c r="D36" s="14">
        <f t="shared" si="7"/>
        <v>0.13702993705704983</v>
      </c>
      <c r="M36">
        <v>32</v>
      </c>
      <c r="N36">
        <f t="shared" si="2"/>
        <v>0.45622005946590988</v>
      </c>
      <c r="O36">
        <f t="shared" si="6"/>
        <v>0.27873487874912545</v>
      </c>
      <c r="P36">
        <f t="shared" si="0"/>
        <v>5.1984849594577158E-2</v>
      </c>
      <c r="Q36">
        <f t="shared" si="1"/>
        <v>3.1760968085224502E-2</v>
      </c>
    </row>
    <row r="37" spans="1:17">
      <c r="A37">
        <v>180</v>
      </c>
      <c r="B37" s="1">
        <v>535323.65861507296</v>
      </c>
      <c r="C37" s="1">
        <f t="shared" si="8"/>
        <v>26528.310729111952</v>
      </c>
      <c r="D37" s="14">
        <f t="shared" si="7"/>
        <v>4.9555647881774752E-2</v>
      </c>
      <c r="M37">
        <v>33</v>
      </c>
      <c r="N37">
        <f t="shared" si="2"/>
        <v>0.45641196780841647</v>
      </c>
      <c r="O37">
        <f t="shared" si="6"/>
        <v>0.2745914388205854</v>
      </c>
      <c r="P37">
        <f t="shared" si="0"/>
        <v>4.7396682167223626E-2</v>
      </c>
      <c r="Q37">
        <f t="shared" si="1"/>
        <v>2.8515297734442797E-2</v>
      </c>
    </row>
    <row r="38" spans="1:17">
      <c r="A38">
        <v>200</v>
      </c>
      <c r="B38" s="1">
        <v>569196.70135184797</v>
      </c>
      <c r="C38" s="1">
        <f t="shared" si="8"/>
        <v>33873.042736775009</v>
      </c>
      <c r="D38" s="14">
        <f t="shared" si="7"/>
        <v>5.9510258327791055E-2</v>
      </c>
      <c r="M38">
        <v>34</v>
      </c>
      <c r="N38">
        <f t="shared" si="2"/>
        <v>0.45657100740127837</v>
      </c>
      <c r="O38">
        <f t="shared" si="6"/>
        <v>0.27049007128418562</v>
      </c>
      <c r="P38">
        <f t="shared" si="0"/>
        <v>4.3213465037997389E-2</v>
      </c>
      <c r="Q38">
        <f t="shared" si="1"/>
        <v>2.560130417631036E-2</v>
      </c>
    </row>
    <row r="39" spans="1:17">
      <c r="A39">
        <v>220</v>
      </c>
      <c r="B39" s="1">
        <v>621611.04908805306</v>
      </c>
      <c r="C39" s="1">
        <f t="shared" si="8"/>
        <v>52414.347736205091</v>
      </c>
      <c r="D39" s="14">
        <f t="shared" si="7"/>
        <v>8.4320167431226667E-2</v>
      </c>
      <c r="M39">
        <v>35</v>
      </c>
      <c r="N39">
        <f t="shared" si="2"/>
        <v>0.45670280777935107</v>
      </c>
      <c r="O39">
        <f t="shared" si="6"/>
        <v>0.26643403950819777</v>
      </c>
      <c r="P39">
        <f t="shared" si="0"/>
        <v>3.9399457413531659E-2</v>
      </c>
      <c r="Q39">
        <f t="shared" si="1"/>
        <v>2.2985093181625643E-2</v>
      </c>
    </row>
    <row r="40" spans="1:17">
      <c r="A40">
        <v>240</v>
      </c>
      <c r="B40" s="1">
        <v>660124.58844466205</v>
      </c>
      <c r="C40" s="1">
        <f t="shared" si="8"/>
        <v>38513.539356608992</v>
      </c>
      <c r="D40" s="14">
        <f t="shared" si="7"/>
        <v>5.8342834111590684E-2</v>
      </c>
      <c r="M40">
        <v>36</v>
      </c>
      <c r="N40">
        <f t="shared" si="2"/>
        <v>0.45681203428922529</v>
      </c>
      <c r="O40">
        <f t="shared" si="6"/>
        <v>0.26242583850778833</v>
      </c>
      <c r="P40">
        <f t="shared" si="0"/>
        <v>3.5922072972295785E-2</v>
      </c>
      <c r="Q40">
        <f t="shared" si="1"/>
        <v>2.0636234190634657E-2</v>
      </c>
    </row>
    <row r="41" spans="1:17">
      <c r="A41">
        <v>260</v>
      </c>
      <c r="B41" s="1">
        <v>693471.02875269495</v>
      </c>
      <c r="C41" s="1">
        <f t="shared" si="8"/>
        <v>33346.440308032907</v>
      </c>
      <c r="D41" s="14">
        <f t="shared" si="7"/>
        <v>4.8086277472919325E-2</v>
      </c>
      <c r="M41">
        <v>37</v>
      </c>
      <c r="N41">
        <f t="shared" si="2"/>
        <v>0.45690255322880458</v>
      </c>
      <c r="O41">
        <f t="shared" si="6"/>
        <v>0.25846733884102951</v>
      </c>
      <c r="P41">
        <f t="shared" si="0"/>
        <v>3.2751601451845372E-2</v>
      </c>
      <c r="Q41">
        <f t="shared" si="1"/>
        <v>1.852740635879379E-2</v>
      </c>
    </row>
    <row r="42" spans="1:17">
      <c r="A42">
        <v>280</v>
      </c>
      <c r="B42" s="1">
        <v>703877.73325016</v>
      </c>
      <c r="C42" s="1">
        <f t="shared" si="8"/>
        <v>10406.704497465049</v>
      </c>
      <c r="D42" s="14">
        <f t="shared" si="7"/>
        <v>1.4784818450517E-2</v>
      </c>
      <c r="M42">
        <v>38</v>
      </c>
      <c r="N42">
        <f t="shared" si="2"/>
        <v>0.45697756870290518</v>
      </c>
      <c r="O42">
        <f t="shared" si="6"/>
        <v>0.25455990399806555</v>
      </c>
      <c r="P42">
        <f t="shared" si="0"/>
        <v>2.9860954808699228E-2</v>
      </c>
      <c r="Q42">
        <f t="shared" si="1"/>
        <v>1.6634080773305852E-2</v>
      </c>
    </row>
    <row r="43" spans="1:17">
      <c r="A43">
        <v>300</v>
      </c>
      <c r="B43" s="1">
        <v>763565.87339119299</v>
      </c>
      <c r="C43" s="1">
        <f t="shared" si="8"/>
        <v>59688.140141032985</v>
      </c>
      <c r="D43" s="14">
        <f t="shared" si="7"/>
        <v>7.817025645206295E-2</v>
      </c>
      <c r="M43">
        <v>39</v>
      </c>
      <c r="N43">
        <f t="shared" si="2"/>
        <v>0.45703973603916309</v>
      </c>
      <c r="O43">
        <f t="shared" si="6"/>
        <v>0.25070448615958524</v>
      </c>
      <c r="P43">
        <f t="shared" si="0"/>
        <v>2.7225435782070314E-2</v>
      </c>
      <c r="Q43">
        <f t="shared" si="1"/>
        <v>1.4934235144118525E-2</v>
      </c>
    </row>
    <row r="44" spans="1:17">
      <c r="A44">
        <v>320</v>
      </c>
      <c r="B44" s="1">
        <v>741756.95222641702</v>
      </c>
      <c r="C44" s="1">
        <f t="shared" si="8"/>
        <v>-21808.921164775966</v>
      </c>
      <c r="D44" s="14">
        <f t="shared" si="7"/>
        <v>-2.940170779568092E-2</v>
      </c>
      <c r="M44">
        <v>40</v>
      </c>
      <c r="N44">
        <f t="shared" si="2"/>
        <v>0.45709125577883997</v>
      </c>
      <c r="O44">
        <f t="shared" si="6"/>
        <v>0.24690170430384731</v>
      </c>
      <c r="P44">
        <f t="shared" si="0"/>
        <v>2.48225268840934E-2</v>
      </c>
      <c r="Q44">
        <f t="shared" si="1"/>
        <v>1.340809765080272E-2</v>
      </c>
    </row>
    <row r="45" spans="1:17">
      <c r="A45">
        <v>340</v>
      </c>
      <c r="B45" s="1">
        <v>782439.29479284596</v>
      </c>
      <c r="C45" s="1">
        <f t="shared" si="8"/>
        <v>40682.342566428939</v>
      </c>
      <c r="D45" s="14">
        <f t="shared" si="7"/>
        <v>5.1994247780206074E-2</v>
      </c>
      <c r="M45">
        <v>41</v>
      </c>
      <c r="N45">
        <f t="shared" si="2"/>
        <v>0.45713395156952596</v>
      </c>
      <c r="O45">
        <f t="shared" si="6"/>
        <v>0.24315190790956892</v>
      </c>
      <c r="P45">
        <f t="shared" si="0"/>
        <v>2.2631698013712561E-2</v>
      </c>
      <c r="Q45">
        <f t="shared" si="1"/>
        <v>1.2037916965855603E-2</v>
      </c>
    </row>
    <row r="46" spans="1:17">
      <c r="A46">
        <v>360</v>
      </c>
      <c r="B46" s="1">
        <v>778289.37360307004</v>
      </c>
      <c r="C46" s="1">
        <f t="shared" si="8"/>
        <v>-4149.9211897759233</v>
      </c>
      <c r="D46" s="14">
        <f t="shared" si="7"/>
        <v>-5.3321056801327931E-3</v>
      </c>
      <c r="M46">
        <v>42</v>
      </c>
      <c r="N46">
        <f t="shared" si="2"/>
        <v>0.45716933471691262</v>
      </c>
      <c r="O46">
        <f t="shared" si="6"/>
        <v>0.23945522890468346</v>
      </c>
      <c r="P46">
        <f t="shared" si="0"/>
        <v>2.0634231050510082E-2</v>
      </c>
      <c r="Q46">
        <f t="shared" si="1"/>
        <v>1.0807755779445613E-2</v>
      </c>
    </row>
    <row r="47" spans="1:17">
      <c r="A47">
        <v>380</v>
      </c>
      <c r="B47" s="1">
        <v>818162.94055084302</v>
      </c>
      <c r="C47" s="1">
        <f t="shared" si="8"/>
        <v>39873.566947772983</v>
      </c>
      <c r="D47" s="14">
        <f t="shared" si="7"/>
        <v>4.8735484060091233E-2</v>
      </c>
      <c r="M47">
        <v>43</v>
      </c>
      <c r="N47">
        <f t="shared" si="2"/>
        <v>0.45719865768057866</v>
      </c>
      <c r="O47">
        <f t="shared" si="6"/>
        <v>0.23581162402353473</v>
      </c>
      <c r="P47">
        <f t="shared" si="0"/>
        <v>1.8813059929831996E-2</v>
      </c>
      <c r="Q47">
        <f t="shared" si="1"/>
        <v>9.7033054239743892E-3</v>
      </c>
    </row>
    <row r="48" spans="1:17">
      <c r="A48">
        <v>400</v>
      </c>
      <c r="B48" s="1">
        <v>832896.94915429398</v>
      </c>
      <c r="C48" s="1">
        <f t="shared" si="8"/>
        <v>14734.008603450959</v>
      </c>
      <c r="D48" s="14">
        <f t="shared" si="7"/>
        <v>1.7690073926206071E-2</v>
      </c>
      <c r="M48">
        <v>44</v>
      </c>
      <c r="N48">
        <f t="shared" si="2"/>
        <v>0.45722295840738419</v>
      </c>
      <c r="O48">
        <f t="shared" si="6"/>
        <v>0.2322209093372932</v>
      </c>
      <c r="P48">
        <f t="shared" si="0"/>
        <v>1.7152624832835778E-2</v>
      </c>
      <c r="Q48">
        <f t="shared" si="1"/>
        <v>8.7117194422541323E-3</v>
      </c>
    </row>
    <row r="49" spans="1:17">
      <c r="A49">
        <v>420</v>
      </c>
      <c r="B49" s="1">
        <v>850474.82485568605</v>
      </c>
      <c r="C49" s="1">
        <f t="shared" si="8"/>
        <v>17577.875701392069</v>
      </c>
      <c r="D49" s="14">
        <f t="shared" si="7"/>
        <v>2.0668308088219772E-2</v>
      </c>
      <c r="M49">
        <v>45</v>
      </c>
      <c r="N49">
        <f t="shared" si="2"/>
        <v>0.45724309707174299</v>
      </c>
      <c r="O49">
        <f t="shared" si="6"/>
        <v>0.22868278839776354</v>
      </c>
      <c r="P49">
        <f t="shared" si="0"/>
        <v>1.5638739245681123E-2</v>
      </c>
      <c r="Q49">
        <f t="shared" si="1"/>
        <v>7.8214641634420604E-3</v>
      </c>
    </row>
    <row r="50" spans="1:17">
      <c r="A50">
        <v>440</v>
      </c>
      <c r="B50" s="1">
        <v>863445.79383054702</v>
      </c>
      <c r="C50" s="1">
        <f t="shared" si="8"/>
        <v>12970.968974860967</v>
      </c>
      <c r="D50" s="14">
        <f t="shared" si="7"/>
        <v>1.5022331532031931E-2</v>
      </c>
      <c r="M50">
        <v>46</v>
      </c>
      <c r="N50">
        <f t="shared" si="2"/>
        <v>0.4572597865232727</v>
      </c>
      <c r="O50">
        <f t="shared" si="6"/>
        <v>0.22519687516984688</v>
      </c>
      <c r="P50">
        <f t="shared" si="0"/>
        <v>1.4258468752037243E-2</v>
      </c>
      <c r="Q50">
        <f t="shared" si="1"/>
        <v>7.0221845487002344E-3</v>
      </c>
    </row>
    <row r="51" spans="1:17">
      <c r="A51">
        <v>460</v>
      </c>
      <c r="B51" s="1">
        <v>887483.66217736003</v>
      </c>
      <c r="C51" s="1">
        <f t="shared" si="8"/>
        <v>24037.868346813018</v>
      </c>
      <c r="D51" s="14">
        <f t="shared" si="7"/>
        <v>2.7085420691394257E-2</v>
      </c>
      <c r="M51">
        <v>47</v>
      </c>
      <c r="N51">
        <f t="shared" si="2"/>
        <v>0.45727361751957918</v>
      </c>
      <c r="O51">
        <f t="shared" si="6"/>
        <v>0.22176271271173981</v>
      </c>
      <c r="P51">
        <f t="shared" si="0"/>
        <v>1.3000020523327542E-2</v>
      </c>
      <c r="Q51">
        <f t="shared" si="1"/>
        <v>6.3045837461593078E-3</v>
      </c>
    </row>
    <row r="52" spans="1:17">
      <c r="A52">
        <v>480</v>
      </c>
      <c r="B52" s="1">
        <v>900854.25316948898</v>
      </c>
      <c r="C52" s="1">
        <f t="shared" si="8"/>
        <v>13370.590992128942</v>
      </c>
      <c r="D52" s="14">
        <f t="shared" si="7"/>
        <v>1.4842124511359071E-2</v>
      </c>
      <c r="M52">
        <v>48</v>
      </c>
      <c r="N52">
        <f t="shared" si="2"/>
        <v>0.45728507963734177</v>
      </c>
      <c r="O52">
        <f t="shared" si="6"/>
        <v>0.21837978838553479</v>
      </c>
      <c r="P52">
        <f t="shared" si="0"/>
        <v>1.1852642562532583E-2</v>
      </c>
      <c r="Q52">
        <f t="shared" si="1"/>
        <v>5.660314954225071E-3</v>
      </c>
    </row>
    <row r="53" spans="1:17">
      <c r="A53">
        <v>500</v>
      </c>
      <c r="B53" s="1">
        <v>913095.50118612102</v>
      </c>
      <c r="C53" s="1">
        <f t="shared" si="8"/>
        <v>12241.248016632046</v>
      </c>
      <c r="D53" s="14">
        <f t="shared" si="7"/>
        <v>1.3406317302769021E-2</v>
      </c>
      <c r="M53">
        <v>49</v>
      </c>
      <c r="N53">
        <f t="shared" si="2"/>
        <v>0.45729457860189171</v>
      </c>
      <c r="O53">
        <f t="shared" si="6"/>
        <v>0.21504754623691913</v>
      </c>
      <c r="P53">
        <f t="shared" si="0"/>
        <v>1.0806531840705097E-2</v>
      </c>
      <c r="Q53">
        <f t="shared" si="1"/>
        <v>5.0818843354316443E-3</v>
      </c>
    </row>
    <row r="54" spans="1:17">
      <c r="A54">
        <v>520</v>
      </c>
      <c r="B54" s="1">
        <v>920310.365423184</v>
      </c>
      <c r="C54" s="1">
        <f t="shared" si="8"/>
        <v>7214.8642370629823</v>
      </c>
      <c r="D54" s="14">
        <f t="shared" si="7"/>
        <v>7.8395990180393001E-3</v>
      </c>
      <c r="M54">
        <v>50</v>
      </c>
      <c r="N54">
        <f t="shared" si="2"/>
        <v>0.45730245064869751</v>
      </c>
      <c r="O54">
        <f t="shared" si="6"/>
        <v>0.21176539706518147</v>
      </c>
      <c r="P54">
        <f t="shared" si="0"/>
        <v>9.8527505413290879E-3</v>
      </c>
      <c r="Q54">
        <f t="shared" si="1"/>
        <v>4.5625638515800907E-3</v>
      </c>
    </row>
    <row r="55" spans="1:17">
      <c r="A55">
        <v>540</v>
      </c>
      <c r="B55" s="1">
        <v>905998.007853396</v>
      </c>
      <c r="C55" s="1">
        <f t="shared" si="8"/>
        <v>-14312.357569788001</v>
      </c>
      <c r="D55" s="14">
        <f t="shared" si="7"/>
        <v>-1.5797338896692093E-2</v>
      </c>
    </row>
    <row r="56" spans="1:17">
      <c r="A56">
        <v>560</v>
      </c>
      <c r="B56" s="1">
        <v>935419.51322764601</v>
      </c>
      <c r="C56" s="1">
        <f t="shared" si="8"/>
        <v>29421.505374250002</v>
      </c>
      <c r="D56" s="14">
        <f t="shared" si="7"/>
        <v>3.1452738539451346E-2</v>
      </c>
    </row>
    <row r="57" spans="1:17">
      <c r="A57">
        <v>580</v>
      </c>
      <c r="B57" s="1">
        <v>936584.15544345905</v>
      </c>
      <c r="C57" s="1">
        <f t="shared" si="8"/>
        <v>1164.6422158130445</v>
      </c>
      <c r="D57" s="14">
        <f t="shared" si="7"/>
        <v>1.2434998062310838E-3</v>
      </c>
    </row>
    <row r="58" spans="1:17">
      <c r="A58">
        <v>600</v>
      </c>
      <c r="B58" s="1">
        <v>949946.552578729</v>
      </c>
      <c r="C58" s="1">
        <f t="shared" si="8"/>
        <v>13362.397135269945</v>
      </c>
      <c r="D58" s="14">
        <f t="shared" si="7"/>
        <v>1.4066472581006084E-2</v>
      </c>
    </row>
    <row r="59" spans="1:17">
      <c r="A59">
        <v>620</v>
      </c>
      <c r="B59" s="1">
        <v>961397.277558628</v>
      </c>
      <c r="C59" s="1">
        <f t="shared" si="8"/>
        <v>11450.724979899009</v>
      </c>
      <c r="D59" s="14">
        <f t="shared" si="7"/>
        <v>1.1910502814171657E-2</v>
      </c>
    </row>
    <row r="60" spans="1:17">
      <c r="A60">
        <v>640</v>
      </c>
      <c r="B60" s="1">
        <v>994655.64703527803</v>
      </c>
      <c r="C60" s="1">
        <f t="shared" si="8"/>
        <v>33258.369476650027</v>
      </c>
      <c r="D60" s="14">
        <f t="shared" si="7"/>
        <v>3.3437068975360106E-2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D122-665F-A44D-9C67-80D6AA3F234E}">
  <dimension ref="A1:X39"/>
  <sheetViews>
    <sheetView topLeftCell="D1" zoomScale="75" workbookViewId="0">
      <selection activeCell="E29" sqref="E29"/>
    </sheetView>
  </sheetViews>
  <sheetFormatPr defaultColWidth="11.07421875" defaultRowHeight="20"/>
  <cols>
    <col min="1" max="1" width="8.3046875" customWidth="1"/>
    <col min="2" max="2" width="12.69140625" customWidth="1"/>
    <col min="3" max="3" width="12.15234375" customWidth="1"/>
    <col min="4" max="4" width="15.15234375" customWidth="1"/>
    <col min="5" max="5" width="15" customWidth="1"/>
    <col min="6" max="6" width="14.84375" customWidth="1"/>
  </cols>
  <sheetData>
    <row r="1" spans="1:24">
      <c r="D1" t="s">
        <v>56</v>
      </c>
      <c r="E1" t="s">
        <v>57</v>
      </c>
      <c r="F1" t="s">
        <v>60</v>
      </c>
      <c r="G1" t="s">
        <v>64</v>
      </c>
      <c r="H1" t="s">
        <v>59</v>
      </c>
      <c r="I1" t="s">
        <v>58</v>
      </c>
      <c r="J1" t="s">
        <v>65</v>
      </c>
      <c r="K1" t="s">
        <v>67</v>
      </c>
      <c r="L1" t="s">
        <v>39</v>
      </c>
      <c r="N1" t="s">
        <v>123</v>
      </c>
      <c r="O1" t="s">
        <v>63</v>
      </c>
    </row>
    <row r="2" spans="1:24">
      <c r="A2">
        <v>1</v>
      </c>
      <c r="B2" t="s">
        <v>61</v>
      </c>
      <c r="C2" s="19">
        <v>45286.951388888891</v>
      </c>
      <c r="D2">
        <v>36.5</v>
      </c>
      <c r="E2">
        <f>D2*60</f>
        <v>2190</v>
      </c>
      <c r="F2">
        <v>2180</v>
      </c>
      <c r="G2" t="s">
        <v>8</v>
      </c>
      <c r="H2" s="1">
        <v>1048044.08001205</v>
      </c>
      <c r="I2" s="1">
        <f>H2/P7</f>
        <v>1091732.1522996316</v>
      </c>
      <c r="O2" t="s">
        <v>3</v>
      </c>
    </row>
    <row r="3" spans="1:24">
      <c r="B3" t="s">
        <v>62</v>
      </c>
      <c r="C3" s="19">
        <v>45287.270833333336</v>
      </c>
      <c r="D3">
        <v>44</v>
      </c>
      <c r="E3">
        <f>D3*60</f>
        <v>2640</v>
      </c>
      <c r="F3">
        <v>2640</v>
      </c>
      <c r="G3" t="s">
        <v>8</v>
      </c>
      <c r="H3" s="1">
        <v>1006245.62740037</v>
      </c>
      <c r="I3" s="1">
        <f>H3/P7</f>
        <v>1048191.3170400891</v>
      </c>
      <c r="J3">
        <f>(I3-I2)/(D3-D2)</f>
        <v>-5805.4447012723422</v>
      </c>
      <c r="K3" s="9">
        <v>-7071.93</v>
      </c>
      <c r="L3" s="9" t="s">
        <v>70</v>
      </c>
      <c r="M3" s="9"/>
      <c r="N3" s="11">
        <f>$B$13*K3/$B$12</f>
        <v>-3.3723341527430533E-3</v>
      </c>
      <c r="O3" t="s">
        <v>4</v>
      </c>
      <c r="P3">
        <v>1.1050499393281039</v>
      </c>
    </row>
    <row r="4" spans="1:24">
      <c r="A4">
        <v>2</v>
      </c>
      <c r="B4" t="s">
        <v>61</v>
      </c>
      <c r="C4" s="19">
        <v>45287.930555555555</v>
      </c>
      <c r="D4">
        <v>58</v>
      </c>
      <c r="E4">
        <f>D4*60</f>
        <v>3480</v>
      </c>
      <c r="F4">
        <v>3480</v>
      </c>
      <c r="G4" t="s">
        <v>9</v>
      </c>
      <c r="H4" s="1">
        <v>1018891.90249897</v>
      </c>
      <c r="I4" s="1">
        <f>H4/P8</f>
        <v>1062079.5233285916</v>
      </c>
      <c r="N4" s="11"/>
      <c r="O4" t="s">
        <v>6</v>
      </c>
      <c r="P4">
        <v>1.0091953174658617</v>
      </c>
    </row>
    <row r="5" spans="1:24">
      <c r="B5" t="s">
        <v>62</v>
      </c>
      <c r="C5" s="19">
        <v>45288.270833333336</v>
      </c>
      <c r="D5">
        <v>68.17</v>
      </c>
      <c r="E5">
        <f>D5*60</f>
        <v>4090.2000000000003</v>
      </c>
      <c r="F5">
        <v>4080</v>
      </c>
      <c r="G5" t="s">
        <v>9</v>
      </c>
      <c r="H5" s="1">
        <v>951323.48901445302</v>
      </c>
      <c r="I5" s="1">
        <f>H5/P8</f>
        <v>991647.09746506612</v>
      </c>
      <c r="J5">
        <f>(I5-I4)/(D5/D4)</f>
        <v>-59924.90391791812</v>
      </c>
      <c r="K5" s="9">
        <v>-14031</v>
      </c>
      <c r="L5" s="9" t="s">
        <v>68</v>
      </c>
      <c r="M5" s="9"/>
      <c r="N5" s="11">
        <f>$B$13*K5/$B$12</f>
        <v>-6.6908496686389407E-3</v>
      </c>
      <c r="O5" t="s">
        <v>5</v>
      </c>
      <c r="P5">
        <v>1.041346468184851</v>
      </c>
    </row>
    <row r="6" spans="1:24">
      <c r="A6" t="s">
        <v>66</v>
      </c>
      <c r="C6" s="19"/>
      <c r="N6" s="11"/>
      <c r="O6" t="s">
        <v>7</v>
      </c>
      <c r="P6">
        <v>1.0014319238942355</v>
      </c>
    </row>
    <row r="7" spans="1:24">
      <c r="A7">
        <v>3</v>
      </c>
      <c r="B7" t="s">
        <v>61</v>
      </c>
      <c r="C7" s="19">
        <v>45288.826388888891</v>
      </c>
      <c r="D7">
        <v>81.5</v>
      </c>
      <c r="E7">
        <f>D7*60</f>
        <v>4890</v>
      </c>
      <c r="F7">
        <v>4880</v>
      </c>
      <c r="G7" t="s">
        <v>12</v>
      </c>
      <c r="H7" s="1">
        <v>954031.04558464698</v>
      </c>
      <c r="I7" s="1">
        <f>H7/-0.997</f>
        <v>-956901.75083715841</v>
      </c>
      <c r="N7" s="11"/>
      <c r="O7" t="s">
        <v>8</v>
      </c>
      <c r="P7">
        <v>0.95998279230344474</v>
      </c>
    </row>
    <row r="8" spans="1:24">
      <c r="B8" t="s">
        <v>62</v>
      </c>
      <c r="C8" s="19">
        <v>45289.027777777781</v>
      </c>
      <c r="D8">
        <v>86.33</v>
      </c>
      <c r="E8">
        <f>D8*60</f>
        <v>5179.8</v>
      </c>
      <c r="F8">
        <v>5160</v>
      </c>
      <c r="G8" t="s">
        <v>12</v>
      </c>
      <c r="H8" s="1">
        <v>935998.68991512305</v>
      </c>
      <c r="I8" s="1">
        <f>H8/-0.997</f>
        <v>-938815.13532108627</v>
      </c>
      <c r="J8">
        <f>(I8-I7)/(D8-D7)</f>
        <v>3744.6408935967174</v>
      </c>
      <c r="K8" s="9">
        <v>6394.37</v>
      </c>
      <c r="L8" s="9" t="s">
        <v>69</v>
      </c>
      <c r="M8" s="9"/>
      <c r="N8" s="11">
        <f>$B$13*K8/$B$12</f>
        <v>3.0492315868900846E-3</v>
      </c>
      <c r="O8" t="s">
        <v>9</v>
      </c>
      <c r="P8">
        <v>0.95933673526228047</v>
      </c>
    </row>
    <row r="9" spans="1:24">
      <c r="T9">
        <v>3480</v>
      </c>
      <c r="U9" s="1">
        <v>1018891.90249897</v>
      </c>
      <c r="W9">
        <f>T9-3480</f>
        <v>0</v>
      </c>
      <c r="X9">
        <f>U9*1.09/1091140*50.45709164</f>
        <v>51.356609678182892</v>
      </c>
    </row>
    <row r="10" spans="1:24">
      <c r="T10">
        <v>3500</v>
      </c>
      <c r="U10" s="1">
        <v>1073238.5346937</v>
      </c>
      <c r="W10">
        <f t="shared" ref="W10:W39" si="0">T10-3480</f>
        <v>20</v>
      </c>
      <c r="X10">
        <f t="shared" ref="X10:X39" si="1">U10*1.09/1091140*50.45709164</f>
        <v>54.095917714789209</v>
      </c>
    </row>
    <row r="11" spans="1:24">
      <c r="T11">
        <v>3520</v>
      </c>
      <c r="U11" s="1">
        <v>1062592.2001477501</v>
      </c>
      <c r="W11">
        <f t="shared" si="0"/>
        <v>40</v>
      </c>
      <c r="X11">
        <f t="shared" si="1"/>
        <v>53.559295874495142</v>
      </c>
    </row>
    <row r="12" spans="1:24">
      <c r="A12" t="s">
        <v>121</v>
      </c>
      <c r="B12">
        <v>1046170</v>
      </c>
      <c r="T12">
        <v>3540</v>
      </c>
      <c r="U12" s="1">
        <v>1044543.53257843</v>
      </c>
      <c r="W12">
        <f t="shared" si="0"/>
        <v>60</v>
      </c>
      <c r="X12">
        <f t="shared" si="1"/>
        <v>52.649564063597978</v>
      </c>
    </row>
    <row r="13" spans="1:24">
      <c r="A13" t="s">
        <v>122</v>
      </c>
      <c r="B13" s="2">
        <v>0.49887863999999998</v>
      </c>
      <c r="T13">
        <v>3560</v>
      </c>
      <c r="U13" s="1">
        <v>1056343.8894002</v>
      </c>
      <c r="W13">
        <f t="shared" si="0"/>
        <v>80</v>
      </c>
      <c r="X13">
        <f t="shared" si="1"/>
        <v>53.244353675599569</v>
      </c>
    </row>
    <row r="14" spans="1:24">
      <c r="T14">
        <v>3580</v>
      </c>
      <c r="U14" s="1">
        <v>1043975.52526637</v>
      </c>
      <c r="W14">
        <f t="shared" si="0"/>
        <v>100</v>
      </c>
      <c r="X14">
        <f t="shared" si="1"/>
        <v>52.620934009960038</v>
      </c>
    </row>
    <row r="15" spans="1:24">
      <c r="F15">
        <f>50-0.3*60</f>
        <v>32</v>
      </c>
      <c r="T15">
        <v>3600</v>
      </c>
      <c r="U15" s="1">
        <v>1044927.3671795001</v>
      </c>
      <c r="W15">
        <f t="shared" si="0"/>
        <v>120</v>
      </c>
      <c r="X15">
        <f t="shared" si="1"/>
        <v>52.668911006821091</v>
      </c>
    </row>
    <row r="16" spans="1:24">
      <c r="T16">
        <v>3620</v>
      </c>
      <c r="U16" s="1">
        <v>1040352.43124694</v>
      </c>
      <c r="W16">
        <f t="shared" si="0"/>
        <v>140</v>
      </c>
      <c r="X16">
        <f t="shared" si="1"/>
        <v>52.438314219846028</v>
      </c>
    </row>
    <row r="17" spans="1:24">
      <c r="B17" t="s">
        <v>124</v>
      </c>
      <c r="C17" t="s">
        <v>127</v>
      </c>
      <c r="D17" t="s">
        <v>128</v>
      </c>
      <c r="E17" t="s">
        <v>129</v>
      </c>
      <c r="T17">
        <v>3640</v>
      </c>
      <c r="U17" s="1">
        <v>1063043.52410753</v>
      </c>
      <c r="W17">
        <f t="shared" si="0"/>
        <v>160</v>
      </c>
      <c r="X17">
        <f t="shared" si="1"/>
        <v>53.582044576672466</v>
      </c>
    </row>
    <row r="18" spans="1:24">
      <c r="A18" t="s">
        <v>125</v>
      </c>
      <c r="B18">
        <v>1046170</v>
      </c>
      <c r="C18">
        <v>-7071.93</v>
      </c>
      <c r="D18">
        <v>-14031</v>
      </c>
      <c r="E18">
        <v>6394.37</v>
      </c>
      <c r="T18">
        <v>3660</v>
      </c>
      <c r="U18" s="1">
        <v>1055401.3332307499</v>
      </c>
      <c r="W18">
        <f t="shared" si="0"/>
        <v>180</v>
      </c>
      <c r="X18">
        <f t="shared" si="1"/>
        <v>53.196844720846393</v>
      </c>
    </row>
    <row r="19" spans="1:24">
      <c r="A19" t="s">
        <v>126</v>
      </c>
      <c r="B19" s="12">
        <v>0.49887863999999998</v>
      </c>
      <c r="C19" s="11">
        <v>-3.3723341527430533E-3</v>
      </c>
      <c r="D19" s="11">
        <v>-6.6908496686389407E-3</v>
      </c>
      <c r="E19" s="11">
        <v>3.0492315868900846E-3</v>
      </c>
      <c r="T19">
        <v>3680</v>
      </c>
      <c r="U19" s="1">
        <v>1025004.60215734</v>
      </c>
      <c r="W19">
        <f t="shared" si="0"/>
        <v>200</v>
      </c>
      <c r="X19">
        <f t="shared" si="1"/>
        <v>51.664716484866638</v>
      </c>
    </row>
    <row r="20" spans="1:24">
      <c r="T20">
        <v>3700</v>
      </c>
      <c r="U20" s="1">
        <v>1046196.6900883</v>
      </c>
      <c r="W20">
        <f t="shared" si="0"/>
        <v>220</v>
      </c>
      <c r="X20">
        <f t="shared" si="1"/>
        <v>52.732890434886947</v>
      </c>
    </row>
    <row r="21" spans="1:24">
      <c r="A21" t="s">
        <v>158</v>
      </c>
      <c r="C21">
        <v>23.984999999999999</v>
      </c>
      <c r="D21">
        <v>337.67399999999998</v>
      </c>
      <c r="E21">
        <v>829.76700000000005</v>
      </c>
      <c r="T21">
        <v>3720</v>
      </c>
      <c r="U21" s="1">
        <v>1016227.93294739</v>
      </c>
      <c r="W21">
        <f t="shared" si="0"/>
        <v>240</v>
      </c>
      <c r="X21">
        <f t="shared" si="1"/>
        <v>51.222333957550013</v>
      </c>
    </row>
    <row r="22" spans="1:24">
      <c r="T22">
        <v>3740</v>
      </c>
      <c r="U22" s="1">
        <v>1024848.73613064</v>
      </c>
      <c r="W22">
        <f t="shared" si="0"/>
        <v>260</v>
      </c>
      <c r="X22">
        <f t="shared" si="1"/>
        <v>51.65686015518564</v>
      </c>
    </row>
    <row r="23" spans="1:24">
      <c r="T23">
        <v>3760</v>
      </c>
      <c r="U23" s="1">
        <v>1004046.17170232</v>
      </c>
      <c r="W23">
        <f t="shared" si="0"/>
        <v>280</v>
      </c>
      <c r="X23">
        <f t="shared" si="1"/>
        <v>50.608319893917283</v>
      </c>
    </row>
    <row r="24" spans="1:24">
      <c r="T24">
        <v>3780</v>
      </c>
      <c r="U24" s="1">
        <v>1001661.3510209901</v>
      </c>
      <c r="W24">
        <f t="shared" si="0"/>
        <v>300</v>
      </c>
      <c r="X24">
        <f t="shared" si="1"/>
        <v>50.488114497659708</v>
      </c>
    </row>
    <row r="25" spans="1:24">
      <c r="T25">
        <v>3800</v>
      </c>
      <c r="U25" s="1">
        <v>1009475.27170318</v>
      </c>
      <c r="W25">
        <f t="shared" si="0"/>
        <v>320</v>
      </c>
      <c r="X25">
        <f t="shared" si="1"/>
        <v>50.881970287019961</v>
      </c>
    </row>
    <row r="26" spans="1:24">
      <c r="T26">
        <v>3820</v>
      </c>
      <c r="U26" s="1">
        <v>1006860.49856466</v>
      </c>
      <c r="W26">
        <f t="shared" si="0"/>
        <v>340</v>
      </c>
      <c r="X26">
        <f t="shared" si="1"/>
        <v>50.750174280846387</v>
      </c>
    </row>
    <row r="27" spans="1:24">
      <c r="T27">
        <v>3840</v>
      </c>
      <c r="U27" s="1">
        <v>970025.82539338898</v>
      </c>
      <c r="W27">
        <f t="shared" si="0"/>
        <v>360</v>
      </c>
      <c r="X27">
        <f t="shared" si="1"/>
        <v>48.893545596252125</v>
      </c>
    </row>
    <row r="28" spans="1:24">
      <c r="T28">
        <v>3860</v>
      </c>
      <c r="U28" s="1">
        <v>980508.13703820505</v>
      </c>
      <c r="W28">
        <f t="shared" si="0"/>
        <v>380</v>
      </c>
      <c r="X28">
        <f t="shared" si="1"/>
        <v>49.421899964706277</v>
      </c>
    </row>
    <row r="29" spans="1:24">
      <c r="T29">
        <v>3880</v>
      </c>
      <c r="U29" s="1">
        <v>999290.36696719099</v>
      </c>
      <c r="W29">
        <f t="shared" si="0"/>
        <v>400</v>
      </c>
      <c r="X29">
        <f t="shared" si="1"/>
        <v>50.368606527966847</v>
      </c>
    </row>
    <row r="30" spans="1:24">
      <c r="T30">
        <v>3900</v>
      </c>
      <c r="U30" s="1">
        <v>990093.61377463501</v>
      </c>
      <c r="W30">
        <f t="shared" si="0"/>
        <v>420</v>
      </c>
      <c r="X30">
        <f t="shared" si="1"/>
        <v>49.905049930001674</v>
      </c>
    </row>
    <row r="31" spans="1:24">
      <c r="T31">
        <v>3920</v>
      </c>
      <c r="U31" s="1">
        <v>981757.69440796704</v>
      </c>
      <c r="W31">
        <f t="shared" si="0"/>
        <v>440</v>
      </c>
      <c r="X31">
        <f t="shared" si="1"/>
        <v>49.484883123127666</v>
      </c>
    </row>
    <row r="32" spans="1:24">
      <c r="T32">
        <v>3940</v>
      </c>
      <c r="U32" s="1">
        <v>966568.98080196197</v>
      </c>
      <c r="W32">
        <f t="shared" si="0"/>
        <v>460</v>
      </c>
      <c r="X32">
        <f t="shared" si="1"/>
        <v>48.719305504673592</v>
      </c>
    </row>
    <row r="33" spans="20:24">
      <c r="T33">
        <v>3960</v>
      </c>
      <c r="U33" s="1">
        <v>955619.95698455197</v>
      </c>
      <c r="W33">
        <f t="shared" si="0"/>
        <v>480</v>
      </c>
      <c r="X33">
        <f t="shared" si="1"/>
        <v>48.16742680079075</v>
      </c>
    </row>
    <row r="34" spans="20:24">
      <c r="T34">
        <v>3980</v>
      </c>
      <c r="U34" s="1">
        <v>946058.20993621298</v>
      </c>
      <c r="W34">
        <f t="shared" si="0"/>
        <v>500</v>
      </c>
      <c r="X34">
        <f t="shared" si="1"/>
        <v>47.685472915595788</v>
      </c>
    </row>
    <row r="35" spans="20:24">
      <c r="T35">
        <v>4000</v>
      </c>
      <c r="U35" s="1">
        <v>940161.73465338396</v>
      </c>
      <c r="W35">
        <f t="shared" si="0"/>
        <v>520</v>
      </c>
      <c r="X35">
        <f t="shared" si="1"/>
        <v>47.388264763450707</v>
      </c>
    </row>
    <row r="36" spans="20:24">
      <c r="T36">
        <v>4020</v>
      </c>
      <c r="U36" s="1">
        <v>932819.10475092195</v>
      </c>
      <c r="W36">
        <f t="shared" si="0"/>
        <v>540</v>
      </c>
      <c r="X36">
        <f t="shared" si="1"/>
        <v>47.018164091350727</v>
      </c>
    </row>
    <row r="37" spans="20:24">
      <c r="T37">
        <v>4040</v>
      </c>
      <c r="U37" s="1">
        <v>920777.71479045495</v>
      </c>
      <c r="W37">
        <f t="shared" si="0"/>
        <v>560</v>
      </c>
      <c r="X37">
        <f t="shared" si="1"/>
        <v>46.411225354605676</v>
      </c>
    </row>
    <row r="38" spans="20:24">
      <c r="T38">
        <v>4060</v>
      </c>
      <c r="U38" s="1">
        <v>948021.29244734498</v>
      </c>
      <c r="W38">
        <f t="shared" si="0"/>
        <v>580</v>
      </c>
      <c r="X38">
        <f t="shared" si="1"/>
        <v>47.784420862912874</v>
      </c>
    </row>
    <row r="39" spans="20:24">
      <c r="T39">
        <v>4080</v>
      </c>
      <c r="U39" s="1">
        <v>951323.48901445302</v>
      </c>
      <c r="W39">
        <f t="shared" si="0"/>
        <v>600</v>
      </c>
      <c r="X39">
        <f t="shared" si="1"/>
        <v>47.950866017459362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A5CE-DE42-984F-81ED-C49A117A5729}">
  <dimension ref="A1:AN195"/>
  <sheetViews>
    <sheetView tabSelected="1" topLeftCell="R67" zoomScale="70" zoomScaleNormal="70" workbookViewId="0">
      <selection activeCell="Z82" sqref="Z82"/>
    </sheetView>
  </sheetViews>
  <sheetFormatPr defaultColWidth="11.07421875" defaultRowHeight="20"/>
  <cols>
    <col min="1" max="1" width="10.84375" bestFit="1" customWidth="1"/>
    <col min="3" max="7" width="10.84375" bestFit="1" customWidth="1"/>
    <col min="9" max="9" width="10.84375" bestFit="1" customWidth="1"/>
    <col min="10" max="10" width="17.15234375" bestFit="1" customWidth="1"/>
    <col min="11" max="11" width="10.84375" bestFit="1" customWidth="1"/>
    <col min="13" max="13" width="10.84375" bestFit="1" customWidth="1"/>
    <col min="14" max="14" width="6.84375" customWidth="1"/>
    <col min="15" max="15" width="21.84375" customWidth="1"/>
    <col min="16" max="18" width="10.84375" bestFit="1" customWidth="1"/>
    <col min="19" max="26" width="10.84375" customWidth="1"/>
    <col min="27" max="29" width="10.84375" bestFit="1" customWidth="1"/>
    <col min="31" max="33" width="10.84375" bestFit="1" customWidth="1"/>
    <col min="35" max="36" width="10.84375" bestFit="1" customWidth="1"/>
    <col min="37" max="37" width="38.3046875" customWidth="1"/>
    <col min="38" max="38" width="15.15234375" bestFit="1" customWidth="1"/>
    <col min="39" max="40" width="10.84375" bestFit="1" customWidth="1"/>
  </cols>
  <sheetData>
    <row r="1" spans="1:18">
      <c r="A1" s="21" t="s">
        <v>158</v>
      </c>
      <c r="B1" s="22"/>
      <c r="C1" s="22"/>
      <c r="D1" s="22"/>
      <c r="E1" s="22"/>
      <c r="F1" s="22"/>
      <c r="G1" s="22"/>
      <c r="H1" s="23"/>
      <c r="J1" s="21" t="s">
        <v>164</v>
      </c>
      <c r="K1" s="22"/>
      <c r="L1" s="22"/>
      <c r="M1" s="22"/>
      <c r="N1" s="22"/>
      <c r="O1" s="22"/>
      <c r="P1" s="22"/>
      <c r="Q1" s="22"/>
      <c r="R1" s="23"/>
    </row>
    <row r="2" spans="1:18">
      <c r="A2" s="24"/>
      <c r="H2" s="25"/>
      <c r="J2" s="24"/>
      <c r="R2" s="25"/>
    </row>
    <row r="3" spans="1:18">
      <c r="A3" s="26">
        <v>45286</v>
      </c>
      <c r="H3" s="25"/>
      <c r="J3" s="26">
        <v>45286</v>
      </c>
      <c r="R3" s="25"/>
    </row>
    <row r="4" spans="1:18">
      <c r="A4" s="24" t="s">
        <v>159</v>
      </c>
      <c r="B4" t="s">
        <v>134</v>
      </c>
      <c r="C4" t="s">
        <v>160</v>
      </c>
      <c r="D4" t="s">
        <v>161</v>
      </c>
      <c r="E4" t="s">
        <v>162</v>
      </c>
      <c r="H4" s="25"/>
      <c r="J4" s="24" t="s">
        <v>159</v>
      </c>
      <c r="K4" t="s">
        <v>134</v>
      </c>
      <c r="L4" t="s">
        <v>160</v>
      </c>
      <c r="M4" t="s">
        <v>161</v>
      </c>
      <c r="N4" t="s">
        <v>162</v>
      </c>
      <c r="R4" s="25"/>
    </row>
    <row r="5" spans="1:18">
      <c r="A5" s="60" t="s">
        <v>287</v>
      </c>
      <c r="C5">
        <v>688</v>
      </c>
      <c r="D5">
        <v>20.917000000000002</v>
      </c>
      <c r="H5" s="25"/>
      <c r="J5" s="24"/>
      <c r="R5" s="25"/>
    </row>
    <row r="6" spans="1:18">
      <c r="A6" s="60" t="s">
        <v>288</v>
      </c>
      <c r="C6">
        <v>544</v>
      </c>
      <c r="D6">
        <v>20.937999999999999</v>
      </c>
      <c r="H6" s="25"/>
      <c r="J6" s="24"/>
      <c r="R6" s="25"/>
    </row>
    <row r="7" spans="1:18">
      <c r="A7" s="60" t="s">
        <v>289</v>
      </c>
      <c r="C7">
        <v>590</v>
      </c>
      <c r="D7">
        <v>22.988</v>
      </c>
      <c r="H7" s="25"/>
      <c r="J7" s="24"/>
      <c r="R7" s="25"/>
    </row>
    <row r="8" spans="1:18">
      <c r="A8" s="60" t="s">
        <v>290</v>
      </c>
      <c r="C8">
        <v>701</v>
      </c>
      <c r="D8">
        <v>26.507999999999999</v>
      </c>
      <c r="H8" s="25"/>
      <c r="J8" s="24"/>
      <c r="R8" s="25"/>
    </row>
    <row r="9" spans="1:18">
      <c r="A9" s="60">
        <v>1023</v>
      </c>
      <c r="C9">
        <v>1440</v>
      </c>
      <c r="D9">
        <v>32.209000000000003</v>
      </c>
      <c r="H9" s="25"/>
      <c r="J9" s="24"/>
      <c r="R9" s="25"/>
    </row>
    <row r="10" spans="1:18">
      <c r="A10" s="60" t="s">
        <v>291</v>
      </c>
      <c r="C10">
        <v>493</v>
      </c>
      <c r="D10">
        <v>30.228999999999999</v>
      </c>
      <c r="H10" s="25"/>
      <c r="J10" s="24"/>
      <c r="R10" s="25"/>
    </row>
    <row r="11" spans="1:18">
      <c r="A11" s="60">
        <v>1026</v>
      </c>
      <c r="C11">
        <v>940</v>
      </c>
      <c r="D11">
        <v>29.530999999999999</v>
      </c>
      <c r="H11" s="25"/>
      <c r="J11" s="24"/>
      <c r="R11" s="25"/>
    </row>
    <row r="12" spans="1:18">
      <c r="A12" s="60">
        <v>1027</v>
      </c>
      <c r="C12">
        <v>578</v>
      </c>
      <c r="D12">
        <v>29.818000000000001</v>
      </c>
      <c r="H12" s="25"/>
      <c r="J12" s="24"/>
      <c r="R12" s="25"/>
    </row>
    <row r="13" spans="1:18">
      <c r="A13" s="60">
        <v>1028</v>
      </c>
      <c r="C13">
        <v>996</v>
      </c>
      <c r="D13">
        <v>29.616</v>
      </c>
      <c r="H13" s="25"/>
      <c r="J13" s="24"/>
      <c r="R13" s="25"/>
    </row>
    <row r="14" spans="1:18">
      <c r="A14" s="60" t="s">
        <v>292</v>
      </c>
      <c r="C14">
        <v>698</v>
      </c>
      <c r="D14">
        <v>23.463999999999999</v>
      </c>
      <c r="H14" s="25"/>
      <c r="J14" s="24"/>
      <c r="R14" s="25"/>
    </row>
    <row r="15" spans="1:18">
      <c r="A15" s="60" t="s">
        <v>293</v>
      </c>
      <c r="C15">
        <v>645</v>
      </c>
      <c r="D15">
        <v>24.934999999999999</v>
      </c>
      <c r="H15" s="25"/>
      <c r="J15" s="24"/>
      <c r="R15" s="25"/>
    </row>
    <row r="16" spans="1:18">
      <c r="A16" s="60" t="s">
        <v>294</v>
      </c>
      <c r="C16">
        <v>967</v>
      </c>
      <c r="D16">
        <v>25.007999999999999</v>
      </c>
      <c r="H16" s="25"/>
      <c r="J16" s="24"/>
      <c r="R16" s="25"/>
    </row>
    <row r="17" spans="1:18">
      <c r="A17" s="60" t="s">
        <v>295</v>
      </c>
      <c r="C17">
        <v>3558</v>
      </c>
      <c r="D17">
        <v>13.563000000000001</v>
      </c>
      <c r="H17" s="25"/>
      <c r="J17" s="24"/>
      <c r="R17" s="25"/>
    </row>
    <row r="18" spans="1:18">
      <c r="A18" s="60" t="s">
        <v>296</v>
      </c>
      <c r="C18">
        <v>1264</v>
      </c>
      <c r="D18">
        <v>15.461</v>
      </c>
      <c r="H18" s="25"/>
      <c r="J18" s="24"/>
      <c r="R18" s="25"/>
    </row>
    <row r="19" spans="1:18">
      <c r="A19" s="60">
        <v>1041</v>
      </c>
      <c r="C19">
        <v>867</v>
      </c>
      <c r="D19">
        <v>19.754999999999999</v>
      </c>
      <c r="H19" s="25"/>
      <c r="J19" s="24"/>
      <c r="R19" s="25"/>
    </row>
    <row r="20" spans="1:18">
      <c r="A20" s="60">
        <v>1042</v>
      </c>
      <c r="C20">
        <v>518</v>
      </c>
      <c r="D20">
        <v>21.998000000000001</v>
      </c>
      <c r="F20" t="s">
        <v>163</v>
      </c>
      <c r="G20" t="s">
        <v>197</v>
      </c>
      <c r="H20" s="25"/>
      <c r="J20" s="24"/>
      <c r="R20" s="25"/>
    </row>
    <row r="21" spans="1:18">
      <c r="A21" s="60">
        <v>1043</v>
      </c>
      <c r="C21">
        <v>615</v>
      </c>
      <c r="D21">
        <v>20.806999999999999</v>
      </c>
      <c r="F21" cm="1">
        <f t="array" ref="F21">SUM(C5:C21*D5:D21)/SUM(C5:C21)</f>
        <v>22.324178859768974</v>
      </c>
      <c r="G21">
        <f>SUM(C5:C21)</f>
        <v>16102</v>
      </c>
      <c r="H21" s="25"/>
      <c r="J21" s="24"/>
      <c r="R21" s="25"/>
    </row>
    <row r="22" spans="1:18">
      <c r="A22" s="60"/>
      <c r="H22" s="25"/>
      <c r="J22" s="26">
        <v>45287</v>
      </c>
      <c r="R22" s="25"/>
    </row>
    <row r="23" spans="1:18">
      <c r="A23" s="60">
        <v>45287</v>
      </c>
      <c r="H23" s="25"/>
      <c r="J23" s="24" t="s">
        <v>159</v>
      </c>
      <c r="K23" t="s">
        <v>134</v>
      </c>
      <c r="L23" t="s">
        <v>160</v>
      </c>
      <c r="M23" t="s">
        <v>161</v>
      </c>
      <c r="N23" t="s">
        <v>162</v>
      </c>
      <c r="R23" s="25"/>
    </row>
    <row r="24" spans="1:18">
      <c r="A24" s="60">
        <v>1044</v>
      </c>
      <c r="C24">
        <v>621</v>
      </c>
      <c r="D24">
        <v>60.061</v>
      </c>
      <c r="H24" s="25"/>
      <c r="J24" s="24"/>
      <c r="R24" s="25"/>
    </row>
    <row r="25" spans="1:18">
      <c r="A25" s="60">
        <v>1045</v>
      </c>
      <c r="C25">
        <v>779</v>
      </c>
      <c r="D25">
        <v>56.244999999999997</v>
      </c>
      <c r="H25" s="25"/>
      <c r="J25" s="24"/>
      <c r="R25" s="25"/>
    </row>
    <row r="26" spans="1:18">
      <c r="A26" s="60" t="s">
        <v>297</v>
      </c>
      <c r="C26">
        <v>799</v>
      </c>
      <c r="D26">
        <v>57.323999999999998</v>
      </c>
      <c r="H26" s="25"/>
      <c r="J26" s="24"/>
      <c r="R26" s="25"/>
    </row>
    <row r="27" spans="1:18">
      <c r="A27" s="60">
        <v>1048</v>
      </c>
      <c r="C27">
        <v>635</v>
      </c>
      <c r="D27">
        <v>51.819000000000003</v>
      </c>
      <c r="H27" s="25"/>
      <c r="J27" s="24"/>
      <c r="R27" s="25"/>
    </row>
    <row r="28" spans="1:18">
      <c r="A28" s="60">
        <v>1049</v>
      </c>
      <c r="C28">
        <v>611</v>
      </c>
      <c r="D28">
        <v>54.746000000000002</v>
      </c>
      <c r="H28" s="25"/>
      <c r="J28" s="24"/>
      <c r="R28" s="25"/>
    </row>
    <row r="29" spans="1:18">
      <c r="A29" s="60" t="s">
        <v>298</v>
      </c>
      <c r="C29">
        <v>680</v>
      </c>
      <c r="D29">
        <v>54.326000000000001</v>
      </c>
      <c r="G29" t="s">
        <v>197</v>
      </c>
      <c r="H29" s="25"/>
      <c r="J29" s="24"/>
      <c r="O29" t="s">
        <v>163</v>
      </c>
      <c r="R29" s="25"/>
    </row>
    <row r="30" spans="1:18" ht="20.5" thickBot="1">
      <c r="A30" s="60">
        <v>1052</v>
      </c>
      <c r="C30" s="28">
        <v>2817</v>
      </c>
      <c r="D30" s="28">
        <v>71.600999999999999</v>
      </c>
      <c r="F30" cm="1">
        <f t="array" ref="F30">SUM(C24:C30*D24:D30)/SUM(C24:C30)</f>
        <v>62.217110342840677</v>
      </c>
      <c r="G30">
        <f>SUM(C24:C30)</f>
        <v>6942</v>
      </c>
      <c r="H30" s="25"/>
      <c r="J30" s="60">
        <f>A30</f>
        <v>1052</v>
      </c>
      <c r="K30">
        <f>C30</f>
        <v>2817</v>
      </c>
      <c r="M30">
        <v>3.9E-2</v>
      </c>
      <c r="R30" s="25"/>
    </row>
    <row r="31" spans="1:18" ht="20.5" thickBot="1">
      <c r="A31" s="60" t="s">
        <v>299</v>
      </c>
      <c r="C31" s="28">
        <v>1250</v>
      </c>
      <c r="D31" s="28">
        <v>204.59</v>
      </c>
      <c r="G31">
        <f>G30+C31</f>
        <v>8192</v>
      </c>
      <c r="H31" s="25"/>
      <c r="J31" s="60" t="str">
        <f t="shared" ref="J31:J41" si="0">A31</f>
        <v>1053-1054</v>
      </c>
      <c r="K31" s="59">
        <f t="shared" ref="K31:K41" si="1">C31</f>
        <v>1250</v>
      </c>
      <c r="L31" s="59"/>
      <c r="M31" s="59">
        <v>9.8000000000000004E-2</v>
      </c>
      <c r="O31">
        <f>(M30*K30+M31*K31)/(K30+K31)</f>
        <v>5.713375952790755E-2</v>
      </c>
      <c r="R31" s="25"/>
    </row>
    <row r="32" spans="1:18">
      <c r="A32" s="60">
        <v>1055</v>
      </c>
      <c r="C32">
        <v>3665</v>
      </c>
      <c r="D32">
        <v>555.54</v>
      </c>
      <c r="H32" s="25"/>
      <c r="J32" s="60">
        <f t="shared" si="0"/>
        <v>1055</v>
      </c>
      <c r="K32">
        <f t="shared" si="1"/>
        <v>3665</v>
      </c>
      <c r="M32">
        <v>0.28599999999999998</v>
      </c>
      <c r="R32" s="25"/>
    </row>
    <row r="33" spans="1:18">
      <c r="A33" s="60" t="s">
        <v>300</v>
      </c>
      <c r="C33">
        <v>1157</v>
      </c>
      <c r="D33">
        <v>537.38</v>
      </c>
      <c r="H33" s="25"/>
      <c r="J33" s="60" t="str">
        <f t="shared" si="0"/>
        <v>1056-1058</v>
      </c>
      <c r="K33">
        <f t="shared" si="1"/>
        <v>1157</v>
      </c>
      <c r="M33">
        <v>0.29799999999999999</v>
      </c>
      <c r="R33" s="25"/>
    </row>
    <row r="34" spans="1:18">
      <c r="A34" s="60">
        <v>1059</v>
      </c>
      <c r="C34">
        <v>1133</v>
      </c>
      <c r="D34">
        <v>539.07000000000005</v>
      </c>
      <c r="H34" s="25"/>
      <c r="J34" s="60">
        <f t="shared" si="0"/>
        <v>1059</v>
      </c>
      <c r="K34">
        <f t="shared" si="1"/>
        <v>1133</v>
      </c>
      <c r="M34">
        <v>0.29499999999999998</v>
      </c>
      <c r="R34" s="25"/>
    </row>
    <row r="35" spans="1:18">
      <c r="A35" s="60">
        <v>1060</v>
      </c>
      <c r="C35">
        <v>1100</v>
      </c>
      <c r="D35">
        <v>558.20000000000005</v>
      </c>
      <c r="H35" s="25"/>
      <c r="J35" s="60">
        <f t="shared" si="0"/>
        <v>1060</v>
      </c>
      <c r="K35">
        <f t="shared" si="1"/>
        <v>1100</v>
      </c>
      <c r="M35">
        <v>0.29699999999999999</v>
      </c>
      <c r="R35" s="25"/>
    </row>
    <row r="36" spans="1:18">
      <c r="A36" s="60" t="s">
        <v>301</v>
      </c>
      <c r="C36">
        <v>1010</v>
      </c>
      <c r="D36">
        <v>555.17999999999995</v>
      </c>
      <c r="H36" s="25"/>
      <c r="J36" s="60" t="str">
        <f t="shared" si="0"/>
        <v>1061-1063</v>
      </c>
      <c r="K36">
        <f t="shared" si="1"/>
        <v>1010</v>
      </c>
      <c r="M36">
        <v>0.29299999999999998</v>
      </c>
      <c r="R36" s="25"/>
    </row>
    <row r="37" spans="1:18">
      <c r="A37" s="60" t="s">
        <v>302</v>
      </c>
      <c r="C37">
        <v>666</v>
      </c>
      <c r="D37">
        <v>536.48</v>
      </c>
      <c r="H37" s="25"/>
      <c r="J37" s="60" t="str">
        <f t="shared" si="0"/>
        <v>1064-1065</v>
      </c>
      <c r="K37">
        <f t="shared" si="1"/>
        <v>666</v>
      </c>
      <c r="M37">
        <v>0.28899999999999998</v>
      </c>
      <c r="R37" s="25"/>
    </row>
    <row r="38" spans="1:18">
      <c r="A38" s="60">
        <v>1066</v>
      </c>
      <c r="C38">
        <v>1911</v>
      </c>
      <c r="D38">
        <v>493.13</v>
      </c>
      <c r="G38">
        <f>SUM(C32:C40)</f>
        <v>17088</v>
      </c>
      <c r="H38" s="25"/>
      <c r="J38" s="60">
        <f t="shared" si="0"/>
        <v>1066</v>
      </c>
      <c r="K38">
        <f t="shared" si="1"/>
        <v>1911</v>
      </c>
      <c r="M38">
        <v>0.247</v>
      </c>
    </row>
    <row r="39" spans="1:18">
      <c r="A39" s="60">
        <v>1067</v>
      </c>
      <c r="C39">
        <v>3628</v>
      </c>
      <c r="D39">
        <v>516.24</v>
      </c>
      <c r="F39" t="s">
        <v>163</v>
      </c>
      <c r="H39" s="25"/>
      <c r="J39" s="60">
        <f t="shared" si="0"/>
        <v>1067</v>
      </c>
      <c r="K39">
        <f t="shared" si="1"/>
        <v>3628</v>
      </c>
      <c r="M39">
        <v>0.27</v>
      </c>
    </row>
    <row r="40" spans="1:18" ht="20.5" thickBot="1">
      <c r="A40" s="60">
        <v>1068</v>
      </c>
      <c r="C40" s="28">
        <v>2818</v>
      </c>
      <c r="D40" s="28">
        <v>504.95</v>
      </c>
      <c r="F40" cm="1">
        <f t="array" ref="F40">SUM(C31:C41*D31:D41)/SUM(C31:C41)</f>
        <v>528.43667929891046</v>
      </c>
      <c r="H40" s="25"/>
      <c r="J40" s="60">
        <f t="shared" si="0"/>
        <v>1068</v>
      </c>
      <c r="K40">
        <f t="shared" si="1"/>
        <v>2818</v>
      </c>
      <c r="M40">
        <v>0.26700000000000002</v>
      </c>
    </row>
    <row r="41" spans="1:18">
      <c r="A41" s="60">
        <v>1069</v>
      </c>
      <c r="C41">
        <v>2772</v>
      </c>
      <c r="D41">
        <v>671.25</v>
      </c>
      <c r="F41">
        <f>D41</f>
        <v>671.25</v>
      </c>
      <c r="H41" s="25"/>
      <c r="J41" s="60">
        <f t="shared" si="0"/>
        <v>1069</v>
      </c>
      <c r="K41">
        <f t="shared" si="1"/>
        <v>2772</v>
      </c>
      <c r="M41">
        <v>0.34599999999999997</v>
      </c>
      <c r="O41" cm="1">
        <f t="array" ref="O41">(SUM(M32:M41*K32:K41)/(SUM(K32:K41)))</f>
        <v>0.28728147029204432</v>
      </c>
    </row>
    <row r="42" spans="1:18">
      <c r="A42" s="24"/>
      <c r="H42" s="25"/>
    </row>
    <row r="43" spans="1:18">
      <c r="A43" s="26">
        <v>45288</v>
      </c>
      <c r="H43" s="25"/>
      <c r="J43" s="20">
        <v>45288</v>
      </c>
    </row>
    <row r="44" spans="1:18" ht="20.5" thickBot="1">
      <c r="A44" s="24"/>
      <c r="C44" s="28">
        <v>2448</v>
      </c>
      <c r="D44" s="28">
        <v>942.3</v>
      </c>
      <c r="F44">
        <f>D44</f>
        <v>942.3</v>
      </c>
      <c r="H44" s="25"/>
    </row>
    <row r="45" spans="1:18">
      <c r="A45" s="24"/>
      <c r="C45">
        <v>1011</v>
      </c>
      <c r="D45">
        <v>711.5</v>
      </c>
      <c r="H45" s="25"/>
    </row>
    <row r="46" spans="1:18">
      <c r="A46" s="24"/>
      <c r="C46">
        <v>3735</v>
      </c>
      <c r="D46">
        <v>702.1</v>
      </c>
      <c r="H46" s="25"/>
    </row>
    <row r="47" spans="1:18">
      <c r="A47" s="24"/>
      <c r="C47">
        <v>3599</v>
      </c>
      <c r="D47">
        <v>709.8</v>
      </c>
      <c r="H47" s="25"/>
    </row>
    <row r="48" spans="1:18">
      <c r="A48" s="24"/>
      <c r="C48">
        <v>3625</v>
      </c>
      <c r="D48">
        <v>809.7</v>
      </c>
      <c r="H48" s="25"/>
    </row>
    <row r="49" spans="1:33">
      <c r="A49" s="24"/>
      <c r="C49">
        <v>3682</v>
      </c>
      <c r="D49">
        <v>706.2</v>
      </c>
      <c r="H49" s="25"/>
    </row>
    <row r="50" spans="1:33">
      <c r="A50" s="24"/>
      <c r="C50">
        <v>3437</v>
      </c>
      <c r="D50">
        <v>692.4</v>
      </c>
      <c r="H50" s="25"/>
    </row>
    <row r="51" spans="1:33" ht="20.5" thickBot="1">
      <c r="A51" s="24"/>
      <c r="C51" s="28">
        <v>4880</v>
      </c>
      <c r="D51" s="28">
        <v>674.7</v>
      </c>
      <c r="F51" cm="1">
        <f t="array" ref="F51">SUM(C45:C51*D45:D51)/SUM(C45:C51)</f>
        <v>713.58612791522376</v>
      </c>
      <c r="G51">
        <f>SUM(C45:C51)</f>
        <v>23969</v>
      </c>
      <c r="H51" s="25"/>
    </row>
    <row r="52" spans="1:33">
      <c r="A52" s="24"/>
      <c r="C52">
        <v>4438</v>
      </c>
      <c r="D52">
        <v>1519.2</v>
      </c>
      <c r="H52" s="25"/>
    </row>
    <row r="53" spans="1:33">
      <c r="A53" s="24"/>
      <c r="H53" s="25"/>
    </row>
    <row r="54" spans="1:33">
      <c r="A54" s="26">
        <v>45289</v>
      </c>
      <c r="H54" s="25"/>
    </row>
    <row r="55" spans="1:33">
      <c r="A55" s="24"/>
      <c r="C55">
        <v>3545</v>
      </c>
      <c r="D55">
        <v>642.5</v>
      </c>
      <c r="H55" s="25"/>
    </row>
    <row r="56" spans="1:33">
      <c r="A56" s="24"/>
      <c r="C56">
        <v>3606</v>
      </c>
      <c r="D56">
        <v>4836</v>
      </c>
      <c r="H56" s="25"/>
    </row>
    <row r="57" spans="1:33">
      <c r="A57" s="24"/>
      <c r="C57">
        <v>627</v>
      </c>
      <c r="D57">
        <v>9464</v>
      </c>
      <c r="H57" s="25"/>
    </row>
    <row r="58" spans="1:33">
      <c r="A58" s="24"/>
      <c r="C58">
        <v>294</v>
      </c>
      <c r="D58">
        <v>9113</v>
      </c>
      <c r="H58" s="25"/>
    </row>
    <row r="59" spans="1:33">
      <c r="A59" s="24"/>
      <c r="C59">
        <v>322</v>
      </c>
      <c r="D59">
        <v>9487</v>
      </c>
      <c r="H59" s="25"/>
    </row>
    <row r="60" spans="1:33">
      <c r="A60" s="24"/>
      <c r="C60">
        <v>3876</v>
      </c>
      <c r="D60">
        <v>1367</v>
      </c>
      <c r="H60" s="25"/>
      <c r="R60">
        <v>4880</v>
      </c>
      <c r="AA60">
        <f>R60-4880</f>
        <v>0</v>
      </c>
      <c r="AB60">
        <v>44.999161000000001</v>
      </c>
    </row>
    <row r="61" spans="1:33">
      <c r="A61" s="24"/>
      <c r="C61">
        <v>3357</v>
      </c>
      <c r="D61">
        <v>1266</v>
      </c>
      <c r="H61" s="25"/>
      <c r="R61">
        <v>4900</v>
      </c>
      <c r="AA61">
        <f>R61-4880</f>
        <v>20</v>
      </c>
      <c r="AB61">
        <v>46.293633010000001</v>
      </c>
    </row>
    <row r="62" spans="1:33">
      <c r="A62" s="24"/>
      <c r="C62">
        <v>3487</v>
      </c>
      <c r="D62">
        <v>1269</v>
      </c>
      <c r="H62" s="25"/>
      <c r="AE62">
        <v>4920</v>
      </c>
      <c r="AF62">
        <f>AE62-4880</f>
        <v>40</v>
      </c>
      <c r="AG62">
        <v>44.580608300000002</v>
      </c>
    </row>
    <row r="63" spans="1:33">
      <c r="A63" s="24"/>
      <c r="C63">
        <v>3641</v>
      </c>
      <c r="D63">
        <v>1268</v>
      </c>
      <c r="F63" t="s">
        <v>163</v>
      </c>
      <c r="H63" s="25"/>
      <c r="AE63">
        <v>4940</v>
      </c>
      <c r="AF63">
        <f>AE63-4880</f>
        <v>60</v>
      </c>
      <c r="AG63">
        <v>45.37822268</v>
      </c>
    </row>
    <row r="64" spans="1:33" ht="20.5" thickBot="1">
      <c r="A64" s="27"/>
      <c r="B64" s="28"/>
      <c r="C64" s="28">
        <v>3075</v>
      </c>
      <c r="D64" s="28">
        <v>1364</v>
      </c>
      <c r="E64" s="28"/>
      <c r="F64" s="28" cm="1">
        <f t="array" ref="F64">SUM(C55:C64*D55:D64)/SUM(C55:C64)</f>
        <v>2097.1268873403019</v>
      </c>
      <c r="G64" s="28"/>
      <c r="H64" s="29"/>
      <c r="AE64">
        <v>4960</v>
      </c>
      <c r="AF64">
        <f>AE64-4880</f>
        <v>80</v>
      </c>
      <c r="AG64">
        <v>43.952288039999999</v>
      </c>
    </row>
    <row r="66" spans="2:37">
      <c r="S66" t="s">
        <v>158</v>
      </c>
      <c r="V66">
        <v>43.6</v>
      </c>
      <c r="AA66" t="s">
        <v>196</v>
      </c>
    </row>
    <row r="67" spans="2:37" ht="20.5" thickBot="1">
      <c r="R67" t="s">
        <v>158</v>
      </c>
      <c r="S67" t="s">
        <v>163</v>
      </c>
      <c r="T67" t="s">
        <v>305</v>
      </c>
      <c r="U67" t="s">
        <v>306</v>
      </c>
      <c r="V67" t="s">
        <v>163</v>
      </c>
      <c r="W67" t="s">
        <v>305</v>
      </c>
      <c r="X67" t="s">
        <v>306</v>
      </c>
      <c r="AA67" t="s">
        <v>173</v>
      </c>
      <c r="AB67" t="s">
        <v>39</v>
      </c>
      <c r="AE67">
        <v>4980</v>
      </c>
      <c r="AF67">
        <f>AE67-4980</f>
        <v>0</v>
      </c>
      <c r="AG67">
        <v>45.243874290000001</v>
      </c>
    </row>
    <row r="68" spans="2:37" ht="20.5" thickBot="1">
      <c r="C68" t="s">
        <v>159</v>
      </c>
      <c r="D68" s="20" t="s">
        <v>134</v>
      </c>
      <c r="G68" t="s">
        <v>163</v>
      </c>
      <c r="I68" t="s">
        <v>186</v>
      </c>
      <c r="J68" t="s">
        <v>39</v>
      </c>
      <c r="L68" s="30"/>
      <c r="M68" s="38"/>
      <c r="N68" s="38"/>
      <c r="O68" s="38"/>
      <c r="P68" s="38"/>
      <c r="Q68" s="38"/>
      <c r="R68" s="30" t="s">
        <v>163</v>
      </c>
      <c r="S68" s="62"/>
      <c r="AE68">
        <v>5000</v>
      </c>
      <c r="AF68">
        <f t="shared" ref="AF68:AF76" si="2">AE68-4980</f>
        <v>20</v>
      </c>
      <c r="AG68">
        <v>43.519205540000002</v>
      </c>
    </row>
    <row r="69" spans="2:37">
      <c r="B69" t="s">
        <v>185</v>
      </c>
      <c r="C69">
        <v>1001</v>
      </c>
      <c r="D69" s="39">
        <v>0.9544097222222222</v>
      </c>
      <c r="E69" s="40" t="e">
        <f>MINUTE(D69-$J$94)+$N$94</f>
        <v>#NUM!</v>
      </c>
      <c r="F69" t="e">
        <f>E69/60</f>
        <v>#NUM!</v>
      </c>
      <c r="L69" s="52" t="s">
        <v>193</v>
      </c>
      <c r="M69">
        <v>1001</v>
      </c>
      <c r="N69" t="s">
        <v>1</v>
      </c>
      <c r="O69" s="46">
        <v>45286.951388888891</v>
      </c>
      <c r="P69">
        <f>MINUTE(O69-$J$94)+$N$94</f>
        <v>2190</v>
      </c>
      <c r="Q69">
        <f>P69/60</f>
        <v>36.5</v>
      </c>
      <c r="R69" s="52"/>
      <c r="S69" s="62"/>
      <c r="AE69">
        <v>5020</v>
      </c>
      <c r="AF69">
        <f t="shared" si="2"/>
        <v>40</v>
      </c>
      <c r="AG69">
        <v>43.294234320000001</v>
      </c>
    </row>
    <row r="70" spans="2:37">
      <c r="C70">
        <v>1035</v>
      </c>
      <c r="D70" s="39">
        <v>0.15649305555555557</v>
      </c>
      <c r="E70" s="40">
        <f>60+10+MINUTE(D70)+HOUR(D70)*60+36.5*60</f>
        <v>2485</v>
      </c>
      <c r="F70">
        <f>E70/60</f>
        <v>41.416666666666664</v>
      </c>
      <c r="G70">
        <v>26.976855172413796</v>
      </c>
      <c r="I70" s="41">
        <v>-0.315106</v>
      </c>
      <c r="J70" s="41">
        <v>0.1089</v>
      </c>
      <c r="L70" s="52"/>
      <c r="M70">
        <v>1035</v>
      </c>
      <c r="N70" t="s">
        <v>192</v>
      </c>
      <c r="O70" s="46">
        <v>45287.156493055554</v>
      </c>
      <c r="P70">
        <f t="shared" ref="P70:P86" si="3">DAY(O70-O69)*24*60+HOUR(O70-O69)*60+MINUTE(O70-O69)+P69</f>
        <v>2485</v>
      </c>
      <c r="Q70">
        <f t="shared" ref="Q70:Q86" si="4">P70/60</f>
        <v>41.416666666666664</v>
      </c>
      <c r="R70" s="52"/>
      <c r="S70" s="62"/>
      <c r="AE70">
        <v>5040</v>
      </c>
      <c r="AF70">
        <f t="shared" si="2"/>
        <v>60</v>
      </c>
      <c r="AG70">
        <v>44.893151250000003</v>
      </c>
    </row>
    <row r="71" spans="2:37">
      <c r="E71" s="40"/>
      <c r="I71" s="42"/>
      <c r="J71" s="42"/>
      <c r="L71" s="52"/>
      <c r="M71">
        <v>1036</v>
      </c>
      <c r="N71" t="s">
        <v>1</v>
      </c>
      <c r="O71" s="46">
        <v>45287.168946759259</v>
      </c>
      <c r="P71">
        <f t="shared" si="3"/>
        <v>2502</v>
      </c>
      <c r="Q71">
        <f t="shared" si="4"/>
        <v>41.7</v>
      </c>
      <c r="R71" s="52"/>
      <c r="S71" s="62"/>
      <c r="Z71" s="37">
        <f>Y72*60</f>
        <v>8382556.2338340664</v>
      </c>
      <c r="AA71" t="s">
        <v>198</v>
      </c>
      <c r="AC71" t="s">
        <v>242</v>
      </c>
      <c r="AE71">
        <v>5060</v>
      </c>
      <c r="AF71">
        <f t="shared" si="2"/>
        <v>80</v>
      </c>
      <c r="AG71">
        <v>43.857105519999998</v>
      </c>
    </row>
    <row r="72" spans="2:37">
      <c r="B72" t="s">
        <v>185</v>
      </c>
      <c r="C72">
        <v>1036</v>
      </c>
      <c r="D72" s="39">
        <v>0.16894675925925925</v>
      </c>
      <c r="E72" s="40">
        <f>E70+MINUTE(D72-D70)+HOUR(D72-D70)*60</f>
        <v>2502</v>
      </c>
      <c r="F72">
        <f>E72/60</f>
        <v>41.7</v>
      </c>
      <c r="I72" s="42"/>
      <c r="J72" s="42"/>
      <c r="L72" s="61"/>
      <c r="M72" s="15">
        <v>1043</v>
      </c>
      <c r="N72" s="15" t="s">
        <v>192</v>
      </c>
      <c r="O72" s="48">
        <v>45287.271296296298</v>
      </c>
      <c r="P72" s="15">
        <f t="shared" si="3"/>
        <v>2649</v>
      </c>
      <c r="Q72" s="15">
        <f t="shared" si="4"/>
        <v>44.15</v>
      </c>
      <c r="R72" s="61">
        <v>22.324178859768999</v>
      </c>
      <c r="S72" s="63">
        <f>R72</f>
        <v>22.324178859768999</v>
      </c>
      <c r="T72" s="64">
        <v>1</v>
      </c>
      <c r="U72" s="64" t="s">
        <v>93</v>
      </c>
      <c r="Y72">
        <f>Y82/T82</f>
        <v>139709.27056390111</v>
      </c>
      <c r="AA72" s="9"/>
      <c r="AC72" t="s">
        <v>243</v>
      </c>
      <c r="AE72">
        <v>5080</v>
      </c>
      <c r="AF72">
        <f t="shared" si="2"/>
        <v>100</v>
      </c>
      <c r="AG72">
        <v>44.833789379999999</v>
      </c>
    </row>
    <row r="73" spans="2:37">
      <c r="C73">
        <v>1043</v>
      </c>
      <c r="D73" s="39">
        <v>0.27129629629629631</v>
      </c>
      <c r="E73" s="40">
        <f>E72+MINUTE(D73-D72)+HOUR(D73-D72)*60</f>
        <v>2649</v>
      </c>
      <c r="F73">
        <f>E73/60</f>
        <v>44.15</v>
      </c>
      <c r="G73">
        <v>15.995120492524187</v>
      </c>
      <c r="I73" s="42">
        <v>-0.222968</v>
      </c>
      <c r="J73" s="41">
        <v>0.2215</v>
      </c>
      <c r="L73" s="52" t="s">
        <v>194</v>
      </c>
      <c r="M73">
        <v>1044</v>
      </c>
      <c r="N73" t="s">
        <v>1</v>
      </c>
      <c r="O73" s="46">
        <v>45287.847893518519</v>
      </c>
      <c r="P73">
        <f t="shared" si="3"/>
        <v>3479</v>
      </c>
      <c r="Q73">
        <f t="shared" si="4"/>
        <v>57.983333333333334</v>
      </c>
      <c r="R73" s="52"/>
      <c r="S73" s="62"/>
      <c r="V73" t="s">
        <v>93</v>
      </c>
      <c r="AA73" s="9"/>
      <c r="AC73" t="s">
        <v>245</v>
      </c>
      <c r="AE73">
        <v>5100</v>
      </c>
      <c r="AF73">
        <f t="shared" si="2"/>
        <v>120</v>
      </c>
      <c r="AG73">
        <v>44.125073450000002</v>
      </c>
    </row>
    <row r="74" spans="2:37">
      <c r="E74" s="40"/>
      <c r="I74" s="42"/>
      <c r="J74" s="42"/>
      <c r="L74" s="52"/>
      <c r="M74">
        <v>1051</v>
      </c>
      <c r="N74" t="s">
        <v>192</v>
      </c>
      <c r="O74" s="46">
        <v>45287.908622685187</v>
      </c>
      <c r="P74">
        <f t="shared" si="3"/>
        <v>3566</v>
      </c>
      <c r="Q74">
        <f t="shared" si="4"/>
        <v>59.43333333333333</v>
      </c>
      <c r="R74" s="52"/>
      <c r="S74" s="62"/>
      <c r="V74" t="s">
        <v>93</v>
      </c>
      <c r="AE74">
        <v>5120</v>
      </c>
      <c r="AF74">
        <f t="shared" si="2"/>
        <v>140</v>
      </c>
      <c r="AG74">
        <v>44.259996889999996</v>
      </c>
    </row>
    <row r="75" spans="2:37">
      <c r="B75" t="s">
        <v>185</v>
      </c>
      <c r="C75">
        <v>1044</v>
      </c>
      <c r="D75" s="39">
        <v>0.84789351851851846</v>
      </c>
      <c r="E75" s="40">
        <f>E73+MINUTE(D75-D73)+HOUR(D75-D73)*60</f>
        <v>3479</v>
      </c>
      <c r="F75">
        <f>E75/60</f>
        <v>57.983333333333334</v>
      </c>
      <c r="I75" s="42"/>
      <c r="J75" s="42"/>
      <c r="L75" s="52"/>
      <c r="M75">
        <v>1052</v>
      </c>
      <c r="N75" t="s">
        <v>1</v>
      </c>
      <c r="O75" s="46">
        <v>45287.914189814815</v>
      </c>
      <c r="P75">
        <f t="shared" si="3"/>
        <v>3574</v>
      </c>
      <c r="Q75">
        <f t="shared" si="4"/>
        <v>59.56666666666667</v>
      </c>
      <c r="R75" s="52"/>
      <c r="S75" s="62"/>
      <c r="AA75" t="s">
        <v>199</v>
      </c>
      <c r="AC75" t="s">
        <v>244</v>
      </c>
      <c r="AE75">
        <v>5140</v>
      </c>
      <c r="AF75">
        <f t="shared" si="2"/>
        <v>160</v>
      </c>
      <c r="AG75">
        <v>43.723441960000002</v>
      </c>
      <c r="AI75">
        <v>360</v>
      </c>
      <c r="AJ75">
        <f>AI75-360</f>
        <v>0</v>
      </c>
      <c r="AK75">
        <v>48.893545600000003</v>
      </c>
    </row>
    <row r="76" spans="2:37">
      <c r="C76">
        <v>1052</v>
      </c>
      <c r="D76" s="39">
        <v>0.90862268518518519</v>
      </c>
      <c r="E76" s="40">
        <f>E75+MINUTE(D76-D75)+HOUR(D76-D75)*60</f>
        <v>3566</v>
      </c>
      <c r="F76">
        <f>E76/60</f>
        <v>59.43333333333333</v>
      </c>
      <c r="G76">
        <v>55.808766787878788</v>
      </c>
      <c r="I76" s="9">
        <v>0.69874000000000003</v>
      </c>
      <c r="J76" s="9">
        <v>1.075</v>
      </c>
      <c r="L76" s="52"/>
      <c r="M76" s="15">
        <v>1052</v>
      </c>
      <c r="N76" s="15" t="s">
        <v>192</v>
      </c>
      <c r="O76" s="48">
        <v>45287.946793981479</v>
      </c>
      <c r="P76" s="15">
        <f t="shared" si="3"/>
        <v>3620</v>
      </c>
      <c r="Q76">
        <f t="shared" si="4"/>
        <v>60.333333333333336</v>
      </c>
      <c r="R76" s="52">
        <v>62.217110342840677</v>
      </c>
      <c r="S76" s="62"/>
      <c r="AA76" s="9"/>
      <c r="AE76">
        <v>5160</v>
      </c>
      <c r="AF76">
        <f t="shared" si="2"/>
        <v>180</v>
      </c>
      <c r="AG76">
        <v>44.148621720000001</v>
      </c>
      <c r="AI76">
        <v>380</v>
      </c>
      <c r="AJ76">
        <f t="shared" ref="AJ76:AJ87" si="5">AI76-360</f>
        <v>20</v>
      </c>
      <c r="AK76">
        <v>49.421899959999998</v>
      </c>
    </row>
    <row r="77" spans="2:37">
      <c r="E77" s="40"/>
      <c r="I77" s="42"/>
      <c r="J77" s="42"/>
      <c r="L77" s="52"/>
      <c r="M77" s="49">
        <v>1053</v>
      </c>
      <c r="N77" s="49" t="s">
        <v>1</v>
      </c>
      <c r="O77" s="50">
        <v>45287.947488425925</v>
      </c>
      <c r="P77" s="49">
        <f t="shared" si="3"/>
        <v>3621</v>
      </c>
      <c r="Q77">
        <f t="shared" si="4"/>
        <v>60.35</v>
      </c>
      <c r="R77" s="52"/>
      <c r="S77" s="62"/>
      <c r="AA77" t="s">
        <v>200</v>
      </c>
      <c r="AI77">
        <v>400</v>
      </c>
      <c r="AJ77">
        <f t="shared" si="5"/>
        <v>40</v>
      </c>
      <c r="AK77">
        <v>50.368606530000001</v>
      </c>
    </row>
    <row r="78" spans="2:37">
      <c r="C78">
        <v>1052</v>
      </c>
      <c r="D78" s="39">
        <v>0.91418981481481476</v>
      </c>
      <c r="E78" s="40">
        <f>E76+MINUTE(D78-D76)+HOUR(D78-D76)*60</f>
        <v>3574</v>
      </c>
      <c r="F78">
        <f>E78/60</f>
        <v>59.56666666666667</v>
      </c>
      <c r="L78" s="61"/>
      <c r="M78" s="15">
        <v>1054</v>
      </c>
      <c r="N78" s="15" t="s">
        <v>192</v>
      </c>
      <c r="O78" s="48">
        <v>45287.983483796299</v>
      </c>
      <c r="P78" s="15">
        <f t="shared" si="3"/>
        <v>3672</v>
      </c>
      <c r="Q78" s="15">
        <f>P78/60</f>
        <v>61.2</v>
      </c>
      <c r="R78" s="61">
        <v>204.59</v>
      </c>
      <c r="S78" s="63">
        <f>(R76*(P76-P73)+R78*(P78-P77))/(P78-P73)</f>
        <v>99.51659356653127</v>
      </c>
      <c r="T78" s="64">
        <f>S78/S72</f>
        <v>4.4577941339590677</v>
      </c>
      <c r="U78" s="64">
        <v>1</v>
      </c>
      <c r="V78" s="64">
        <f>O31</f>
        <v>5.713375952790755E-2</v>
      </c>
      <c r="W78" s="64"/>
      <c r="X78" s="64">
        <v>1</v>
      </c>
      <c r="Y78" s="64">
        <f>Y72*T78</f>
        <v>622795.16677945864</v>
      </c>
      <c r="Z78" t="s">
        <v>304</v>
      </c>
      <c r="AA78" s="9"/>
      <c r="AI78">
        <v>420</v>
      </c>
      <c r="AJ78">
        <f t="shared" si="5"/>
        <v>60</v>
      </c>
      <c r="AK78">
        <v>49.905049929999997</v>
      </c>
    </row>
    <row r="79" spans="2:37">
      <c r="D79" s="39">
        <v>0.94679398148148142</v>
      </c>
      <c r="E79" s="40">
        <f>E78+MINUTE(D79-D78)+HOUR(D79-D78)*60</f>
        <v>3620</v>
      </c>
      <c r="F79">
        <f>E79/60</f>
        <v>60.333333333333336</v>
      </c>
      <c r="G79">
        <v>71.600999999999999</v>
      </c>
      <c r="I79" s="9">
        <v>0.143931</v>
      </c>
      <c r="L79" s="52" t="s">
        <v>195</v>
      </c>
      <c r="M79">
        <v>1055</v>
      </c>
      <c r="N79" t="s">
        <v>1</v>
      </c>
      <c r="O79" s="46">
        <v>45287.984085648146</v>
      </c>
      <c r="P79">
        <f t="shared" si="3"/>
        <v>3672</v>
      </c>
      <c r="Q79">
        <f t="shared" si="4"/>
        <v>61.2</v>
      </c>
      <c r="R79" s="52"/>
      <c r="S79" s="62"/>
      <c r="AA79" t="s">
        <v>201</v>
      </c>
      <c r="AC79" s="1">
        <v>1000000</v>
      </c>
      <c r="AF79" s="37">
        <f>1000000*R80/R72</f>
        <v>23694455.293585427</v>
      </c>
      <c r="AI79">
        <v>440</v>
      </c>
      <c r="AJ79">
        <f t="shared" si="5"/>
        <v>80</v>
      </c>
      <c r="AK79">
        <v>49.484883119999999</v>
      </c>
    </row>
    <row r="80" spans="2:37">
      <c r="L80" s="52"/>
      <c r="M80" s="15">
        <v>1068</v>
      </c>
      <c r="N80" s="15" t="s">
        <v>192</v>
      </c>
      <c r="O80" s="51">
        <v>45288.238171296296</v>
      </c>
      <c r="P80">
        <f t="shared" si="3"/>
        <v>4037</v>
      </c>
      <c r="Q80">
        <f t="shared" si="4"/>
        <v>67.283333333333331</v>
      </c>
      <c r="R80" s="52">
        <v>528.95925795880146</v>
      </c>
      <c r="S80" s="62"/>
      <c r="AA80" s="9"/>
      <c r="AC80" s="37">
        <f>AC79/R80*R72</f>
        <v>42203.966607779352</v>
      </c>
      <c r="AD80" t="s">
        <v>246</v>
      </c>
      <c r="AI80">
        <v>460</v>
      </c>
      <c r="AJ80">
        <f t="shared" si="5"/>
        <v>100</v>
      </c>
      <c r="AK80">
        <v>48.719305499999997</v>
      </c>
    </row>
    <row r="81" spans="2:40">
      <c r="C81">
        <v>1053</v>
      </c>
      <c r="D81" s="39">
        <v>0.94748842592592597</v>
      </c>
      <c r="E81" s="40">
        <f>E76+MINUTE(D81-D76)+HOUR(D81-D76)*60</f>
        <v>3621</v>
      </c>
      <c r="F81">
        <f>E81/60</f>
        <v>60.35</v>
      </c>
      <c r="I81" s="42"/>
      <c r="J81" s="42"/>
      <c r="L81" s="52"/>
      <c r="M81">
        <v>1069</v>
      </c>
      <c r="N81" t="s">
        <v>1</v>
      </c>
      <c r="O81" s="8">
        <v>45288.238402777781</v>
      </c>
      <c r="P81" s="49">
        <f t="shared" si="3"/>
        <v>4037</v>
      </c>
      <c r="Q81">
        <f t="shared" si="4"/>
        <v>67.283333333333331</v>
      </c>
      <c r="R81" s="52"/>
      <c r="S81" s="62"/>
      <c r="AA81" t="s">
        <v>202</v>
      </c>
      <c r="AI81">
        <v>480</v>
      </c>
      <c r="AJ81">
        <f t="shared" si="5"/>
        <v>120</v>
      </c>
      <c r="AK81">
        <v>48.167426800000001</v>
      </c>
    </row>
    <row r="82" spans="2:40">
      <c r="C82">
        <v>1054</v>
      </c>
      <c r="D82" s="39">
        <v>0.98348379629629623</v>
      </c>
      <c r="E82" s="40">
        <f>E81+MINUTE(D82-D81)+HOUR(D82-D81)*60</f>
        <v>3672</v>
      </c>
      <c r="F82">
        <f>E82/60</f>
        <v>61.2</v>
      </c>
      <c r="G82">
        <v>204.59</v>
      </c>
      <c r="I82" s="9">
        <v>-1.1556</v>
      </c>
      <c r="L82" s="61"/>
      <c r="M82" s="15">
        <v>1069</v>
      </c>
      <c r="N82" s="15" t="s">
        <v>192</v>
      </c>
      <c r="O82" s="48">
        <v>45288.270486111112</v>
      </c>
      <c r="P82" s="15">
        <f t="shared" si="3"/>
        <v>4083</v>
      </c>
      <c r="Q82" s="15">
        <f t="shared" si="4"/>
        <v>68.05</v>
      </c>
      <c r="R82" s="61">
        <v>671.25</v>
      </c>
      <c r="S82" s="63">
        <f>(R80*(P80-P79)+R82*(P82-P81))/(P82-P79)</f>
        <v>544.88474246949522</v>
      </c>
      <c r="T82" s="64">
        <f>S82/S72</f>
        <v>24.4078291027961</v>
      </c>
      <c r="U82" s="64">
        <f>T82/T78</f>
        <v>5.4753154518418636</v>
      </c>
      <c r="V82" s="64">
        <f>O41</f>
        <v>0.28728147029204432</v>
      </c>
      <c r="W82" s="64"/>
      <c r="X82" s="64">
        <f>V82/V78</f>
        <v>5.0282262652734913</v>
      </c>
      <c r="Y82" s="64">
        <f>3410000</f>
        <v>3410000</v>
      </c>
      <c r="AA82" s="9"/>
      <c r="AI82">
        <v>500</v>
      </c>
      <c r="AJ82">
        <f t="shared" si="5"/>
        <v>140</v>
      </c>
      <c r="AK82">
        <v>47.685472920000002</v>
      </c>
    </row>
    <row r="83" spans="2:40">
      <c r="E83" s="40"/>
      <c r="I83" s="42"/>
      <c r="J83" s="42"/>
      <c r="L83" s="52" t="s">
        <v>303</v>
      </c>
      <c r="M83">
        <v>1071</v>
      </c>
      <c r="N83" t="s">
        <v>1</v>
      </c>
      <c r="O83" s="46">
        <v>45288.859884259262</v>
      </c>
      <c r="P83">
        <f t="shared" si="3"/>
        <v>4931</v>
      </c>
      <c r="Q83">
        <f t="shared" si="4"/>
        <v>82.183333333333337</v>
      </c>
      <c r="R83" s="52"/>
      <c r="S83" s="62"/>
      <c r="AA83" t="s">
        <v>204</v>
      </c>
      <c r="AI83">
        <v>520</v>
      </c>
      <c r="AJ83">
        <f t="shared" si="5"/>
        <v>160</v>
      </c>
      <c r="AK83">
        <v>47.388264759999998</v>
      </c>
    </row>
    <row r="84" spans="2:40">
      <c r="B84" t="s">
        <v>185</v>
      </c>
      <c r="C84">
        <v>1055</v>
      </c>
      <c r="D84" s="39">
        <v>0.98408564814814825</v>
      </c>
      <c r="E84" s="40">
        <f>E76+MINUTE(D84-D76)+HOUR(D84-D76)*60</f>
        <v>3674</v>
      </c>
      <c r="F84">
        <f>E84/60</f>
        <v>61.233333333333334</v>
      </c>
      <c r="I84" s="42"/>
      <c r="J84" s="42"/>
      <c r="L84" s="52"/>
      <c r="M84" s="15">
        <v>1071</v>
      </c>
      <c r="N84" s="15" t="s">
        <v>192</v>
      </c>
      <c r="O84" s="48">
        <v>45288.88821759259</v>
      </c>
      <c r="P84" s="15">
        <f t="shared" si="3"/>
        <v>4971</v>
      </c>
      <c r="Q84">
        <f t="shared" si="4"/>
        <v>82.85</v>
      </c>
      <c r="R84" s="52">
        <v>942.3</v>
      </c>
      <c r="S84" s="62"/>
      <c r="AA84" s="9"/>
      <c r="AI84">
        <v>540</v>
      </c>
      <c r="AJ84">
        <f t="shared" si="5"/>
        <v>180</v>
      </c>
      <c r="AK84">
        <v>47.018164089999999</v>
      </c>
    </row>
    <row r="85" spans="2:40">
      <c r="C85">
        <v>1069</v>
      </c>
      <c r="D85" s="39">
        <v>0.27048611111111109</v>
      </c>
      <c r="E85" s="40">
        <f>E84+23+MINUTE(D85)+HOUR(D85)*60</f>
        <v>4086</v>
      </c>
      <c r="F85">
        <f>E85/60</f>
        <v>68.099999999999994</v>
      </c>
      <c r="G85">
        <v>548.819778449144</v>
      </c>
      <c r="I85" s="9">
        <v>-0.78410199999999997</v>
      </c>
      <c r="J85" s="9">
        <v>7.1459999999999996E-2</v>
      </c>
      <c r="L85" s="52"/>
      <c r="M85">
        <v>1072</v>
      </c>
      <c r="N85" t="s">
        <v>1</v>
      </c>
      <c r="O85" s="46">
        <v>45288.889178240737</v>
      </c>
      <c r="P85">
        <f t="shared" si="3"/>
        <v>4972</v>
      </c>
      <c r="Q85">
        <f t="shared" si="4"/>
        <v>82.86666666666666</v>
      </c>
      <c r="R85" s="52"/>
      <c r="S85" s="62"/>
      <c r="AA85" t="s">
        <v>203</v>
      </c>
      <c r="AI85">
        <v>560</v>
      </c>
      <c r="AJ85">
        <f t="shared" si="5"/>
        <v>200</v>
      </c>
      <c r="AK85">
        <v>46.411225350000002</v>
      </c>
    </row>
    <row r="86" spans="2:40" ht="20.5" thickBot="1">
      <c r="E86" s="40"/>
      <c r="I86" s="42"/>
      <c r="J86" s="42"/>
      <c r="L86" s="53"/>
      <c r="M86" s="28">
        <v>1079</v>
      </c>
      <c r="N86" s="28" t="s">
        <v>192</v>
      </c>
      <c r="O86" s="47">
        <v>45289.1877662037</v>
      </c>
      <c r="P86" s="28">
        <f t="shared" si="3"/>
        <v>5401</v>
      </c>
      <c r="Q86">
        <f t="shared" si="4"/>
        <v>90.016666666666666</v>
      </c>
      <c r="R86" s="53">
        <v>713.58612791522376</v>
      </c>
      <c r="S86" s="62"/>
      <c r="AA86" s="9"/>
      <c r="AI86">
        <v>580</v>
      </c>
      <c r="AJ86">
        <f t="shared" si="5"/>
        <v>220</v>
      </c>
      <c r="AK86">
        <v>47.784420859999997</v>
      </c>
    </row>
    <row r="87" spans="2:40">
      <c r="C87">
        <v>1071</v>
      </c>
      <c r="D87" s="39">
        <v>0.85988425925925915</v>
      </c>
      <c r="E87" s="40">
        <f>E85+MINUTE(D87-D85)+HOUR(D87-D85)*60</f>
        <v>4934</v>
      </c>
      <c r="F87">
        <f>E87/60</f>
        <v>82.233333333333334</v>
      </c>
      <c r="I87" s="42"/>
      <c r="J87" s="42"/>
      <c r="AI87">
        <v>600</v>
      </c>
      <c r="AJ87">
        <f t="shared" si="5"/>
        <v>240</v>
      </c>
      <c r="AK87">
        <v>47.950866019999999</v>
      </c>
    </row>
    <row r="88" spans="2:40">
      <c r="D88" s="39">
        <v>0.8882175925925927</v>
      </c>
      <c r="E88" s="40">
        <f>E87+MINUTE(D88-D87)+HOUR(D88-D87)*60</f>
        <v>4974</v>
      </c>
      <c r="F88">
        <f>E88/60</f>
        <v>82.9</v>
      </c>
      <c r="G88">
        <v>942.3</v>
      </c>
      <c r="I88" s="9">
        <v>4.2778</v>
      </c>
      <c r="O88">
        <f>3620-3480</f>
        <v>140</v>
      </c>
    </row>
    <row r="89" spans="2:40">
      <c r="E89" s="40"/>
      <c r="I89" s="42"/>
      <c r="J89" s="42"/>
      <c r="AA89">
        <f>4020-3680</f>
        <v>340</v>
      </c>
    </row>
    <row r="90" spans="2:40">
      <c r="B90" t="s">
        <v>185</v>
      </c>
      <c r="C90">
        <v>1072</v>
      </c>
      <c r="D90" s="39">
        <v>0.88917824074074081</v>
      </c>
      <c r="E90" s="40">
        <f>E85+MINUTE(D90-D85)+HOUR(D90-D85)*60</f>
        <v>4976</v>
      </c>
      <c r="F90">
        <f>E90/60</f>
        <v>82.933333333333337</v>
      </c>
      <c r="AB90">
        <f>17088/3600</f>
        <v>4.746666666666667</v>
      </c>
    </row>
    <row r="91" spans="2:40">
      <c r="C91">
        <v>1079</v>
      </c>
      <c r="D91" s="39">
        <v>0.1877662037037037</v>
      </c>
      <c r="E91" s="40">
        <f>E90+2*60+40+MINUTE(D91)+HOUR(D91)*60</f>
        <v>5406</v>
      </c>
      <c r="F91">
        <f>E91/60</f>
        <v>90.1</v>
      </c>
      <c r="G91">
        <v>713.58612791522376</v>
      </c>
      <c r="I91" s="41">
        <v>8.95701E-2</v>
      </c>
      <c r="J91" s="41">
        <v>0.219</v>
      </c>
      <c r="N91" s="8">
        <v>45285.430555555555</v>
      </c>
      <c r="O91">
        <v>0</v>
      </c>
    </row>
    <row r="92" spans="2:40">
      <c r="N92" s="8">
        <v>45285.934270833335</v>
      </c>
      <c r="O92">
        <f>DAY(N92-N91)*24*60+HOUR(N92-N91)*60+MINUTE(N92-N91)</f>
        <v>725</v>
      </c>
    </row>
    <row r="93" spans="2:40" ht="20.5" thickBot="1">
      <c r="AM93" t="s">
        <v>211</v>
      </c>
    </row>
    <row r="94" spans="2:40" ht="29.5" thickBot="1">
      <c r="J94" s="8">
        <v>45286.951388888891</v>
      </c>
      <c r="K94">
        <v>36.5</v>
      </c>
      <c r="L94" t="s">
        <v>183</v>
      </c>
      <c r="M94" s="10" t="s">
        <v>184</v>
      </c>
      <c r="N94">
        <f>K94*60</f>
        <v>2190</v>
      </c>
      <c r="O94" t="s">
        <v>132</v>
      </c>
      <c r="AK94" s="54" t="s">
        <v>205</v>
      </c>
      <c r="AL94" s="54">
        <v>5.9783499000000004</v>
      </c>
      <c r="AM94">
        <v>24</v>
      </c>
      <c r="AN94">
        <f t="shared" ref="AN94:AN99" si="6">AL94/(AM94-2)</f>
        <v>0.27174317727272729</v>
      </c>
    </row>
    <row r="95" spans="2:40" ht="29.5" thickBot="1">
      <c r="AK95" s="54" t="s">
        <v>206</v>
      </c>
      <c r="AL95" s="54">
        <v>4.6368508000000004</v>
      </c>
      <c r="AM95">
        <v>8</v>
      </c>
      <c r="AN95">
        <f t="shared" si="6"/>
        <v>0.77280846666666669</v>
      </c>
    </row>
    <row r="96" spans="2:40" ht="29.5" thickBot="1">
      <c r="AK96" s="54" t="s">
        <v>207</v>
      </c>
      <c r="AL96" s="54">
        <v>6.3496278000000004</v>
      </c>
      <c r="AM96">
        <v>18</v>
      </c>
      <c r="AN96">
        <f t="shared" si="6"/>
        <v>0.39685173750000002</v>
      </c>
    </row>
    <row r="97" spans="1:40" ht="29.5" thickBot="1">
      <c r="A97" t="s">
        <v>187</v>
      </c>
      <c r="B97" t="s">
        <v>188</v>
      </c>
      <c r="AK97" s="54" t="s">
        <v>208</v>
      </c>
      <c r="AL97" s="54">
        <v>0.47613929999999999</v>
      </c>
      <c r="AM97">
        <v>3</v>
      </c>
      <c r="AN97">
        <f t="shared" si="6"/>
        <v>0.47613929999999999</v>
      </c>
    </row>
    <row r="98" spans="1:40" ht="29.5" thickBot="1">
      <c r="C98" t="s">
        <v>189</v>
      </c>
      <c r="AK98" s="54" t="s">
        <v>209</v>
      </c>
      <c r="AL98" s="54">
        <v>3.1300000000000002E-5</v>
      </c>
      <c r="AM98">
        <v>2</v>
      </c>
      <c r="AN98" t="e">
        <f t="shared" si="6"/>
        <v>#DIV/0!</v>
      </c>
    </row>
    <row r="99" spans="1:40" ht="29.5" thickBot="1">
      <c r="A99">
        <v>1880</v>
      </c>
      <c r="B99" s="1">
        <v>1055346.08965874</v>
      </c>
      <c r="C99">
        <f>B99*1.1/1091140*50.45709164</f>
        <v>53.682079104064904</v>
      </c>
      <c r="H99" t="s">
        <v>191</v>
      </c>
      <c r="AK99" s="54" t="s">
        <v>210</v>
      </c>
      <c r="AL99" s="54">
        <v>3.5284376000000002</v>
      </c>
      <c r="AM99">
        <v>10</v>
      </c>
      <c r="AN99">
        <f t="shared" si="6"/>
        <v>0.44105470000000002</v>
      </c>
    </row>
    <row r="100" spans="1:40">
      <c r="A100">
        <v>1900</v>
      </c>
      <c r="B100" s="1">
        <v>1091037.81294505</v>
      </c>
      <c r="C100">
        <f t="shared" ref="C100:C114" si="7">B100*1.1/1091140*50.45709164</f>
        <v>55.497602875452216</v>
      </c>
      <c r="G100">
        <v>1</v>
      </c>
      <c r="H100">
        <v>-0.54287075999999901</v>
      </c>
      <c r="I100">
        <v>-0.49865076000001002</v>
      </c>
      <c r="J100">
        <f>H100^2</f>
        <v>0.29470866206297652</v>
      </c>
      <c r="K100">
        <f>I100^2</f>
        <v>0.2486525804485876</v>
      </c>
      <c r="M100">
        <v>-0.48582076000000202</v>
      </c>
    </row>
    <row r="101" spans="1:40">
      <c r="A101">
        <v>1920</v>
      </c>
      <c r="B101" s="1">
        <v>1060569.3267226401</v>
      </c>
      <c r="C101">
        <f t="shared" si="7"/>
        <v>53.947768462267987</v>
      </c>
      <c r="G101">
        <v>2</v>
      </c>
      <c r="H101">
        <v>-0.56806762</v>
      </c>
      <c r="I101">
        <v>-0.470887620000006</v>
      </c>
      <c r="J101">
        <f t="shared" ref="J101:J119" si="8">H101^2</f>
        <v>0.32270082089246438</v>
      </c>
      <c r="K101">
        <f t="shared" ref="K101:K119" si="9">I101^2</f>
        <v>0.22173515066927005</v>
      </c>
      <c r="M101">
        <v>-0.45885761999999602</v>
      </c>
    </row>
    <row r="102" spans="1:40">
      <c r="A102">
        <v>1940</v>
      </c>
      <c r="B102" s="1">
        <v>1050051.7206267</v>
      </c>
      <c r="C102">
        <f t="shared" si="7"/>
        <v>53.412771490222333</v>
      </c>
      <c r="G102">
        <v>3</v>
      </c>
      <c r="H102">
        <v>-6.0576239999996E-2</v>
      </c>
      <c r="I102">
        <v>9.7533760000004494E-2</v>
      </c>
      <c r="J102">
        <f t="shared" si="8"/>
        <v>3.6694808525371153E-3</v>
      </c>
      <c r="K102">
        <f t="shared" si="9"/>
        <v>9.5128343397384765E-3</v>
      </c>
      <c r="M102">
        <v>9.6343759999996295E-2</v>
      </c>
    </row>
    <row r="103" spans="1:40" ht="20.5" thickBot="1">
      <c r="A103">
        <v>1960</v>
      </c>
      <c r="B103" s="1">
        <v>1042338.15458416</v>
      </c>
      <c r="C103">
        <f t="shared" si="7"/>
        <v>53.020407064440491</v>
      </c>
      <c r="G103">
        <v>4</v>
      </c>
      <c r="H103">
        <v>-2.0392600000107499E-3</v>
      </c>
      <c r="I103">
        <v>0.224250740000002</v>
      </c>
      <c r="J103">
        <f t="shared" si="8"/>
        <v>4.1585813476438438E-6</v>
      </c>
      <c r="K103">
        <f t="shared" si="9"/>
        <v>5.0288394390548496E-2</v>
      </c>
      <c r="M103">
        <v>0.198490740000004</v>
      </c>
      <c r="AI103" t="s">
        <v>256</v>
      </c>
      <c r="AJ103" t="s">
        <v>250</v>
      </c>
    </row>
    <row r="104" spans="1:40">
      <c r="A104" s="21">
        <v>1980</v>
      </c>
      <c r="B104" s="43">
        <v>1066762.4179803601</v>
      </c>
      <c r="C104" s="23">
        <f t="shared" si="7"/>
        <v>54.262791200356801</v>
      </c>
      <c r="G104">
        <v>5</v>
      </c>
      <c r="H104">
        <v>0.263400779999997</v>
      </c>
      <c r="I104">
        <v>0.564460779999997</v>
      </c>
      <c r="J104">
        <f t="shared" si="8"/>
        <v>6.9379970904606819E-2</v>
      </c>
      <c r="K104">
        <f t="shared" si="9"/>
        <v>0.31861597215820503</v>
      </c>
      <c r="M104">
        <v>0.50381078000000201</v>
      </c>
      <c r="AJ104" t="s">
        <v>252</v>
      </c>
      <c r="AK104" t="s">
        <v>251</v>
      </c>
      <c r="AL104" t="s">
        <v>252</v>
      </c>
      <c r="AM104" t="s">
        <v>253</v>
      </c>
      <c r="AN104" t="s">
        <v>254</v>
      </c>
    </row>
    <row r="105" spans="1:40">
      <c r="A105" s="24">
        <v>2000</v>
      </c>
      <c r="B105" s="1">
        <v>1067670.37600345</v>
      </c>
      <c r="C105" s="25">
        <f t="shared" si="7"/>
        <v>54.308976120068259</v>
      </c>
      <c r="G105">
        <v>6</v>
      </c>
      <c r="H105">
        <v>-5.2944929999995297E-2</v>
      </c>
      <c r="I105">
        <v>0.32885507000000302</v>
      </c>
      <c r="J105">
        <f t="shared" si="8"/>
        <v>2.8031656127044018E-3</v>
      </c>
      <c r="K105">
        <f t="shared" si="9"/>
        <v>0.10814565706470688</v>
      </c>
      <c r="M105">
        <v>0.223925069999999</v>
      </c>
      <c r="AG105" s="20">
        <v>45286</v>
      </c>
      <c r="AH105" s="55">
        <v>0.94444444444444453</v>
      </c>
      <c r="AJ105" t="s">
        <v>249</v>
      </c>
    </row>
    <row r="106" spans="1:40">
      <c r="A106" s="24">
        <v>2020</v>
      </c>
      <c r="B106" s="1">
        <v>1044854.33450036</v>
      </c>
      <c r="C106" s="25">
        <f t="shared" si="7"/>
        <v>53.148397086505369</v>
      </c>
      <c r="G106">
        <v>7</v>
      </c>
      <c r="H106">
        <v>-0.61955209000000599</v>
      </c>
      <c r="I106">
        <v>-0.15159209000000101</v>
      </c>
      <c r="J106">
        <f t="shared" si="8"/>
        <v>0.38384479222337553</v>
      </c>
      <c r="K106">
        <f t="shared" si="9"/>
        <v>2.2980161750568408E-2</v>
      </c>
      <c r="M106">
        <v>-0.30934209000000801</v>
      </c>
      <c r="AG106" s="20">
        <v>45287</v>
      </c>
      <c r="AH106" s="55">
        <v>0.17361111111111113</v>
      </c>
      <c r="AK106">
        <v>300</v>
      </c>
      <c r="AL106">
        <v>15</v>
      </c>
    </row>
    <row r="107" spans="1:40">
      <c r="A107" s="24">
        <v>2040</v>
      </c>
      <c r="B107" s="1">
        <v>1070122.50287065</v>
      </c>
      <c r="C107" s="25">
        <f t="shared" si="7"/>
        <v>54.433707968461988</v>
      </c>
      <c r="G107">
        <v>8</v>
      </c>
      <c r="H107">
        <v>0.72169982999999105</v>
      </c>
      <c r="I107">
        <v>1.2807298299999901</v>
      </c>
      <c r="J107">
        <f t="shared" si="8"/>
        <v>0.52085064462201602</v>
      </c>
      <c r="K107">
        <f t="shared" si="9"/>
        <v>1.6402688974518034</v>
      </c>
      <c r="M107">
        <v>1.0623898300000001</v>
      </c>
      <c r="AH107" s="55">
        <v>0.22222222222222221</v>
      </c>
      <c r="AK107">
        <v>100</v>
      </c>
      <c r="AL107">
        <v>20</v>
      </c>
    </row>
    <row r="108" spans="1:40">
      <c r="A108" s="24">
        <v>2060</v>
      </c>
      <c r="B108" s="1">
        <v>1085566.0372007401</v>
      </c>
      <c r="C108" s="25">
        <f t="shared" si="7"/>
        <v>55.21927114975194</v>
      </c>
      <c r="G108">
        <v>9</v>
      </c>
      <c r="H108">
        <v>0.59368498000000602</v>
      </c>
      <c r="I108">
        <v>1.24821498</v>
      </c>
      <c r="J108">
        <f t="shared" si="8"/>
        <v>0.35246185547760756</v>
      </c>
      <c r="K108">
        <f t="shared" si="9"/>
        <v>1.5580406362964003</v>
      </c>
      <c r="M108">
        <v>0.96224498000000103</v>
      </c>
      <c r="AH108" s="55">
        <v>0.23680555555555557</v>
      </c>
      <c r="AL108">
        <v>21</v>
      </c>
    </row>
    <row r="109" spans="1:40">
      <c r="A109" s="24">
        <v>2080</v>
      </c>
      <c r="B109" s="1">
        <v>1049651.5024067699</v>
      </c>
      <c r="C109" s="25">
        <f t="shared" si="7"/>
        <v>53.392413669833644</v>
      </c>
      <c r="G109">
        <v>10</v>
      </c>
      <c r="H109">
        <v>-0.81183113000000096</v>
      </c>
      <c r="I109">
        <v>-5.7791129999998199E-2</v>
      </c>
      <c r="J109">
        <f t="shared" si="8"/>
        <v>0.65906978363707847</v>
      </c>
      <c r="K109">
        <f t="shared" si="9"/>
        <v>3.339814706676692E-3</v>
      </c>
      <c r="M109">
        <v>-0.417781130000001</v>
      </c>
      <c r="AH109" s="55">
        <v>0.2638888888888889</v>
      </c>
      <c r="AL109">
        <v>28</v>
      </c>
    </row>
    <row r="110" spans="1:40">
      <c r="A110" s="24">
        <v>2100</v>
      </c>
      <c r="B110" s="1">
        <v>1048161.27344979</v>
      </c>
      <c r="C110" s="25">
        <f t="shared" si="7"/>
        <v>53.316610490634275</v>
      </c>
      <c r="G110">
        <v>11</v>
      </c>
      <c r="H110">
        <v>-1.53507806</v>
      </c>
      <c r="I110">
        <v>-0.67792806000000605</v>
      </c>
      <c r="J110">
        <f t="shared" si="8"/>
        <v>2.3564646502933635</v>
      </c>
      <c r="K110">
        <f t="shared" si="9"/>
        <v>0.45958645453537178</v>
      </c>
      <c r="M110">
        <v>-1.1177280599999999</v>
      </c>
      <c r="AH110" s="55">
        <v>0.83333333333333337</v>
      </c>
      <c r="AJ110" s="1">
        <v>1000000</v>
      </c>
    </row>
    <row r="111" spans="1:40">
      <c r="A111" s="24">
        <v>2120</v>
      </c>
      <c r="B111" s="1">
        <v>1128586.5051464301</v>
      </c>
      <c r="C111" s="25">
        <f t="shared" si="7"/>
        <v>57.407584714358229</v>
      </c>
      <c r="G111">
        <v>12</v>
      </c>
      <c r="H111">
        <v>-0.45281542999999402</v>
      </c>
      <c r="I111">
        <v>0.51069457000000495</v>
      </c>
      <c r="J111">
        <f t="shared" si="8"/>
        <v>0.20504181364607948</v>
      </c>
      <c r="K111">
        <f t="shared" si="9"/>
        <v>0.26080894382748998</v>
      </c>
      <c r="M111">
        <v>-1.4155429999995301E-2</v>
      </c>
      <c r="AH111" s="55">
        <v>0.84375</v>
      </c>
      <c r="AN111" t="s">
        <v>255</v>
      </c>
    </row>
    <row r="112" spans="1:40">
      <c r="A112" s="24">
        <v>2140</v>
      </c>
      <c r="B112" s="1">
        <v>1043775.78811929</v>
      </c>
      <c r="C112" s="25">
        <f t="shared" si="7"/>
        <v>53.093534882804285</v>
      </c>
      <c r="G112">
        <v>13</v>
      </c>
      <c r="H112">
        <v>-0.22101877</v>
      </c>
      <c r="I112">
        <v>0.85174123000000102</v>
      </c>
      <c r="J112">
        <f t="shared" si="8"/>
        <v>4.8849296692312902E-2</v>
      </c>
      <c r="K112">
        <f t="shared" si="9"/>
        <v>0.72546312288191461</v>
      </c>
      <c r="M112">
        <v>0.23712123000000601</v>
      </c>
      <c r="AH112" s="55">
        <v>0.84791666666666676</v>
      </c>
      <c r="AI112">
        <v>1044</v>
      </c>
      <c r="AL112">
        <v>80</v>
      </c>
    </row>
    <row r="113" spans="1:38" ht="20.5" thickBot="1">
      <c r="A113" s="24">
        <v>2160</v>
      </c>
      <c r="B113" s="1">
        <v>1013153.56948078</v>
      </c>
      <c r="C113" s="25">
        <f t="shared" si="7"/>
        <v>51.535880593464917</v>
      </c>
      <c r="G113">
        <v>14</v>
      </c>
      <c r="H113">
        <v>-1.6103355799999901</v>
      </c>
      <c r="I113">
        <v>-0.42572557999999799</v>
      </c>
      <c r="J113">
        <f t="shared" si="8"/>
        <v>2.5931806802139046</v>
      </c>
      <c r="K113">
        <f t="shared" si="9"/>
        <v>0.1812422694663347</v>
      </c>
      <c r="M113">
        <v>-1.13438558</v>
      </c>
      <c r="AH113" s="55">
        <v>0.90763888888888899</v>
      </c>
      <c r="AI113">
        <v>1051</v>
      </c>
      <c r="AL113">
        <v>69</v>
      </c>
    </row>
    <row r="114" spans="1:38" ht="20.5" thickBot="1">
      <c r="A114" s="45">
        <v>2180</v>
      </c>
      <c r="B114" s="44">
        <v>1048044.08001205</v>
      </c>
      <c r="C114" s="29">
        <f t="shared" si="7"/>
        <v>53.310649235405407</v>
      </c>
      <c r="D114" s="5">
        <f>AVERAGE(C104:C114)</f>
        <v>53.948165191967739</v>
      </c>
      <c r="E114" s="10" t="s">
        <v>190</v>
      </c>
      <c r="G114">
        <v>15</v>
      </c>
      <c r="H114">
        <v>-0.91264679999999698</v>
      </c>
      <c r="I114">
        <v>0.38614319999999902</v>
      </c>
      <c r="J114">
        <f t="shared" si="8"/>
        <v>0.83292418155023451</v>
      </c>
      <c r="K114">
        <f t="shared" si="9"/>
        <v>0.14910657090623924</v>
      </c>
      <c r="M114">
        <v>-0.42041680000000498</v>
      </c>
    </row>
    <row r="115" spans="1:38">
      <c r="G115">
        <v>16</v>
      </c>
      <c r="H115">
        <v>-1.0399513499999999</v>
      </c>
      <c r="I115">
        <v>0.37507864999999802</v>
      </c>
      <c r="J115">
        <f t="shared" si="8"/>
        <v>1.0814988103668224</v>
      </c>
      <c r="K115">
        <f t="shared" si="9"/>
        <v>0.14068399368582102</v>
      </c>
      <c r="M115">
        <v>-0.53282135000000597</v>
      </c>
    </row>
    <row r="116" spans="1:38">
      <c r="G116">
        <v>17</v>
      </c>
      <c r="H116">
        <v>-1.44017660999999</v>
      </c>
      <c r="I116">
        <v>9.29033900000035E-2</v>
      </c>
      <c r="J116">
        <f t="shared" si="8"/>
        <v>2.0741086679910632</v>
      </c>
      <c r="K116">
        <f t="shared" si="9"/>
        <v>8.6310398734927504E-3</v>
      </c>
      <c r="M116">
        <v>-0.91942661000000203</v>
      </c>
    </row>
    <row r="117" spans="1:38">
      <c r="A117">
        <v>3200</v>
      </c>
      <c r="B117" s="1">
        <v>1007459.73044224</v>
      </c>
      <c r="C117">
        <f>B117*1.09/1091140*50.45709164</f>
        <v>50.780378189198323</v>
      </c>
      <c r="G117">
        <v>18</v>
      </c>
      <c r="H117">
        <v>-1.7514613400000001</v>
      </c>
      <c r="I117">
        <v>-9.8721339999997298E-2</v>
      </c>
      <c r="J117">
        <f t="shared" si="8"/>
        <v>3.0676168255145959</v>
      </c>
      <c r="K117">
        <f t="shared" si="9"/>
        <v>9.7459029713950658E-3</v>
      </c>
      <c r="M117">
        <v>-1.21826134</v>
      </c>
    </row>
    <row r="118" spans="1:38">
      <c r="A118">
        <v>3220</v>
      </c>
      <c r="B118" s="1">
        <v>993954.11378180794</v>
      </c>
      <c r="C118">
        <f t="shared" ref="C118:C131" si="10">B118*1.09/1091140*50.45709164</f>
        <v>50.099636020581784</v>
      </c>
      <c r="G118">
        <v>19</v>
      </c>
      <c r="H118">
        <v>-1.7948342099999901</v>
      </c>
      <c r="I118">
        <v>-2.1014210000004099E-2</v>
      </c>
      <c r="J118">
        <f t="shared" si="8"/>
        <v>3.2214298413862887</v>
      </c>
      <c r="K118">
        <f t="shared" si="9"/>
        <v>4.415970219242723E-4</v>
      </c>
      <c r="M118">
        <v>-1.25025421</v>
      </c>
    </row>
    <row r="119" spans="1:38">
      <c r="A119">
        <v>3240</v>
      </c>
      <c r="B119" s="1">
        <v>1002333.28809103</v>
      </c>
      <c r="C119">
        <f t="shared" si="10"/>
        <v>50.521983065806829</v>
      </c>
      <c r="G119">
        <v>20</v>
      </c>
      <c r="H119">
        <v>-0.990951260000002</v>
      </c>
      <c r="I119">
        <v>0.90516874000000003</v>
      </c>
      <c r="J119">
        <f t="shared" si="8"/>
        <v>0.98198439969559159</v>
      </c>
      <c r="K119">
        <f t="shared" si="9"/>
        <v>0.81933044787318765</v>
      </c>
      <c r="M119">
        <v>-0.43596125999999902</v>
      </c>
    </row>
    <row r="120" spans="1:38" ht="20.5" thickBot="1">
      <c r="A120">
        <v>3260</v>
      </c>
      <c r="B120" s="1">
        <v>998596.69056285103</v>
      </c>
      <c r="C120">
        <f t="shared" si="10"/>
        <v>50.33364220225841</v>
      </c>
      <c r="J120">
        <f>SUM(J100:J119)</f>
        <v>19.07259250221697</v>
      </c>
      <c r="K120">
        <f>SUM(K100:K119)</f>
        <v>6.9366204423196764</v>
      </c>
      <c r="M120">
        <v>10.2599678973415</v>
      </c>
    </row>
    <row r="121" spans="1:38">
      <c r="A121" s="21">
        <v>3280</v>
      </c>
      <c r="B121" s="43">
        <v>1032535.74752069</v>
      </c>
      <c r="C121" s="23">
        <f t="shared" si="10"/>
        <v>52.044319160976428</v>
      </c>
    </row>
    <row r="122" spans="1:38">
      <c r="A122" s="24">
        <v>3300</v>
      </c>
      <c r="B122" s="1">
        <v>1047316.13095664</v>
      </c>
      <c r="C122" s="25">
        <f t="shared" si="10"/>
        <v>52.789315152359073</v>
      </c>
    </row>
    <row r="123" spans="1:38">
      <c r="A123" s="24">
        <v>3320</v>
      </c>
      <c r="B123" s="1">
        <v>1032978.69591896</v>
      </c>
      <c r="C123" s="25">
        <f t="shared" si="10"/>
        <v>52.06664569820942</v>
      </c>
    </row>
    <row r="124" spans="1:38">
      <c r="A124" s="24">
        <v>3340</v>
      </c>
      <c r="B124" s="1">
        <v>1012324.98185755</v>
      </c>
      <c r="C124" s="25">
        <f t="shared" si="10"/>
        <v>51.025608146674152</v>
      </c>
    </row>
    <row r="125" spans="1:38">
      <c r="A125" s="24">
        <v>3360</v>
      </c>
      <c r="B125" s="1">
        <v>1060066.7355134899</v>
      </c>
      <c r="C125" s="25">
        <f t="shared" si="10"/>
        <v>53.432001407673255</v>
      </c>
    </row>
    <row r="126" spans="1:38">
      <c r="A126" s="24">
        <v>3380</v>
      </c>
      <c r="B126" s="1">
        <v>1016848.06440369</v>
      </c>
      <c r="C126" s="25">
        <f t="shared" si="10"/>
        <v>51.253591296107956</v>
      </c>
    </row>
    <row r="127" spans="1:38">
      <c r="A127" s="24">
        <v>3400</v>
      </c>
      <c r="B127" s="1">
        <v>1046342.33342651</v>
      </c>
      <c r="C127" s="25">
        <f t="shared" si="10"/>
        <v>52.740231496342368</v>
      </c>
    </row>
    <row r="128" spans="1:38">
      <c r="A128" s="24">
        <v>3420</v>
      </c>
      <c r="B128" s="1">
        <v>1047073.80210983</v>
      </c>
      <c r="C128" s="25">
        <f t="shared" si="10"/>
        <v>52.777100718257806</v>
      </c>
    </row>
    <row r="129" spans="1:5" ht="20.5" thickBot="1">
      <c r="A129" s="24">
        <v>3440</v>
      </c>
      <c r="B129" s="1">
        <v>1020332.06426124</v>
      </c>
      <c r="C129" s="25">
        <f t="shared" si="10"/>
        <v>51.429200131907123</v>
      </c>
      <c r="E129">
        <v>3479</v>
      </c>
    </row>
    <row r="130" spans="1:5" ht="20.5" thickBot="1">
      <c r="A130" s="45">
        <v>3460</v>
      </c>
      <c r="B130" s="44">
        <v>1013194.96352838</v>
      </c>
      <c r="C130" s="29">
        <f t="shared" si="10"/>
        <v>51.06945902917348</v>
      </c>
      <c r="D130" s="5">
        <f>AVERAGE(C121:C130)</f>
        <v>52.062747223768113</v>
      </c>
      <c r="E130" s="10" t="s">
        <v>190</v>
      </c>
    </row>
    <row r="131" spans="1:5">
      <c r="A131">
        <v>3480</v>
      </c>
      <c r="B131" s="1">
        <v>1018891.90249897</v>
      </c>
      <c r="C131">
        <f t="shared" si="10"/>
        <v>51.356609678182892</v>
      </c>
    </row>
    <row r="132" spans="1:5">
      <c r="A132">
        <v>3500</v>
      </c>
      <c r="B132" s="1">
        <v>1073238.5346937</v>
      </c>
      <c r="C132">
        <f>B132*1.09/1091140*50.45709164</f>
        <v>54.095917714789209</v>
      </c>
    </row>
    <row r="133" spans="1:5">
      <c r="A133">
        <v>3520</v>
      </c>
      <c r="B133" s="1">
        <v>1062592.2001477501</v>
      </c>
      <c r="C133">
        <f t="shared" ref="C133:C161" si="11">B133*1.09/1091140*50.45709164</f>
        <v>53.559295874495142</v>
      </c>
    </row>
    <row r="134" spans="1:5">
      <c r="A134">
        <v>3540</v>
      </c>
      <c r="B134" s="1">
        <v>1044543.53257843</v>
      </c>
      <c r="C134">
        <f t="shared" si="11"/>
        <v>52.649564063597978</v>
      </c>
    </row>
    <row r="135" spans="1:5">
      <c r="A135">
        <v>3560</v>
      </c>
      <c r="B135" s="1">
        <v>1056343.8894002</v>
      </c>
      <c r="C135">
        <f t="shared" si="11"/>
        <v>53.244353675599569</v>
      </c>
    </row>
    <row r="136" spans="1:5">
      <c r="A136">
        <v>3580</v>
      </c>
      <c r="B136" s="1">
        <v>1043975.52526637</v>
      </c>
      <c r="C136">
        <f t="shared" si="11"/>
        <v>52.620934009960038</v>
      </c>
    </row>
    <row r="137" spans="1:5">
      <c r="A137">
        <v>3600</v>
      </c>
      <c r="B137" s="1">
        <v>1044927.3671795001</v>
      </c>
      <c r="C137">
        <f t="shared" si="11"/>
        <v>52.668911006821091</v>
      </c>
    </row>
    <row r="138" spans="1:5">
      <c r="A138">
        <v>3620</v>
      </c>
      <c r="B138" s="1">
        <v>1040352.43124694</v>
      </c>
      <c r="C138">
        <f t="shared" si="11"/>
        <v>52.438314219846028</v>
      </c>
      <c r="E138">
        <v>3621</v>
      </c>
    </row>
    <row r="139" spans="1:5">
      <c r="A139">
        <v>3640</v>
      </c>
      <c r="B139" s="1">
        <v>1063043.52410753</v>
      </c>
      <c r="C139">
        <f t="shared" si="11"/>
        <v>53.582044576672466</v>
      </c>
      <c r="D139">
        <f>AVERAGE(C129:C138)</f>
        <v>52.513255940437247</v>
      </c>
    </row>
    <row r="140" spans="1:5">
      <c r="A140">
        <v>3660</v>
      </c>
      <c r="B140" s="1">
        <v>1055401.3332307499</v>
      </c>
      <c r="C140">
        <f t="shared" si="11"/>
        <v>53.196844720846393</v>
      </c>
      <c r="E140">
        <v>3672</v>
      </c>
    </row>
    <row r="141" spans="1:5">
      <c r="A141">
        <v>3680</v>
      </c>
      <c r="B141" s="1">
        <v>1025004.60215734</v>
      </c>
      <c r="C141">
        <f t="shared" si="11"/>
        <v>51.664716484866638</v>
      </c>
    </row>
    <row r="142" spans="1:5">
      <c r="A142">
        <v>3700</v>
      </c>
      <c r="B142" s="1">
        <v>1046196.6900883</v>
      </c>
      <c r="C142">
        <f t="shared" si="11"/>
        <v>52.732890434886947</v>
      </c>
    </row>
    <row r="143" spans="1:5">
      <c r="A143">
        <v>3720</v>
      </c>
      <c r="B143" s="1">
        <v>1016227.93294739</v>
      </c>
      <c r="C143">
        <f t="shared" si="11"/>
        <v>51.222333957550013</v>
      </c>
    </row>
    <row r="144" spans="1:5">
      <c r="A144">
        <v>3740</v>
      </c>
      <c r="B144" s="1">
        <v>1024848.73613064</v>
      </c>
      <c r="C144">
        <f t="shared" si="11"/>
        <v>51.65686015518564</v>
      </c>
    </row>
    <row r="145" spans="1:8">
      <c r="A145">
        <v>3760</v>
      </c>
      <c r="B145" s="1">
        <v>1004046.17170232</v>
      </c>
      <c r="C145">
        <f t="shared" si="11"/>
        <v>50.608319893917283</v>
      </c>
    </row>
    <row r="146" spans="1:8">
      <c r="A146">
        <v>3780</v>
      </c>
      <c r="B146" s="1">
        <v>1001661.3510209901</v>
      </c>
      <c r="C146">
        <f t="shared" si="11"/>
        <v>50.488114497659708</v>
      </c>
    </row>
    <row r="147" spans="1:8">
      <c r="A147">
        <v>3800</v>
      </c>
      <c r="B147" s="1">
        <v>1009475.27170318</v>
      </c>
      <c r="C147">
        <f t="shared" si="11"/>
        <v>50.881970287019961</v>
      </c>
    </row>
    <row r="148" spans="1:8">
      <c r="A148">
        <v>3820</v>
      </c>
      <c r="B148" s="1">
        <v>1006860.49856466</v>
      </c>
      <c r="C148">
        <f t="shared" si="11"/>
        <v>50.750174280846387</v>
      </c>
    </row>
    <row r="149" spans="1:8">
      <c r="A149">
        <v>3840</v>
      </c>
      <c r="B149" s="1">
        <v>970025.82539338898</v>
      </c>
      <c r="C149">
        <f t="shared" si="11"/>
        <v>48.893545596252125</v>
      </c>
    </row>
    <row r="150" spans="1:8">
      <c r="A150">
        <v>3860</v>
      </c>
      <c r="B150" s="1">
        <v>980508.13703820505</v>
      </c>
      <c r="C150">
        <f t="shared" si="11"/>
        <v>49.421899964706277</v>
      </c>
    </row>
    <row r="151" spans="1:8">
      <c r="A151">
        <v>3880</v>
      </c>
      <c r="B151" s="1">
        <v>999290.36696719099</v>
      </c>
      <c r="C151">
        <f t="shared" si="11"/>
        <v>50.368606527966847</v>
      </c>
    </row>
    <row r="152" spans="1:8">
      <c r="A152">
        <v>3900</v>
      </c>
      <c r="B152" s="1">
        <v>990093.61377463501</v>
      </c>
      <c r="C152">
        <f t="shared" si="11"/>
        <v>49.905049930001674</v>
      </c>
    </row>
    <row r="153" spans="1:8">
      <c r="A153">
        <v>3920</v>
      </c>
      <c r="B153" s="1">
        <v>981757.69440796704</v>
      </c>
      <c r="C153">
        <f t="shared" si="11"/>
        <v>49.484883123127666</v>
      </c>
      <c r="F153">
        <v>4040</v>
      </c>
      <c r="G153">
        <f>F153-4040</f>
        <v>0</v>
      </c>
      <c r="H153">
        <v>46.411225354605676</v>
      </c>
    </row>
    <row r="154" spans="1:8">
      <c r="A154">
        <v>3940</v>
      </c>
      <c r="B154" s="1">
        <v>966568.98080196197</v>
      </c>
      <c r="C154">
        <f t="shared" si="11"/>
        <v>48.719305504673592</v>
      </c>
      <c r="F154">
        <v>4060</v>
      </c>
      <c r="G154">
        <f>F154-4040</f>
        <v>20</v>
      </c>
      <c r="H154">
        <v>47.784420862912874</v>
      </c>
    </row>
    <row r="155" spans="1:8">
      <c r="A155">
        <v>3960</v>
      </c>
      <c r="B155" s="1">
        <v>955619.95698455197</v>
      </c>
      <c r="C155">
        <f t="shared" si="11"/>
        <v>48.16742680079075</v>
      </c>
      <c r="F155">
        <v>4080</v>
      </c>
      <c r="G155">
        <f>F155-4040</f>
        <v>40</v>
      </c>
      <c r="H155">
        <v>47.950866017459362</v>
      </c>
    </row>
    <row r="156" spans="1:8">
      <c r="A156">
        <v>3980</v>
      </c>
      <c r="B156" s="1">
        <v>946058.20993621298</v>
      </c>
      <c r="C156">
        <f t="shared" si="11"/>
        <v>47.685472915595788</v>
      </c>
    </row>
    <row r="157" spans="1:8">
      <c r="A157">
        <v>4000</v>
      </c>
      <c r="B157" s="1">
        <v>940161.73465338396</v>
      </c>
      <c r="C157">
        <f t="shared" si="11"/>
        <v>47.388264763450707</v>
      </c>
    </row>
    <row r="158" spans="1:8">
      <c r="A158">
        <v>4020</v>
      </c>
      <c r="B158" s="1">
        <v>932819.10475092195</v>
      </c>
      <c r="C158">
        <f t="shared" si="11"/>
        <v>47.018164091350727</v>
      </c>
    </row>
    <row r="159" spans="1:8">
      <c r="A159">
        <v>4040</v>
      </c>
      <c r="B159" s="1">
        <v>920777.71479045495</v>
      </c>
      <c r="C159">
        <f t="shared" si="11"/>
        <v>46.411225354605676</v>
      </c>
    </row>
    <row r="160" spans="1:8">
      <c r="A160">
        <v>4060</v>
      </c>
      <c r="B160" s="1">
        <v>948021.29244734498</v>
      </c>
      <c r="C160">
        <f t="shared" si="11"/>
        <v>47.784420862912874</v>
      </c>
    </row>
    <row r="161" spans="1:3">
      <c r="A161">
        <v>4080</v>
      </c>
      <c r="B161" s="1">
        <v>951323.48901445302</v>
      </c>
      <c r="C161">
        <f t="shared" si="11"/>
        <v>47.950866017459362</v>
      </c>
    </row>
    <row r="166" spans="1:3">
      <c r="A166">
        <v>4580</v>
      </c>
      <c r="B166" s="1">
        <v>856603.62009359698</v>
      </c>
      <c r="C166">
        <f>B166*1.02/1091140*50.45709164</f>
        <v>40.40376295010973</v>
      </c>
    </row>
    <row r="167" spans="1:3">
      <c r="A167">
        <v>4600</v>
      </c>
      <c r="B167" s="1">
        <v>877821.03271008004</v>
      </c>
      <c r="C167">
        <f t="shared" ref="C167:C195" si="12">B167*1.02/1091140*50.45709164</f>
        <v>41.404533072558415</v>
      </c>
    </row>
    <row r="168" spans="1:3">
      <c r="A168">
        <v>4620</v>
      </c>
      <c r="B168" s="1">
        <v>875353.586787835</v>
      </c>
      <c r="C168">
        <f t="shared" si="12"/>
        <v>41.288150071370872</v>
      </c>
    </row>
    <row r="169" spans="1:3">
      <c r="A169">
        <v>4640</v>
      </c>
      <c r="B169" s="1">
        <v>890809.70337416895</v>
      </c>
      <c r="C169">
        <f t="shared" si="12"/>
        <v>42.017174857205028</v>
      </c>
    </row>
    <row r="170" spans="1:3">
      <c r="A170">
        <v>4660</v>
      </c>
      <c r="B170" s="1">
        <v>880944.43795102497</v>
      </c>
      <c r="C170">
        <f t="shared" si="12"/>
        <v>41.551855967292944</v>
      </c>
    </row>
    <row r="171" spans="1:3">
      <c r="A171">
        <v>4680</v>
      </c>
      <c r="B171" s="1">
        <v>900427.02315443999</v>
      </c>
      <c r="C171">
        <f t="shared" si="12"/>
        <v>42.470798796565703</v>
      </c>
    </row>
    <row r="172" spans="1:3">
      <c r="A172">
        <v>4700</v>
      </c>
      <c r="B172" s="1">
        <v>896851.71974868805</v>
      </c>
      <c r="C172">
        <f t="shared" si="12"/>
        <v>42.302161041725327</v>
      </c>
    </row>
    <row r="173" spans="1:3">
      <c r="A173">
        <v>4720</v>
      </c>
      <c r="B173" s="1">
        <v>889214.84949868498</v>
      </c>
      <c r="C173">
        <f t="shared" si="12"/>
        <v>41.941949751434315</v>
      </c>
    </row>
    <row r="174" spans="1:3">
      <c r="A174">
        <v>4740</v>
      </c>
      <c r="B174" s="1">
        <v>924540.45554454695</v>
      </c>
      <c r="C174">
        <f t="shared" si="12"/>
        <v>43.608166633158461</v>
      </c>
    </row>
    <row r="175" spans="1:3">
      <c r="A175">
        <v>4760</v>
      </c>
      <c r="B175" s="1">
        <v>926119.51389363501</v>
      </c>
      <c r="C175">
        <f t="shared" si="12"/>
        <v>43.682646705066141</v>
      </c>
    </row>
    <row r="176" spans="1:3">
      <c r="A176">
        <v>4780</v>
      </c>
      <c r="B176" s="1">
        <v>911541.72767825599</v>
      </c>
      <c r="C176">
        <f t="shared" si="12"/>
        <v>42.995050476463703</v>
      </c>
    </row>
    <row r="177" spans="1:3">
      <c r="A177">
        <v>4800</v>
      </c>
      <c r="B177" s="1">
        <v>908377.10639010905</v>
      </c>
      <c r="C177">
        <f t="shared" si="12"/>
        <v>42.845783528071408</v>
      </c>
    </row>
    <row r="178" spans="1:3">
      <c r="A178">
        <v>4820</v>
      </c>
      <c r="B178" s="1">
        <v>907215.78885163495</v>
      </c>
      <c r="C178">
        <f t="shared" si="12"/>
        <v>42.791007202786695</v>
      </c>
    </row>
    <row r="179" spans="1:3">
      <c r="A179">
        <v>4840</v>
      </c>
      <c r="B179" s="1">
        <v>942326.60054178396</v>
      </c>
      <c r="C179">
        <f t="shared" si="12"/>
        <v>44.447092793879243</v>
      </c>
    </row>
    <row r="180" spans="1:3">
      <c r="A180">
        <v>4860</v>
      </c>
      <c r="B180" s="1">
        <v>934360.33660587796</v>
      </c>
      <c r="C180">
        <f t="shared" si="12"/>
        <v>44.07134486086305</v>
      </c>
    </row>
    <row r="181" spans="1:3">
      <c r="A181">
        <v>4880</v>
      </c>
      <c r="B181" s="1">
        <v>954031.04558464698</v>
      </c>
      <c r="C181">
        <f t="shared" si="12"/>
        <v>44.999160998917596</v>
      </c>
    </row>
    <row r="182" spans="1:3">
      <c r="A182">
        <v>4900</v>
      </c>
      <c r="B182" s="1">
        <v>981475.25688309397</v>
      </c>
      <c r="C182">
        <f t="shared" si="12"/>
        <v>46.293633006325194</v>
      </c>
    </row>
    <row r="183" spans="1:3">
      <c r="A183">
        <v>4920</v>
      </c>
      <c r="B183" s="1">
        <v>945157.27408987703</v>
      </c>
      <c r="C183">
        <f t="shared" si="12"/>
        <v>44.580608296666639</v>
      </c>
    </row>
    <row r="184" spans="1:3">
      <c r="A184">
        <v>4940</v>
      </c>
      <c r="B184" s="1">
        <v>962067.564580395</v>
      </c>
      <c r="C184">
        <f t="shared" si="12"/>
        <v>45.378222680226834</v>
      </c>
    </row>
    <row r="185" spans="1:3">
      <c r="A185">
        <v>4960</v>
      </c>
      <c r="B185" s="1">
        <v>931836.202740932</v>
      </c>
      <c r="C185">
        <f t="shared" si="12"/>
        <v>43.952288036981692</v>
      </c>
    </row>
    <row r="186" spans="1:3">
      <c r="A186">
        <v>4980</v>
      </c>
      <c r="B186" s="1">
        <v>959219.23283811996</v>
      </c>
      <c r="C186">
        <f t="shared" si="12"/>
        <v>45.243874286385612</v>
      </c>
    </row>
    <row r="187" spans="1:3">
      <c r="A187">
        <v>5000</v>
      </c>
      <c r="B187" s="1">
        <v>922654.38390625198</v>
      </c>
      <c r="C187">
        <f t="shared" si="12"/>
        <v>43.519205543579751</v>
      </c>
    </row>
    <row r="188" spans="1:3">
      <c r="A188">
        <v>5020</v>
      </c>
      <c r="B188" s="1">
        <v>917884.74988775502</v>
      </c>
      <c r="C188">
        <f t="shared" si="12"/>
        <v>43.294234322677049</v>
      </c>
    </row>
    <row r="189" spans="1:3">
      <c r="A189">
        <v>5040</v>
      </c>
      <c r="B189" s="1">
        <v>951783.52381526795</v>
      </c>
      <c r="C189">
        <f t="shared" si="12"/>
        <v>44.893151247540082</v>
      </c>
    </row>
    <row r="190" spans="1:3">
      <c r="A190">
        <v>5060</v>
      </c>
      <c r="B190" s="1">
        <v>929818.23009876895</v>
      </c>
      <c r="C190">
        <f t="shared" si="12"/>
        <v>43.857105520399692</v>
      </c>
    </row>
    <row r="191" spans="1:3">
      <c r="A191">
        <v>5080</v>
      </c>
      <c r="B191" s="1">
        <v>950524.98787042999</v>
      </c>
      <c r="C191">
        <f t="shared" si="12"/>
        <v>44.83378938309469</v>
      </c>
    </row>
    <row r="192" spans="1:3">
      <c r="A192">
        <v>5100</v>
      </c>
      <c r="B192" s="1">
        <v>935499.44098109205</v>
      </c>
      <c r="C192">
        <f t="shared" si="12"/>
        <v>44.125073449059485</v>
      </c>
    </row>
    <row r="193" spans="1:3">
      <c r="A193">
        <v>5120</v>
      </c>
      <c r="B193" s="1">
        <v>938359.96442905499</v>
      </c>
      <c r="C193">
        <f t="shared" si="12"/>
        <v>44.259996893922001</v>
      </c>
    </row>
    <row r="194" spans="1:3">
      <c r="A194">
        <v>5140</v>
      </c>
      <c r="B194" s="1">
        <v>926984.41766805795</v>
      </c>
      <c r="C194">
        <f t="shared" si="12"/>
        <v>43.723441964689982</v>
      </c>
    </row>
    <row r="195" spans="1:3">
      <c r="A195">
        <v>5160</v>
      </c>
      <c r="B195" s="1">
        <v>935998.68991512305</v>
      </c>
      <c r="C195">
        <f t="shared" si="12"/>
        <v>44.148621721691676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F260-B40E-4479-8D5E-C2C0306CFD10}">
  <dimension ref="A1:Q135"/>
  <sheetViews>
    <sheetView zoomScale="60" zoomScaleNormal="60" workbookViewId="0">
      <selection activeCell="L22" sqref="L22"/>
    </sheetView>
  </sheetViews>
  <sheetFormatPr defaultRowHeight="20"/>
  <cols>
    <col min="6" max="6" width="9.765625" bestFit="1" customWidth="1"/>
  </cols>
  <sheetData>
    <row r="1" spans="1:10">
      <c r="A1" t="s">
        <v>285</v>
      </c>
      <c r="B1" t="s">
        <v>286</v>
      </c>
      <c r="C1" t="s">
        <v>270</v>
      </c>
      <c r="D1" t="s">
        <v>271</v>
      </c>
    </row>
    <row r="2" spans="1:10">
      <c r="A2" s="1">
        <v>6.0965082099999997</v>
      </c>
      <c r="B2" s="1">
        <v>10.6410526</v>
      </c>
      <c r="C2" s="1">
        <v>8.31100788E-8</v>
      </c>
      <c r="D2" s="1">
        <v>4.63772229E-13</v>
      </c>
    </row>
    <row r="5" spans="1:10">
      <c r="A5" t="s">
        <v>24</v>
      </c>
      <c r="B5" t="s">
        <v>282</v>
      </c>
      <c r="C5" t="s">
        <v>284</v>
      </c>
      <c r="F5" t="s">
        <v>283</v>
      </c>
      <c r="G5" t="s">
        <v>25</v>
      </c>
      <c r="I5" t="s">
        <v>24</v>
      </c>
      <c r="J5" t="s">
        <v>25</v>
      </c>
    </row>
    <row r="6" spans="1:10">
      <c r="A6">
        <v>1540</v>
      </c>
      <c r="B6">
        <v>0</v>
      </c>
      <c r="C6">
        <v>0</v>
      </c>
      <c r="G6">
        <v>0.50181031700000001</v>
      </c>
      <c r="I6">
        <f>A6</f>
        <v>1540</v>
      </c>
      <c r="J6">
        <f>G6</f>
        <v>0.50181031700000001</v>
      </c>
    </row>
    <row r="7" spans="1:10">
      <c r="A7">
        <v>1560</v>
      </c>
      <c r="B7">
        <v>0</v>
      </c>
      <c r="C7">
        <v>0</v>
      </c>
      <c r="F7" s="1">
        <f>(0.9-G6)/($A$2*60)-(1/($B$2*60)+C7+$C$2*B7*(A7-$A$6)+$D$2*B7)*G6</f>
        <v>3.0260710440535902E-4</v>
      </c>
      <c r="G7" s="1">
        <f>G6+F7*20</f>
        <v>0.50786245908810723</v>
      </c>
      <c r="I7">
        <f t="shared" ref="I7:I70" si="0">A7</f>
        <v>1560</v>
      </c>
      <c r="J7" s="1">
        <f>G7</f>
        <v>0.50786245908810723</v>
      </c>
    </row>
    <row r="8" spans="1:10">
      <c r="A8">
        <v>1580</v>
      </c>
      <c r="B8">
        <v>0</v>
      </c>
      <c r="C8">
        <v>0</v>
      </c>
      <c r="F8" s="1">
        <f t="shared" ref="F8:F38" si="1">(0.9-G7)/($A$2*60)-(1/($B$2*60)+C8+$C$2*B8*(A8-$A$6)+$D$2*B8)*G7</f>
        <v>2.7658249140276433E-4</v>
      </c>
      <c r="G8" s="1">
        <f t="shared" ref="G8:G71" si="2">G7+F8*20</f>
        <v>0.51339410891616255</v>
      </c>
      <c r="I8">
        <f t="shared" si="0"/>
        <v>1580</v>
      </c>
      <c r="J8">
        <f t="shared" ref="J8:J70" si="3">G8</f>
        <v>0.51339410891616255</v>
      </c>
    </row>
    <row r="9" spans="1:10">
      <c r="A9">
        <v>1600</v>
      </c>
      <c r="B9">
        <v>0</v>
      </c>
      <c r="C9">
        <v>0</v>
      </c>
      <c r="F9" s="1">
        <f t="shared" si="1"/>
        <v>2.5279602969296782E-4</v>
      </c>
      <c r="G9" s="1">
        <f t="shared" si="2"/>
        <v>0.51845002951002195</v>
      </c>
      <c r="I9">
        <f t="shared" si="0"/>
        <v>1600</v>
      </c>
      <c r="J9">
        <f t="shared" si="3"/>
        <v>0.51845002951002195</v>
      </c>
    </row>
    <row r="10" spans="1:10">
      <c r="A10">
        <v>1620</v>
      </c>
      <c r="B10">
        <v>0</v>
      </c>
      <c r="C10">
        <v>0</v>
      </c>
      <c r="F10" s="1">
        <f t="shared" si="1"/>
        <v>2.3105523529132969E-4</v>
      </c>
      <c r="G10" s="1">
        <f t="shared" si="2"/>
        <v>0.5230711342158485</v>
      </c>
      <c r="I10">
        <f t="shared" si="0"/>
        <v>1620</v>
      </c>
      <c r="J10">
        <f t="shared" si="3"/>
        <v>0.5230711342158485</v>
      </c>
    </row>
    <row r="11" spans="1:10">
      <c r="A11">
        <v>1640</v>
      </c>
      <c r="B11">
        <v>0</v>
      </c>
      <c r="C11">
        <v>0</v>
      </c>
      <c r="F11" s="1">
        <f t="shared" si="1"/>
        <v>2.1118417809161069E-4</v>
      </c>
      <c r="G11" s="1">
        <f t="shared" si="2"/>
        <v>0.52729481777768072</v>
      </c>
      <c r="I11">
        <f t="shared" si="0"/>
        <v>1640</v>
      </c>
      <c r="J11">
        <f t="shared" si="3"/>
        <v>0.52729481777768072</v>
      </c>
    </row>
    <row r="12" spans="1:10">
      <c r="A12">
        <v>1660</v>
      </c>
      <c r="B12">
        <v>0</v>
      </c>
      <c r="C12">
        <v>0</v>
      </c>
      <c r="F12" s="1">
        <f t="shared" si="1"/>
        <v>1.930220582104363E-4</v>
      </c>
      <c r="G12" s="1">
        <f t="shared" si="2"/>
        <v>0.53115525894188942</v>
      </c>
      <c r="I12">
        <f t="shared" si="0"/>
        <v>1660</v>
      </c>
      <c r="J12">
        <f t="shared" si="3"/>
        <v>0.53115525894188942</v>
      </c>
    </row>
    <row r="13" spans="1:10">
      <c r="A13">
        <v>1680</v>
      </c>
      <c r="B13">
        <v>0</v>
      </c>
      <c r="C13">
        <v>0</v>
      </c>
      <c r="F13" s="1">
        <f t="shared" si="1"/>
        <v>1.7642190476803129E-4</v>
      </c>
      <c r="G13" s="1">
        <f t="shared" si="2"/>
        <v>0.53468369703725005</v>
      </c>
      <c r="I13">
        <f t="shared" si="0"/>
        <v>1680</v>
      </c>
      <c r="J13">
        <f t="shared" si="3"/>
        <v>0.53468369703725005</v>
      </c>
    </row>
    <row r="14" spans="1:10">
      <c r="A14">
        <v>1700</v>
      </c>
      <c r="B14">
        <v>0</v>
      </c>
      <c r="C14">
        <v>0</v>
      </c>
      <c r="F14" s="1">
        <f t="shared" si="1"/>
        <v>1.6124938657553593E-4</v>
      </c>
      <c r="G14" s="1">
        <f t="shared" si="2"/>
        <v>0.53790868476876075</v>
      </c>
      <c r="I14">
        <f t="shared" si="0"/>
        <v>1700</v>
      </c>
      <c r="J14">
        <f t="shared" si="3"/>
        <v>0.53790868476876075</v>
      </c>
    </row>
    <row r="15" spans="1:10">
      <c r="A15">
        <v>1720</v>
      </c>
      <c r="B15">
        <v>0</v>
      </c>
      <c r="C15">
        <v>0</v>
      </c>
      <c r="F15" s="1">
        <f t="shared" si="1"/>
        <v>1.4738172510479709E-4</v>
      </c>
      <c r="G15" s="1">
        <f t="shared" si="2"/>
        <v>0.54085631927085664</v>
      </c>
      <c r="I15">
        <f t="shared" si="0"/>
        <v>1720</v>
      </c>
      <c r="J15">
        <f t="shared" si="3"/>
        <v>0.54085631927085664</v>
      </c>
    </row>
    <row r="16" spans="1:10">
      <c r="A16">
        <v>1740</v>
      </c>
      <c r="B16">
        <v>0</v>
      </c>
      <c r="C16">
        <v>0</v>
      </c>
      <c r="F16" s="1">
        <f t="shared" si="1"/>
        <v>1.3470670094419728E-4</v>
      </c>
      <c r="G16" s="1">
        <f t="shared" si="2"/>
        <v>0.54355045328974061</v>
      </c>
      <c r="I16">
        <f t="shared" si="0"/>
        <v>1740</v>
      </c>
      <c r="J16">
        <f t="shared" si="3"/>
        <v>0.54355045328974061</v>
      </c>
    </row>
    <row r="17" spans="1:12">
      <c r="A17">
        <v>1760</v>
      </c>
      <c r="B17">
        <v>0</v>
      </c>
      <c r="C17">
        <v>0</v>
      </c>
      <c r="F17" s="1">
        <f t="shared" si="1"/>
        <v>1.2312174570060545E-4</v>
      </c>
      <c r="G17" s="1">
        <f t="shared" si="2"/>
        <v>0.54601288820375271</v>
      </c>
      <c r="I17">
        <f t="shared" si="0"/>
        <v>1760</v>
      </c>
      <c r="J17">
        <f t="shared" si="3"/>
        <v>0.54601288820375271</v>
      </c>
    </row>
    <row r="18" spans="1:12">
      <c r="A18">
        <v>1780</v>
      </c>
      <c r="B18">
        <v>0</v>
      </c>
      <c r="C18">
        <v>0</v>
      </c>
      <c r="F18" s="1">
        <f t="shared" si="1"/>
        <v>1.1253311199896604E-4</v>
      </c>
      <c r="G18" s="1">
        <f t="shared" si="2"/>
        <v>0.54826355044373198</v>
      </c>
      <c r="I18">
        <f t="shared" si="0"/>
        <v>1780</v>
      </c>
      <c r="J18">
        <f t="shared" si="3"/>
        <v>0.54826355044373198</v>
      </c>
    </row>
    <row r="19" spans="1:12">
      <c r="A19">
        <v>1800</v>
      </c>
      <c r="B19">
        <v>0</v>
      </c>
      <c r="C19">
        <v>0</v>
      </c>
      <c r="F19" s="1">
        <f t="shared" si="1"/>
        <v>1.0285511486302437E-4</v>
      </c>
      <c r="G19" s="1">
        <f t="shared" si="2"/>
        <v>0.55032065274099251</v>
      </c>
      <c r="I19">
        <f t="shared" si="0"/>
        <v>1800</v>
      </c>
      <c r="J19">
        <f t="shared" si="3"/>
        <v>0.55032065274099251</v>
      </c>
    </row>
    <row r="20" spans="1:12">
      <c r="A20">
        <v>1820</v>
      </c>
      <c r="B20">
        <v>0</v>
      </c>
      <c r="C20">
        <v>0</v>
      </c>
      <c r="F20" s="1">
        <f t="shared" si="1"/>
        <v>9.4009438338318483E-5</v>
      </c>
      <c r="G20" s="1">
        <f t="shared" si="2"/>
        <v>0.55220084150775883</v>
      </c>
      <c r="I20">
        <f t="shared" si="0"/>
        <v>1820</v>
      </c>
      <c r="J20">
        <f t="shared" si="3"/>
        <v>0.55220084150775883</v>
      </c>
    </row>
    <row r="21" spans="1:12">
      <c r="A21">
        <v>1840</v>
      </c>
      <c r="B21">
        <v>0</v>
      </c>
      <c r="C21">
        <v>0</v>
      </c>
      <c r="F21" s="1">
        <f t="shared" si="1"/>
        <v>8.592450174651719E-5</v>
      </c>
      <c r="G21" s="1">
        <f t="shared" si="2"/>
        <v>0.55391933154268913</v>
      </c>
      <c r="I21">
        <f t="shared" si="0"/>
        <v>1840</v>
      </c>
      <c r="J21">
        <f t="shared" si="3"/>
        <v>0.55391933154268913</v>
      </c>
      <c r="L21">
        <f>58*60</f>
        <v>3480</v>
      </c>
    </row>
    <row r="22" spans="1:12">
      <c r="A22">
        <v>1860</v>
      </c>
      <c r="B22">
        <v>0</v>
      </c>
      <c r="C22">
        <v>0</v>
      </c>
      <c r="F22" s="1">
        <f t="shared" si="1"/>
        <v>7.8534880442721338E-5</v>
      </c>
      <c r="G22" s="1">
        <f t="shared" si="2"/>
        <v>0.55549002915154355</v>
      </c>
      <c r="I22">
        <f t="shared" si="0"/>
        <v>1860</v>
      </c>
      <c r="J22">
        <f t="shared" si="3"/>
        <v>0.55549002915154355</v>
      </c>
    </row>
    <row r="23" spans="1:12">
      <c r="A23">
        <v>1880</v>
      </c>
      <c r="B23">
        <v>0</v>
      </c>
      <c r="C23">
        <v>0</v>
      </c>
      <c r="F23" s="1">
        <f t="shared" si="1"/>
        <v>7.1780776388412674E-5</v>
      </c>
      <c r="G23" s="1">
        <f t="shared" si="2"/>
        <v>0.55692564467931183</v>
      </c>
      <c r="I23">
        <f t="shared" si="0"/>
        <v>1880</v>
      </c>
      <c r="J23">
        <f t="shared" si="3"/>
        <v>0.55692564467931183</v>
      </c>
    </row>
    <row r="24" spans="1:12">
      <c r="A24">
        <v>1900</v>
      </c>
      <c r="B24">
        <v>0</v>
      </c>
      <c r="C24">
        <v>0</v>
      </c>
      <c r="F24" s="1">
        <f t="shared" si="1"/>
        <v>6.5607534255829108E-5</v>
      </c>
      <c r="G24" s="1">
        <f t="shared" si="2"/>
        <v>0.55823779536442841</v>
      </c>
      <c r="I24">
        <f t="shared" si="0"/>
        <v>1900</v>
      </c>
      <c r="J24">
        <f t="shared" si="3"/>
        <v>0.55823779536442841</v>
      </c>
    </row>
    <row r="25" spans="1:12">
      <c r="A25">
        <v>1920</v>
      </c>
      <c r="B25">
        <v>0</v>
      </c>
      <c r="C25">
        <v>0</v>
      </c>
      <c r="F25" s="1">
        <f t="shared" si="1"/>
        <v>5.996519914800802E-5</v>
      </c>
      <c r="G25" s="1">
        <f t="shared" si="2"/>
        <v>0.55943709934738861</v>
      </c>
      <c r="I25">
        <f t="shared" si="0"/>
        <v>1920</v>
      </c>
      <c r="J25">
        <f t="shared" si="3"/>
        <v>0.55943709934738861</v>
      </c>
    </row>
    <row r="26" spans="1:12">
      <c r="A26">
        <v>1940</v>
      </c>
      <c r="B26">
        <v>0</v>
      </c>
      <c r="C26">
        <v>0</v>
      </c>
      <c r="F26" s="1">
        <f t="shared" si="1"/>
        <v>5.4808112355491821E-5</v>
      </c>
      <c r="G26" s="1">
        <f t="shared" si="2"/>
        <v>0.56053326159449846</v>
      </c>
      <c r="I26">
        <f t="shared" si="0"/>
        <v>1940</v>
      </c>
      <c r="J26">
        <f t="shared" si="3"/>
        <v>0.56053326159449846</v>
      </c>
    </row>
    <row r="27" spans="1:12">
      <c r="A27">
        <v>1960</v>
      </c>
      <c r="B27">
        <v>0</v>
      </c>
      <c r="C27">
        <v>0</v>
      </c>
      <c r="F27" s="1">
        <f t="shared" si="1"/>
        <v>5.0094541878495619E-5</v>
      </c>
      <c r="G27" s="1">
        <f t="shared" si="2"/>
        <v>0.56153515243206842</v>
      </c>
      <c r="I27">
        <f t="shared" si="0"/>
        <v>1960</v>
      </c>
      <c r="J27">
        <f t="shared" si="3"/>
        <v>0.56153515243206842</v>
      </c>
    </row>
    <row r="28" spans="1:12">
      <c r="A28">
        <v>1980</v>
      </c>
      <c r="B28">
        <v>0</v>
      </c>
      <c r="C28">
        <v>0</v>
      </c>
      <c r="F28" s="1">
        <f t="shared" si="1"/>
        <v>4.5786344724658024E-5</v>
      </c>
      <c r="G28" s="1">
        <f t="shared" si="2"/>
        <v>0.56245087932656157</v>
      </c>
      <c r="I28">
        <f t="shared" si="0"/>
        <v>1980</v>
      </c>
      <c r="J28">
        <f t="shared" si="3"/>
        <v>0.56245087932656157</v>
      </c>
    </row>
    <row r="29" spans="1:12">
      <c r="A29">
        <v>2000</v>
      </c>
      <c r="B29">
        <v>0</v>
      </c>
      <c r="C29">
        <v>0</v>
      </c>
      <c r="F29" s="1">
        <f t="shared" si="1"/>
        <v>4.1848658249635934E-5</v>
      </c>
      <c r="G29" s="1">
        <f t="shared" si="2"/>
        <v>0.56328785249155433</v>
      </c>
      <c r="I29">
        <f t="shared" si="0"/>
        <v>2000</v>
      </c>
      <c r="J29">
        <f t="shared" si="3"/>
        <v>0.56328785249155433</v>
      </c>
    </row>
    <row r="30" spans="1:12">
      <c r="A30">
        <v>2020</v>
      </c>
      <c r="B30">
        <v>0</v>
      </c>
      <c r="C30">
        <v>0</v>
      </c>
      <c r="F30" s="1">
        <f t="shared" si="1"/>
        <v>3.8249618042814591E-5</v>
      </c>
      <c r="G30" s="1">
        <f t="shared" si="2"/>
        <v>0.56405284485241058</v>
      </c>
      <c r="I30">
        <f t="shared" si="0"/>
        <v>2020</v>
      </c>
      <c r="J30">
        <f t="shared" si="3"/>
        <v>0.56405284485241058</v>
      </c>
    </row>
    <row r="31" spans="1:12">
      <c r="A31">
        <v>2040</v>
      </c>
      <c r="B31">
        <v>0</v>
      </c>
      <c r="C31">
        <v>0</v>
      </c>
      <c r="F31" s="1">
        <f t="shared" si="1"/>
        <v>3.496010007522643E-5</v>
      </c>
      <c r="G31" s="1">
        <f t="shared" si="2"/>
        <v>0.56475204685391511</v>
      </c>
      <c r="I31">
        <f t="shared" si="0"/>
        <v>2040</v>
      </c>
      <c r="J31">
        <f t="shared" si="3"/>
        <v>0.56475204685391511</v>
      </c>
    </row>
    <row r="32" spans="1:12">
      <c r="A32">
        <v>2060</v>
      </c>
      <c r="B32">
        <v>0</v>
      </c>
      <c r="C32">
        <v>0</v>
      </c>
      <c r="F32" s="1">
        <f t="shared" si="1"/>
        <v>3.1953485023086077E-5</v>
      </c>
      <c r="G32" s="1">
        <f t="shared" si="2"/>
        <v>0.56539111655437679</v>
      </c>
      <c r="I32">
        <f t="shared" si="0"/>
        <v>2060</v>
      </c>
      <c r="J32">
        <f t="shared" si="3"/>
        <v>0.56539111655437679</v>
      </c>
    </row>
    <row r="33" spans="1:10">
      <c r="A33">
        <v>2080</v>
      </c>
      <c r="B33">
        <v>0</v>
      </c>
      <c r="C33">
        <v>0</v>
      </c>
      <c r="F33" s="1">
        <f t="shared" si="1"/>
        <v>2.9205442859819484E-5</v>
      </c>
      <c r="G33" s="1">
        <f t="shared" si="2"/>
        <v>0.56597522541157319</v>
      </c>
      <c r="I33">
        <f t="shared" si="0"/>
        <v>2080</v>
      </c>
      <c r="J33">
        <f t="shared" si="3"/>
        <v>0.56597522541157319</v>
      </c>
    </row>
    <row r="34" spans="1:10">
      <c r="A34">
        <v>2100</v>
      </c>
      <c r="B34">
        <v>0</v>
      </c>
      <c r="C34">
        <v>0</v>
      </c>
      <c r="F34" s="1">
        <f t="shared" si="1"/>
        <v>2.6693735973460178E-5</v>
      </c>
      <c r="G34" s="1">
        <f t="shared" si="2"/>
        <v>0.56650910013104239</v>
      </c>
      <c r="I34">
        <f t="shared" si="0"/>
        <v>2100</v>
      </c>
      <c r="J34">
        <f t="shared" si="3"/>
        <v>0.56650910013104239</v>
      </c>
    </row>
    <row r="35" spans="1:10">
      <c r="A35">
        <v>2120</v>
      </c>
      <c r="B35">
        <v>0</v>
      </c>
      <c r="C35">
        <v>0</v>
      </c>
      <c r="F35" s="1">
        <f t="shared" si="1"/>
        <v>2.4398039216215039E-5</v>
      </c>
      <c r="G35" s="1">
        <f t="shared" si="2"/>
        <v>0.56699706091536672</v>
      </c>
      <c r="I35">
        <f t="shared" si="0"/>
        <v>2120</v>
      </c>
      <c r="J35">
        <f t="shared" si="3"/>
        <v>0.56699706091536672</v>
      </c>
    </row>
    <row r="36" spans="1:10">
      <c r="A36">
        <v>2140</v>
      </c>
      <c r="B36">
        <v>0</v>
      </c>
      <c r="C36">
        <v>0</v>
      </c>
      <c r="F36" s="1">
        <f t="shared" si="1"/>
        <v>2.2299775430003124E-5</v>
      </c>
      <c r="G36" s="1">
        <f t="shared" si="2"/>
        <v>0.56744305642396675</v>
      </c>
      <c r="I36">
        <f t="shared" si="0"/>
        <v>2140</v>
      </c>
      <c r="J36">
        <f t="shared" si="3"/>
        <v>0.56744305642396675</v>
      </c>
    </row>
    <row r="37" spans="1:10">
      <c r="A37">
        <v>2160</v>
      </c>
      <c r="B37">
        <v>0</v>
      </c>
      <c r="C37">
        <v>0</v>
      </c>
      <c r="F37" s="1">
        <f t="shared" si="1"/>
        <v>2.0381965117020028E-5</v>
      </c>
      <c r="G37" s="1">
        <f t="shared" si="2"/>
        <v>0.5678506957263072</v>
      </c>
      <c r="I37">
        <f t="shared" si="0"/>
        <v>2160</v>
      </c>
      <c r="J37">
        <f t="shared" si="3"/>
        <v>0.5678506957263072</v>
      </c>
    </row>
    <row r="38" spans="1:10">
      <c r="A38">
        <v>2180</v>
      </c>
      <c r="B38">
        <v>0</v>
      </c>
      <c r="C38">
        <v>0</v>
      </c>
      <c r="F38" s="1">
        <f t="shared" si="1"/>
        <v>1.862908903882876E-5</v>
      </c>
      <c r="G38" s="1">
        <f t="shared" si="2"/>
        <v>0.56822327750708379</v>
      </c>
      <c r="I38">
        <f t="shared" si="0"/>
        <v>2180</v>
      </c>
      <c r="J38">
        <f t="shared" si="3"/>
        <v>0.56822327750708379</v>
      </c>
    </row>
    <row r="39" spans="1:10">
      <c r="A39">
        <v>2200</v>
      </c>
      <c r="B39">
        <v>22.3</v>
      </c>
      <c r="C39">
        <v>0</v>
      </c>
      <c r="F39" s="1">
        <f>(0.9-G38)/($A$2*60)-(1/($B$2*60)+C39+$C$2*B39*(A39-$A$39)+$D$2*B39)*G38</f>
        <v>1.7026956755483279E-5</v>
      </c>
      <c r="G39" s="1">
        <f t="shared" si="2"/>
        <v>0.56856381664219346</v>
      </c>
      <c r="I39">
        <f t="shared" si="0"/>
        <v>2200</v>
      </c>
      <c r="J39">
        <f t="shared" si="3"/>
        <v>0.56856381664219346</v>
      </c>
    </row>
    <row r="40" spans="1:10">
      <c r="A40">
        <v>2220</v>
      </c>
      <c r="B40">
        <v>22.3</v>
      </c>
      <c r="C40">
        <v>0</v>
      </c>
      <c r="F40" s="1">
        <f t="shared" ref="F40:F61" si="4">(0.9-G39)/($A$2*60)-(1/($B$2*60)+C40+$C$2*B40*(A40-$A$39)+$D$2*B40)*G39</f>
        <v>-5.5123932372626826E-6</v>
      </c>
      <c r="G40" s="1">
        <f t="shared" si="2"/>
        <v>0.56845356877744824</v>
      </c>
      <c r="I40">
        <f t="shared" si="0"/>
        <v>2220</v>
      </c>
      <c r="J40">
        <f t="shared" si="3"/>
        <v>0.56845356877744824</v>
      </c>
    </row>
    <row r="41" spans="1:10">
      <c r="A41">
        <v>2240</v>
      </c>
      <c r="B41">
        <v>22.3</v>
      </c>
      <c r="C41">
        <v>0</v>
      </c>
      <c r="F41" s="1">
        <f t="shared" si="4"/>
        <v>-2.610515604550064E-5</v>
      </c>
      <c r="G41" s="1">
        <f t="shared" si="2"/>
        <v>0.56793146565653818</v>
      </c>
      <c r="I41">
        <f t="shared" si="0"/>
        <v>2240</v>
      </c>
      <c r="J41">
        <f t="shared" si="3"/>
        <v>0.56793146565653818</v>
      </c>
    </row>
    <row r="42" spans="1:10">
      <c r="A42">
        <v>2260</v>
      </c>
      <c r="B42">
        <v>22.3</v>
      </c>
      <c r="C42">
        <v>0</v>
      </c>
      <c r="F42" s="1">
        <f t="shared" si="4"/>
        <v>-4.4872941919708734E-5</v>
      </c>
      <c r="G42" s="1">
        <f t="shared" si="2"/>
        <v>0.56703400681814398</v>
      </c>
      <c r="I42">
        <f t="shared" si="0"/>
        <v>2260</v>
      </c>
      <c r="J42">
        <f t="shared" si="3"/>
        <v>0.56703400681814398</v>
      </c>
    </row>
    <row r="43" spans="1:10">
      <c r="A43">
        <v>2280</v>
      </c>
      <c r="B43">
        <v>22.3</v>
      </c>
      <c r="C43">
        <v>0</v>
      </c>
      <c r="F43" s="1">
        <f t="shared" si="4"/>
        <v>-6.193231419472818E-5</v>
      </c>
      <c r="G43" s="1">
        <f t="shared" si="2"/>
        <v>0.56579536053424939</v>
      </c>
      <c r="I43">
        <f t="shared" si="0"/>
        <v>2280</v>
      </c>
      <c r="J43">
        <f t="shared" si="3"/>
        <v>0.56579536053424939</v>
      </c>
    </row>
    <row r="44" spans="1:10">
      <c r="A44">
        <v>2300</v>
      </c>
      <c r="B44">
        <v>22.3</v>
      </c>
      <c r="C44">
        <v>0</v>
      </c>
      <c r="F44" s="1">
        <f t="shared" si="4"/>
        <v>-7.7394791264791154E-5</v>
      </c>
      <c r="G44" s="1">
        <f t="shared" si="2"/>
        <v>0.56424746470895359</v>
      </c>
      <c r="I44">
        <f t="shared" si="0"/>
        <v>2300</v>
      </c>
      <c r="J44">
        <f t="shared" si="3"/>
        <v>0.56424746470895359</v>
      </c>
    </row>
    <row r="45" spans="1:10">
      <c r="A45">
        <v>2320</v>
      </c>
      <c r="B45">
        <v>22.3</v>
      </c>
      <c r="C45">
        <v>0</v>
      </c>
      <c r="F45" s="1">
        <f t="shared" si="4"/>
        <v>-9.136687082884952E-5</v>
      </c>
      <c r="G45" s="1">
        <f t="shared" si="2"/>
        <v>0.56242012729237656</v>
      </c>
      <c r="I45">
        <f t="shared" si="0"/>
        <v>2320</v>
      </c>
      <c r="J45">
        <f t="shared" si="3"/>
        <v>0.56242012729237656</v>
      </c>
    </row>
    <row r="46" spans="1:10">
      <c r="A46">
        <v>2340</v>
      </c>
      <c r="B46">
        <v>22.3</v>
      </c>
      <c r="C46">
        <v>0</v>
      </c>
      <c r="F46" s="1">
        <f t="shared" si="4"/>
        <v>-1.0395007436510891E-4</v>
      </c>
      <c r="G46" s="1">
        <f t="shared" si="2"/>
        <v>0.56034112580507434</v>
      </c>
      <c r="I46">
        <f t="shared" si="0"/>
        <v>2340</v>
      </c>
      <c r="J46">
        <f t="shared" si="3"/>
        <v>0.56034112580507434</v>
      </c>
    </row>
    <row r="47" spans="1:10">
      <c r="A47">
        <v>2360</v>
      </c>
      <c r="B47">
        <v>22.3</v>
      </c>
      <c r="C47">
        <v>0</v>
      </c>
      <c r="F47" s="1">
        <f t="shared" si="4"/>
        <v>-1.1524100984924097E-4</v>
      </c>
      <c r="G47" s="1">
        <f t="shared" si="2"/>
        <v>0.55803630560808948</v>
      </c>
      <c r="I47">
        <f t="shared" si="0"/>
        <v>2360</v>
      </c>
      <c r="J47">
        <f t="shared" si="3"/>
        <v>0.55803630560808948</v>
      </c>
    </row>
    <row r="48" spans="1:10">
      <c r="A48">
        <v>2380</v>
      </c>
      <c r="B48">
        <v>22.3</v>
      </c>
      <c r="C48">
        <v>0</v>
      </c>
      <c r="F48" s="1">
        <f t="shared" si="4"/>
        <v>-1.2533145079476633E-4</v>
      </c>
      <c r="G48" s="1">
        <f t="shared" si="2"/>
        <v>0.5555296765921941</v>
      </c>
      <c r="I48">
        <f t="shared" si="0"/>
        <v>2380</v>
      </c>
      <c r="J48">
        <f t="shared" si="3"/>
        <v>0.5555296765921941</v>
      </c>
    </row>
    <row r="49" spans="1:17">
      <c r="A49">
        <v>2400</v>
      </c>
      <c r="B49">
        <v>22.3</v>
      </c>
      <c r="C49">
        <v>0</v>
      </c>
      <c r="F49" s="1">
        <f t="shared" si="4"/>
        <v>-1.3430842976541615E-4</v>
      </c>
      <c r="G49" s="1">
        <f t="shared" si="2"/>
        <v>0.55284350799688575</v>
      </c>
      <c r="I49">
        <f t="shared" si="0"/>
        <v>2400</v>
      </c>
      <c r="J49">
        <f t="shared" si="3"/>
        <v>0.55284350799688575</v>
      </c>
    </row>
    <row r="50" spans="1:17">
      <c r="A50">
        <v>2420</v>
      </c>
      <c r="B50">
        <v>22.3</v>
      </c>
      <c r="C50">
        <v>0</v>
      </c>
      <c r="F50" s="1">
        <f t="shared" si="4"/>
        <v>-1.4225434458666831E-4</v>
      </c>
      <c r="G50" s="1">
        <f t="shared" si="2"/>
        <v>0.5499984211051524</v>
      </c>
      <c r="I50">
        <f t="shared" si="0"/>
        <v>2420</v>
      </c>
      <c r="J50">
        <f t="shared" si="3"/>
        <v>0.5499984211051524</v>
      </c>
    </row>
    <row r="51" spans="1:17">
      <c r="A51">
        <v>2440</v>
      </c>
      <c r="B51">
        <v>22.3</v>
      </c>
      <c r="C51">
        <v>0</v>
      </c>
      <c r="F51" s="1">
        <f t="shared" si="4"/>
        <v>-1.4924707556607329E-4</v>
      </c>
      <c r="G51" s="1">
        <f t="shared" si="2"/>
        <v>0.54701347959383095</v>
      </c>
      <c r="I51">
        <f t="shared" si="0"/>
        <v>2440</v>
      </c>
      <c r="J51">
        <f t="shared" si="3"/>
        <v>0.54701347959383095</v>
      </c>
    </row>
    <row r="52" spans="1:17">
      <c r="A52">
        <v>2460</v>
      </c>
      <c r="B52">
        <v>22.3</v>
      </c>
      <c r="C52">
        <v>0</v>
      </c>
      <c r="F52" s="1">
        <f t="shared" si="4"/>
        <v>-1.5536011211832288E-4</v>
      </c>
      <c r="G52" s="1">
        <f t="shared" si="2"/>
        <v>0.54390627735146446</v>
      </c>
      <c r="I52">
        <f t="shared" si="0"/>
        <v>2460</v>
      </c>
      <c r="J52">
        <f t="shared" si="3"/>
        <v>0.54390627735146446</v>
      </c>
    </row>
    <row r="53" spans="1:17">
      <c r="A53">
        <v>2480</v>
      </c>
      <c r="B53">
        <v>22.3</v>
      </c>
      <c r="C53">
        <v>0</v>
      </c>
      <c r="F53" s="1">
        <f t="shared" si="4"/>
        <v>-1.6066268728033421E-4</v>
      </c>
      <c r="G53" s="1">
        <f t="shared" si="2"/>
        <v>0.5406930236058578</v>
      </c>
      <c r="I53">
        <f t="shared" si="0"/>
        <v>2480</v>
      </c>
      <c r="J53">
        <f t="shared" si="3"/>
        <v>0.5406930236058578</v>
      </c>
    </row>
    <row r="54" spans="1:17">
      <c r="A54">
        <v>2500</v>
      </c>
      <c r="B54">
        <v>22.3</v>
      </c>
      <c r="C54">
        <v>0</v>
      </c>
      <c r="F54" s="1">
        <f t="shared" si="4"/>
        <v>-1.6521991869294949E-4</v>
      </c>
      <c r="G54" s="1">
        <f t="shared" si="2"/>
        <v>0.53738862523199882</v>
      </c>
      <c r="I54">
        <f t="shared" si="0"/>
        <v>2500</v>
      </c>
      <c r="J54">
        <f t="shared" si="3"/>
        <v>0.53738862523199882</v>
      </c>
    </row>
    <row r="55" spans="1:17">
      <c r="A55">
        <v>2520</v>
      </c>
      <c r="B55">
        <v>22.3</v>
      </c>
      <c r="C55">
        <v>0</v>
      </c>
      <c r="F55" s="1">
        <f t="shared" si="4"/>
        <v>-1.6909295471835822E-4</v>
      </c>
      <c r="G55" s="1">
        <f t="shared" si="2"/>
        <v>0.53400676613763165</v>
      </c>
      <c r="I55">
        <f t="shared" si="0"/>
        <v>2520</v>
      </c>
      <c r="J55">
        <f t="shared" si="3"/>
        <v>0.53400676613763165</v>
      </c>
    </row>
    <row r="56" spans="1:17">
      <c r="A56">
        <v>2540</v>
      </c>
      <c r="B56">
        <v>22.3</v>
      </c>
      <c r="C56">
        <v>0</v>
      </c>
      <c r="F56" s="1">
        <f t="shared" si="4"/>
        <v>-1.7233912445523158E-4</v>
      </c>
      <c r="G56" s="1">
        <f t="shared" si="2"/>
        <v>0.53055998364852697</v>
      </c>
      <c r="I56">
        <f t="shared" si="0"/>
        <v>2540</v>
      </c>
      <c r="J56">
        <f t="shared" si="3"/>
        <v>0.53055998364852697</v>
      </c>
    </row>
    <row r="57" spans="1:17">
      <c r="A57">
        <v>2560</v>
      </c>
      <c r="B57">
        <v>22.3</v>
      </c>
      <c r="C57">
        <v>0</v>
      </c>
      <c r="F57" s="1">
        <f t="shared" si="4"/>
        <v>-1.7501209050608396E-4</v>
      </c>
      <c r="G57" s="1">
        <f t="shared" si="2"/>
        <v>0.52705974183840532</v>
      </c>
      <c r="I57">
        <f t="shared" si="0"/>
        <v>2560</v>
      </c>
      <c r="J57">
        <f t="shared" si="3"/>
        <v>0.52705974183840532</v>
      </c>
    </row>
    <row r="58" spans="1:17">
      <c r="A58">
        <v>2580</v>
      </c>
      <c r="B58">
        <v>22.3</v>
      </c>
      <c r="C58">
        <v>0</v>
      </c>
      <c r="F58" s="1">
        <f t="shared" si="4"/>
        <v>-1.7716200344291958E-4</v>
      </c>
      <c r="G58" s="1">
        <f t="shared" si="2"/>
        <v>0.52351650176954689</v>
      </c>
      <c r="I58">
        <f t="shared" si="0"/>
        <v>2580</v>
      </c>
      <c r="J58">
        <f t="shared" si="3"/>
        <v>0.52351650176954689</v>
      </c>
    </row>
    <row r="59" spans="1:17">
      <c r="A59">
        <v>2600</v>
      </c>
      <c r="B59">
        <v>22.3</v>
      </c>
      <c r="C59">
        <v>0</v>
      </c>
      <c r="F59" s="1">
        <f t="shared" si="4"/>
        <v>-1.7883565700714641E-4</v>
      </c>
      <c r="G59" s="1">
        <f t="shared" si="2"/>
        <v>0.51993978862940393</v>
      </c>
      <c r="I59">
        <f t="shared" si="0"/>
        <v>2600</v>
      </c>
      <c r="J59">
        <f t="shared" si="3"/>
        <v>0.51993978862940393</v>
      </c>
      <c r="Q59">
        <f>46.66*60</f>
        <v>2799.6</v>
      </c>
    </row>
    <row r="60" spans="1:17">
      <c r="A60">
        <v>2620</v>
      </c>
      <c r="B60">
        <v>22.3</v>
      </c>
      <c r="C60">
        <v>0</v>
      </c>
      <c r="F60" s="1">
        <f t="shared" si="4"/>
        <v>-1.8007664316761177E-4</v>
      </c>
      <c r="G60" s="1">
        <f t="shared" si="2"/>
        <v>0.51633825576605175</v>
      </c>
      <c r="I60">
        <f t="shared" si="0"/>
        <v>2620</v>
      </c>
      <c r="J60">
        <f t="shared" si="3"/>
        <v>0.51633825576605175</v>
      </c>
    </row>
    <row r="61" spans="1:17">
      <c r="A61">
        <v>2640</v>
      </c>
      <c r="B61">
        <v>22.3</v>
      </c>
      <c r="C61">
        <v>0</v>
      </c>
      <c r="F61" s="1">
        <f t="shared" si="4"/>
        <v>-1.8092550624586941E-4</v>
      </c>
      <c r="G61" s="1">
        <f t="shared" si="2"/>
        <v>0.51271974564113432</v>
      </c>
      <c r="I61">
        <f t="shared" si="0"/>
        <v>2640</v>
      </c>
      <c r="J61">
        <f t="shared" si="3"/>
        <v>0.51271974564113432</v>
      </c>
    </row>
    <row r="62" spans="1:17">
      <c r="A62">
        <v>2660</v>
      </c>
      <c r="B62">
        <v>0</v>
      </c>
      <c r="C62" s="1">
        <f>$C$2*$B$39*(2649-2189)</f>
        <v>8.5254318833039998E-4</v>
      </c>
      <c r="F62" s="1">
        <f>(0.9-G61)/($A$2*60)-(1/($B$2*60)+C62+$C$2*B62*(A62-$A$62)+$D$2*B62)*G61</f>
        <v>-1.8141989009753836E-4</v>
      </c>
      <c r="G62" s="1">
        <f t="shared" si="2"/>
        <v>0.50909134783918353</v>
      </c>
      <c r="I62">
        <f t="shared" si="0"/>
        <v>2660</v>
      </c>
      <c r="J62">
        <f t="shared" si="3"/>
        <v>0.50909134783918353</v>
      </c>
    </row>
    <row r="63" spans="1:17">
      <c r="A63">
        <v>2680</v>
      </c>
      <c r="B63">
        <v>0</v>
      </c>
      <c r="C63" s="1">
        <f t="shared" ref="C63:C102" si="5">$C$2*$B$39*(2649-2189)</f>
        <v>8.5254318833039998E-4</v>
      </c>
      <c r="F63" s="1">
        <f t="shared" ref="F63:F102" si="6">(0.9-G62)/($A$2*60)-(1/($B$2*60)+C63+$C$2*B63*(A63-$A$62)+$D$2*B63)*G62</f>
        <v>-1.6272417269610757E-4</v>
      </c>
      <c r="G63" s="1">
        <f t="shared" si="2"/>
        <v>0.50583686438526143</v>
      </c>
      <c r="I63">
        <f t="shared" si="0"/>
        <v>2680</v>
      </c>
      <c r="J63">
        <f t="shared" si="3"/>
        <v>0.50583686438526143</v>
      </c>
    </row>
    <row r="64" spans="1:17">
      <c r="A64">
        <v>2700</v>
      </c>
      <c r="B64">
        <v>0</v>
      </c>
      <c r="C64" s="1">
        <f t="shared" si="5"/>
        <v>8.5254318833039998E-4</v>
      </c>
      <c r="F64" s="1">
        <f t="shared" si="6"/>
        <v>-1.459550899595213E-4</v>
      </c>
      <c r="G64" s="1">
        <f t="shared" si="2"/>
        <v>0.50291776258607102</v>
      </c>
      <c r="I64">
        <f t="shared" si="0"/>
        <v>2700</v>
      </c>
      <c r="J64">
        <f t="shared" si="3"/>
        <v>0.50291776258607102</v>
      </c>
    </row>
    <row r="65" spans="1:10">
      <c r="A65">
        <v>2720</v>
      </c>
      <c r="B65">
        <v>0</v>
      </c>
      <c r="C65" s="1">
        <f t="shared" si="5"/>
        <v>8.5254318833039998E-4</v>
      </c>
      <c r="F65" s="1">
        <f t="shared" si="6"/>
        <v>-1.309140979618051E-4</v>
      </c>
      <c r="G65" s="1">
        <f t="shared" si="2"/>
        <v>0.50029948062683494</v>
      </c>
      <c r="I65">
        <f t="shared" si="0"/>
        <v>2720</v>
      </c>
      <c r="J65">
        <f t="shared" si="3"/>
        <v>0.50029948062683494</v>
      </c>
    </row>
    <row r="66" spans="1:10">
      <c r="A66">
        <v>2740</v>
      </c>
      <c r="B66">
        <v>0</v>
      </c>
      <c r="C66" s="1">
        <f t="shared" si="5"/>
        <v>8.5254318833039998E-4</v>
      </c>
      <c r="F66" s="1">
        <f t="shared" si="6"/>
        <v>-1.1742311316382485E-4</v>
      </c>
      <c r="G66" s="1">
        <f t="shared" si="2"/>
        <v>0.49795101836355843</v>
      </c>
      <c r="I66">
        <f t="shared" si="0"/>
        <v>2740</v>
      </c>
      <c r="J66">
        <f t="shared" si="3"/>
        <v>0.49795101836355843</v>
      </c>
    </row>
    <row r="67" spans="1:10">
      <c r="A67">
        <v>2760</v>
      </c>
      <c r="B67">
        <v>0</v>
      </c>
      <c r="C67" s="1">
        <f t="shared" si="5"/>
        <v>8.5254318833039998E-4</v>
      </c>
      <c r="F67" s="1">
        <f t="shared" si="6"/>
        <v>-1.0532240392556631E-4</v>
      </c>
      <c r="G67" s="1">
        <f t="shared" si="2"/>
        <v>0.49584457028504708</v>
      </c>
      <c r="I67">
        <f t="shared" si="0"/>
        <v>2760</v>
      </c>
      <c r="J67">
        <f t="shared" si="3"/>
        <v>0.49584457028504708</v>
      </c>
    </row>
    <row r="68" spans="1:10">
      <c r="A68">
        <v>2780</v>
      </c>
      <c r="B68">
        <v>0</v>
      </c>
      <c r="C68" s="1">
        <f t="shared" si="5"/>
        <v>8.5254318833039998E-4</v>
      </c>
      <c r="F68" s="1">
        <f t="shared" si="6"/>
        <v>-9.4468699302698977E-5</v>
      </c>
      <c r="G68" s="1">
        <f t="shared" si="2"/>
        <v>0.49395519629899309</v>
      </c>
      <c r="I68">
        <f t="shared" si="0"/>
        <v>2780</v>
      </c>
      <c r="J68">
        <f t="shared" si="3"/>
        <v>0.49395519629899309</v>
      </c>
    </row>
    <row r="69" spans="1:10">
      <c r="A69">
        <v>2800</v>
      </c>
      <c r="B69">
        <v>0</v>
      </c>
      <c r="C69" s="1">
        <f t="shared" si="5"/>
        <v>8.5254318833039998E-4</v>
      </c>
      <c r="F69" s="1">
        <f t="shared" si="6"/>
        <v>-8.473349273579794E-5</v>
      </c>
      <c r="G69" s="1">
        <f t="shared" si="2"/>
        <v>0.49226052644427715</v>
      </c>
      <c r="I69">
        <f t="shared" si="0"/>
        <v>2800</v>
      </c>
      <c r="J69">
        <f t="shared" si="3"/>
        <v>0.49226052644427715</v>
      </c>
    </row>
    <row r="70" spans="1:10">
      <c r="A70">
        <v>2820</v>
      </c>
      <c r="B70">
        <v>0</v>
      </c>
      <c r="C70" s="1">
        <f t="shared" si="5"/>
        <v>8.5254318833039998E-4</v>
      </c>
      <c r="F70" s="1">
        <f t="shared" si="6"/>
        <v>-7.6001520548112447E-5</v>
      </c>
      <c r="G70" s="1">
        <f t="shared" si="2"/>
        <v>0.49074049603331488</v>
      </c>
      <c r="I70">
        <f t="shared" si="0"/>
        <v>2820</v>
      </c>
      <c r="J70">
        <f t="shared" si="3"/>
        <v>0.49074049603331488</v>
      </c>
    </row>
    <row r="71" spans="1:10">
      <c r="A71">
        <v>2840</v>
      </c>
      <c r="B71">
        <v>0</v>
      </c>
      <c r="C71" s="1">
        <f t="shared" si="5"/>
        <v>8.5254318833039998E-4</v>
      </c>
      <c r="F71" s="1">
        <f t="shared" si="6"/>
        <v>-6.8169397237473252E-5</v>
      </c>
      <c r="G71" s="1">
        <f t="shared" si="2"/>
        <v>0.48937710808856544</v>
      </c>
      <c r="I71">
        <f t="shared" ref="I71:I133" si="7">A71</f>
        <v>2840</v>
      </c>
      <c r="J71">
        <f t="shared" ref="J71:J133" si="8">G71</f>
        <v>0.48937710808856544</v>
      </c>
    </row>
    <row r="72" spans="1:10">
      <c r="A72">
        <v>2860</v>
      </c>
      <c r="B72">
        <v>0</v>
      </c>
      <c r="C72" s="1">
        <f t="shared" si="5"/>
        <v>8.5254318833039998E-4</v>
      </c>
      <c r="F72" s="1">
        <f t="shared" si="6"/>
        <v>-6.1144391404361785E-5</v>
      </c>
      <c r="G72" s="1">
        <f t="shared" ref="G72:G133" si="9">G71+F72*20</f>
        <v>0.48815422026047822</v>
      </c>
      <c r="I72">
        <f t="shared" si="7"/>
        <v>2860</v>
      </c>
      <c r="J72">
        <f t="shared" si="8"/>
        <v>0.48815422026047822</v>
      </c>
    </row>
    <row r="73" spans="1:10">
      <c r="A73">
        <v>2880</v>
      </c>
      <c r="B73">
        <v>0</v>
      </c>
      <c r="C73" s="1">
        <f t="shared" si="5"/>
        <v>8.5254318833039998E-4</v>
      </c>
      <c r="F73" s="1">
        <f t="shared" si="6"/>
        <v>-5.4843327823274552E-5</v>
      </c>
      <c r="G73" s="1">
        <f t="shared" si="9"/>
        <v>0.48705735370401271</v>
      </c>
      <c r="I73">
        <f t="shared" si="7"/>
        <v>2880</v>
      </c>
      <c r="J73">
        <f t="shared" si="8"/>
        <v>0.48705735370401271</v>
      </c>
    </row>
    <row r="74" spans="1:10">
      <c r="A74">
        <v>2900</v>
      </c>
      <c r="B74">
        <v>0</v>
      </c>
      <c r="C74" s="1">
        <f t="shared" si="5"/>
        <v>8.5254318833039998E-4</v>
      </c>
      <c r="F74" s="1">
        <f t="shared" si="6"/>
        <v>-4.9191602658041822E-5</v>
      </c>
      <c r="G74" s="1">
        <f t="shared" si="9"/>
        <v>0.48607352165085188</v>
      </c>
      <c r="I74">
        <f t="shared" si="7"/>
        <v>2900</v>
      </c>
      <c r="J74">
        <f t="shared" si="8"/>
        <v>0.48607352165085188</v>
      </c>
    </row>
    <row r="75" spans="1:10">
      <c r="A75">
        <v>2920</v>
      </c>
      <c r="B75">
        <v>0</v>
      </c>
      <c r="C75" s="1">
        <f t="shared" si="5"/>
        <v>8.5254318833039998E-4</v>
      </c>
      <c r="F75" s="1">
        <f t="shared" si="6"/>
        <v>-4.4122300161365553E-5</v>
      </c>
      <c r="G75" s="1">
        <f t="shared" si="9"/>
        <v>0.48519107564762459</v>
      </c>
      <c r="I75">
        <f t="shared" si="7"/>
        <v>2920</v>
      </c>
      <c r="J75">
        <f t="shared" si="8"/>
        <v>0.48519107564762459</v>
      </c>
    </row>
    <row r="76" spans="1:10">
      <c r="A76">
        <v>2940</v>
      </c>
      <c r="B76">
        <v>0</v>
      </c>
      <c r="C76" s="1">
        <f t="shared" si="5"/>
        <v>8.5254318833039998E-4</v>
      </c>
      <c r="F76" s="1">
        <f t="shared" si="6"/>
        <v>-3.9575400400404916E-5</v>
      </c>
      <c r="G76" s="1">
        <f t="shared" si="9"/>
        <v>0.4843995676396165</v>
      </c>
      <c r="I76">
        <f t="shared" si="7"/>
        <v>2940</v>
      </c>
      <c r="J76">
        <f t="shared" si="8"/>
        <v>0.4843995676396165</v>
      </c>
    </row>
    <row r="77" spans="1:10">
      <c r="A77">
        <v>2960</v>
      </c>
      <c r="B77">
        <v>0</v>
      </c>
      <c r="C77" s="1">
        <f t="shared" si="5"/>
        <v>8.5254318833039998E-4</v>
      </c>
      <c r="F77" s="1">
        <f t="shared" si="6"/>
        <v>-3.5497068627981122E-5</v>
      </c>
      <c r="G77" s="1">
        <f t="shared" si="9"/>
        <v>0.48368962626705686</v>
      </c>
      <c r="I77">
        <f t="shared" si="7"/>
        <v>2960</v>
      </c>
      <c r="J77">
        <f t="shared" si="8"/>
        <v>0.48368962626705686</v>
      </c>
    </row>
    <row r="78" spans="1:10">
      <c r="A78">
        <v>2980</v>
      </c>
      <c r="B78">
        <v>0</v>
      </c>
      <c r="C78" s="1">
        <f t="shared" si="5"/>
        <v>8.5254318833039998E-4</v>
      </c>
      <c r="F78" s="1">
        <f t="shared" si="6"/>
        <v>-3.1839017885633382E-5</v>
      </c>
      <c r="G78" s="1">
        <f t="shared" si="9"/>
        <v>0.48305284590934422</v>
      </c>
      <c r="I78">
        <f t="shared" si="7"/>
        <v>2980</v>
      </c>
      <c r="J78">
        <f t="shared" si="8"/>
        <v>0.48305284590934422</v>
      </c>
    </row>
    <row r="79" spans="1:10">
      <c r="A79">
        <v>3000</v>
      </c>
      <c r="B79">
        <v>0</v>
      </c>
      <c r="C79" s="1">
        <f t="shared" si="5"/>
        <v>8.5254318833039998E-4</v>
      </c>
      <c r="F79" s="1">
        <f t="shared" si="6"/>
        <v>-2.8557937291830539E-5</v>
      </c>
      <c r="G79" s="1">
        <f t="shared" si="9"/>
        <v>0.48248168716350759</v>
      </c>
      <c r="I79">
        <f t="shared" si="7"/>
        <v>3000</v>
      </c>
      <c r="J79">
        <f t="shared" si="8"/>
        <v>0.48248168716350759</v>
      </c>
    </row>
    <row r="80" spans="1:10">
      <c r="A80">
        <v>3020</v>
      </c>
      <c r="B80">
        <v>0</v>
      </c>
      <c r="C80" s="1">
        <f t="shared" si="5"/>
        <v>8.5254318833039998E-4</v>
      </c>
      <c r="F80" s="1">
        <f t="shared" si="6"/>
        <v>-2.5614979246332869E-5</v>
      </c>
      <c r="G80" s="1">
        <f t="shared" si="9"/>
        <v>0.48196938757858093</v>
      </c>
      <c r="I80">
        <f t="shared" si="7"/>
        <v>3020</v>
      </c>
      <c r="J80">
        <f t="shared" si="8"/>
        <v>0.48196938757858093</v>
      </c>
    </row>
    <row r="81" spans="1:10">
      <c r="A81">
        <v>3040</v>
      </c>
      <c r="B81">
        <v>0</v>
      </c>
      <c r="C81" s="1">
        <f t="shared" si="5"/>
        <v>8.5254318833039998E-4</v>
      </c>
      <c r="F81" s="1">
        <f t="shared" si="6"/>
        <v>-2.2975299479271408E-5</v>
      </c>
      <c r="G81" s="1">
        <f t="shared" si="9"/>
        <v>0.48150988158899549</v>
      </c>
      <c r="I81">
        <f t="shared" si="7"/>
        <v>3040</v>
      </c>
      <c r="J81">
        <f t="shared" si="8"/>
        <v>0.48150988158899549</v>
      </c>
    </row>
    <row r="82" spans="1:10">
      <c r="A82">
        <v>3060</v>
      </c>
      <c r="B82">
        <v>0</v>
      </c>
      <c r="C82" s="1">
        <f t="shared" si="5"/>
        <v>8.5254318833039998E-4</v>
      </c>
      <c r="F82" s="1">
        <f t="shared" si="6"/>
        <v>-2.0607644499176644E-5</v>
      </c>
      <c r="G82" s="1">
        <f t="shared" si="9"/>
        <v>0.48109772869901196</v>
      </c>
      <c r="I82">
        <f t="shared" si="7"/>
        <v>3060</v>
      </c>
      <c r="J82">
        <f t="shared" si="8"/>
        <v>0.48109772869901196</v>
      </c>
    </row>
    <row r="83" spans="1:10">
      <c r="A83">
        <v>3080</v>
      </c>
      <c r="B83">
        <v>0</v>
      </c>
      <c r="C83" s="1">
        <f t="shared" si="5"/>
        <v>8.5254318833039998E-4</v>
      </c>
      <c r="F83" s="1">
        <f t="shared" si="6"/>
        <v>-1.8483981555391131E-5</v>
      </c>
      <c r="G83" s="1">
        <f t="shared" si="9"/>
        <v>0.48072804906790412</v>
      </c>
      <c r="I83">
        <f t="shared" si="7"/>
        <v>3080</v>
      </c>
      <c r="J83">
        <f t="shared" si="8"/>
        <v>0.48072804906790412</v>
      </c>
    </row>
    <row r="84" spans="1:10">
      <c r="A84">
        <v>3100</v>
      </c>
      <c r="B84">
        <v>0</v>
      </c>
      <c r="C84" s="1">
        <f t="shared" si="5"/>
        <v>8.5254318833039998E-4</v>
      </c>
      <c r="F84" s="1">
        <f t="shared" si="6"/>
        <v>-1.6579166733669696E-5</v>
      </c>
      <c r="G84" s="1">
        <f t="shared" si="9"/>
        <v>0.48039646573323075</v>
      </c>
      <c r="I84">
        <f t="shared" si="7"/>
        <v>3100</v>
      </c>
      <c r="J84">
        <f t="shared" si="8"/>
        <v>0.48039646573323075</v>
      </c>
    </row>
    <row r="85" spans="1:10">
      <c r="A85">
        <v>3120</v>
      </c>
      <c r="B85">
        <v>0</v>
      </c>
      <c r="C85" s="1">
        <f t="shared" si="5"/>
        <v>8.5254318833039998E-4</v>
      </c>
      <c r="F85" s="1">
        <f t="shared" si="6"/>
        <v>-1.4870647255253028E-5</v>
      </c>
      <c r="G85" s="1">
        <f t="shared" si="9"/>
        <v>0.4800990527881257</v>
      </c>
      <c r="I85">
        <f t="shared" si="7"/>
        <v>3120</v>
      </c>
      <c r="J85">
        <f t="shared" si="8"/>
        <v>0.4800990527881257</v>
      </c>
    </row>
    <row r="86" spans="1:10">
      <c r="A86">
        <v>3140</v>
      </c>
      <c r="B86">
        <v>0</v>
      </c>
      <c r="C86" s="1">
        <f t="shared" si="5"/>
        <v>8.5254318833039998E-4</v>
      </c>
      <c r="F86" s="1">
        <f t="shared" si="6"/>
        <v>-1.3338194454674693E-5</v>
      </c>
      <c r="G86" s="1">
        <f t="shared" si="9"/>
        <v>0.47983228889903223</v>
      </c>
      <c r="I86">
        <f t="shared" si="7"/>
        <v>3140</v>
      </c>
      <c r="J86">
        <f t="shared" si="8"/>
        <v>0.47983228889903223</v>
      </c>
    </row>
    <row r="87" spans="1:10">
      <c r="A87">
        <v>3160</v>
      </c>
      <c r="B87">
        <v>0</v>
      </c>
      <c r="C87" s="1">
        <f t="shared" si="5"/>
        <v>8.5254318833039998E-4</v>
      </c>
      <c r="F87" s="1">
        <f t="shared" si="6"/>
        <v>-1.1963664274792975E-5</v>
      </c>
      <c r="G87" s="1">
        <f t="shared" si="9"/>
        <v>0.4795930156135364</v>
      </c>
      <c r="I87">
        <f t="shared" si="7"/>
        <v>3160</v>
      </c>
      <c r="J87">
        <f t="shared" si="8"/>
        <v>0.4795930156135364</v>
      </c>
    </row>
    <row r="88" spans="1:10">
      <c r="A88">
        <v>3180</v>
      </c>
      <c r="B88">
        <v>0</v>
      </c>
      <c r="C88" s="1">
        <f t="shared" si="5"/>
        <v>8.5254318833039998E-4</v>
      </c>
      <c r="F88" s="1">
        <f t="shared" si="6"/>
        <v>-1.0730782443331074E-5</v>
      </c>
      <c r="G88" s="1">
        <f t="shared" si="9"/>
        <v>0.4793783999646698</v>
      </c>
      <c r="I88">
        <f t="shared" si="7"/>
        <v>3180</v>
      </c>
      <c r="J88">
        <f t="shared" si="8"/>
        <v>0.4793783999646698</v>
      </c>
    </row>
    <row r="89" spans="1:10">
      <c r="A89">
        <v>3200</v>
      </c>
      <c r="B89">
        <v>0</v>
      </c>
      <c r="C89" s="1">
        <f t="shared" si="5"/>
        <v>8.5254318833039998E-4</v>
      </c>
      <c r="F89" s="1">
        <f t="shared" si="6"/>
        <v>-9.6249517874482955E-6</v>
      </c>
      <c r="G89" s="1">
        <f t="shared" si="9"/>
        <v>0.47918590092892083</v>
      </c>
      <c r="I89">
        <f t="shared" si="7"/>
        <v>3200</v>
      </c>
      <c r="J89">
        <f t="shared" si="8"/>
        <v>0.47918590092892083</v>
      </c>
    </row>
    <row r="90" spans="1:10">
      <c r="A90">
        <v>3220</v>
      </c>
      <c r="B90">
        <v>0</v>
      </c>
      <c r="C90" s="1">
        <f t="shared" si="5"/>
        <v>8.5254318833039998E-4</v>
      </c>
      <c r="F90" s="1">
        <f t="shared" si="6"/>
        <v>-8.6330794049668379E-6</v>
      </c>
      <c r="G90" s="1">
        <f t="shared" si="9"/>
        <v>0.47901323934082152</v>
      </c>
      <c r="I90">
        <f t="shared" si="7"/>
        <v>3220</v>
      </c>
      <c r="J90">
        <f t="shared" si="8"/>
        <v>0.47901323934082152</v>
      </c>
    </row>
    <row r="91" spans="1:10">
      <c r="A91">
        <v>3240</v>
      </c>
      <c r="B91">
        <v>0</v>
      </c>
      <c r="C91" s="1">
        <f t="shared" si="5"/>
        <v>8.5254318833039998E-4</v>
      </c>
      <c r="F91" s="1">
        <f t="shared" si="6"/>
        <v>-7.7434216459826115E-6</v>
      </c>
      <c r="G91" s="1">
        <f t="shared" si="9"/>
        <v>0.47885837090790184</v>
      </c>
      <c r="I91">
        <f t="shared" si="7"/>
        <v>3240</v>
      </c>
      <c r="J91">
        <f t="shared" si="8"/>
        <v>0.47885837090790184</v>
      </c>
    </row>
    <row r="92" spans="1:10">
      <c r="A92">
        <v>3260</v>
      </c>
      <c r="B92">
        <v>0</v>
      </c>
      <c r="C92" s="1">
        <f t="shared" si="5"/>
        <v>8.5254318833039998E-4</v>
      </c>
      <c r="F92" s="1">
        <f t="shared" si="6"/>
        <v>-6.9454450694584561E-6</v>
      </c>
      <c r="G92" s="1">
        <f t="shared" si="9"/>
        <v>0.47871946200651266</v>
      </c>
      <c r="I92">
        <f t="shared" si="7"/>
        <v>3260</v>
      </c>
      <c r="J92">
        <f t="shared" si="8"/>
        <v>0.47871946200651266</v>
      </c>
    </row>
    <row r="93" spans="1:10">
      <c r="A93">
        <v>3280</v>
      </c>
      <c r="B93">
        <v>0</v>
      </c>
      <c r="C93" s="1">
        <f t="shared" si="5"/>
        <v>8.5254318833039998E-4</v>
      </c>
      <c r="F93" s="1">
        <f t="shared" si="6"/>
        <v>-6.2297017285493569E-6</v>
      </c>
      <c r="G93" s="1">
        <f t="shared" si="9"/>
        <v>0.47859486797194167</v>
      </c>
      <c r="I93">
        <f t="shared" si="7"/>
        <v>3280</v>
      </c>
      <c r="J93">
        <f t="shared" si="8"/>
        <v>0.47859486797194167</v>
      </c>
    </row>
    <row r="94" spans="1:10">
      <c r="A94">
        <v>3300</v>
      </c>
      <c r="B94">
        <v>0</v>
      </c>
      <c r="C94" s="1">
        <f t="shared" si="5"/>
        <v>8.5254318833039998E-4</v>
      </c>
      <c r="F94" s="1">
        <f t="shared" si="6"/>
        <v>-5.5877173080454666E-6</v>
      </c>
      <c r="G94" s="1">
        <f t="shared" si="9"/>
        <v>0.47848311362578078</v>
      </c>
      <c r="I94">
        <f t="shared" si="7"/>
        <v>3300</v>
      </c>
      <c r="J94">
        <f t="shared" si="8"/>
        <v>0.47848311362578078</v>
      </c>
    </row>
    <row r="95" spans="1:10">
      <c r="A95">
        <v>3320</v>
      </c>
      <c r="B95">
        <v>0</v>
      </c>
      <c r="C95" s="1">
        <f t="shared" si="5"/>
        <v>8.5254318833039998E-4</v>
      </c>
      <c r="F95" s="1">
        <f t="shared" si="6"/>
        <v>-5.0118907894969311E-6</v>
      </c>
      <c r="G95" s="1">
        <f t="shared" si="9"/>
        <v>0.47838287580999084</v>
      </c>
      <c r="I95">
        <f t="shared" si="7"/>
        <v>3320</v>
      </c>
      <c r="J95">
        <f t="shared" si="8"/>
        <v>0.47838287580999084</v>
      </c>
    </row>
    <row r="96" spans="1:10">
      <c r="A96">
        <v>3340</v>
      </c>
      <c r="B96">
        <v>0</v>
      </c>
      <c r="C96" s="1">
        <f t="shared" si="5"/>
        <v>8.5254318833039998E-4</v>
      </c>
      <c r="F96" s="1">
        <f t="shared" si="6"/>
        <v>-4.4954044560697407E-6</v>
      </c>
      <c r="G96" s="1">
        <f t="shared" si="9"/>
        <v>0.47829296772086943</v>
      </c>
      <c r="I96">
        <f t="shared" si="7"/>
        <v>3340</v>
      </c>
      <c r="J96">
        <f t="shared" si="8"/>
        <v>0.47829296772086943</v>
      </c>
    </row>
    <row r="97" spans="1:10">
      <c r="A97">
        <v>3360</v>
      </c>
      <c r="B97">
        <v>0</v>
      </c>
      <c r="C97" s="1">
        <f t="shared" si="5"/>
        <v>8.5254318833039998E-4</v>
      </c>
      <c r="F97" s="1">
        <f t="shared" si="6"/>
        <v>-4.0321431715951896E-6</v>
      </c>
      <c r="G97" s="1">
        <f t="shared" si="9"/>
        <v>0.47821232485743753</v>
      </c>
      <c r="I97">
        <f t="shared" si="7"/>
        <v>3360</v>
      </c>
      <c r="J97">
        <f t="shared" si="8"/>
        <v>0.47821232485743753</v>
      </c>
    </row>
    <row r="98" spans="1:10">
      <c r="A98">
        <v>3380</v>
      </c>
      <c r="B98">
        <v>0</v>
      </c>
      <c r="C98" s="1">
        <f t="shared" si="5"/>
        <v>8.5254318833039998E-4</v>
      </c>
      <c r="F98" s="1">
        <f t="shared" si="6"/>
        <v>-3.6166219780935007E-6</v>
      </c>
      <c r="G98" s="1">
        <f t="shared" si="9"/>
        <v>0.47813999241787564</v>
      </c>
      <c r="I98">
        <f t="shared" si="7"/>
        <v>3380</v>
      </c>
      <c r="J98">
        <f t="shared" si="8"/>
        <v>0.47813999241787564</v>
      </c>
    </row>
    <row r="99" spans="1:10">
      <c r="A99">
        <v>3400</v>
      </c>
      <c r="B99">
        <v>0</v>
      </c>
      <c r="C99" s="1">
        <f t="shared" si="5"/>
        <v>8.5254318833039998E-4</v>
      </c>
      <c r="F99" s="1">
        <f t="shared" si="6"/>
        <v>-3.2439211545293861E-6</v>
      </c>
      <c r="G99" s="1">
        <f t="shared" si="9"/>
        <v>0.47807511399478503</v>
      </c>
      <c r="I99">
        <f t="shared" si="7"/>
        <v>3400</v>
      </c>
      <c r="J99">
        <f t="shared" si="8"/>
        <v>0.47807511399478503</v>
      </c>
    </row>
    <row r="100" spans="1:10">
      <c r="A100">
        <v>3420</v>
      </c>
      <c r="B100">
        <v>0</v>
      </c>
      <c r="C100" s="1">
        <f t="shared" si="5"/>
        <v>8.5254318833039998E-4</v>
      </c>
      <c r="F100" s="1">
        <f t="shared" si="6"/>
        <v>-2.909627967905698E-6</v>
      </c>
      <c r="G100" s="1">
        <f t="shared" si="9"/>
        <v>0.4780169214354269</v>
      </c>
      <c r="I100">
        <f t="shared" si="7"/>
        <v>3420</v>
      </c>
      <c r="J100">
        <f t="shared" si="8"/>
        <v>0.4780169214354269</v>
      </c>
    </row>
    <row r="101" spans="1:10">
      <c r="A101">
        <v>3440</v>
      </c>
      <c r="B101">
        <v>0</v>
      </c>
      <c r="C101" s="1">
        <f t="shared" si="5"/>
        <v>8.5254318833039998E-4</v>
      </c>
      <c r="F101" s="1">
        <f t="shared" si="6"/>
        <v>-2.6097844270348176E-6</v>
      </c>
      <c r="G101" s="1">
        <f t="shared" si="9"/>
        <v>0.4779647257468862</v>
      </c>
      <c r="I101">
        <f t="shared" si="7"/>
        <v>3440</v>
      </c>
      <c r="J101">
        <f t="shared" si="8"/>
        <v>0.4779647257468862</v>
      </c>
    </row>
    <row r="102" spans="1:10">
      <c r="A102">
        <v>3460</v>
      </c>
      <c r="B102">
        <v>0</v>
      </c>
      <c r="C102" s="1">
        <f t="shared" si="5"/>
        <v>8.5254318833039998E-4</v>
      </c>
      <c r="F102" s="1">
        <f t="shared" si="6"/>
        <v>-2.3408404203975348E-6</v>
      </c>
      <c r="G102" s="1">
        <f t="shared" si="9"/>
        <v>0.47791790893847824</v>
      </c>
      <c r="I102">
        <f t="shared" si="7"/>
        <v>3460</v>
      </c>
      <c r="J102">
        <f t="shared" si="8"/>
        <v>0.47791790893847824</v>
      </c>
    </row>
    <row r="103" spans="1:10">
      <c r="A103">
        <v>3480</v>
      </c>
      <c r="B103">
        <v>62.2</v>
      </c>
      <c r="C103" s="1">
        <f>$C$2*$B$39*(2649-2189)</f>
        <v>8.5254318833039998E-4</v>
      </c>
      <c r="F103" s="1">
        <f>(0.9-G102)/($A$2*60)-(1/($B$2*60)+C103+$C$2*B103*(A103-$A$103)+$D$2*B103)*G102</f>
        <v>-2.0996254695726004E-6</v>
      </c>
      <c r="G103" s="1">
        <f t="shared" si="9"/>
        <v>0.47787591642908678</v>
      </c>
      <c r="I103">
        <f t="shared" si="7"/>
        <v>3480</v>
      </c>
      <c r="J103">
        <f t="shared" si="8"/>
        <v>0.47787591642908678</v>
      </c>
    </row>
    <row r="104" spans="1:10">
      <c r="A104">
        <v>3500</v>
      </c>
      <c r="B104">
        <v>62.2</v>
      </c>
      <c r="C104" s="1">
        <f t="shared" ref="C104:C110" si="10">$C$2*$B$39*(2649-2189)</f>
        <v>8.5254318833039998E-4</v>
      </c>
      <c r="F104" s="1">
        <f t="shared" ref="F104:F133" si="11">(0.9-G103)/($A$2*60)-(1/($B$2*60)+C104+$C$2*B104*(A104-$A$103)+$D$2*B104)*G103</f>
        <v>-5.129033796909049E-5</v>
      </c>
      <c r="G104" s="1">
        <f t="shared" si="9"/>
        <v>0.47685010966970498</v>
      </c>
      <c r="I104">
        <f t="shared" si="7"/>
        <v>3500</v>
      </c>
      <c r="J104">
        <f t="shared" si="8"/>
        <v>0.47685010966970498</v>
      </c>
    </row>
    <row r="105" spans="1:10">
      <c r="A105">
        <v>3520</v>
      </c>
      <c r="B105">
        <v>62.2</v>
      </c>
      <c r="C105" s="1">
        <f t="shared" si="10"/>
        <v>8.5254318833039998E-4</v>
      </c>
      <c r="F105" s="1">
        <f t="shared" si="11"/>
        <v>-9.5199725533392501E-5</v>
      </c>
      <c r="G105" s="1">
        <f t="shared" si="9"/>
        <v>0.47494611515903712</v>
      </c>
      <c r="I105">
        <f t="shared" si="7"/>
        <v>3520</v>
      </c>
      <c r="J105">
        <f t="shared" si="8"/>
        <v>0.47494611515903712</v>
      </c>
    </row>
    <row r="106" spans="1:10">
      <c r="A106">
        <v>3540</v>
      </c>
      <c r="B106">
        <v>62.2</v>
      </c>
      <c r="C106" s="1">
        <f t="shared" si="10"/>
        <v>8.5254318833039998E-4</v>
      </c>
      <c r="F106" s="1">
        <f t="shared" si="11"/>
        <v>-1.3409965558136777E-4</v>
      </c>
      <c r="G106" s="1">
        <f t="shared" si="9"/>
        <v>0.47226412204740975</v>
      </c>
      <c r="I106">
        <f t="shared" si="7"/>
        <v>3540</v>
      </c>
      <c r="J106">
        <f t="shared" si="8"/>
        <v>0.47226412204740975</v>
      </c>
    </row>
    <row r="107" spans="1:10">
      <c r="A107">
        <v>3560</v>
      </c>
      <c r="B107">
        <v>62.2</v>
      </c>
      <c r="C107" s="1">
        <f t="shared" si="10"/>
        <v>8.5254318833039998E-4</v>
      </c>
      <c r="F107" s="1">
        <f t="shared" si="11"/>
        <v>-1.6827541279763338E-4</v>
      </c>
      <c r="G107" s="1">
        <f t="shared" si="9"/>
        <v>0.46889861379145709</v>
      </c>
      <c r="I107">
        <f t="shared" si="7"/>
        <v>3560</v>
      </c>
      <c r="J107">
        <f t="shared" si="8"/>
        <v>0.46889861379145709</v>
      </c>
    </row>
    <row r="108" spans="1:10">
      <c r="A108">
        <v>3580</v>
      </c>
      <c r="B108">
        <v>62.2</v>
      </c>
      <c r="C108" s="1">
        <f t="shared" si="10"/>
        <v>8.5254318833039998E-4</v>
      </c>
      <c r="F108" s="1">
        <f t="shared" si="11"/>
        <v>-1.9802136692582181E-4</v>
      </c>
      <c r="G108" s="1">
        <f t="shared" si="9"/>
        <v>0.46493818645294066</v>
      </c>
      <c r="I108">
        <f t="shared" si="7"/>
        <v>3580</v>
      </c>
      <c r="J108">
        <f t="shared" si="8"/>
        <v>0.46493818645294066</v>
      </c>
    </row>
    <row r="109" spans="1:10">
      <c r="A109">
        <v>3600</v>
      </c>
      <c r="B109">
        <v>62.2</v>
      </c>
      <c r="C109" s="1">
        <f t="shared" si="10"/>
        <v>8.5254318833039998E-4</v>
      </c>
      <c r="F109" s="1">
        <f t="shared" si="11"/>
        <v>-2.2363697428991495E-4</v>
      </c>
      <c r="G109" s="1">
        <f t="shared" si="9"/>
        <v>0.46046544696714237</v>
      </c>
      <c r="I109">
        <f t="shared" si="7"/>
        <v>3600</v>
      </c>
      <c r="J109">
        <f t="shared" si="8"/>
        <v>0.46046544696714237</v>
      </c>
    </row>
    <row r="110" spans="1:10">
      <c r="A110">
        <v>3620</v>
      </c>
      <c r="B110">
        <v>62.2</v>
      </c>
      <c r="C110" s="1">
        <f t="shared" si="10"/>
        <v>8.5254318833039998E-4</v>
      </c>
      <c r="F110" s="1">
        <f t="shared" si="11"/>
        <v>-2.4542313652800856E-4</v>
      </c>
      <c r="G110" s="1">
        <f t="shared" si="9"/>
        <v>0.4555569842365822</v>
      </c>
      <c r="I110">
        <f t="shared" si="7"/>
        <v>3620</v>
      </c>
      <c r="J110">
        <f t="shared" si="8"/>
        <v>0.4555569842365822</v>
      </c>
    </row>
    <row r="111" spans="1:10">
      <c r="A111">
        <v>3640</v>
      </c>
      <c r="B111">
        <v>528</v>
      </c>
      <c r="C111" s="1">
        <f>$C$2*($B$39*(2649-2194)+$B$103*(3620-3478))</f>
        <v>1.5773378745373202E-3</v>
      </c>
      <c r="F111" s="1">
        <f t="shared" si="11"/>
        <v>-3.4155970060021166E-3</v>
      </c>
      <c r="G111" s="1">
        <f t="shared" si="9"/>
        <v>0.38724504411653987</v>
      </c>
      <c r="I111">
        <f t="shared" si="7"/>
        <v>3640</v>
      </c>
      <c r="J111">
        <f t="shared" si="8"/>
        <v>0.38724504411653987</v>
      </c>
    </row>
    <row r="112" spans="1:10">
      <c r="A112">
        <v>3660</v>
      </c>
      <c r="B112">
        <v>528</v>
      </c>
      <c r="C112" s="1">
        <f t="shared" ref="C112:C133" si="12">$C$2*($B$39*(2649-2194)+$B$103*(3620-3478))</f>
        <v>1.5773378745373202E-3</v>
      </c>
      <c r="F112" s="1">
        <f t="shared" si="11"/>
        <v>-2.8743351227733666E-3</v>
      </c>
      <c r="G112" s="1">
        <f t="shared" si="9"/>
        <v>0.32975834166107254</v>
      </c>
      <c r="I112">
        <f t="shared" si="7"/>
        <v>3660</v>
      </c>
      <c r="J112">
        <f t="shared" si="8"/>
        <v>0.32975834166107254</v>
      </c>
    </row>
    <row r="113" spans="1:10">
      <c r="A113">
        <v>3680</v>
      </c>
      <c r="B113">
        <v>528</v>
      </c>
      <c r="C113" s="1">
        <f t="shared" si="12"/>
        <v>1.5773378745373202E-3</v>
      </c>
      <c r="F113" s="1">
        <f t="shared" si="11"/>
        <v>-2.3717975051892725E-3</v>
      </c>
      <c r="G113" s="1">
        <f t="shared" si="9"/>
        <v>0.28232239155728711</v>
      </c>
      <c r="I113">
        <f t="shared" si="7"/>
        <v>3680</v>
      </c>
      <c r="J113">
        <f t="shared" si="8"/>
        <v>0.28232239155728711</v>
      </c>
    </row>
    <row r="114" spans="1:10">
      <c r="A114">
        <v>3700</v>
      </c>
      <c r="B114">
        <v>528</v>
      </c>
      <c r="C114" s="1">
        <f t="shared" si="12"/>
        <v>1.5773378745373202E-3</v>
      </c>
      <c r="F114" s="1">
        <f t="shared" si="11"/>
        <v>-1.9244573205776556E-3</v>
      </c>
      <c r="G114" s="1">
        <f t="shared" si="9"/>
        <v>0.24383324514573401</v>
      </c>
      <c r="I114">
        <f t="shared" si="7"/>
        <v>3700</v>
      </c>
      <c r="J114">
        <f t="shared" si="8"/>
        <v>0.24383324514573401</v>
      </c>
    </row>
    <row r="115" spans="1:10">
      <c r="A115">
        <v>3720</v>
      </c>
      <c r="B115">
        <v>528</v>
      </c>
      <c r="C115" s="1">
        <f t="shared" si="12"/>
        <v>1.5773378745373202E-3</v>
      </c>
      <c r="F115" s="1">
        <f t="shared" si="11"/>
        <v>-1.5406626500476652E-3</v>
      </c>
      <c r="G115" s="1">
        <f t="shared" si="9"/>
        <v>0.21301999214478071</v>
      </c>
      <c r="I115">
        <f t="shared" si="7"/>
        <v>3720</v>
      </c>
      <c r="J115">
        <f t="shared" si="8"/>
        <v>0.21301999214478071</v>
      </c>
    </row>
    <row r="116" spans="1:10">
      <c r="A116">
        <v>3740</v>
      </c>
      <c r="B116">
        <v>528</v>
      </c>
      <c r="C116" s="1">
        <f t="shared" si="12"/>
        <v>1.5773378745373202E-3</v>
      </c>
      <c r="F116" s="1">
        <f t="shared" si="11"/>
        <v>-1.2219998611113763E-3</v>
      </c>
      <c r="G116" s="1">
        <f t="shared" si="9"/>
        <v>0.18857999492255317</v>
      </c>
      <c r="I116">
        <f t="shared" si="7"/>
        <v>3740</v>
      </c>
      <c r="J116">
        <f t="shared" si="8"/>
        <v>0.18857999492255317</v>
      </c>
    </row>
    <row r="117" spans="1:10">
      <c r="A117">
        <v>3760</v>
      </c>
      <c r="B117">
        <v>528</v>
      </c>
      <c r="C117" s="1">
        <f t="shared" si="12"/>
        <v>1.5773378745373202E-3</v>
      </c>
      <c r="F117" s="1">
        <f t="shared" si="11"/>
        <v>-9.6501739388233005E-4</v>
      </c>
      <c r="G117" s="1">
        <f t="shared" si="9"/>
        <v>0.16927964704490658</v>
      </c>
      <c r="I117">
        <f t="shared" si="7"/>
        <v>3760</v>
      </c>
      <c r="J117">
        <f t="shared" si="8"/>
        <v>0.16927964704490658</v>
      </c>
    </row>
    <row r="118" spans="1:10">
      <c r="A118">
        <v>3780</v>
      </c>
      <c r="B118">
        <v>528</v>
      </c>
      <c r="C118" s="1">
        <f t="shared" si="12"/>
        <v>1.5773378745373202E-3</v>
      </c>
      <c r="F118" s="1">
        <f t="shared" si="11"/>
        <v>-7.6300518313576196E-4</v>
      </c>
      <c r="G118" s="1">
        <f t="shared" si="9"/>
        <v>0.15401954338219134</v>
      </c>
      <c r="I118">
        <f t="shared" si="7"/>
        <v>3780</v>
      </c>
      <c r="J118">
        <f t="shared" si="8"/>
        <v>0.15401954338219134</v>
      </c>
    </row>
    <row r="119" spans="1:10">
      <c r="A119">
        <v>3800</v>
      </c>
      <c r="B119">
        <v>528</v>
      </c>
      <c r="C119" s="1">
        <f t="shared" si="12"/>
        <v>1.5773378745373202E-3</v>
      </c>
      <c r="F119" s="1">
        <f t="shared" si="11"/>
        <v>-6.0759574974778713E-4</v>
      </c>
      <c r="G119" s="1">
        <f t="shared" si="9"/>
        <v>0.1418676283872356</v>
      </c>
      <c r="I119">
        <f t="shared" si="7"/>
        <v>3800</v>
      </c>
      <c r="J119">
        <f t="shared" si="8"/>
        <v>0.1418676283872356</v>
      </c>
    </row>
    <row r="120" spans="1:10">
      <c r="A120">
        <v>3820</v>
      </c>
      <c r="B120">
        <v>528</v>
      </c>
      <c r="C120" s="1">
        <f t="shared" si="12"/>
        <v>1.5773378745373202E-3</v>
      </c>
      <c r="F120" s="1">
        <f t="shared" si="11"/>
        <v>-4.9004250003172435E-4</v>
      </c>
      <c r="G120" s="1">
        <f t="shared" si="9"/>
        <v>0.13206677838660111</v>
      </c>
      <c r="I120">
        <f t="shared" si="7"/>
        <v>3820</v>
      </c>
      <c r="J120">
        <f t="shared" si="8"/>
        <v>0.13206677838660111</v>
      </c>
    </row>
    <row r="121" spans="1:10">
      <c r="A121">
        <v>3840</v>
      </c>
      <c r="B121">
        <v>528</v>
      </c>
      <c r="C121" s="1">
        <f t="shared" si="12"/>
        <v>1.5773378745373202E-3</v>
      </c>
      <c r="F121" s="1">
        <f t="shared" si="11"/>
        <v>-4.0211843713380347E-4</v>
      </c>
      <c r="G121" s="1">
        <f t="shared" si="9"/>
        <v>0.12402440964392504</v>
      </c>
      <c r="I121">
        <f t="shared" si="7"/>
        <v>3840</v>
      </c>
      <c r="J121">
        <f t="shared" si="8"/>
        <v>0.12402440964392504</v>
      </c>
    </row>
    <row r="122" spans="1:10">
      <c r="A122">
        <v>3860</v>
      </c>
      <c r="B122">
        <v>528</v>
      </c>
      <c r="C122" s="1">
        <f t="shared" si="12"/>
        <v>1.5773378745373202E-3</v>
      </c>
      <c r="F122" s="1">
        <f t="shared" si="11"/>
        <v>-3.3664943390630721E-4</v>
      </c>
      <c r="G122" s="1">
        <f t="shared" si="9"/>
        <v>0.11729142096579889</v>
      </c>
      <c r="I122">
        <f t="shared" si="7"/>
        <v>3860</v>
      </c>
      <c r="J122">
        <f t="shared" si="8"/>
        <v>0.11729142096579889</v>
      </c>
    </row>
    <row r="123" spans="1:10">
      <c r="A123">
        <v>3880</v>
      </c>
      <c r="B123">
        <v>528</v>
      </c>
      <c r="C123" s="1">
        <f t="shared" si="12"/>
        <v>1.5773378745373202E-3</v>
      </c>
      <c r="F123" s="1">
        <f t="shared" si="11"/>
        <v>-2.8774288898460697E-4</v>
      </c>
      <c r="G123" s="1">
        <f t="shared" si="9"/>
        <v>0.11153656318610675</v>
      </c>
      <c r="I123">
        <f t="shared" si="7"/>
        <v>3880</v>
      </c>
      <c r="J123">
        <f t="shared" si="8"/>
        <v>0.11153656318610675</v>
      </c>
    </row>
    <row r="124" spans="1:10">
      <c r="A124">
        <v>3900</v>
      </c>
      <c r="B124">
        <v>528</v>
      </c>
      <c r="C124" s="1">
        <f t="shared" si="12"/>
        <v>1.5773378745373202E-3</v>
      </c>
      <c r="F124" s="1">
        <f t="shared" si="11"/>
        <v>-2.5079433472757979E-4</v>
      </c>
      <c r="G124" s="1">
        <f t="shared" si="9"/>
        <v>0.10652067649155515</v>
      </c>
      <c r="I124">
        <f t="shared" si="7"/>
        <v>3900</v>
      </c>
      <c r="J124">
        <f t="shared" si="8"/>
        <v>0.10652067649155515</v>
      </c>
    </row>
    <row r="125" spans="1:10">
      <c r="A125">
        <v>3920</v>
      </c>
      <c r="B125">
        <v>528</v>
      </c>
      <c r="C125" s="1">
        <f t="shared" si="12"/>
        <v>1.5773378745373202E-3</v>
      </c>
      <c r="F125" s="1">
        <f t="shared" si="11"/>
        <v>-2.2235575009872015E-4</v>
      </c>
      <c r="G125" s="1">
        <f t="shared" si="9"/>
        <v>0.10207356148958074</v>
      </c>
      <c r="I125">
        <f t="shared" si="7"/>
        <v>3920</v>
      </c>
      <c r="J125">
        <f t="shared" si="8"/>
        <v>0.10207356148958074</v>
      </c>
    </row>
    <row r="126" spans="1:10">
      <c r="A126">
        <v>3940</v>
      </c>
      <c r="B126">
        <v>528</v>
      </c>
      <c r="C126" s="1">
        <f t="shared" si="12"/>
        <v>1.5773378745373202E-3</v>
      </c>
      <c r="F126" s="1">
        <f t="shared" si="11"/>
        <v>-1.9993685475251178E-4</v>
      </c>
      <c r="G126" s="1">
        <f t="shared" si="9"/>
        <v>9.807482439453051E-2</v>
      </c>
      <c r="I126">
        <f t="shared" si="7"/>
        <v>3940</v>
      </c>
      <c r="J126">
        <f t="shared" si="8"/>
        <v>9.807482439453051E-2</v>
      </c>
    </row>
    <row r="127" spans="1:10">
      <c r="A127">
        <v>3960</v>
      </c>
      <c r="B127">
        <v>528</v>
      </c>
      <c r="C127" s="1">
        <f t="shared" si="12"/>
        <v>1.5773378745373202E-3</v>
      </c>
      <c r="F127" s="1">
        <f t="shared" si="11"/>
        <v>-1.8179167554414379E-4</v>
      </c>
      <c r="G127" s="1">
        <f t="shared" si="9"/>
        <v>9.4438990883647628E-2</v>
      </c>
      <c r="I127">
        <f t="shared" si="7"/>
        <v>3960</v>
      </c>
      <c r="J127">
        <f t="shared" si="8"/>
        <v>9.4438990883647628E-2</v>
      </c>
    </row>
    <row r="128" spans="1:10">
      <c r="A128">
        <v>3980</v>
      </c>
      <c r="B128">
        <v>528</v>
      </c>
      <c r="C128" s="1">
        <f t="shared" si="12"/>
        <v>1.5773378745373202E-3</v>
      </c>
      <c r="F128" s="1">
        <f t="shared" si="11"/>
        <v>-1.6672299441799002E-4</v>
      </c>
      <c r="G128" s="1">
        <f t="shared" si="9"/>
        <v>9.1104530995287827E-2</v>
      </c>
      <c r="I128">
        <f t="shared" si="7"/>
        <v>3980</v>
      </c>
      <c r="J128">
        <f t="shared" si="8"/>
        <v>9.1104530995287827E-2</v>
      </c>
    </row>
    <row r="129" spans="1:10">
      <c r="A129">
        <v>4000</v>
      </c>
      <c r="B129">
        <v>528</v>
      </c>
      <c r="C129" s="1">
        <f t="shared" si="12"/>
        <v>1.5773378745373202E-3</v>
      </c>
      <c r="F129" s="1">
        <f t="shared" si="11"/>
        <v>-1.5392063971562866E-4</v>
      </c>
      <c r="G129" s="1">
        <f t="shared" si="9"/>
        <v>8.8026118200975251E-2</v>
      </c>
      <c r="I129">
        <f t="shared" si="7"/>
        <v>4000</v>
      </c>
      <c r="J129">
        <f t="shared" si="8"/>
        <v>8.8026118200975251E-2</v>
      </c>
    </row>
    <row r="130" spans="1:10">
      <c r="A130">
        <v>4020</v>
      </c>
      <c r="B130">
        <v>528</v>
      </c>
      <c r="C130" s="1">
        <f t="shared" si="12"/>
        <v>1.5773378745373202E-3</v>
      </c>
      <c r="F130" s="1">
        <f t="shared" si="11"/>
        <v>-1.4283763084301827E-4</v>
      </c>
      <c r="G130" s="1">
        <f t="shared" si="9"/>
        <v>8.5169365584114892E-2</v>
      </c>
      <c r="I130">
        <f t="shared" si="7"/>
        <v>4020</v>
      </c>
      <c r="J130">
        <f t="shared" si="8"/>
        <v>8.5169365584114892E-2</v>
      </c>
    </row>
    <row r="131" spans="1:10">
      <c r="A131">
        <v>4040</v>
      </c>
      <c r="B131">
        <v>528</v>
      </c>
      <c r="C131" s="1">
        <f t="shared" si="12"/>
        <v>1.5773378745373202E-3</v>
      </c>
      <c r="F131" s="1">
        <f t="shared" si="11"/>
        <v>-1.3310099168412689E-4</v>
      </c>
      <c r="G131" s="1">
        <f t="shared" si="9"/>
        <v>8.2507345750432351E-2</v>
      </c>
      <c r="I131">
        <f t="shared" si="7"/>
        <v>4040</v>
      </c>
      <c r="J131">
        <f t="shared" si="8"/>
        <v>8.2507345750432351E-2</v>
      </c>
    </row>
    <row r="132" spans="1:10">
      <c r="A132">
        <v>4060</v>
      </c>
      <c r="B132">
        <v>528</v>
      </c>
      <c r="C132" s="1">
        <f t="shared" si="12"/>
        <v>1.5773378745373202E-3</v>
      </c>
      <c r="F132" s="1">
        <f t="shared" si="11"/>
        <v>-1.2445072809091342E-4</v>
      </c>
      <c r="G132" s="1">
        <f t="shared" si="9"/>
        <v>8.0018331188614081E-2</v>
      </c>
      <c r="I132">
        <f t="shared" si="7"/>
        <v>4060</v>
      </c>
      <c r="J132">
        <f t="shared" si="8"/>
        <v>8.0018331188614081E-2</v>
      </c>
    </row>
    <row r="133" spans="1:10">
      <c r="A133">
        <v>4080</v>
      </c>
      <c r="B133">
        <v>528</v>
      </c>
      <c r="C133" s="1">
        <f t="shared" si="12"/>
        <v>1.5773378745373202E-3</v>
      </c>
      <c r="F133" s="1">
        <f t="shared" si="11"/>
        <v>-1.1669978637373875E-4</v>
      </c>
      <c r="G133" s="1">
        <f t="shared" si="9"/>
        <v>7.7684335461139301E-2</v>
      </c>
      <c r="I133">
        <f t="shared" si="7"/>
        <v>4080</v>
      </c>
      <c r="J133">
        <f t="shared" si="8"/>
        <v>7.7684335461139301E-2</v>
      </c>
    </row>
    <row r="134" spans="1:10">
      <c r="F134" s="1"/>
    </row>
    <row r="135" spans="1:10">
      <c r="F135" s="1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7E46-E71D-4463-BB67-0FEAA6DE0F62}">
  <dimension ref="A1:K137"/>
  <sheetViews>
    <sheetView topLeftCell="A16" zoomScale="60" zoomScaleNormal="60" workbookViewId="0">
      <selection activeCell="J10" sqref="J10:K137"/>
    </sheetView>
  </sheetViews>
  <sheetFormatPr defaultRowHeight="20"/>
  <cols>
    <col min="1" max="1" width="24.84375" customWidth="1"/>
    <col min="2" max="2" width="29.23046875" customWidth="1"/>
    <col min="3" max="3" width="15.4609375" bestFit="1" customWidth="1"/>
  </cols>
  <sheetData>
    <row r="1" spans="1:11">
      <c r="A1" s="8">
        <v>44921.951388888891</v>
      </c>
      <c r="B1">
        <v>36.5</v>
      </c>
      <c r="C1" t="s">
        <v>183</v>
      </c>
      <c r="D1" s="10" t="s">
        <v>184</v>
      </c>
      <c r="E1">
        <f>B1*60</f>
        <v>2190</v>
      </c>
      <c r="F1" t="s">
        <v>132</v>
      </c>
    </row>
    <row r="3" spans="1:11">
      <c r="A3" t="s">
        <v>256</v>
      </c>
      <c r="B3" t="s">
        <v>134</v>
      </c>
      <c r="C3" t="s">
        <v>281</v>
      </c>
      <c r="D3" t="s">
        <v>164</v>
      </c>
      <c r="E3" t="s">
        <v>158</v>
      </c>
    </row>
    <row r="4" spans="1:11">
      <c r="B4" s="46">
        <v>44921.954409722224</v>
      </c>
      <c r="C4">
        <f>MINUTE(B4-$A$1)+$E$1</f>
        <v>2194</v>
      </c>
    </row>
    <row r="5" spans="1:11">
      <c r="B5" s="8">
        <v>44921.958333333336</v>
      </c>
      <c r="C5">
        <f>DAY(B5-$A$1)*24*60+HOUR(B5-$A$1)*60+MINUTE(B5-$A$1)+$E$1</f>
        <v>2200</v>
      </c>
    </row>
    <row r="6" spans="1:11">
      <c r="A6">
        <v>1052</v>
      </c>
      <c r="B6" s="8">
        <v>44922.914189814815</v>
      </c>
      <c r="C6">
        <f>DAY(B6-$A$1)*24*60+HOUR(B6-$A$1)*60+MINUTE(B6-$A$1)+$E$1</f>
        <v>3576</v>
      </c>
      <c r="D6">
        <v>101</v>
      </c>
      <c r="E6">
        <v>201699</v>
      </c>
    </row>
    <row r="7" spans="1:11">
      <c r="B7" s="8">
        <v>44922.946793981479</v>
      </c>
      <c r="C7">
        <f>DAY(B7-$A$1)*24*60+HOUR(B7-$A$1)*60+MINUTE(B7-$A$1)+$E$1</f>
        <v>3623</v>
      </c>
    </row>
    <row r="8" spans="1:11">
      <c r="A8">
        <v>1053</v>
      </c>
      <c r="B8" s="8">
        <v>44922.947488425925</v>
      </c>
      <c r="C8">
        <f>DAY(B8-$A$1)*24*60+HOUR(B8-$A$1)*60+MINUTE(B8-$A$1)+$E$1</f>
        <v>3624</v>
      </c>
      <c r="D8">
        <v>30</v>
      </c>
      <c r="E8">
        <v>75260</v>
      </c>
    </row>
    <row r="9" spans="1:11">
      <c r="B9" s="8">
        <v>44922.958240740743</v>
      </c>
      <c r="C9">
        <f>DAY(B9-$A$1)*24*60+HOUR(B9-$A$1)*60+MINUTE(B9-$A$1)+$E$1</f>
        <v>3639</v>
      </c>
    </row>
    <row r="10" spans="1:11">
      <c r="A10">
        <v>1054</v>
      </c>
      <c r="J10">
        <v>1540</v>
      </c>
      <c r="K10">
        <v>0</v>
      </c>
    </row>
    <row r="11" spans="1:11">
      <c r="J11">
        <v>1560</v>
      </c>
      <c r="K11">
        <v>0</v>
      </c>
    </row>
    <row r="12" spans="1:11">
      <c r="J12">
        <v>1580</v>
      </c>
      <c r="K12">
        <v>0</v>
      </c>
    </row>
    <row r="13" spans="1:11">
      <c r="J13">
        <v>1600</v>
      </c>
      <c r="K13">
        <v>0</v>
      </c>
    </row>
    <row r="14" spans="1:11">
      <c r="J14">
        <v>1620</v>
      </c>
      <c r="K14">
        <v>0</v>
      </c>
    </row>
    <row r="15" spans="1:11">
      <c r="J15">
        <v>1640</v>
      </c>
      <c r="K15">
        <v>0</v>
      </c>
    </row>
    <row r="16" spans="1:11">
      <c r="J16">
        <v>1660</v>
      </c>
      <c r="K16">
        <v>0</v>
      </c>
    </row>
    <row r="17" spans="10:11">
      <c r="J17">
        <v>1680</v>
      </c>
      <c r="K17">
        <v>0</v>
      </c>
    </row>
    <row r="18" spans="10:11">
      <c r="J18">
        <v>1700</v>
      </c>
      <c r="K18">
        <v>0</v>
      </c>
    </row>
    <row r="19" spans="10:11">
      <c r="J19">
        <v>1720</v>
      </c>
      <c r="K19">
        <v>0</v>
      </c>
    </row>
    <row r="20" spans="10:11">
      <c r="J20">
        <v>1740</v>
      </c>
      <c r="K20">
        <v>0</v>
      </c>
    </row>
    <row r="21" spans="10:11">
      <c r="J21">
        <v>1760</v>
      </c>
      <c r="K21">
        <v>0</v>
      </c>
    </row>
    <row r="22" spans="10:11">
      <c r="J22">
        <v>1780</v>
      </c>
      <c r="K22">
        <v>0</v>
      </c>
    </row>
    <row r="23" spans="10:11">
      <c r="J23">
        <v>1800</v>
      </c>
      <c r="K23">
        <v>0</v>
      </c>
    </row>
    <row r="24" spans="10:11">
      <c r="J24">
        <v>1820</v>
      </c>
      <c r="K24">
        <v>0</v>
      </c>
    </row>
    <row r="25" spans="10:11">
      <c r="J25">
        <v>1840</v>
      </c>
      <c r="K25">
        <v>0</v>
      </c>
    </row>
    <row r="26" spans="10:11">
      <c r="J26">
        <v>1860</v>
      </c>
      <c r="K26">
        <v>0</v>
      </c>
    </row>
    <row r="27" spans="10:11">
      <c r="J27">
        <v>1880</v>
      </c>
      <c r="K27">
        <v>0</v>
      </c>
    </row>
    <row r="28" spans="10:11">
      <c r="J28">
        <v>1900</v>
      </c>
      <c r="K28">
        <v>0</v>
      </c>
    </row>
    <row r="29" spans="10:11">
      <c r="J29">
        <v>1920</v>
      </c>
      <c r="K29">
        <v>0</v>
      </c>
    </row>
    <row r="30" spans="10:11">
      <c r="J30">
        <v>1940</v>
      </c>
      <c r="K30">
        <v>0</v>
      </c>
    </row>
    <row r="31" spans="10:11">
      <c r="J31">
        <v>1960</v>
      </c>
      <c r="K31">
        <v>0</v>
      </c>
    </row>
    <row r="32" spans="10:11">
      <c r="J32">
        <v>1980</v>
      </c>
      <c r="K32">
        <v>0</v>
      </c>
    </row>
    <row r="33" spans="10:11">
      <c r="J33">
        <v>2000</v>
      </c>
      <c r="K33">
        <v>0</v>
      </c>
    </row>
    <row r="34" spans="10:11">
      <c r="J34">
        <v>2020</v>
      </c>
      <c r="K34">
        <v>0.5</v>
      </c>
    </row>
    <row r="35" spans="10:11">
      <c r="J35">
        <v>2040</v>
      </c>
      <c r="K35">
        <v>0.5</v>
      </c>
    </row>
    <row r="36" spans="10:11">
      <c r="J36">
        <v>2060</v>
      </c>
      <c r="K36">
        <v>0.5</v>
      </c>
    </row>
    <row r="37" spans="10:11">
      <c r="J37">
        <v>2080</v>
      </c>
      <c r="K37">
        <v>0.5</v>
      </c>
    </row>
    <row r="38" spans="10:11">
      <c r="J38">
        <v>2100</v>
      </c>
      <c r="K38">
        <v>0.5</v>
      </c>
    </row>
    <row r="39" spans="10:11">
      <c r="J39">
        <v>2120</v>
      </c>
      <c r="K39">
        <v>0.5</v>
      </c>
    </row>
    <row r="40" spans="10:11">
      <c r="J40">
        <v>2140</v>
      </c>
      <c r="K40">
        <v>0.5</v>
      </c>
    </row>
    <row r="41" spans="10:11">
      <c r="J41">
        <v>2160</v>
      </c>
      <c r="K41">
        <v>0.5</v>
      </c>
    </row>
    <row r="42" spans="10:11">
      <c r="J42">
        <v>2180</v>
      </c>
      <c r="K42">
        <v>0.5</v>
      </c>
    </row>
    <row r="43" spans="10:11">
      <c r="J43">
        <v>2200</v>
      </c>
      <c r="K43">
        <v>0.5</v>
      </c>
    </row>
    <row r="44" spans="10:11">
      <c r="J44">
        <v>2220</v>
      </c>
      <c r="K44">
        <v>0.5</v>
      </c>
    </row>
    <row r="45" spans="10:11">
      <c r="J45">
        <v>2240</v>
      </c>
      <c r="K45">
        <v>0.5</v>
      </c>
    </row>
    <row r="46" spans="10:11">
      <c r="J46">
        <v>2260</v>
      </c>
      <c r="K46">
        <v>0.5</v>
      </c>
    </row>
    <row r="47" spans="10:11">
      <c r="J47">
        <v>2280</v>
      </c>
      <c r="K47">
        <v>0.5</v>
      </c>
    </row>
    <row r="48" spans="10:11">
      <c r="J48">
        <v>2300</v>
      </c>
      <c r="K48">
        <v>0.5</v>
      </c>
    </row>
    <row r="49" spans="10:11">
      <c r="J49">
        <v>2320</v>
      </c>
      <c r="K49">
        <v>0.5</v>
      </c>
    </row>
    <row r="50" spans="10:11">
      <c r="J50">
        <v>2340</v>
      </c>
      <c r="K50">
        <v>0.5</v>
      </c>
    </row>
    <row r="51" spans="10:11">
      <c r="J51">
        <v>2360</v>
      </c>
      <c r="K51">
        <v>0.5</v>
      </c>
    </row>
    <row r="52" spans="10:11">
      <c r="J52">
        <v>2380</v>
      </c>
      <c r="K52">
        <v>0.5</v>
      </c>
    </row>
    <row r="53" spans="10:11">
      <c r="J53">
        <v>2400</v>
      </c>
      <c r="K53">
        <v>0.5</v>
      </c>
    </row>
    <row r="54" spans="10:11">
      <c r="J54">
        <v>2420</v>
      </c>
      <c r="K54">
        <v>0.5</v>
      </c>
    </row>
    <row r="55" spans="10:11">
      <c r="J55">
        <v>2440</v>
      </c>
      <c r="K55">
        <v>0.5</v>
      </c>
    </row>
    <row r="56" spans="10:11">
      <c r="J56">
        <v>2460</v>
      </c>
      <c r="K56">
        <v>0.5</v>
      </c>
    </row>
    <row r="57" spans="10:11">
      <c r="J57">
        <v>2480</v>
      </c>
      <c r="K57">
        <v>0.5</v>
      </c>
    </row>
    <row r="58" spans="10:11">
      <c r="J58">
        <v>2500</v>
      </c>
      <c r="K58">
        <v>0.5</v>
      </c>
    </row>
    <row r="59" spans="10:11">
      <c r="J59">
        <v>2520</v>
      </c>
      <c r="K59">
        <v>0.5</v>
      </c>
    </row>
    <row r="60" spans="10:11">
      <c r="J60">
        <v>2540</v>
      </c>
      <c r="K60">
        <v>0.5</v>
      </c>
    </row>
    <row r="61" spans="10:11">
      <c r="J61">
        <v>2560</v>
      </c>
      <c r="K61">
        <v>0.5</v>
      </c>
    </row>
    <row r="62" spans="10:11">
      <c r="J62">
        <v>2580</v>
      </c>
      <c r="K62">
        <v>0.5</v>
      </c>
    </row>
    <row r="63" spans="10:11">
      <c r="J63">
        <v>2600</v>
      </c>
      <c r="K63">
        <v>0.5</v>
      </c>
    </row>
    <row r="64" spans="10:11">
      <c r="J64">
        <v>2620</v>
      </c>
      <c r="K64">
        <v>0.5</v>
      </c>
    </row>
    <row r="65" spans="10:11">
      <c r="J65">
        <v>2640</v>
      </c>
      <c r="K65">
        <v>0.5</v>
      </c>
    </row>
    <row r="66" spans="10:11">
      <c r="J66">
        <v>2660</v>
      </c>
      <c r="K66">
        <v>0</v>
      </c>
    </row>
    <row r="67" spans="10:11">
      <c r="J67">
        <v>2680</v>
      </c>
      <c r="K67">
        <v>0</v>
      </c>
    </row>
    <row r="68" spans="10:11">
      <c r="J68">
        <v>2700</v>
      </c>
      <c r="K68">
        <v>0</v>
      </c>
    </row>
    <row r="69" spans="10:11">
      <c r="J69">
        <v>2720</v>
      </c>
      <c r="K69">
        <v>0</v>
      </c>
    </row>
    <row r="70" spans="10:11">
      <c r="J70">
        <v>2740</v>
      </c>
      <c r="K70">
        <v>0</v>
      </c>
    </row>
    <row r="71" spans="10:11">
      <c r="J71">
        <v>2760</v>
      </c>
      <c r="K71">
        <v>0</v>
      </c>
    </row>
    <row r="72" spans="10:11">
      <c r="J72">
        <v>2780</v>
      </c>
      <c r="K72">
        <v>0</v>
      </c>
    </row>
    <row r="73" spans="10:11">
      <c r="J73">
        <v>2800</v>
      </c>
      <c r="K73">
        <v>0</v>
      </c>
    </row>
    <row r="74" spans="10:11">
      <c r="J74">
        <v>2820</v>
      </c>
      <c r="K74">
        <v>0</v>
      </c>
    </row>
    <row r="75" spans="10:11">
      <c r="J75">
        <v>2840</v>
      </c>
      <c r="K75">
        <v>0</v>
      </c>
    </row>
    <row r="76" spans="10:11">
      <c r="J76">
        <v>2860</v>
      </c>
      <c r="K76">
        <v>0</v>
      </c>
    </row>
    <row r="77" spans="10:11">
      <c r="J77">
        <v>2880</v>
      </c>
      <c r="K77">
        <v>0</v>
      </c>
    </row>
    <row r="78" spans="10:11">
      <c r="J78">
        <v>2900</v>
      </c>
      <c r="K78">
        <v>0</v>
      </c>
    </row>
    <row r="79" spans="10:11">
      <c r="J79">
        <v>2920</v>
      </c>
      <c r="K79">
        <v>0</v>
      </c>
    </row>
    <row r="80" spans="10:11">
      <c r="J80">
        <v>2940</v>
      </c>
      <c r="K80">
        <v>0</v>
      </c>
    </row>
    <row r="81" spans="10:11">
      <c r="J81">
        <v>2960</v>
      </c>
      <c r="K81">
        <v>0</v>
      </c>
    </row>
    <row r="82" spans="10:11">
      <c r="J82">
        <v>2980</v>
      </c>
      <c r="K82">
        <v>0</v>
      </c>
    </row>
    <row r="83" spans="10:11">
      <c r="J83">
        <v>3000</v>
      </c>
      <c r="K83">
        <v>0</v>
      </c>
    </row>
    <row r="84" spans="10:11">
      <c r="J84">
        <v>3020</v>
      </c>
      <c r="K84">
        <v>0</v>
      </c>
    </row>
    <row r="85" spans="10:11">
      <c r="J85">
        <v>3040</v>
      </c>
      <c r="K85">
        <v>0</v>
      </c>
    </row>
    <row r="86" spans="10:11">
      <c r="J86">
        <v>3060</v>
      </c>
      <c r="K86">
        <v>0</v>
      </c>
    </row>
    <row r="87" spans="10:11">
      <c r="J87">
        <v>3080</v>
      </c>
      <c r="K87">
        <v>0</v>
      </c>
    </row>
    <row r="88" spans="10:11">
      <c r="J88">
        <v>3100</v>
      </c>
      <c r="K88">
        <v>0</v>
      </c>
    </row>
    <row r="89" spans="10:11">
      <c r="J89">
        <v>3120</v>
      </c>
      <c r="K89">
        <v>0</v>
      </c>
    </row>
    <row r="90" spans="10:11">
      <c r="J90">
        <v>3140</v>
      </c>
      <c r="K90">
        <v>0</v>
      </c>
    </row>
    <row r="91" spans="10:11">
      <c r="J91">
        <v>3160</v>
      </c>
      <c r="K91">
        <v>0</v>
      </c>
    </row>
    <row r="92" spans="10:11">
      <c r="J92">
        <v>3180</v>
      </c>
      <c r="K92">
        <v>0</v>
      </c>
    </row>
    <row r="93" spans="10:11">
      <c r="J93">
        <v>3200</v>
      </c>
      <c r="K93">
        <v>0</v>
      </c>
    </row>
    <row r="94" spans="10:11">
      <c r="J94">
        <v>3220</v>
      </c>
      <c r="K94">
        <v>0</v>
      </c>
    </row>
    <row r="95" spans="10:11">
      <c r="J95">
        <v>3240</v>
      </c>
      <c r="K95">
        <v>0</v>
      </c>
    </row>
    <row r="96" spans="10:11">
      <c r="J96">
        <v>3260</v>
      </c>
      <c r="K96">
        <v>0</v>
      </c>
    </row>
    <row r="97" spans="10:11">
      <c r="J97">
        <v>3280</v>
      </c>
      <c r="K97">
        <v>0</v>
      </c>
    </row>
    <row r="98" spans="10:11">
      <c r="J98">
        <v>3300</v>
      </c>
      <c r="K98">
        <v>0</v>
      </c>
    </row>
    <row r="99" spans="10:11">
      <c r="J99">
        <v>3320</v>
      </c>
      <c r="K99">
        <v>0</v>
      </c>
    </row>
    <row r="100" spans="10:11">
      <c r="J100">
        <v>3340</v>
      </c>
      <c r="K100">
        <v>0</v>
      </c>
    </row>
    <row r="101" spans="10:11">
      <c r="J101">
        <v>3360</v>
      </c>
      <c r="K101">
        <v>0</v>
      </c>
    </row>
    <row r="102" spans="10:11">
      <c r="J102">
        <v>3380</v>
      </c>
      <c r="K102">
        <v>0</v>
      </c>
    </row>
    <row r="103" spans="10:11">
      <c r="J103">
        <v>3400</v>
      </c>
      <c r="K103">
        <v>0</v>
      </c>
    </row>
    <row r="104" spans="10:11">
      <c r="J104">
        <v>3420</v>
      </c>
      <c r="K104">
        <v>0</v>
      </c>
    </row>
    <row r="105" spans="10:11">
      <c r="J105">
        <v>3440</v>
      </c>
      <c r="K105">
        <v>0</v>
      </c>
    </row>
    <row r="106" spans="10:11">
      <c r="J106">
        <v>3460</v>
      </c>
      <c r="K106">
        <v>0</v>
      </c>
    </row>
    <row r="107" spans="10:11">
      <c r="J107">
        <v>3480</v>
      </c>
      <c r="K107">
        <v>0.5</v>
      </c>
    </row>
    <row r="108" spans="10:11">
      <c r="J108">
        <v>3500</v>
      </c>
      <c r="K108">
        <v>0.5</v>
      </c>
    </row>
    <row r="109" spans="10:11">
      <c r="J109">
        <v>3520</v>
      </c>
      <c r="K109">
        <v>0.5</v>
      </c>
    </row>
    <row r="110" spans="10:11">
      <c r="J110">
        <v>3540</v>
      </c>
      <c r="K110">
        <v>0.5</v>
      </c>
    </row>
    <row r="111" spans="10:11">
      <c r="J111">
        <v>3560</v>
      </c>
      <c r="K111">
        <v>0.5</v>
      </c>
    </row>
    <row r="112" spans="10:11">
      <c r="J112">
        <v>3580</v>
      </c>
      <c r="K112">
        <v>0.5</v>
      </c>
    </row>
    <row r="113" spans="10:11">
      <c r="J113">
        <v>3600</v>
      </c>
      <c r="K113">
        <v>0.5</v>
      </c>
    </row>
    <row r="114" spans="10:11">
      <c r="J114">
        <v>3620</v>
      </c>
      <c r="K114">
        <v>0.5</v>
      </c>
    </row>
    <row r="115" spans="10:11">
      <c r="J115">
        <v>3640</v>
      </c>
      <c r="K115">
        <v>0.5</v>
      </c>
    </row>
    <row r="116" spans="10:11">
      <c r="J116">
        <v>3660</v>
      </c>
      <c r="K116">
        <v>0.5</v>
      </c>
    </row>
    <row r="117" spans="10:11">
      <c r="J117">
        <v>3680</v>
      </c>
      <c r="K117">
        <v>0.5</v>
      </c>
    </row>
    <row r="118" spans="10:11">
      <c r="J118">
        <v>3700</v>
      </c>
      <c r="K118">
        <v>0.5</v>
      </c>
    </row>
    <row r="119" spans="10:11">
      <c r="J119">
        <v>3720</v>
      </c>
      <c r="K119">
        <v>0.5</v>
      </c>
    </row>
    <row r="120" spans="10:11">
      <c r="J120">
        <v>3740</v>
      </c>
      <c r="K120">
        <v>0.5</v>
      </c>
    </row>
    <row r="121" spans="10:11">
      <c r="J121">
        <v>3760</v>
      </c>
      <c r="K121">
        <v>0.5</v>
      </c>
    </row>
    <row r="122" spans="10:11">
      <c r="J122">
        <v>3780</v>
      </c>
      <c r="K122">
        <v>0.5</v>
      </c>
    </row>
    <row r="123" spans="10:11">
      <c r="J123">
        <v>3800</v>
      </c>
      <c r="K123">
        <v>0.5</v>
      </c>
    </row>
    <row r="124" spans="10:11">
      <c r="J124">
        <v>3820</v>
      </c>
      <c r="K124">
        <v>0.5</v>
      </c>
    </row>
    <row r="125" spans="10:11">
      <c r="J125">
        <v>3840</v>
      </c>
      <c r="K125">
        <v>0.5</v>
      </c>
    </row>
    <row r="126" spans="10:11">
      <c r="J126">
        <v>3860</v>
      </c>
      <c r="K126">
        <v>0.5</v>
      </c>
    </row>
    <row r="127" spans="10:11">
      <c r="J127">
        <v>3880</v>
      </c>
      <c r="K127">
        <v>0.5</v>
      </c>
    </row>
    <row r="128" spans="10:11">
      <c r="J128">
        <v>3900</v>
      </c>
      <c r="K128">
        <v>0.5</v>
      </c>
    </row>
    <row r="129" spans="10:11">
      <c r="J129">
        <v>3920</v>
      </c>
      <c r="K129">
        <v>0.5</v>
      </c>
    </row>
    <row r="130" spans="10:11">
      <c r="J130">
        <v>3940</v>
      </c>
      <c r="K130">
        <v>0.5</v>
      </c>
    </row>
    <row r="131" spans="10:11">
      <c r="J131">
        <v>3960</v>
      </c>
      <c r="K131">
        <v>0.5</v>
      </c>
    </row>
    <row r="132" spans="10:11">
      <c r="J132">
        <v>3980</v>
      </c>
      <c r="K132">
        <v>0.5</v>
      </c>
    </row>
    <row r="133" spans="10:11">
      <c r="J133">
        <v>4000</v>
      </c>
      <c r="K133">
        <v>0.5</v>
      </c>
    </row>
    <row r="134" spans="10:11">
      <c r="J134">
        <v>4020</v>
      </c>
      <c r="K134">
        <v>0.5</v>
      </c>
    </row>
    <row r="135" spans="10:11">
      <c r="J135">
        <v>4040</v>
      </c>
      <c r="K135">
        <v>0.5</v>
      </c>
    </row>
    <row r="136" spans="10:11">
      <c r="J136">
        <v>4060</v>
      </c>
      <c r="K136">
        <v>0.5</v>
      </c>
    </row>
    <row r="137" spans="10:11">
      <c r="J137">
        <v>4080</v>
      </c>
      <c r="K137">
        <v>0.5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7965-38B1-E348-8934-1DA0E333EF90}">
  <dimension ref="A1:M145"/>
  <sheetViews>
    <sheetView zoomScale="80" zoomScaleNormal="80" workbookViewId="0">
      <selection activeCell="E145" sqref="E145"/>
    </sheetView>
  </sheetViews>
  <sheetFormatPr defaultColWidth="11.07421875" defaultRowHeight="20"/>
  <sheetData>
    <row r="1" spans="1:13">
      <c r="A1">
        <v>0</v>
      </c>
      <c r="B1">
        <v>0</v>
      </c>
      <c r="C1">
        <f>B1/100</f>
        <v>0</v>
      </c>
      <c r="E1">
        <v>0</v>
      </c>
      <c r="F1">
        <v>0</v>
      </c>
      <c r="J1">
        <v>1540</v>
      </c>
      <c r="K1">
        <f>M1/100</f>
        <v>0.50181031730000003</v>
      </c>
      <c r="M1">
        <v>50.181031730000001</v>
      </c>
    </row>
    <row r="2" spans="1:13">
      <c r="A2">
        <v>20</v>
      </c>
      <c r="B2">
        <v>4.1331497080000004</v>
      </c>
      <c r="C2">
        <f t="shared" ref="C2:C36" si="0">B2/100</f>
        <v>4.1331497080000001E-2</v>
      </c>
      <c r="E2">
        <v>20</v>
      </c>
      <c r="F2">
        <v>4.1331497080000001E-2</v>
      </c>
      <c r="J2">
        <v>1560</v>
      </c>
      <c r="K2">
        <f t="shared" ref="K2:K65" si="1">M2/100</f>
        <v>0.50476856790000002</v>
      </c>
      <c r="M2">
        <v>50.476856789999999</v>
      </c>
    </row>
    <row r="3" spans="1:13">
      <c r="A3">
        <v>40</v>
      </c>
      <c r="B3">
        <v>7.6519961350000001</v>
      </c>
      <c r="C3">
        <f t="shared" si="0"/>
        <v>7.6519961349999999E-2</v>
      </c>
      <c r="E3">
        <v>40</v>
      </c>
      <c r="F3">
        <v>7.6519961349999999E-2</v>
      </c>
      <c r="J3">
        <v>1580</v>
      </c>
      <c r="K3">
        <f t="shared" si="1"/>
        <v>0.50756360749999996</v>
      </c>
      <c r="M3">
        <v>50.756360749999999</v>
      </c>
    </row>
    <row r="4" spans="1:13">
      <c r="A4">
        <v>60</v>
      </c>
      <c r="B4">
        <v>11.001522</v>
      </c>
      <c r="C4">
        <f t="shared" si="0"/>
        <v>0.11001522</v>
      </c>
      <c r="E4">
        <v>60</v>
      </c>
      <c r="F4">
        <v>0.11001522</v>
      </c>
      <c r="J4">
        <v>1600</v>
      </c>
      <c r="K4">
        <f t="shared" si="1"/>
        <v>0.50632491629999998</v>
      </c>
      <c r="M4">
        <v>50.632491629999997</v>
      </c>
    </row>
    <row r="5" spans="1:13">
      <c r="A5">
        <v>80</v>
      </c>
      <c r="B5">
        <v>14.559954729999999</v>
      </c>
      <c r="C5">
        <f t="shared" si="0"/>
        <v>0.14559954729999999</v>
      </c>
      <c r="E5">
        <v>80</v>
      </c>
      <c r="F5">
        <v>0.14559954729999999</v>
      </c>
      <c r="J5">
        <v>1620</v>
      </c>
      <c r="K5">
        <f t="shared" si="1"/>
        <v>0.51349130170000001</v>
      </c>
      <c r="M5">
        <v>51.349130170000002</v>
      </c>
    </row>
    <row r="6" spans="1:13">
      <c r="A6">
        <v>100</v>
      </c>
      <c r="B6">
        <v>17.246573600000001</v>
      </c>
      <c r="C6">
        <f t="shared" si="0"/>
        <v>0.17246573600000001</v>
      </c>
      <c r="E6">
        <v>100</v>
      </c>
      <c r="F6">
        <v>0.17246573600000001</v>
      </c>
      <c r="J6">
        <v>1640</v>
      </c>
      <c r="K6">
        <f t="shared" si="1"/>
        <v>0.51839972209999996</v>
      </c>
      <c r="M6">
        <v>51.839972209999999</v>
      </c>
    </row>
    <row r="7" spans="1:13">
      <c r="A7">
        <v>120</v>
      </c>
      <c r="B7">
        <v>19.902982389999998</v>
      </c>
      <c r="C7">
        <f t="shared" si="0"/>
        <v>0.19902982389999999</v>
      </c>
      <c r="E7">
        <v>120</v>
      </c>
      <c r="F7">
        <v>0.19902982389999999</v>
      </c>
      <c r="J7">
        <v>1660</v>
      </c>
      <c r="K7">
        <f t="shared" si="1"/>
        <v>0.51489766879999999</v>
      </c>
      <c r="M7">
        <v>51.489766879999998</v>
      </c>
    </row>
    <row r="8" spans="1:13">
      <c r="A8">
        <v>140</v>
      </c>
      <c r="B8">
        <v>21.825712899999999</v>
      </c>
      <c r="C8">
        <f t="shared" si="0"/>
        <v>0.21825712899999999</v>
      </c>
      <c r="E8">
        <v>140</v>
      </c>
      <c r="F8">
        <v>0.21825712899999999</v>
      </c>
      <c r="J8">
        <v>1680</v>
      </c>
      <c r="K8">
        <f t="shared" si="1"/>
        <v>0.52786777370000004</v>
      </c>
      <c r="M8">
        <v>52.786777370000003</v>
      </c>
    </row>
    <row r="9" spans="1:13">
      <c r="A9">
        <v>160</v>
      </c>
      <c r="B9">
        <v>24.136590080000001</v>
      </c>
      <c r="C9">
        <f t="shared" si="0"/>
        <v>0.24136590080000001</v>
      </c>
      <c r="E9">
        <v>160</v>
      </c>
      <c r="F9">
        <v>0.24136590080000001</v>
      </c>
      <c r="J9">
        <v>1700</v>
      </c>
      <c r="K9">
        <f t="shared" si="1"/>
        <v>0.5316211569</v>
      </c>
      <c r="M9">
        <v>53.16211569</v>
      </c>
    </row>
    <row r="10" spans="1:13">
      <c r="A10">
        <v>180</v>
      </c>
      <c r="B10">
        <v>26.190736019999999</v>
      </c>
      <c r="C10">
        <f t="shared" si="0"/>
        <v>0.26190736019999999</v>
      </c>
      <c r="E10">
        <v>180</v>
      </c>
      <c r="F10">
        <v>0.26190736019999999</v>
      </c>
      <c r="J10">
        <v>1720</v>
      </c>
      <c r="K10">
        <f t="shared" si="1"/>
        <v>0</v>
      </c>
      <c r="M10">
        <v>0</v>
      </c>
    </row>
    <row r="11" spans="1:13">
      <c r="A11">
        <v>200</v>
      </c>
      <c r="B11">
        <v>28.235784599999999</v>
      </c>
      <c r="C11">
        <f t="shared" si="0"/>
        <v>0.28235784599999997</v>
      </c>
      <c r="E11">
        <v>200</v>
      </c>
      <c r="F11">
        <v>0.28235784599999997</v>
      </c>
      <c r="J11">
        <v>1740</v>
      </c>
      <c r="K11">
        <f t="shared" si="1"/>
        <v>0</v>
      </c>
      <c r="M11">
        <v>0</v>
      </c>
    </row>
    <row r="12" spans="1:13">
      <c r="A12">
        <v>220</v>
      </c>
      <c r="B12">
        <v>29.912769600000001</v>
      </c>
      <c r="C12">
        <f t="shared" si="0"/>
        <v>0.299127696</v>
      </c>
      <c r="E12">
        <v>220</v>
      </c>
      <c r="F12">
        <v>0.299127696</v>
      </c>
      <c r="J12">
        <v>1760</v>
      </c>
      <c r="K12">
        <f t="shared" si="1"/>
        <v>0.53193900520000004</v>
      </c>
      <c r="M12">
        <v>53.19390052</v>
      </c>
    </row>
    <row r="13" spans="1:13">
      <c r="A13">
        <v>240</v>
      </c>
      <c r="B13">
        <v>31.794684090000001</v>
      </c>
      <c r="C13">
        <f t="shared" si="0"/>
        <v>0.31794684090000003</v>
      </c>
      <c r="E13">
        <v>240</v>
      </c>
      <c r="F13">
        <v>0.31794684090000003</v>
      </c>
      <c r="J13">
        <v>1780</v>
      </c>
      <c r="K13">
        <f t="shared" si="1"/>
        <v>0.51709723210000003</v>
      </c>
      <c r="M13">
        <v>51.70972321</v>
      </c>
    </row>
    <row r="14" spans="1:13">
      <c r="A14">
        <v>260</v>
      </c>
      <c r="B14">
        <v>33.213730259999998</v>
      </c>
      <c r="C14">
        <f t="shared" si="0"/>
        <v>0.33213730259999996</v>
      </c>
      <c r="E14">
        <v>260</v>
      </c>
      <c r="F14">
        <v>0.33213730259999996</v>
      </c>
      <c r="J14">
        <v>1800</v>
      </c>
      <c r="K14">
        <f t="shared" si="1"/>
        <v>0.51064019390000004</v>
      </c>
      <c r="M14">
        <v>51.064019389999999</v>
      </c>
    </row>
    <row r="15" spans="1:13">
      <c r="A15">
        <v>280</v>
      </c>
      <c r="B15">
        <v>34.716479300000003</v>
      </c>
      <c r="C15">
        <f t="shared" si="0"/>
        <v>0.34716479300000003</v>
      </c>
      <c r="E15">
        <v>280</v>
      </c>
      <c r="F15">
        <v>0.34716479300000003</v>
      </c>
      <c r="J15">
        <v>1820</v>
      </c>
      <c r="K15">
        <f t="shared" si="1"/>
        <v>0.52459464420000002</v>
      </c>
      <c r="M15">
        <v>52.459464420000003</v>
      </c>
    </row>
    <row r="16" spans="1:13">
      <c r="A16">
        <v>300</v>
      </c>
      <c r="B16">
        <v>36.74936932</v>
      </c>
      <c r="C16">
        <f t="shared" si="0"/>
        <v>0.36749369319999997</v>
      </c>
      <c r="E16">
        <v>300</v>
      </c>
      <c r="F16">
        <v>0.36749369319999997</v>
      </c>
      <c r="J16">
        <v>1840</v>
      </c>
      <c r="K16">
        <f t="shared" si="1"/>
        <v>0.51937344890000003</v>
      </c>
      <c r="M16">
        <v>51.937344889999999</v>
      </c>
    </row>
    <row r="17" spans="1:13">
      <c r="A17">
        <v>320</v>
      </c>
      <c r="B17">
        <v>36.085410199999998</v>
      </c>
      <c r="C17">
        <f t="shared" si="0"/>
        <v>0.36085410200000001</v>
      </c>
      <c r="E17">
        <v>320</v>
      </c>
      <c r="F17">
        <v>0.36085410200000001</v>
      </c>
      <c r="J17">
        <v>1860</v>
      </c>
      <c r="K17">
        <f t="shared" si="1"/>
        <v>0.51872741919999998</v>
      </c>
      <c r="M17">
        <v>51.872741920000003</v>
      </c>
    </row>
    <row r="18" spans="1:13">
      <c r="A18">
        <v>340</v>
      </c>
      <c r="B18">
        <v>37.064982329999999</v>
      </c>
      <c r="C18">
        <f t="shared" si="0"/>
        <v>0.37064982330000001</v>
      </c>
      <c r="E18">
        <v>340</v>
      </c>
      <c r="F18">
        <v>0.37064982330000001</v>
      </c>
      <c r="J18">
        <v>1880</v>
      </c>
      <c r="K18">
        <f t="shared" si="1"/>
        <v>0.53682079100000002</v>
      </c>
      <c r="M18">
        <v>53.682079100000003</v>
      </c>
    </row>
    <row r="19" spans="1:13">
      <c r="A19">
        <v>360</v>
      </c>
      <c r="B19">
        <v>39.201267119999997</v>
      </c>
      <c r="C19">
        <f t="shared" si="0"/>
        <v>0.3920126712</v>
      </c>
      <c r="E19">
        <v>360</v>
      </c>
      <c r="F19">
        <v>0.3920126712</v>
      </c>
      <c r="J19">
        <v>1900</v>
      </c>
      <c r="K19">
        <f t="shared" si="1"/>
        <v>0.55497602880000008</v>
      </c>
      <c r="M19">
        <v>55.497602880000002</v>
      </c>
    </row>
    <row r="20" spans="1:13">
      <c r="A20">
        <v>380</v>
      </c>
      <c r="B20">
        <v>39.63501643</v>
      </c>
      <c r="C20">
        <f t="shared" si="0"/>
        <v>0.39635016430000003</v>
      </c>
      <c r="E20">
        <v>380</v>
      </c>
      <c r="F20">
        <v>0.39635016430000003</v>
      </c>
      <c r="J20">
        <v>1920</v>
      </c>
      <c r="K20">
        <f t="shared" si="1"/>
        <v>0.53947768460000001</v>
      </c>
      <c r="M20">
        <v>53.947768459999999</v>
      </c>
    </row>
    <row r="21" spans="1:13">
      <c r="A21">
        <v>400</v>
      </c>
      <c r="B21">
        <v>39.7037853</v>
      </c>
      <c r="C21">
        <f t="shared" si="0"/>
        <v>0.397037853</v>
      </c>
      <c r="E21">
        <v>400</v>
      </c>
      <c r="F21">
        <v>0.397037853</v>
      </c>
      <c r="J21">
        <v>1940</v>
      </c>
      <c r="K21">
        <f t="shared" si="1"/>
        <v>0.53412771489999999</v>
      </c>
      <c r="M21">
        <v>53.412771489999997</v>
      </c>
    </row>
    <row r="22" spans="1:13">
      <c r="A22">
        <v>420</v>
      </c>
      <c r="B22">
        <v>41.542080689999999</v>
      </c>
      <c r="C22">
        <f t="shared" si="0"/>
        <v>0.41542080689999999</v>
      </c>
      <c r="E22">
        <v>420</v>
      </c>
      <c r="F22">
        <v>0.41542080689999999</v>
      </c>
      <c r="J22">
        <v>1960</v>
      </c>
      <c r="K22">
        <f t="shared" si="1"/>
        <v>0.53020407059999997</v>
      </c>
      <c r="M22">
        <v>53.020407059999997</v>
      </c>
    </row>
    <row r="23" spans="1:13">
      <c r="A23">
        <v>440</v>
      </c>
      <c r="B23">
        <v>41.418781180000003</v>
      </c>
      <c r="C23">
        <f t="shared" si="0"/>
        <v>0.41418781180000003</v>
      </c>
      <c r="E23">
        <v>440</v>
      </c>
      <c r="F23">
        <v>0.41418781180000003</v>
      </c>
      <c r="J23">
        <v>1980</v>
      </c>
      <c r="K23">
        <f t="shared" si="1"/>
        <v>0.54262791200000005</v>
      </c>
      <c r="M23">
        <v>54.262791200000002</v>
      </c>
    </row>
    <row r="24" spans="1:13">
      <c r="A24">
        <v>460</v>
      </c>
      <c r="B24">
        <v>42.997160919999999</v>
      </c>
      <c r="C24">
        <f t="shared" si="0"/>
        <v>0.42997160919999999</v>
      </c>
      <c r="E24">
        <v>460</v>
      </c>
      <c r="F24">
        <v>0.42997160919999999</v>
      </c>
      <c r="J24">
        <v>2000</v>
      </c>
      <c r="K24">
        <f t="shared" si="1"/>
        <v>0.54308976119999997</v>
      </c>
      <c r="M24">
        <v>54.308976119999997</v>
      </c>
    </row>
    <row r="25" spans="1:13">
      <c r="A25">
        <v>480</v>
      </c>
      <c r="B25">
        <v>43.369247870000002</v>
      </c>
      <c r="C25">
        <f t="shared" si="0"/>
        <v>0.43369247870000005</v>
      </c>
      <c r="E25">
        <v>480</v>
      </c>
      <c r="F25">
        <v>0.43369247870000005</v>
      </c>
      <c r="J25">
        <v>2020</v>
      </c>
      <c r="K25">
        <f t="shared" si="1"/>
        <v>0.53148397089999999</v>
      </c>
      <c r="M25">
        <v>53.148397090000003</v>
      </c>
    </row>
    <row r="26" spans="1:13">
      <c r="A26">
        <v>500</v>
      </c>
      <c r="B26">
        <v>43.818749269999998</v>
      </c>
      <c r="C26">
        <f t="shared" si="0"/>
        <v>0.43818749269999996</v>
      </c>
      <c r="E26">
        <v>500</v>
      </c>
      <c r="F26">
        <v>0.43818749269999996</v>
      </c>
      <c r="J26">
        <v>2040</v>
      </c>
      <c r="K26">
        <f t="shared" si="1"/>
        <v>0.5443370797</v>
      </c>
      <c r="M26">
        <v>54.43370797</v>
      </c>
    </row>
    <row r="27" spans="1:13">
      <c r="A27">
        <v>520</v>
      </c>
      <c r="B27">
        <v>43.781592310000001</v>
      </c>
      <c r="C27">
        <f t="shared" si="0"/>
        <v>0.4378159231</v>
      </c>
      <c r="E27">
        <v>520</v>
      </c>
      <c r="F27">
        <v>0.4378159231</v>
      </c>
      <c r="J27">
        <v>2060</v>
      </c>
      <c r="K27">
        <f t="shared" si="1"/>
        <v>0.55219271149999993</v>
      </c>
      <c r="M27">
        <v>55.219271149999997</v>
      </c>
    </row>
    <row r="28" spans="1:13">
      <c r="A28">
        <v>540</v>
      </c>
      <c r="B28">
        <v>44.613490419999998</v>
      </c>
      <c r="C28">
        <f t="shared" si="0"/>
        <v>0.44613490419999996</v>
      </c>
      <c r="E28">
        <v>540</v>
      </c>
      <c r="F28">
        <v>0.44613490419999996</v>
      </c>
      <c r="J28">
        <v>2080</v>
      </c>
      <c r="K28">
        <f t="shared" si="1"/>
        <v>0.53392413670000005</v>
      </c>
      <c r="M28">
        <v>53.392413670000003</v>
      </c>
    </row>
    <row r="29" spans="1:13">
      <c r="A29">
        <v>560</v>
      </c>
      <c r="B29">
        <v>45.35005082</v>
      </c>
      <c r="C29">
        <f t="shared" si="0"/>
        <v>0.45350050819999999</v>
      </c>
      <c r="E29">
        <v>560</v>
      </c>
      <c r="F29">
        <v>0.45350050819999999</v>
      </c>
      <c r="J29">
        <v>2100</v>
      </c>
      <c r="K29">
        <f t="shared" si="1"/>
        <v>0.53316610490000005</v>
      </c>
      <c r="M29">
        <v>53.316610490000002</v>
      </c>
    </row>
    <row r="30" spans="1:13">
      <c r="A30">
        <v>580</v>
      </c>
      <c r="B30">
        <v>46.225807090000004</v>
      </c>
      <c r="C30">
        <f t="shared" si="0"/>
        <v>0.46225807090000004</v>
      </c>
      <c r="E30">
        <v>580</v>
      </c>
      <c r="F30">
        <v>0.46225807090000004</v>
      </c>
      <c r="J30">
        <v>2120</v>
      </c>
      <c r="K30">
        <f t="shared" si="1"/>
        <v>0.57407584710000004</v>
      </c>
      <c r="M30">
        <v>57.407584710000002</v>
      </c>
    </row>
    <row r="31" spans="1:13">
      <c r="A31">
        <v>600</v>
      </c>
      <c r="B31">
        <v>46.219349979999997</v>
      </c>
      <c r="C31">
        <f t="shared" si="0"/>
        <v>0.46219349979999996</v>
      </c>
      <c r="E31">
        <v>600</v>
      </c>
      <c r="F31">
        <v>0.46219349979999996</v>
      </c>
      <c r="J31">
        <v>2140</v>
      </c>
      <c r="K31">
        <f t="shared" si="1"/>
        <v>0.53093534880000004</v>
      </c>
      <c r="M31">
        <v>53.09353488</v>
      </c>
    </row>
    <row r="32" spans="1:13">
      <c r="A32">
        <v>620</v>
      </c>
      <c r="B32">
        <v>46.477236580000003</v>
      </c>
      <c r="C32">
        <f t="shared" si="0"/>
        <v>0.46477236580000003</v>
      </c>
      <c r="E32">
        <v>620</v>
      </c>
      <c r="F32">
        <v>0.46477236580000003</v>
      </c>
      <c r="J32">
        <v>2160</v>
      </c>
      <c r="K32">
        <f t="shared" si="1"/>
        <v>0.51535880589999994</v>
      </c>
      <c r="M32">
        <v>51.535880589999998</v>
      </c>
    </row>
    <row r="33" spans="1:13">
      <c r="A33">
        <v>640</v>
      </c>
      <c r="B33">
        <v>47.527965999999999</v>
      </c>
      <c r="C33">
        <f t="shared" si="0"/>
        <v>0.47527965999999999</v>
      </c>
      <c r="E33">
        <v>640</v>
      </c>
      <c r="F33">
        <v>0.47527965999999999</v>
      </c>
      <c r="J33">
        <v>2180</v>
      </c>
      <c r="K33">
        <f t="shared" si="1"/>
        <v>0.53310649239999996</v>
      </c>
      <c r="M33">
        <v>53.310649239999996</v>
      </c>
    </row>
    <row r="34" spans="1:13">
      <c r="A34">
        <v>660</v>
      </c>
      <c r="B34">
        <v>47.00049757</v>
      </c>
      <c r="C34">
        <f t="shared" si="0"/>
        <v>0.47000497569999999</v>
      </c>
      <c r="E34">
        <v>660</v>
      </c>
      <c r="F34">
        <v>0.47000497569999999</v>
      </c>
      <c r="J34">
        <v>2200</v>
      </c>
      <c r="K34">
        <f t="shared" si="1"/>
        <v>0.5324286238</v>
      </c>
      <c r="M34">
        <v>53.242862379999998</v>
      </c>
    </row>
    <row r="35" spans="1:13">
      <c r="A35">
        <v>680</v>
      </c>
      <c r="B35">
        <v>48.269226109999998</v>
      </c>
      <c r="C35">
        <f t="shared" si="0"/>
        <v>0.48269226109999996</v>
      </c>
      <c r="E35">
        <v>680</v>
      </c>
      <c r="F35">
        <v>0.48269226109999996</v>
      </c>
      <c r="J35">
        <v>2220</v>
      </c>
      <c r="K35">
        <f t="shared" si="1"/>
        <v>0.53711343759999997</v>
      </c>
      <c r="M35">
        <v>53.711343759999998</v>
      </c>
    </row>
    <row r="36" spans="1:13">
      <c r="A36">
        <v>700</v>
      </c>
      <c r="B36">
        <v>47.17515023</v>
      </c>
      <c r="C36">
        <f t="shared" si="0"/>
        <v>0.47175150230000001</v>
      </c>
      <c r="E36">
        <v>700</v>
      </c>
      <c r="F36">
        <v>0.47175150230000001</v>
      </c>
      <c r="J36">
        <v>2240</v>
      </c>
      <c r="K36">
        <f t="shared" si="1"/>
        <v>0.53734130739999997</v>
      </c>
      <c r="M36">
        <v>53.734130739999998</v>
      </c>
    </row>
    <row r="37" spans="1:13">
      <c r="J37">
        <v>2260</v>
      </c>
      <c r="K37">
        <f t="shared" si="1"/>
        <v>0.53966820780000002</v>
      </c>
      <c r="M37">
        <v>53.966820779999999</v>
      </c>
    </row>
    <row r="38" spans="1:13">
      <c r="J38">
        <v>2280</v>
      </c>
      <c r="K38">
        <f t="shared" si="1"/>
        <v>0.53620465070000001</v>
      </c>
      <c r="M38">
        <v>53.620465070000002</v>
      </c>
    </row>
    <row r="39" spans="1:13">
      <c r="J39">
        <v>2300</v>
      </c>
      <c r="K39">
        <f t="shared" si="1"/>
        <v>0.53026367909999994</v>
      </c>
      <c r="M39">
        <v>53.026367909999998</v>
      </c>
    </row>
    <row r="40" spans="1:13">
      <c r="J40">
        <v>2320</v>
      </c>
      <c r="K40">
        <f t="shared" si="1"/>
        <v>0.54342429830000005</v>
      </c>
      <c r="M40">
        <v>54.34242983</v>
      </c>
    </row>
    <row r="41" spans="1:13">
      <c r="J41">
        <v>2340</v>
      </c>
      <c r="K41">
        <f t="shared" si="1"/>
        <v>0.54191334980000005</v>
      </c>
      <c r="M41">
        <v>54.191334980000001</v>
      </c>
    </row>
    <row r="42" spans="1:13">
      <c r="J42">
        <v>2360</v>
      </c>
      <c r="K42">
        <f t="shared" si="1"/>
        <v>0.52764678869999992</v>
      </c>
      <c r="M42">
        <v>52.764678869999997</v>
      </c>
    </row>
    <row r="43" spans="1:13">
      <c r="J43">
        <v>2380</v>
      </c>
      <c r="K43">
        <f t="shared" si="1"/>
        <v>0.52022051940000003</v>
      </c>
      <c r="M43">
        <v>52.022051939999997</v>
      </c>
    </row>
    <row r="44" spans="1:13">
      <c r="J44">
        <v>2400</v>
      </c>
      <c r="K44">
        <f t="shared" si="1"/>
        <v>0.5308657457</v>
      </c>
      <c r="M44">
        <v>53.086574570000003</v>
      </c>
    </row>
    <row r="45" spans="1:13">
      <c r="J45">
        <v>2420</v>
      </c>
      <c r="K45">
        <f t="shared" si="1"/>
        <v>0.53302101229999999</v>
      </c>
      <c r="M45">
        <v>53.302101229999998</v>
      </c>
    </row>
    <row r="46" spans="1:13">
      <c r="J46">
        <v>2440</v>
      </c>
      <c r="K46">
        <f t="shared" si="1"/>
        <v>0.51897884419999996</v>
      </c>
      <c r="M46">
        <v>51.897884419999997</v>
      </c>
    </row>
    <row r="47" spans="1:13">
      <c r="J47">
        <v>2460</v>
      </c>
      <c r="K47">
        <f t="shared" si="1"/>
        <v>0.52581923200000003</v>
      </c>
      <c r="M47">
        <v>52.581923199999999</v>
      </c>
    </row>
    <row r="48" spans="1:13">
      <c r="J48">
        <v>2480</v>
      </c>
      <c r="K48">
        <f t="shared" si="1"/>
        <v>0.52442118650000002</v>
      </c>
      <c r="M48">
        <v>52.442118649999998</v>
      </c>
    </row>
    <row r="49" spans="10:13">
      <c r="J49">
        <v>2500</v>
      </c>
      <c r="K49">
        <f t="shared" si="1"/>
        <v>0.52030433389999997</v>
      </c>
      <c r="M49">
        <v>52.030433389999999</v>
      </c>
    </row>
    <row r="50" spans="10:13">
      <c r="J50">
        <v>2520</v>
      </c>
      <c r="K50">
        <f t="shared" si="1"/>
        <v>0.51708648660000001</v>
      </c>
      <c r="M50">
        <v>51.708648660000001</v>
      </c>
    </row>
    <row r="51" spans="10:13">
      <c r="J51">
        <v>2540</v>
      </c>
      <c r="K51">
        <f t="shared" si="1"/>
        <v>0.51655655789999999</v>
      </c>
      <c r="M51">
        <v>51.655655789999997</v>
      </c>
    </row>
    <row r="52" spans="10:13">
      <c r="J52">
        <v>2560</v>
      </c>
      <c r="K52">
        <f t="shared" si="1"/>
        <v>0.52450728740000008</v>
      </c>
      <c r="M52">
        <v>52.450728740000002</v>
      </c>
    </row>
    <row r="53" spans="10:13">
      <c r="J53">
        <v>2580</v>
      </c>
      <c r="K53">
        <f t="shared" si="1"/>
        <v>0.51936219800000005</v>
      </c>
      <c r="M53">
        <v>51.936219800000003</v>
      </c>
    </row>
    <row r="54" spans="10:13">
      <c r="J54">
        <v>2600</v>
      </c>
      <c r="K54">
        <f t="shared" si="1"/>
        <v>0.51526953019999999</v>
      </c>
      <c r="M54">
        <v>51.526953020000001</v>
      </c>
    </row>
    <row r="55" spans="10:13">
      <c r="J55">
        <v>2620</v>
      </c>
      <c r="K55">
        <f t="shared" si="1"/>
        <v>0.51863255460000002</v>
      </c>
      <c r="M55">
        <v>51.863255459999998</v>
      </c>
    </row>
    <row r="56" spans="10:13">
      <c r="J56">
        <v>2640</v>
      </c>
      <c r="K56">
        <f t="shared" si="1"/>
        <v>0.51184495679999997</v>
      </c>
      <c r="M56">
        <v>51.184495679999998</v>
      </c>
    </row>
    <row r="57" spans="10:13">
      <c r="J57">
        <v>2660</v>
      </c>
      <c r="K57">
        <f t="shared" si="1"/>
        <v>0.50249029519999999</v>
      </c>
      <c r="M57">
        <v>50.249029520000001</v>
      </c>
    </row>
    <row r="58" spans="10:13">
      <c r="J58">
        <v>2680</v>
      </c>
      <c r="K58">
        <f t="shared" si="1"/>
        <v>0.48947618720000002</v>
      </c>
      <c r="M58">
        <v>48.947618720000001</v>
      </c>
    </row>
    <row r="59" spans="10:13">
      <c r="J59">
        <v>2700</v>
      </c>
      <c r="K59">
        <f t="shared" si="1"/>
        <v>0.49929650369999995</v>
      </c>
      <c r="M59">
        <v>49.929650369999997</v>
      </c>
    </row>
    <row r="60" spans="10:13">
      <c r="J60">
        <v>2720</v>
      </c>
      <c r="K60">
        <f t="shared" si="1"/>
        <v>0.50609397010000001</v>
      </c>
      <c r="M60">
        <v>50.609397010000002</v>
      </c>
    </row>
    <row r="61" spans="10:13">
      <c r="J61">
        <v>2740</v>
      </c>
      <c r="K61">
        <f t="shared" si="1"/>
        <v>0.49965100880000002</v>
      </c>
      <c r="M61">
        <v>49.965100880000001</v>
      </c>
    </row>
    <row r="62" spans="10:13">
      <c r="J62">
        <v>2760</v>
      </c>
      <c r="K62">
        <f t="shared" si="1"/>
        <v>0.50842181190000002</v>
      </c>
      <c r="M62">
        <v>50.842181189999998</v>
      </c>
    </row>
    <row r="63" spans="10:13">
      <c r="J63">
        <v>2780</v>
      </c>
      <c r="K63">
        <f t="shared" si="1"/>
        <v>0.50954947779999993</v>
      </c>
      <c r="M63">
        <v>50.954947779999998</v>
      </c>
    </row>
    <row r="64" spans="10:13">
      <c r="J64">
        <v>2800</v>
      </c>
      <c r="K64">
        <f t="shared" si="1"/>
        <v>0.49824481529999998</v>
      </c>
      <c r="M64">
        <v>49.82448153</v>
      </c>
    </row>
    <row r="65" spans="10:13">
      <c r="J65">
        <v>2820</v>
      </c>
      <c r="K65">
        <f t="shared" si="1"/>
        <v>0.51268721009999996</v>
      </c>
      <c r="M65">
        <v>51.26872101</v>
      </c>
    </row>
    <row r="66" spans="10:13">
      <c r="J66">
        <v>2840</v>
      </c>
      <c r="K66">
        <f t="shared" ref="K66:K116" si="2">M66/100</f>
        <v>0.50224758950000004</v>
      </c>
      <c r="M66">
        <v>50.224758950000002</v>
      </c>
    </row>
    <row r="67" spans="10:13">
      <c r="J67">
        <v>2860</v>
      </c>
      <c r="K67">
        <f t="shared" si="2"/>
        <v>0.50166237580000006</v>
      </c>
      <c r="M67">
        <v>50.166237580000001</v>
      </c>
    </row>
    <row r="68" spans="10:13">
      <c r="J68">
        <v>2880</v>
      </c>
      <c r="K68">
        <f t="shared" si="2"/>
        <v>0.51551220639999995</v>
      </c>
      <c r="M68">
        <v>51.551220639999997</v>
      </c>
    </row>
    <row r="69" spans="10:13">
      <c r="J69">
        <v>2900</v>
      </c>
      <c r="K69">
        <f t="shared" si="2"/>
        <v>0.49440007860000001</v>
      </c>
      <c r="M69">
        <v>49.440007860000001</v>
      </c>
    </row>
    <row r="70" spans="10:13">
      <c r="J70">
        <v>2920</v>
      </c>
      <c r="K70">
        <f t="shared" si="2"/>
        <v>0.50363184599999999</v>
      </c>
      <c r="M70">
        <v>50.363184599999997</v>
      </c>
    </row>
    <row r="71" spans="10:13">
      <c r="J71">
        <v>2940</v>
      </c>
      <c r="K71">
        <f t="shared" si="2"/>
        <v>0.50503057370000004</v>
      </c>
      <c r="M71">
        <v>50.503057370000001</v>
      </c>
    </row>
    <row r="72" spans="10:13">
      <c r="J72">
        <v>2960</v>
      </c>
      <c r="K72">
        <f t="shared" si="2"/>
        <v>0.50611171830000001</v>
      </c>
      <c r="M72">
        <v>50.611171830000004</v>
      </c>
    </row>
    <row r="73" spans="10:13">
      <c r="J73">
        <v>2980</v>
      </c>
      <c r="K73">
        <f t="shared" si="2"/>
        <v>0.50385576809999999</v>
      </c>
      <c r="M73">
        <v>50.385576810000003</v>
      </c>
    </row>
    <row r="74" spans="10:13">
      <c r="J74">
        <v>3000</v>
      </c>
      <c r="K74">
        <f t="shared" si="2"/>
        <v>0.52744629609999993</v>
      </c>
      <c r="M74">
        <v>52.744629609999997</v>
      </c>
    </row>
    <row r="75" spans="10:13">
      <c r="J75">
        <v>3020</v>
      </c>
      <c r="K75">
        <f t="shared" si="2"/>
        <v>0.50891074609999998</v>
      </c>
      <c r="M75">
        <v>50.891074609999997</v>
      </c>
    </row>
    <row r="76" spans="10:13">
      <c r="J76">
        <v>3040</v>
      </c>
      <c r="K76">
        <f t="shared" si="2"/>
        <v>0.50930320629999992</v>
      </c>
      <c r="M76">
        <v>50.930320629999997</v>
      </c>
    </row>
    <row r="77" spans="10:13">
      <c r="J77">
        <v>3060</v>
      </c>
      <c r="K77">
        <f t="shared" si="2"/>
        <v>0.51204230900000003</v>
      </c>
      <c r="M77">
        <v>51.204230899999999</v>
      </c>
    </row>
    <row r="78" spans="10:13">
      <c r="J78">
        <v>3080</v>
      </c>
      <c r="K78">
        <f t="shared" si="2"/>
        <v>0.51561045250000004</v>
      </c>
      <c r="M78">
        <v>51.561045249999999</v>
      </c>
    </row>
    <row r="79" spans="10:13">
      <c r="J79">
        <v>3100</v>
      </c>
      <c r="K79">
        <f t="shared" si="2"/>
        <v>0.51064143790000005</v>
      </c>
      <c r="M79">
        <v>51.064143790000003</v>
      </c>
    </row>
    <row r="80" spans="10:13">
      <c r="J80">
        <v>3120</v>
      </c>
      <c r="K80">
        <f t="shared" si="2"/>
        <v>0.51166115609999996</v>
      </c>
      <c r="M80">
        <v>51.166115609999999</v>
      </c>
    </row>
    <row r="81" spans="10:13">
      <c r="J81">
        <v>3140</v>
      </c>
      <c r="K81">
        <f t="shared" si="2"/>
        <v>0.50631986110000005</v>
      </c>
      <c r="M81">
        <v>50.63198611</v>
      </c>
    </row>
    <row r="82" spans="10:13">
      <c r="J82">
        <v>3160</v>
      </c>
      <c r="K82">
        <f t="shared" si="2"/>
        <v>0</v>
      </c>
      <c r="M82">
        <v>0</v>
      </c>
    </row>
    <row r="83" spans="10:13">
      <c r="J83">
        <v>3180</v>
      </c>
      <c r="K83">
        <f t="shared" si="2"/>
        <v>0</v>
      </c>
      <c r="M83">
        <v>0</v>
      </c>
    </row>
    <row r="84" spans="10:13">
      <c r="J84">
        <v>3200</v>
      </c>
      <c r="K84">
        <f t="shared" si="2"/>
        <v>0.50780378189999997</v>
      </c>
      <c r="M84">
        <v>50.78037819</v>
      </c>
    </row>
    <row r="85" spans="10:13">
      <c r="J85">
        <v>3220</v>
      </c>
      <c r="K85">
        <f t="shared" si="2"/>
        <v>0.50099636019999993</v>
      </c>
      <c r="M85">
        <v>50.099636019999998</v>
      </c>
    </row>
    <row r="86" spans="10:13">
      <c r="J86">
        <v>3240</v>
      </c>
      <c r="K86">
        <f t="shared" si="2"/>
        <v>0.50521983069999998</v>
      </c>
      <c r="M86">
        <v>50.521983069999997</v>
      </c>
    </row>
    <row r="87" spans="10:13">
      <c r="J87">
        <v>3260</v>
      </c>
      <c r="K87">
        <f t="shared" si="2"/>
        <v>0.50333642199999995</v>
      </c>
      <c r="M87">
        <v>50.3336422</v>
      </c>
    </row>
    <row r="88" spans="10:13">
      <c r="J88">
        <v>3280</v>
      </c>
      <c r="K88">
        <f t="shared" si="2"/>
        <v>0.52044319159999997</v>
      </c>
      <c r="M88">
        <v>52.044319160000001</v>
      </c>
    </row>
    <row r="89" spans="10:13">
      <c r="J89">
        <v>3300</v>
      </c>
      <c r="K89">
        <f t="shared" si="2"/>
        <v>0.52789315150000005</v>
      </c>
      <c r="M89">
        <v>52.78931515</v>
      </c>
    </row>
    <row r="90" spans="10:13">
      <c r="J90">
        <v>3320</v>
      </c>
      <c r="K90">
        <f t="shared" si="2"/>
        <v>0.52066645700000003</v>
      </c>
      <c r="M90">
        <v>52.066645700000002</v>
      </c>
    </row>
    <row r="91" spans="10:13">
      <c r="J91">
        <v>3340</v>
      </c>
      <c r="K91">
        <f t="shared" si="2"/>
        <v>0.51025608150000001</v>
      </c>
      <c r="M91">
        <v>51.025608149999996</v>
      </c>
    </row>
    <row r="92" spans="10:13">
      <c r="J92">
        <v>3360</v>
      </c>
      <c r="K92">
        <f t="shared" si="2"/>
        <v>0.53432001409999996</v>
      </c>
      <c r="M92">
        <v>53.432001409999998</v>
      </c>
    </row>
    <row r="93" spans="10:13">
      <c r="J93">
        <v>3380</v>
      </c>
      <c r="K93">
        <f t="shared" si="2"/>
        <v>0.51253591300000001</v>
      </c>
      <c r="M93">
        <v>51.253591299999997</v>
      </c>
    </row>
    <row r="94" spans="10:13">
      <c r="J94">
        <v>3400</v>
      </c>
      <c r="K94">
        <f t="shared" si="2"/>
        <v>0.52740231500000001</v>
      </c>
      <c r="M94">
        <v>52.7402315</v>
      </c>
    </row>
    <row r="95" spans="10:13">
      <c r="J95">
        <v>3420</v>
      </c>
      <c r="K95">
        <f t="shared" si="2"/>
        <v>0.52777100720000003</v>
      </c>
      <c r="M95">
        <v>52.77710072</v>
      </c>
    </row>
    <row r="96" spans="10:13">
      <c r="J96">
        <v>3440</v>
      </c>
      <c r="K96">
        <f t="shared" si="2"/>
        <v>0.51429200129999997</v>
      </c>
      <c r="M96">
        <v>51.429200129999998</v>
      </c>
    </row>
    <row r="97" spans="10:13">
      <c r="J97">
        <v>3460</v>
      </c>
      <c r="K97">
        <f t="shared" si="2"/>
        <v>0.51069459029999997</v>
      </c>
      <c r="M97">
        <v>51.069459029999997</v>
      </c>
    </row>
    <row r="98" spans="10:13">
      <c r="J98">
        <v>3480</v>
      </c>
      <c r="K98">
        <f t="shared" si="2"/>
        <v>0.51356609679999998</v>
      </c>
      <c r="M98">
        <v>51.356609679999998</v>
      </c>
    </row>
    <row r="99" spans="10:13">
      <c r="J99">
        <v>3500</v>
      </c>
      <c r="K99">
        <f t="shared" si="2"/>
        <v>0.54095917709999997</v>
      </c>
      <c r="M99">
        <v>54.095917710000002</v>
      </c>
    </row>
    <row r="100" spans="10:13">
      <c r="J100">
        <v>3520</v>
      </c>
      <c r="K100">
        <f t="shared" si="2"/>
        <v>0.53559295870000001</v>
      </c>
      <c r="M100">
        <v>53.55929587</v>
      </c>
    </row>
    <row r="101" spans="10:13">
      <c r="J101">
        <v>3540</v>
      </c>
      <c r="K101">
        <f t="shared" si="2"/>
        <v>0.52649564059999998</v>
      </c>
      <c r="M101">
        <v>52.649564060000003</v>
      </c>
    </row>
    <row r="102" spans="10:13">
      <c r="J102">
        <v>3560</v>
      </c>
      <c r="K102">
        <f t="shared" si="2"/>
        <v>0.53244353680000001</v>
      </c>
      <c r="M102">
        <v>53.244353680000003</v>
      </c>
    </row>
    <row r="103" spans="10:13">
      <c r="J103">
        <v>3580</v>
      </c>
      <c r="K103">
        <f t="shared" si="2"/>
        <v>0.52620934009999998</v>
      </c>
      <c r="M103">
        <v>52.620934009999999</v>
      </c>
    </row>
    <row r="104" spans="10:13">
      <c r="J104">
        <v>3600</v>
      </c>
      <c r="K104">
        <f t="shared" si="2"/>
        <v>0.52668911009999997</v>
      </c>
      <c r="M104">
        <v>52.668911010000002</v>
      </c>
    </row>
    <row r="105" spans="10:13">
      <c r="J105">
        <v>3620</v>
      </c>
      <c r="K105">
        <f t="shared" si="2"/>
        <v>0.52438314220000004</v>
      </c>
      <c r="M105">
        <v>52.438314220000002</v>
      </c>
    </row>
    <row r="106" spans="10:13">
      <c r="J106">
        <v>3640</v>
      </c>
      <c r="K106">
        <f t="shared" si="2"/>
        <v>0.53582044579999999</v>
      </c>
      <c r="M106">
        <v>53.582044580000002</v>
      </c>
    </row>
    <row r="107" spans="10:13">
      <c r="J107">
        <v>3660</v>
      </c>
      <c r="K107">
        <f t="shared" si="2"/>
        <v>0.53196844720000003</v>
      </c>
      <c r="M107">
        <v>53.196844720000001</v>
      </c>
    </row>
    <row r="108" spans="10:13">
      <c r="J108">
        <v>3680</v>
      </c>
      <c r="K108">
        <f t="shared" si="2"/>
        <v>0.51664716480000006</v>
      </c>
      <c r="M108">
        <v>51.664716480000003</v>
      </c>
    </row>
    <row r="109" spans="10:13">
      <c r="J109">
        <v>3700</v>
      </c>
      <c r="K109">
        <f t="shared" si="2"/>
        <v>0.52732890430000001</v>
      </c>
      <c r="M109">
        <v>52.732890429999998</v>
      </c>
    </row>
    <row r="110" spans="10:13">
      <c r="J110">
        <v>3720</v>
      </c>
      <c r="K110">
        <f t="shared" si="2"/>
        <v>0.51222333959999999</v>
      </c>
      <c r="M110">
        <v>51.22233396</v>
      </c>
    </row>
    <row r="111" spans="10:13">
      <c r="J111">
        <v>3740</v>
      </c>
      <c r="K111">
        <f t="shared" si="2"/>
        <v>0.51656860159999995</v>
      </c>
      <c r="M111">
        <v>51.656860160000001</v>
      </c>
    </row>
    <row r="112" spans="10:13">
      <c r="J112">
        <v>3760</v>
      </c>
      <c r="K112">
        <f t="shared" si="2"/>
        <v>0.50608319889999998</v>
      </c>
      <c r="M112">
        <v>50.608319889999997</v>
      </c>
    </row>
    <row r="113" spans="2:13">
      <c r="J113">
        <v>3780</v>
      </c>
      <c r="K113">
        <f t="shared" si="2"/>
        <v>0.50488114500000003</v>
      </c>
      <c r="M113">
        <v>50.488114500000002</v>
      </c>
    </row>
    <row r="114" spans="2:13">
      <c r="J114">
        <v>3800</v>
      </c>
      <c r="K114">
        <f t="shared" si="2"/>
        <v>0.5088197029</v>
      </c>
      <c r="M114">
        <v>50.881970289999998</v>
      </c>
    </row>
    <row r="115" spans="2:13">
      <c r="J115">
        <v>3820</v>
      </c>
      <c r="K115">
        <f t="shared" si="2"/>
        <v>0.50750174280000004</v>
      </c>
      <c r="M115">
        <v>50.750174280000003</v>
      </c>
    </row>
    <row r="116" spans="2:13">
      <c r="J116">
        <v>3840</v>
      </c>
      <c r="K116">
        <f t="shared" si="2"/>
        <v>0.48893545600000005</v>
      </c>
      <c r="M116">
        <v>48.893545600000003</v>
      </c>
    </row>
    <row r="123" spans="2:13">
      <c r="B123">
        <v>0</v>
      </c>
      <c r="C123">
        <v>51.664716480000003</v>
      </c>
      <c r="E123">
        <f>3680+B123</f>
        <v>3680</v>
      </c>
      <c r="F123">
        <f>C123/100</f>
        <v>0.51664716480000006</v>
      </c>
    </row>
    <row r="124" spans="2:13">
      <c r="B124">
        <v>20</v>
      </c>
      <c r="C124">
        <v>52.732890429999998</v>
      </c>
      <c r="E124">
        <f t="shared" ref="E124:E140" si="3">3680+B124</f>
        <v>3700</v>
      </c>
      <c r="F124">
        <f t="shared" ref="F124:F140" si="4">C124/100</f>
        <v>0.52732890430000001</v>
      </c>
    </row>
    <row r="125" spans="2:13">
      <c r="B125">
        <v>40</v>
      </c>
      <c r="C125">
        <v>51.22233396</v>
      </c>
      <c r="E125">
        <f t="shared" si="3"/>
        <v>3720</v>
      </c>
      <c r="F125">
        <f t="shared" si="4"/>
        <v>0.51222333959999999</v>
      </c>
    </row>
    <row r="126" spans="2:13">
      <c r="B126">
        <v>60</v>
      </c>
      <c r="C126">
        <v>51.656860160000001</v>
      </c>
      <c r="E126">
        <f t="shared" si="3"/>
        <v>3740</v>
      </c>
      <c r="F126">
        <f t="shared" si="4"/>
        <v>0.51656860159999995</v>
      </c>
    </row>
    <row r="127" spans="2:13">
      <c r="B127">
        <v>80</v>
      </c>
      <c r="C127">
        <v>50.608319889999997</v>
      </c>
      <c r="E127">
        <f t="shared" si="3"/>
        <v>3760</v>
      </c>
      <c r="F127">
        <f t="shared" si="4"/>
        <v>0.50608319889999998</v>
      </c>
    </row>
    <row r="128" spans="2:13">
      <c r="B128">
        <v>100</v>
      </c>
      <c r="C128">
        <v>50.488114500000002</v>
      </c>
      <c r="E128">
        <f t="shared" si="3"/>
        <v>3780</v>
      </c>
      <c r="F128">
        <f t="shared" si="4"/>
        <v>0.50488114500000003</v>
      </c>
    </row>
    <row r="129" spans="2:6">
      <c r="B129">
        <v>120</v>
      </c>
      <c r="C129">
        <v>50.881970289999998</v>
      </c>
      <c r="E129">
        <f t="shared" si="3"/>
        <v>3800</v>
      </c>
      <c r="F129">
        <f t="shared" si="4"/>
        <v>0.5088197029</v>
      </c>
    </row>
    <row r="130" spans="2:6">
      <c r="B130">
        <v>140</v>
      </c>
      <c r="C130">
        <v>50.750174280000003</v>
      </c>
      <c r="E130">
        <f t="shared" si="3"/>
        <v>3820</v>
      </c>
      <c r="F130">
        <f t="shared" si="4"/>
        <v>0.50750174280000004</v>
      </c>
    </row>
    <row r="131" spans="2:6">
      <c r="B131">
        <v>160</v>
      </c>
      <c r="C131">
        <v>48.893545600000003</v>
      </c>
      <c r="E131">
        <f t="shared" si="3"/>
        <v>3840</v>
      </c>
      <c r="F131">
        <f t="shared" si="4"/>
        <v>0.48893545600000005</v>
      </c>
    </row>
    <row r="132" spans="2:6">
      <c r="B132">
        <v>180</v>
      </c>
      <c r="C132">
        <v>49.421899959999998</v>
      </c>
      <c r="E132">
        <f t="shared" si="3"/>
        <v>3860</v>
      </c>
      <c r="F132">
        <f t="shared" si="4"/>
        <v>0.49421899959999999</v>
      </c>
    </row>
    <row r="133" spans="2:6">
      <c r="B133">
        <v>200</v>
      </c>
      <c r="C133">
        <v>50.368606530000001</v>
      </c>
      <c r="E133">
        <f t="shared" si="3"/>
        <v>3880</v>
      </c>
      <c r="F133">
        <f t="shared" si="4"/>
        <v>0.50368606530000004</v>
      </c>
    </row>
    <row r="134" spans="2:6">
      <c r="B134">
        <v>220</v>
      </c>
      <c r="C134">
        <v>49.905049929999997</v>
      </c>
      <c r="E134">
        <f t="shared" si="3"/>
        <v>3900</v>
      </c>
      <c r="F134">
        <f t="shared" si="4"/>
        <v>0.49905049929999995</v>
      </c>
    </row>
    <row r="135" spans="2:6">
      <c r="B135">
        <v>240</v>
      </c>
      <c r="C135">
        <v>49.484883119999999</v>
      </c>
      <c r="E135">
        <f t="shared" si="3"/>
        <v>3920</v>
      </c>
      <c r="F135">
        <f t="shared" si="4"/>
        <v>0.49484883120000001</v>
      </c>
    </row>
    <row r="136" spans="2:6">
      <c r="B136">
        <v>260</v>
      </c>
      <c r="C136">
        <v>48.719305499999997</v>
      </c>
      <c r="E136">
        <f t="shared" si="3"/>
        <v>3940</v>
      </c>
      <c r="F136">
        <f t="shared" si="4"/>
        <v>0.48719305499999999</v>
      </c>
    </row>
    <row r="137" spans="2:6">
      <c r="B137">
        <v>280</v>
      </c>
      <c r="C137">
        <v>48.167426800000001</v>
      </c>
      <c r="E137">
        <f t="shared" si="3"/>
        <v>3960</v>
      </c>
      <c r="F137">
        <f t="shared" si="4"/>
        <v>0.48167426800000002</v>
      </c>
    </row>
    <row r="138" spans="2:6">
      <c r="B138">
        <v>300</v>
      </c>
      <c r="C138">
        <v>47.685472920000002</v>
      </c>
      <c r="E138">
        <f t="shared" si="3"/>
        <v>3980</v>
      </c>
      <c r="F138">
        <f t="shared" si="4"/>
        <v>0.47685472920000005</v>
      </c>
    </row>
    <row r="139" spans="2:6">
      <c r="B139">
        <v>320</v>
      </c>
      <c r="C139">
        <v>47.388264759999998</v>
      </c>
      <c r="E139">
        <f t="shared" si="3"/>
        <v>4000</v>
      </c>
      <c r="F139">
        <f t="shared" si="4"/>
        <v>0.47388264759999998</v>
      </c>
    </row>
    <row r="140" spans="2:6">
      <c r="B140">
        <v>340</v>
      </c>
      <c r="C140">
        <v>47.018164089999999</v>
      </c>
      <c r="E140">
        <f t="shared" si="3"/>
        <v>4020</v>
      </c>
      <c r="F140">
        <f t="shared" si="4"/>
        <v>0.47018164089999998</v>
      </c>
    </row>
    <row r="141" spans="2:6">
      <c r="E141">
        <v>4040</v>
      </c>
      <c r="F141">
        <f>C143/100</f>
        <v>0.46411225350000002</v>
      </c>
    </row>
    <row r="142" spans="2:6">
      <c r="E142">
        <v>4060</v>
      </c>
      <c r="F142">
        <f>C144/100</f>
        <v>0.47784420859999999</v>
      </c>
    </row>
    <row r="143" spans="2:6">
      <c r="B143">
        <v>0</v>
      </c>
      <c r="C143">
        <v>46.411225350000002</v>
      </c>
      <c r="E143">
        <f>4040+B143</f>
        <v>4040</v>
      </c>
      <c r="F143">
        <f>C145/100</f>
        <v>0.47950866019999999</v>
      </c>
    </row>
    <row r="144" spans="2:6">
      <c r="B144">
        <v>20</v>
      </c>
      <c r="C144">
        <v>47.784420859999997</v>
      </c>
    </row>
    <row r="145" spans="2:3">
      <c r="B145">
        <v>40</v>
      </c>
      <c r="C145">
        <v>47.950866019999999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23D4-1300-F840-AF16-504FE3792361}">
  <dimension ref="B2:O25"/>
  <sheetViews>
    <sheetView topLeftCell="B1" zoomScale="125" workbookViewId="0">
      <selection activeCell="N21" sqref="N21"/>
    </sheetView>
  </sheetViews>
  <sheetFormatPr defaultColWidth="11.07421875" defaultRowHeight="20"/>
  <cols>
    <col min="8" max="8" width="12" customWidth="1"/>
    <col min="9" max="9" width="10.53515625" customWidth="1"/>
  </cols>
  <sheetData>
    <row r="2" spans="2:9">
      <c r="B2" t="s">
        <v>270</v>
      </c>
      <c r="C2" t="s">
        <v>271</v>
      </c>
      <c r="D2" t="s">
        <v>20</v>
      </c>
      <c r="E2" t="s">
        <v>32</v>
      </c>
      <c r="F2" t="s">
        <v>272</v>
      </c>
      <c r="G2" t="s">
        <v>273</v>
      </c>
      <c r="H2" t="s">
        <v>277</v>
      </c>
      <c r="I2" t="s">
        <v>147</v>
      </c>
    </row>
    <row r="3" spans="2:9">
      <c r="B3">
        <v>5</v>
      </c>
      <c r="C3">
        <v>5</v>
      </c>
      <c r="D3">
        <v>10</v>
      </c>
      <c r="E3">
        <v>10</v>
      </c>
      <c r="F3">
        <f>B3*C3*D3*E3</f>
        <v>2500</v>
      </c>
      <c r="G3" s="58">
        <v>377.56362410000003</v>
      </c>
      <c r="H3" s="35">
        <f>G3/60</f>
        <v>6.2927270683333338</v>
      </c>
      <c r="I3" s="35">
        <f>H3/60</f>
        <v>0.10487878447222224</v>
      </c>
    </row>
    <row r="4" spans="2:9">
      <c r="B4">
        <v>5</v>
      </c>
      <c r="C4">
        <v>5</v>
      </c>
      <c r="D4">
        <v>5</v>
      </c>
      <c r="E4">
        <v>5</v>
      </c>
      <c r="F4">
        <f t="shared" ref="F4:F12" si="0">B4*C4*D4*E4</f>
        <v>625</v>
      </c>
      <c r="G4" s="58">
        <v>93.495862000000002</v>
      </c>
      <c r="H4" s="35">
        <f t="shared" ref="H4:I11" si="1">G4/60</f>
        <v>1.5582643666666667</v>
      </c>
      <c r="I4" s="35">
        <f t="shared" si="1"/>
        <v>2.5971072777777778E-2</v>
      </c>
    </row>
    <row r="5" spans="2:9">
      <c r="B5">
        <v>5</v>
      </c>
      <c r="C5">
        <v>5</v>
      </c>
      <c r="D5">
        <v>5</v>
      </c>
      <c r="E5">
        <v>5</v>
      </c>
      <c r="F5">
        <f t="shared" si="0"/>
        <v>625</v>
      </c>
      <c r="G5" s="58">
        <v>90.696812899999998</v>
      </c>
      <c r="H5" s="35">
        <f t="shared" si="1"/>
        <v>1.5116135483333333</v>
      </c>
      <c r="I5" s="35">
        <f t="shared" si="1"/>
        <v>2.5193559138888887E-2</v>
      </c>
    </row>
    <row r="6" spans="2:9">
      <c r="B6">
        <v>5</v>
      </c>
      <c r="C6">
        <v>5</v>
      </c>
      <c r="D6">
        <v>10</v>
      </c>
      <c r="E6">
        <v>10</v>
      </c>
      <c r="F6">
        <f t="shared" si="0"/>
        <v>2500</v>
      </c>
      <c r="G6" s="58">
        <v>392.3590729</v>
      </c>
      <c r="H6" s="35">
        <f t="shared" si="1"/>
        <v>6.5393178816666664</v>
      </c>
      <c r="I6" s="35">
        <f t="shared" si="1"/>
        <v>0.1089886313611111</v>
      </c>
    </row>
    <row r="7" spans="2:9">
      <c r="B7">
        <v>5</v>
      </c>
      <c r="C7">
        <v>5</v>
      </c>
      <c r="D7">
        <v>5</v>
      </c>
      <c r="E7">
        <v>5</v>
      </c>
      <c r="F7">
        <f t="shared" si="0"/>
        <v>625</v>
      </c>
      <c r="G7" s="58">
        <v>100.44508</v>
      </c>
      <c r="H7" s="35">
        <f t="shared" si="1"/>
        <v>1.6740846666666667</v>
      </c>
      <c r="I7" s="35">
        <f t="shared" si="1"/>
        <v>2.7901411111111111E-2</v>
      </c>
    </row>
    <row r="8" spans="2:9">
      <c r="B8">
        <v>5</v>
      </c>
      <c r="C8">
        <v>5</v>
      </c>
      <c r="D8">
        <v>8</v>
      </c>
      <c r="E8">
        <v>8</v>
      </c>
      <c r="F8">
        <f t="shared" si="0"/>
        <v>1600</v>
      </c>
      <c r="G8" s="58">
        <v>257.65500500000002</v>
      </c>
      <c r="H8" s="35">
        <f t="shared" si="1"/>
        <v>4.2942500833333339</v>
      </c>
      <c r="I8" s="35">
        <f t="shared" si="1"/>
        <v>7.1570834722222226E-2</v>
      </c>
    </row>
    <row r="9" spans="2:9">
      <c r="B9">
        <v>5</v>
      </c>
      <c r="C9">
        <v>5</v>
      </c>
      <c r="D9">
        <v>12</v>
      </c>
      <c r="E9">
        <v>12</v>
      </c>
      <c r="F9">
        <f t="shared" si="0"/>
        <v>3600</v>
      </c>
      <c r="G9" s="58">
        <v>519.25213529999996</v>
      </c>
      <c r="H9" s="35">
        <f t="shared" si="1"/>
        <v>8.6542022549999995</v>
      </c>
      <c r="I9" s="35">
        <f t="shared" si="1"/>
        <v>0.14423670424999999</v>
      </c>
    </row>
    <row r="10" spans="2:9">
      <c r="B10">
        <v>3</v>
      </c>
      <c r="C10">
        <v>3</v>
      </c>
      <c r="D10">
        <v>5</v>
      </c>
      <c r="E10">
        <v>5</v>
      </c>
      <c r="F10">
        <f t="shared" si="0"/>
        <v>225</v>
      </c>
      <c r="G10" s="58">
        <v>31.148304199999998</v>
      </c>
      <c r="H10" s="35">
        <f t="shared" si="1"/>
        <v>0.51913840333333328</v>
      </c>
      <c r="I10" s="35">
        <f t="shared" si="1"/>
        <v>8.6523067222222215E-3</v>
      </c>
    </row>
    <row r="11" spans="2:9">
      <c r="B11">
        <v>10</v>
      </c>
      <c r="C11">
        <v>10</v>
      </c>
      <c r="D11">
        <v>20</v>
      </c>
      <c r="E11">
        <v>20</v>
      </c>
      <c r="F11">
        <f t="shared" si="0"/>
        <v>40000</v>
      </c>
      <c r="G11" s="58">
        <v>4296.6505798999997</v>
      </c>
      <c r="H11" s="35">
        <f t="shared" si="1"/>
        <v>71.610842998333325</v>
      </c>
      <c r="I11" s="35">
        <f t="shared" si="1"/>
        <v>1.1935140499722221</v>
      </c>
    </row>
    <row r="12" spans="2:9">
      <c r="B12">
        <v>20</v>
      </c>
      <c r="C12">
        <v>20</v>
      </c>
      <c r="D12">
        <v>1</v>
      </c>
      <c r="E12">
        <v>1</v>
      </c>
      <c r="F12">
        <f t="shared" si="0"/>
        <v>400</v>
      </c>
      <c r="G12" s="58">
        <v>37.219534899999999</v>
      </c>
      <c r="H12" s="35">
        <f t="shared" ref="H12:I19" si="2">G12/60</f>
        <v>0.62032558166666663</v>
      </c>
      <c r="I12" s="35">
        <f t="shared" si="2"/>
        <v>1.0338759694444444E-2</v>
      </c>
    </row>
    <row r="13" spans="2:9">
      <c r="B13">
        <v>20</v>
      </c>
      <c r="C13">
        <v>20</v>
      </c>
      <c r="D13">
        <v>20</v>
      </c>
      <c r="E13">
        <v>20</v>
      </c>
      <c r="F13">
        <f>B13*C13*D13*E13</f>
        <v>160000</v>
      </c>
      <c r="G13" s="57">
        <v>15839.4609318</v>
      </c>
      <c r="H13" s="35">
        <f t="shared" si="2"/>
        <v>263.99101553000003</v>
      </c>
      <c r="I13" s="35">
        <f t="shared" si="2"/>
        <v>4.3998502588333341</v>
      </c>
    </row>
    <row r="14" spans="2:9">
      <c r="B14">
        <v>1</v>
      </c>
      <c r="C14">
        <v>20</v>
      </c>
      <c r="D14">
        <v>20</v>
      </c>
      <c r="E14">
        <v>20</v>
      </c>
      <c r="F14">
        <f>B14*C14*D14*E14</f>
        <v>8000</v>
      </c>
      <c r="G14" s="57">
        <v>807.3726289</v>
      </c>
      <c r="H14" s="35">
        <f t="shared" si="2"/>
        <v>13.456210481666666</v>
      </c>
      <c r="I14" s="35">
        <f t="shared" si="2"/>
        <v>0.22427017469444444</v>
      </c>
    </row>
    <row r="15" spans="2:9">
      <c r="H15" s="35">
        <f t="shared" si="2"/>
        <v>0</v>
      </c>
      <c r="I15" s="35">
        <f t="shared" si="2"/>
        <v>0</v>
      </c>
    </row>
    <row r="16" spans="2:9">
      <c r="G16" s="35"/>
      <c r="H16" s="35">
        <f t="shared" si="2"/>
        <v>0</v>
      </c>
      <c r="I16" s="35">
        <f t="shared" si="2"/>
        <v>0</v>
      </c>
    </row>
    <row r="17" spans="7:15">
      <c r="G17" s="35"/>
      <c r="H17" s="35">
        <f t="shared" si="2"/>
        <v>0</v>
      </c>
      <c r="I17" s="35">
        <f t="shared" si="2"/>
        <v>0</v>
      </c>
    </row>
    <row r="18" spans="7:15">
      <c r="G18" s="35"/>
      <c r="H18" s="35">
        <f t="shared" si="2"/>
        <v>0</v>
      </c>
      <c r="I18" s="35">
        <f t="shared" si="2"/>
        <v>0</v>
      </c>
      <c r="L18" t="s">
        <v>278</v>
      </c>
      <c r="M18" t="s">
        <v>159</v>
      </c>
      <c r="N18" t="s">
        <v>279</v>
      </c>
      <c r="O18" t="s">
        <v>280</v>
      </c>
    </row>
    <row r="19" spans="7:15">
      <c r="G19" s="35"/>
      <c r="H19" s="35">
        <f t="shared" si="2"/>
        <v>0</v>
      </c>
      <c r="I19" s="35">
        <f t="shared" si="2"/>
        <v>0</v>
      </c>
      <c r="L19">
        <v>4</v>
      </c>
      <c r="M19">
        <v>112</v>
      </c>
      <c r="N19" s="57">
        <v>76.637885999999995</v>
      </c>
      <c r="O19">
        <f>N19/(M19-L19)</f>
        <v>0.70961005555555545</v>
      </c>
    </row>
    <row r="20" spans="7:15">
      <c r="G20" s="35"/>
      <c r="I20" s="35"/>
    </row>
    <row r="21" spans="7:15">
      <c r="G21" s="35"/>
      <c r="I21" s="35"/>
    </row>
    <row r="22" spans="7:15">
      <c r="G22" s="35"/>
      <c r="I22" s="35"/>
    </row>
    <row r="23" spans="7:15">
      <c r="G23" s="35"/>
    </row>
    <row r="24" spans="7:15">
      <c r="G24" s="35"/>
    </row>
    <row r="25" spans="7:15">
      <c r="G25" s="35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13FB-14E5-2548-AA94-9D736ABC403A}">
  <dimension ref="A1:R125"/>
  <sheetViews>
    <sheetView topLeftCell="A26" workbookViewId="0">
      <selection activeCell="L21" sqref="L21"/>
    </sheetView>
  </sheetViews>
  <sheetFormatPr defaultColWidth="11.07421875" defaultRowHeight="20"/>
  <cols>
    <col min="1" max="3" width="38.3828125" customWidth="1"/>
  </cols>
  <sheetData>
    <row r="1" spans="1:18">
      <c r="A1" t="s">
        <v>268</v>
      </c>
      <c r="B1" t="s">
        <v>267</v>
      </c>
      <c r="C1" s="8">
        <v>45286.499999942127</v>
      </c>
      <c r="D1">
        <v>1540</v>
      </c>
      <c r="E1" s="1">
        <v>1074425.9158528401</v>
      </c>
      <c r="F1">
        <f>E1*1.01/1091140*50.45709164</f>
        <v>50.181031733364605</v>
      </c>
      <c r="H1" t="s">
        <v>269</v>
      </c>
      <c r="J1">
        <v>1540</v>
      </c>
      <c r="K1">
        <v>50.181031733364605</v>
      </c>
    </row>
    <row r="2" spans="1:18">
      <c r="C2" s="8">
        <v>45286.513888831018</v>
      </c>
      <c r="D2">
        <v>1560</v>
      </c>
      <c r="E2" s="1">
        <v>1080759.8252317801</v>
      </c>
      <c r="F2">
        <f t="shared" ref="F2:F9" si="0">E2*1.01/1091140*50.45709164</f>
        <v>50.476856790123925</v>
      </c>
      <c r="J2">
        <v>1560</v>
      </c>
      <c r="K2">
        <v>50.476856790123925</v>
      </c>
    </row>
    <row r="3" spans="1:18">
      <c r="C3" s="8">
        <v>45286.527777719908</v>
      </c>
      <c r="D3">
        <v>1580</v>
      </c>
      <c r="E3" s="1">
        <v>1086744.2836017399</v>
      </c>
      <c r="F3">
        <f t="shared" si="0"/>
        <v>50.756360747482937</v>
      </c>
      <c r="J3">
        <v>1580</v>
      </c>
      <c r="K3">
        <v>50.756360747482937</v>
      </c>
    </row>
    <row r="4" spans="1:18">
      <c r="C4" s="8">
        <v>45286.541666608799</v>
      </c>
      <c r="D4">
        <v>1600</v>
      </c>
      <c r="E4" s="1">
        <v>1084092.1224033299</v>
      </c>
      <c r="F4">
        <f t="shared" si="0"/>
        <v>50.632491634409867</v>
      </c>
      <c r="J4">
        <v>1600</v>
      </c>
      <c r="K4">
        <v>50.632491634409867</v>
      </c>
    </row>
    <row r="5" spans="1:18">
      <c r="C5" s="8">
        <v>45286.555555497682</v>
      </c>
      <c r="D5">
        <v>1620</v>
      </c>
      <c r="E5" s="1">
        <v>1099436.06779632</v>
      </c>
      <c r="F5">
        <f t="shared" si="0"/>
        <v>51.349130166038613</v>
      </c>
      <c r="J5">
        <v>1620</v>
      </c>
      <c r="K5">
        <v>51.349130166038613</v>
      </c>
    </row>
    <row r="6" spans="1:18">
      <c r="C6" s="8">
        <v>45286.569444386572</v>
      </c>
      <c r="D6">
        <v>1640</v>
      </c>
      <c r="E6" s="1">
        <v>1109945.4853564701</v>
      </c>
      <c r="F6">
        <f t="shared" si="0"/>
        <v>51.839972213222914</v>
      </c>
      <c r="J6">
        <v>1640</v>
      </c>
      <c r="K6">
        <v>51.839972213222914</v>
      </c>
    </row>
    <row r="7" spans="1:18">
      <c r="C7" s="8">
        <v>45286.583333275463</v>
      </c>
      <c r="D7">
        <v>1660</v>
      </c>
      <c r="E7" s="1">
        <v>1102447.24007733</v>
      </c>
      <c r="F7">
        <f t="shared" si="0"/>
        <v>51.489766881477529</v>
      </c>
      <c r="J7">
        <v>1660</v>
      </c>
      <c r="K7">
        <v>51.489766881477529</v>
      </c>
    </row>
    <row r="8" spans="1:18">
      <c r="C8" s="8">
        <v>45286.597222222219</v>
      </c>
      <c r="D8">
        <v>1680</v>
      </c>
      <c r="E8" s="1">
        <v>1130217.5276222101</v>
      </c>
      <c r="F8">
        <f t="shared" si="0"/>
        <v>52.786777368634432</v>
      </c>
      <c r="J8">
        <v>1680</v>
      </c>
      <c r="K8">
        <v>52.786777368634432</v>
      </c>
    </row>
    <row r="9" spans="1:18">
      <c r="C9" s="8">
        <v>45286.611111111109</v>
      </c>
      <c r="D9">
        <v>1700</v>
      </c>
      <c r="E9" s="1">
        <v>1138253.89519113</v>
      </c>
      <c r="F9">
        <f t="shared" si="0"/>
        <v>53.162115686564746</v>
      </c>
      <c r="J9">
        <v>1700</v>
      </c>
      <c r="K9">
        <v>53.162115686564746</v>
      </c>
    </row>
    <row r="10" spans="1:18">
      <c r="A10" t="s">
        <v>258</v>
      </c>
      <c r="B10" t="s">
        <v>257</v>
      </c>
      <c r="C10" s="8">
        <v>45286.652777777781</v>
      </c>
      <c r="D10">
        <v>1760</v>
      </c>
      <c r="E10" s="1">
        <v>1045748.89513335</v>
      </c>
      <c r="F10">
        <f>E10*1.1/1091140*50.45709164</f>
        <v>53.193900523846096</v>
      </c>
      <c r="J10">
        <v>1760</v>
      </c>
      <c r="K10">
        <v>53.193900523846096</v>
      </c>
      <c r="M10">
        <v>20</v>
      </c>
      <c r="N10" s="1">
        <v>89379.804231602902</v>
      </c>
      <c r="O10" s="1">
        <f>N10/1091140*50.45709164/100</f>
        <v>4.133149708451022E-2</v>
      </c>
      <c r="Q10">
        <v>20</v>
      </c>
      <c r="R10">
        <v>4.133149708451022E-2</v>
      </c>
    </row>
    <row r="11" spans="1:18">
      <c r="C11" s="8">
        <v>45286.666666666664</v>
      </c>
      <c r="D11">
        <v>1780</v>
      </c>
      <c r="E11" s="1">
        <v>1016571.17409178</v>
      </c>
      <c r="F11">
        <f t="shared" ref="F11:F74" si="1">E11*1.1/1091140*50.45709164</f>
        <v>51.709723205733894</v>
      </c>
      <c r="J11">
        <v>1780</v>
      </c>
      <c r="K11">
        <v>51.709723205733894</v>
      </c>
      <c r="M11">
        <v>40</v>
      </c>
      <c r="N11" s="1">
        <v>165475.23433947301</v>
      </c>
      <c r="O11" s="1">
        <f t="shared" ref="O11:O44" si="2">N11/1091140*50.45709164/100</f>
        <v>7.6519961354338265E-2</v>
      </c>
      <c r="Q11">
        <v>40</v>
      </c>
      <c r="R11">
        <v>7.6519961354338265E-2</v>
      </c>
    </row>
    <row r="12" spans="1:18">
      <c r="C12" s="8">
        <v>45286.680555439816</v>
      </c>
      <c r="D12">
        <v>1800</v>
      </c>
      <c r="E12" s="1">
        <v>1003877.16135534</v>
      </c>
      <c r="F12">
        <f t="shared" si="1"/>
        <v>51.064019391086767</v>
      </c>
      <c r="J12">
        <v>1800</v>
      </c>
      <c r="K12">
        <v>51.064019391086767</v>
      </c>
      <c r="M12">
        <v>60</v>
      </c>
      <c r="N12" s="1">
        <v>237909.089285161</v>
      </c>
      <c r="O12" s="1">
        <f t="shared" si="2"/>
        <v>0.11001522004555155</v>
      </c>
      <c r="Q12">
        <v>60</v>
      </c>
      <c r="R12">
        <v>0.11001522004555155</v>
      </c>
    </row>
    <row r="13" spans="1:18">
      <c r="C13" s="8">
        <v>45286.694444270834</v>
      </c>
      <c r="D13">
        <v>1820</v>
      </c>
      <c r="E13" s="1">
        <v>1031310.47769899</v>
      </c>
      <c r="F13">
        <f t="shared" si="1"/>
        <v>52.45946442326845</v>
      </c>
      <c r="J13">
        <v>1820</v>
      </c>
      <c r="K13">
        <v>52.45946442326845</v>
      </c>
      <c r="M13">
        <v>80</v>
      </c>
      <c r="N13" s="1">
        <v>314860.57726681698</v>
      </c>
      <c r="O13" s="1">
        <f t="shared" si="2"/>
        <v>0.14559954727143251</v>
      </c>
      <c r="Q13">
        <v>80</v>
      </c>
      <c r="R13">
        <v>0.14559954727143251</v>
      </c>
    </row>
    <row r="14" spans="1:18">
      <c r="C14" s="8">
        <v>45286.708333101851</v>
      </c>
      <c r="D14">
        <v>1840</v>
      </c>
      <c r="E14" s="1">
        <v>1021046.0315842</v>
      </c>
      <c r="F14">
        <f t="shared" si="1"/>
        <v>51.937344889503237</v>
      </c>
      <c r="J14">
        <v>1840</v>
      </c>
      <c r="K14">
        <v>51.937344889503237</v>
      </c>
      <c r="M14">
        <v>100</v>
      </c>
      <c r="N14" s="1">
        <v>372958.99763817602</v>
      </c>
      <c r="O14" s="1">
        <f t="shared" si="2"/>
        <v>0.17246573603563239</v>
      </c>
      <c r="Q14">
        <v>100</v>
      </c>
      <c r="R14">
        <v>0.17246573603563239</v>
      </c>
    </row>
    <row r="15" spans="1:18">
      <c r="C15" s="8">
        <v>45286.722221932869</v>
      </c>
      <c r="D15">
        <v>1860</v>
      </c>
      <c r="E15" s="1">
        <v>1019775.98975082</v>
      </c>
      <c r="F15">
        <f t="shared" si="1"/>
        <v>51.87274192481415</v>
      </c>
      <c r="J15">
        <v>1860</v>
      </c>
      <c r="K15">
        <v>51.87274192481415</v>
      </c>
      <c r="M15">
        <v>120</v>
      </c>
      <c r="N15" s="1">
        <v>430404.12157832203</v>
      </c>
      <c r="O15" s="1">
        <f t="shared" si="2"/>
        <v>0.19902982389712684</v>
      </c>
      <c r="Q15">
        <v>120</v>
      </c>
      <c r="R15">
        <v>0.19902982389712684</v>
      </c>
    </row>
    <row r="16" spans="1:18">
      <c r="C16" s="8">
        <v>45286.736110763886</v>
      </c>
      <c r="D16">
        <v>1880</v>
      </c>
      <c r="E16" s="1">
        <v>1055346.08965874</v>
      </c>
      <c r="F16">
        <f t="shared" si="1"/>
        <v>53.682079104064904</v>
      </c>
      <c r="J16">
        <v>1880</v>
      </c>
      <c r="K16">
        <v>53.682079104064904</v>
      </c>
      <c r="M16">
        <v>140</v>
      </c>
      <c r="N16" s="1">
        <v>471983.37440709397</v>
      </c>
      <c r="O16" s="1">
        <f t="shared" si="2"/>
        <v>0.21825712901199823</v>
      </c>
      <c r="Q16">
        <v>140</v>
      </c>
      <c r="R16">
        <v>0.21825712901199823</v>
      </c>
    </row>
    <row r="17" spans="3:18">
      <c r="C17" s="8">
        <v>45286.749999594904</v>
      </c>
      <c r="D17">
        <v>1900</v>
      </c>
      <c r="E17" s="1">
        <v>1091037.81294505</v>
      </c>
      <c r="F17">
        <f t="shared" si="1"/>
        <v>55.497602875452216</v>
      </c>
      <c r="J17">
        <v>1900</v>
      </c>
      <c r="K17">
        <v>55.497602875452216</v>
      </c>
      <c r="M17">
        <v>160</v>
      </c>
      <c r="N17" s="1">
        <v>521956.34050305898</v>
      </c>
      <c r="O17" s="1">
        <f t="shared" si="2"/>
        <v>0.24136590084537171</v>
      </c>
      <c r="Q17">
        <v>160</v>
      </c>
      <c r="R17">
        <v>0.24136590084537171</v>
      </c>
    </row>
    <row r="18" spans="3:18">
      <c r="C18" s="8">
        <v>45286.763888425929</v>
      </c>
      <c r="D18">
        <v>1920</v>
      </c>
      <c r="E18" s="1">
        <v>1060569.3267226401</v>
      </c>
      <c r="F18">
        <f t="shared" si="1"/>
        <v>53.947768462267987</v>
      </c>
      <c r="J18">
        <v>1920</v>
      </c>
      <c r="K18">
        <v>53.947768462267987</v>
      </c>
      <c r="M18">
        <v>180</v>
      </c>
      <c r="N18" s="1">
        <v>566377.46584717801</v>
      </c>
      <c r="O18" s="1">
        <f t="shared" si="2"/>
        <v>0.26190736016535027</v>
      </c>
      <c r="Q18">
        <v>180</v>
      </c>
      <c r="R18">
        <v>0.26190736016535027</v>
      </c>
    </row>
    <row r="19" spans="3:18">
      <c r="C19" s="8">
        <v>45286.777777256946</v>
      </c>
      <c r="D19">
        <v>1940</v>
      </c>
      <c r="E19" s="1">
        <v>1050051.7206267</v>
      </c>
      <c r="F19">
        <f t="shared" si="1"/>
        <v>53.412771490222333</v>
      </c>
      <c r="J19">
        <v>1940</v>
      </c>
      <c r="K19">
        <v>53.412771490222333</v>
      </c>
      <c r="M19">
        <v>200</v>
      </c>
      <c r="N19" s="1">
        <v>610601.85997000802</v>
      </c>
      <c r="O19" s="1">
        <f t="shared" si="2"/>
        <v>0.28235784595983232</v>
      </c>
      <c r="Q19">
        <v>200</v>
      </c>
      <c r="R19">
        <v>0.28235784595983232</v>
      </c>
    </row>
    <row r="20" spans="3:18">
      <c r="C20" s="8">
        <v>45286.791666087964</v>
      </c>
      <c r="D20">
        <v>1960</v>
      </c>
      <c r="E20" s="1">
        <v>1042338.15458416</v>
      </c>
      <c r="F20">
        <f t="shared" si="1"/>
        <v>53.020407064440491</v>
      </c>
      <c r="J20">
        <v>1960</v>
      </c>
      <c r="K20">
        <v>53.020407064440491</v>
      </c>
      <c r="M20">
        <v>220</v>
      </c>
      <c r="N20" s="1">
        <v>646866.84003672702</v>
      </c>
      <c r="O20" s="1">
        <f t="shared" si="2"/>
        <v>0.29912769604826478</v>
      </c>
      <c r="Q20">
        <v>220</v>
      </c>
      <c r="R20">
        <v>0.29912769604826478</v>
      </c>
    </row>
    <row r="21" spans="3:18">
      <c r="C21" s="8">
        <v>45286.805554918981</v>
      </c>
      <c r="D21">
        <v>1980</v>
      </c>
      <c r="E21" s="1">
        <v>1066762.4179803601</v>
      </c>
      <c r="F21">
        <f t="shared" si="1"/>
        <v>54.262791200356801</v>
      </c>
      <c r="J21">
        <v>1980</v>
      </c>
      <c r="K21">
        <v>54.262791200356801</v>
      </c>
      <c r="M21">
        <v>240</v>
      </c>
      <c r="N21" s="1">
        <v>687563.44197933201</v>
      </c>
      <c r="O21" s="1">
        <f t="shared" si="2"/>
        <v>0.31794684092110065</v>
      </c>
      <c r="Q21">
        <v>240</v>
      </c>
      <c r="R21">
        <v>0.31794684092110065</v>
      </c>
    </row>
    <row r="22" spans="3:18">
      <c r="C22" s="8">
        <v>45286.819443749999</v>
      </c>
      <c r="D22">
        <v>2000</v>
      </c>
      <c r="E22" s="1">
        <v>1067670.37600345</v>
      </c>
      <c r="F22">
        <f t="shared" si="1"/>
        <v>54.308976120068259</v>
      </c>
      <c r="J22">
        <v>2000</v>
      </c>
      <c r="K22">
        <v>54.308976120068259</v>
      </c>
      <c r="M22">
        <v>260</v>
      </c>
      <c r="N22" s="1">
        <v>718250.46695866098</v>
      </c>
      <c r="O22" s="1">
        <f t="shared" si="2"/>
        <v>0.33213730256251217</v>
      </c>
      <c r="Q22">
        <v>260</v>
      </c>
      <c r="R22">
        <v>0.33213730256251217</v>
      </c>
    </row>
    <row r="23" spans="3:18">
      <c r="C23" s="8">
        <v>45286.833332581016</v>
      </c>
      <c r="D23">
        <v>2020</v>
      </c>
      <c r="E23" s="1">
        <v>1044854.33450036</v>
      </c>
      <c r="F23">
        <f t="shared" si="1"/>
        <v>53.148397086505369</v>
      </c>
      <c r="J23">
        <v>2020</v>
      </c>
      <c r="K23">
        <v>53.148397086505369</v>
      </c>
      <c r="M23">
        <v>280</v>
      </c>
      <c r="N23" s="1">
        <v>750747.57559187501</v>
      </c>
      <c r="O23" s="1">
        <f t="shared" si="2"/>
        <v>0.34716479297016939</v>
      </c>
      <c r="Q23">
        <v>280</v>
      </c>
      <c r="R23">
        <v>0.34716479297016939</v>
      </c>
    </row>
    <row r="24" spans="3:18">
      <c r="C24" s="8">
        <v>45286.847221412034</v>
      </c>
      <c r="D24">
        <v>2040</v>
      </c>
      <c r="E24" s="1">
        <v>1070122.50287065</v>
      </c>
      <c r="F24">
        <f t="shared" si="1"/>
        <v>54.433707968461988</v>
      </c>
      <c r="J24">
        <v>2040</v>
      </c>
      <c r="K24">
        <v>54.433707968461988</v>
      </c>
      <c r="M24">
        <v>300</v>
      </c>
      <c r="N24" s="1">
        <v>794709.03966330504</v>
      </c>
      <c r="O24" s="1">
        <f t="shared" si="2"/>
        <v>0.36749369321469083</v>
      </c>
      <c r="Q24">
        <v>300</v>
      </c>
      <c r="R24">
        <v>0.36749369321469083</v>
      </c>
    </row>
    <row r="25" spans="3:18">
      <c r="C25" s="8">
        <v>45286.861110243059</v>
      </c>
      <c r="D25">
        <v>2060</v>
      </c>
      <c r="E25" s="1">
        <v>1085566.0372007401</v>
      </c>
      <c r="F25">
        <f t="shared" si="1"/>
        <v>55.21927114975194</v>
      </c>
      <c r="J25">
        <v>2060</v>
      </c>
      <c r="K25">
        <v>55.21927114975194</v>
      </c>
      <c r="M25">
        <v>320</v>
      </c>
      <c r="N25" s="1">
        <v>780350.85274624405</v>
      </c>
      <c r="O25" s="1">
        <f t="shared" si="2"/>
        <v>0.36085410202512397</v>
      </c>
      <c r="Q25">
        <v>320</v>
      </c>
      <c r="R25">
        <v>0.36085410202512397</v>
      </c>
    </row>
    <row r="26" spans="3:18">
      <c r="C26" s="8">
        <v>45286.874999074076</v>
      </c>
      <c r="D26">
        <v>2080</v>
      </c>
      <c r="E26" s="1">
        <v>1049651.5024067699</v>
      </c>
      <c r="F26">
        <f t="shared" si="1"/>
        <v>53.392413669833644</v>
      </c>
      <c r="J26">
        <v>2080</v>
      </c>
      <c r="K26">
        <v>53.392413669833644</v>
      </c>
      <c r="M26">
        <v>340</v>
      </c>
      <c r="N26" s="1">
        <v>801534.20462261001</v>
      </c>
      <c r="O26" s="1">
        <f t="shared" si="2"/>
        <v>0.37064982326042079</v>
      </c>
      <c r="Q26">
        <v>340</v>
      </c>
      <c r="R26">
        <v>0.37064982326042079</v>
      </c>
    </row>
    <row r="27" spans="3:18">
      <c r="C27" s="8">
        <v>45286.888887905094</v>
      </c>
      <c r="D27">
        <v>2100</v>
      </c>
      <c r="E27" s="1">
        <v>1048161.27344979</v>
      </c>
      <c r="F27">
        <f t="shared" si="1"/>
        <v>53.316610490634261</v>
      </c>
      <c r="J27">
        <v>2100</v>
      </c>
      <c r="K27">
        <v>53.316610490634261</v>
      </c>
      <c r="M27">
        <v>360</v>
      </c>
      <c r="N27" s="1">
        <v>847731.59167475696</v>
      </c>
      <c r="O27" s="1">
        <f t="shared" si="2"/>
        <v>0.39201267121777478</v>
      </c>
      <c r="Q27">
        <v>360</v>
      </c>
      <c r="R27">
        <v>0.39201267121777478</v>
      </c>
    </row>
    <row r="28" spans="3:18">
      <c r="C28" s="8">
        <v>45286.902776736111</v>
      </c>
      <c r="D28">
        <v>2120</v>
      </c>
      <c r="E28" s="1">
        <v>1128586.5051464301</v>
      </c>
      <c r="F28">
        <f t="shared" si="1"/>
        <v>57.407584714358229</v>
      </c>
      <c r="J28">
        <v>2120</v>
      </c>
      <c r="K28">
        <v>57.407584714358229</v>
      </c>
      <c r="M28">
        <v>380</v>
      </c>
      <c r="N28" s="1">
        <v>857111.46682754997</v>
      </c>
      <c r="O28" s="1">
        <f t="shared" si="2"/>
        <v>0.39635016429983788</v>
      </c>
      <c r="Q28">
        <v>380</v>
      </c>
      <c r="R28">
        <v>0.39635016429983788</v>
      </c>
    </row>
    <row r="29" spans="3:18">
      <c r="C29" s="8">
        <v>45286.916665567129</v>
      </c>
      <c r="D29">
        <v>2140</v>
      </c>
      <c r="E29" s="1">
        <v>1043775.78811929</v>
      </c>
      <c r="F29">
        <f t="shared" si="1"/>
        <v>53.093534882804285</v>
      </c>
      <c r="J29">
        <v>2140</v>
      </c>
      <c r="K29">
        <v>53.093534882804285</v>
      </c>
      <c r="M29">
        <v>400</v>
      </c>
      <c r="N29" s="1">
        <v>858598.601035662</v>
      </c>
      <c r="O29" s="1">
        <f t="shared" si="2"/>
        <v>0.39703785302007255</v>
      </c>
      <c r="Q29">
        <v>400</v>
      </c>
      <c r="R29">
        <v>0.39703785302007255</v>
      </c>
    </row>
    <row r="30" spans="3:18">
      <c r="C30" s="8">
        <v>45286.930554398146</v>
      </c>
      <c r="D30">
        <v>2160</v>
      </c>
      <c r="E30" s="1">
        <v>1013153.56948078</v>
      </c>
      <c r="F30">
        <f t="shared" si="1"/>
        <v>51.535880593464917</v>
      </c>
      <c r="J30">
        <v>2160</v>
      </c>
      <c r="K30">
        <v>51.535880593464917</v>
      </c>
      <c r="M30">
        <v>420</v>
      </c>
      <c r="N30" s="1">
        <v>898351.935286992</v>
      </c>
      <c r="O30" s="1">
        <f t="shared" si="2"/>
        <v>0.41542080689688859</v>
      </c>
      <c r="Q30">
        <v>420</v>
      </c>
      <c r="R30">
        <v>0.41542080689688859</v>
      </c>
    </row>
    <row r="31" spans="3:18">
      <c r="C31" s="8">
        <v>45286.944443229164</v>
      </c>
      <c r="D31">
        <v>2180</v>
      </c>
      <c r="E31" s="1">
        <v>1048044.08001205</v>
      </c>
      <c r="F31">
        <f t="shared" si="1"/>
        <v>53.310649235405407</v>
      </c>
      <c r="G31" s="56"/>
      <c r="I31">
        <v>2180</v>
      </c>
      <c r="J31">
        <v>2180</v>
      </c>
      <c r="K31">
        <v>53.310649235405407</v>
      </c>
      <c r="M31">
        <v>440</v>
      </c>
      <c r="N31" s="1">
        <v>895685.57023619197</v>
      </c>
      <c r="O31" s="1">
        <f t="shared" si="2"/>
        <v>0.41418781181180414</v>
      </c>
      <c r="Q31">
        <v>440</v>
      </c>
      <c r="R31">
        <v>0.41418781181180414</v>
      </c>
    </row>
    <row r="32" spans="3:18">
      <c r="C32" s="8">
        <v>45286.958332060189</v>
      </c>
      <c r="D32">
        <v>2200</v>
      </c>
      <c r="E32" s="1">
        <v>1046711.4455338001</v>
      </c>
      <c r="F32">
        <f t="shared" si="1"/>
        <v>53.24286238313087</v>
      </c>
      <c r="G32" s="56"/>
      <c r="I32">
        <v>2200</v>
      </c>
      <c r="J32">
        <v>2200</v>
      </c>
      <c r="K32">
        <v>53.24286238313087</v>
      </c>
      <c r="M32">
        <v>460</v>
      </c>
      <c r="N32" s="1">
        <v>929818.200766586</v>
      </c>
      <c r="O32" s="1">
        <f t="shared" si="2"/>
        <v>0.42997160918506838</v>
      </c>
      <c r="Q32">
        <v>460</v>
      </c>
      <c r="R32">
        <v>0.42997160918506838</v>
      </c>
    </row>
    <row r="33" spans="3:18">
      <c r="C33" s="8">
        <v>45286.972220891206</v>
      </c>
      <c r="D33">
        <v>2220</v>
      </c>
      <c r="E33" s="1">
        <v>1055921.4091141401</v>
      </c>
      <c r="F33">
        <f t="shared" si="1"/>
        <v>53.711343764082628</v>
      </c>
      <c r="G33" s="56"/>
      <c r="I33">
        <v>2220</v>
      </c>
      <c r="J33">
        <v>2220</v>
      </c>
      <c r="K33">
        <v>53.711343764082628</v>
      </c>
      <c r="M33">
        <v>480</v>
      </c>
      <c r="N33" s="1">
        <v>937864.62078645802</v>
      </c>
      <c r="O33" s="1">
        <f t="shared" si="2"/>
        <v>0.43369247866393096</v>
      </c>
      <c r="Q33">
        <v>480</v>
      </c>
      <c r="R33">
        <v>0.43369247866393096</v>
      </c>
    </row>
    <row r="34" spans="3:18">
      <c r="C34" s="8">
        <v>45286.986109722224</v>
      </c>
      <c r="D34">
        <v>2240</v>
      </c>
      <c r="E34" s="1">
        <v>1056369.3824871699</v>
      </c>
      <c r="F34">
        <f t="shared" si="1"/>
        <v>53.734130736321532</v>
      </c>
      <c r="G34" s="56"/>
      <c r="I34">
        <v>2240</v>
      </c>
      <c r="J34">
        <v>2240</v>
      </c>
      <c r="K34">
        <v>53.734130736321532</v>
      </c>
      <c r="M34">
        <v>500</v>
      </c>
      <c r="N34" s="1">
        <v>947585.13664289401</v>
      </c>
      <c r="O34" s="1">
        <f t="shared" si="2"/>
        <v>0.4381874926800633</v>
      </c>
      <c r="Q34">
        <v>500</v>
      </c>
      <c r="R34">
        <v>0.4381874926800633</v>
      </c>
    </row>
    <row r="35" spans="3:18">
      <c r="C35" s="8">
        <v>45286.999998553241</v>
      </c>
      <c r="D35">
        <v>2260</v>
      </c>
      <c r="E35" s="1">
        <v>1060943.8797442799</v>
      </c>
      <c r="F35">
        <f t="shared" si="1"/>
        <v>53.966820776132948</v>
      </c>
      <c r="G35" s="56"/>
      <c r="I35">
        <v>2260</v>
      </c>
      <c r="J35">
        <v>2260</v>
      </c>
      <c r="K35">
        <v>53.966820776132948</v>
      </c>
      <c r="M35">
        <v>520</v>
      </c>
      <c r="N35" s="1">
        <v>946781.61346376606</v>
      </c>
      <c r="O35" s="1">
        <f t="shared" si="2"/>
        <v>0.43781592310435236</v>
      </c>
      <c r="Q35">
        <v>520</v>
      </c>
      <c r="R35">
        <v>0.43781592310435236</v>
      </c>
    </row>
    <row r="36" spans="3:18">
      <c r="C36" s="8">
        <v>45287.013887384259</v>
      </c>
      <c r="D36">
        <v>2280</v>
      </c>
      <c r="E36" s="1">
        <v>1054134.8078680499</v>
      </c>
      <c r="F36">
        <f t="shared" si="1"/>
        <v>53.620465074750435</v>
      </c>
      <c r="G36" s="56"/>
      <c r="I36">
        <v>2280</v>
      </c>
      <c r="J36">
        <v>2280</v>
      </c>
      <c r="K36">
        <v>53.620465074750435</v>
      </c>
      <c r="M36">
        <v>540</v>
      </c>
      <c r="N36" s="1">
        <v>964771.49891150999</v>
      </c>
      <c r="O36" s="1">
        <f t="shared" si="2"/>
        <v>0.44613490415747037</v>
      </c>
      <c r="Q36">
        <v>540</v>
      </c>
      <c r="R36">
        <v>0.44613490415747037</v>
      </c>
    </row>
    <row r="37" spans="3:18">
      <c r="C37" s="8">
        <v>45287.027776215276</v>
      </c>
      <c r="D37">
        <v>2300</v>
      </c>
      <c r="E37" s="1">
        <v>1042455.3399287401</v>
      </c>
      <c r="F37">
        <f t="shared" si="1"/>
        <v>53.026367907996203</v>
      </c>
      <c r="G37" s="56"/>
      <c r="I37">
        <v>2300</v>
      </c>
      <c r="J37">
        <v>2300</v>
      </c>
      <c r="K37">
        <v>53.026367907996203</v>
      </c>
      <c r="M37">
        <v>560</v>
      </c>
      <c r="N37" s="1">
        <v>980699.69647872704</v>
      </c>
      <c r="O37" s="1">
        <f t="shared" si="2"/>
        <v>0.45350050824410537</v>
      </c>
      <c r="Q37">
        <v>560</v>
      </c>
      <c r="R37">
        <v>0.45350050824410537</v>
      </c>
    </row>
    <row r="38" spans="3:18">
      <c r="C38" s="8">
        <v>45287.041665046294</v>
      </c>
      <c r="D38">
        <v>2320</v>
      </c>
      <c r="E38" s="1">
        <v>1068328.04869513</v>
      </c>
      <c r="F38">
        <f t="shared" si="1"/>
        <v>54.342429825734385</v>
      </c>
      <c r="G38" s="56"/>
      <c r="I38">
        <v>2320</v>
      </c>
      <c r="J38">
        <v>2320</v>
      </c>
      <c r="K38">
        <v>54.342429825734385</v>
      </c>
      <c r="M38">
        <v>580</v>
      </c>
      <c r="N38" s="1">
        <v>999638.01938484597</v>
      </c>
      <c r="O38" s="1">
        <f t="shared" si="2"/>
        <v>0.46225807092517252</v>
      </c>
      <c r="Q38">
        <v>580</v>
      </c>
      <c r="R38">
        <v>0.46225807092517252</v>
      </c>
    </row>
    <row r="39" spans="3:18">
      <c r="C39" s="8">
        <v>45287.055553877311</v>
      </c>
      <c r="D39">
        <v>2340</v>
      </c>
      <c r="E39" s="1">
        <v>1065357.6467188201</v>
      </c>
      <c r="F39">
        <f t="shared" si="1"/>
        <v>54.191334980710899</v>
      </c>
      <c r="G39" s="56"/>
      <c r="I39">
        <v>2340</v>
      </c>
      <c r="J39">
        <v>2340</v>
      </c>
      <c r="K39">
        <v>54.191334980710899</v>
      </c>
      <c r="M39">
        <v>600</v>
      </c>
      <c r="N39" s="1">
        <v>999498.38373898296</v>
      </c>
      <c r="O39" s="1">
        <f t="shared" si="2"/>
        <v>0.46219349984740504</v>
      </c>
      <c r="Q39">
        <v>600</v>
      </c>
      <c r="R39">
        <v>0.46219349984740504</v>
      </c>
    </row>
    <row r="40" spans="3:18">
      <c r="C40" s="8">
        <v>45287.069442708336</v>
      </c>
      <c r="D40">
        <v>2360</v>
      </c>
      <c r="E40" s="1">
        <v>1037310.74589994</v>
      </c>
      <c r="F40">
        <f t="shared" si="1"/>
        <v>52.764678869377931</v>
      </c>
      <c r="G40" s="56"/>
      <c r="I40">
        <v>2360</v>
      </c>
      <c r="J40">
        <v>2360</v>
      </c>
      <c r="K40">
        <v>52.764678869377931</v>
      </c>
      <c r="M40">
        <v>620</v>
      </c>
      <c r="N40" s="1">
        <v>1005075.20902215</v>
      </c>
      <c r="O40" s="1">
        <f t="shared" si="2"/>
        <v>0.46477236584418846</v>
      </c>
      <c r="Q40">
        <v>620</v>
      </c>
      <c r="R40">
        <v>0.46477236584418846</v>
      </c>
    </row>
    <row r="41" spans="3:18">
      <c r="C41" s="8">
        <v>45287.083331539354</v>
      </c>
      <c r="D41">
        <v>2380</v>
      </c>
      <c r="E41" s="1">
        <v>1022711.30332458</v>
      </c>
      <c r="F41">
        <f t="shared" si="1"/>
        <v>52.022051935061853</v>
      </c>
      <c r="G41" s="56"/>
      <c r="I41">
        <v>2380</v>
      </c>
      <c r="J41">
        <v>2380</v>
      </c>
      <c r="K41">
        <v>52.022051935061853</v>
      </c>
      <c r="M41">
        <v>640</v>
      </c>
      <c r="N41" s="1">
        <v>1027797.3450324</v>
      </c>
      <c r="O41" s="1">
        <f t="shared" si="2"/>
        <v>0.47527966004040278</v>
      </c>
      <c r="Q41">
        <v>640</v>
      </c>
      <c r="R41">
        <v>0.47527966004040278</v>
      </c>
    </row>
    <row r="42" spans="3:18">
      <c r="C42" s="8">
        <v>45287.097220370371</v>
      </c>
      <c r="D42">
        <v>2400</v>
      </c>
      <c r="E42" s="1">
        <v>1043638.9540707601</v>
      </c>
      <c r="F42">
        <f t="shared" si="1"/>
        <v>53.086574572542759</v>
      </c>
      <c r="G42" s="56"/>
      <c r="I42">
        <v>2400</v>
      </c>
      <c r="J42">
        <v>2400</v>
      </c>
      <c r="K42">
        <v>53.086574572542759</v>
      </c>
      <c r="M42">
        <v>660</v>
      </c>
      <c r="N42" s="1">
        <v>1016390.78372105</v>
      </c>
      <c r="O42" s="1">
        <f t="shared" si="2"/>
        <v>0.4700049756792386</v>
      </c>
      <c r="Q42">
        <v>660</v>
      </c>
      <c r="R42">
        <v>0.4700049756792386</v>
      </c>
    </row>
    <row r="43" spans="3:18">
      <c r="C43" s="8">
        <v>45287.111109201389</v>
      </c>
      <c r="D43">
        <v>2420</v>
      </c>
      <c r="E43" s="1">
        <v>1047876.03321692</v>
      </c>
      <c r="F43">
        <f t="shared" si="1"/>
        <v>53.302101232586466</v>
      </c>
      <c r="G43" s="56"/>
      <c r="I43">
        <v>2420</v>
      </c>
      <c r="J43">
        <v>2420</v>
      </c>
      <c r="K43">
        <v>53.302101232586466</v>
      </c>
      <c r="M43">
        <v>680</v>
      </c>
      <c r="N43" s="1">
        <v>1043827.17404728</v>
      </c>
      <c r="O43" s="1">
        <f t="shared" si="2"/>
        <v>0.48269226109597158</v>
      </c>
      <c r="Q43">
        <v>680</v>
      </c>
      <c r="R43">
        <v>0.48269226109597158</v>
      </c>
    </row>
    <row r="44" spans="3:18">
      <c r="C44" s="8">
        <v>45287.124998032406</v>
      </c>
      <c r="D44">
        <v>2440</v>
      </c>
      <c r="E44" s="1">
        <v>1020270.27072798</v>
      </c>
      <c r="F44">
        <f t="shared" si="1"/>
        <v>51.897884416718504</v>
      </c>
      <c r="G44" s="56"/>
      <c r="I44">
        <v>2440</v>
      </c>
      <c r="J44">
        <v>2440</v>
      </c>
      <c r="K44">
        <v>51.897884416718504</v>
      </c>
      <c r="M44">
        <v>700</v>
      </c>
      <c r="N44" s="1">
        <v>1020167.66617084</v>
      </c>
      <c r="O44" s="1">
        <f t="shared" si="2"/>
        <v>0.47175150228336427</v>
      </c>
      <c r="Q44">
        <v>700</v>
      </c>
      <c r="R44">
        <v>0.47175150228336427</v>
      </c>
    </row>
    <row r="45" spans="3:18">
      <c r="C45" s="8">
        <v>45287.138886863424</v>
      </c>
      <c r="D45">
        <v>2460</v>
      </c>
      <c r="E45" s="1">
        <v>1033717.91780471</v>
      </c>
      <c r="F45">
        <f t="shared" si="1"/>
        <v>52.58192319907662</v>
      </c>
      <c r="G45" s="56"/>
      <c r="I45">
        <v>2460</v>
      </c>
      <c r="J45">
        <v>2460</v>
      </c>
      <c r="K45">
        <v>52.58192319907662</v>
      </c>
    </row>
    <row r="46" spans="3:18">
      <c r="C46" s="8">
        <v>45287.152775694442</v>
      </c>
      <c r="D46">
        <v>2480</v>
      </c>
      <c r="E46" s="1">
        <v>1030969.47385542</v>
      </c>
      <c r="F46">
        <f t="shared" si="1"/>
        <v>52.442118648754573</v>
      </c>
      <c r="G46" s="56"/>
      <c r="I46">
        <v>2480</v>
      </c>
      <c r="J46">
        <v>2480</v>
      </c>
      <c r="K46">
        <v>52.442118648754573</v>
      </c>
    </row>
    <row r="47" spans="3:18">
      <c r="C47" s="8">
        <v>45287.166664525466</v>
      </c>
      <c r="D47">
        <v>2500</v>
      </c>
      <c r="E47" s="1">
        <v>1022876.0758632401</v>
      </c>
      <c r="F47">
        <f t="shared" si="1"/>
        <v>52.030433386929822</v>
      </c>
      <c r="G47" s="56"/>
      <c r="I47">
        <v>2500</v>
      </c>
      <c r="J47">
        <v>2500</v>
      </c>
      <c r="K47">
        <v>52.030433386929822</v>
      </c>
    </row>
    <row r="48" spans="3:18">
      <c r="C48" s="8">
        <v>45287.180553356484</v>
      </c>
      <c r="D48">
        <v>2520</v>
      </c>
      <c r="E48" s="1">
        <v>1016550.0494261699</v>
      </c>
      <c r="F48">
        <f t="shared" si="1"/>
        <v>51.708648661580618</v>
      </c>
      <c r="G48" s="56"/>
      <c r="I48">
        <v>2520</v>
      </c>
      <c r="J48">
        <v>2520</v>
      </c>
      <c r="K48">
        <v>51.708648661580618</v>
      </c>
    </row>
    <row r="49" spans="3:11">
      <c r="C49" s="8">
        <v>45287.194442187501</v>
      </c>
      <c r="D49">
        <v>2540</v>
      </c>
      <c r="E49" s="1">
        <v>1015508.25260011</v>
      </c>
      <c r="F49">
        <f t="shared" si="1"/>
        <v>51.655655790166271</v>
      </c>
      <c r="G49" s="56"/>
      <c r="I49">
        <v>2540</v>
      </c>
      <c r="J49">
        <v>2540</v>
      </c>
      <c r="K49">
        <v>51.655655790166271</v>
      </c>
    </row>
    <row r="50" spans="3:11">
      <c r="C50" s="8">
        <v>45287.208331018519</v>
      </c>
      <c r="D50">
        <v>2560</v>
      </c>
      <c r="E50" s="1">
        <v>1031138.7413538099</v>
      </c>
      <c r="F50">
        <f t="shared" si="1"/>
        <v>52.45072874484282</v>
      </c>
      <c r="G50" s="56"/>
      <c r="I50">
        <v>2560</v>
      </c>
      <c r="J50">
        <v>2560</v>
      </c>
      <c r="K50">
        <v>52.45072874484282</v>
      </c>
    </row>
    <row r="51" spans="3:11">
      <c r="C51" s="8">
        <v>45287.222219849536</v>
      </c>
      <c r="D51">
        <v>2580</v>
      </c>
      <c r="E51" s="1">
        <v>1021023.91320726</v>
      </c>
      <c r="F51">
        <f t="shared" si="1"/>
        <v>51.936219798433882</v>
      </c>
      <c r="G51" s="56"/>
      <c r="I51">
        <v>2580</v>
      </c>
      <c r="J51">
        <v>2580</v>
      </c>
      <c r="K51">
        <v>51.936219798433882</v>
      </c>
    </row>
    <row r="52" spans="3:11">
      <c r="C52" s="8">
        <v>45287.236108680554</v>
      </c>
      <c r="D52">
        <v>2600</v>
      </c>
      <c r="E52" s="1">
        <v>1012978.06072239</v>
      </c>
      <c r="F52">
        <f t="shared" si="1"/>
        <v>51.526953024448773</v>
      </c>
      <c r="G52" s="56"/>
      <c r="I52">
        <v>2600</v>
      </c>
      <c r="J52">
        <v>2600</v>
      </c>
      <c r="K52">
        <v>51.526953024448773</v>
      </c>
    </row>
    <row r="53" spans="3:11">
      <c r="C53" s="8">
        <v>45287.249997511572</v>
      </c>
      <c r="D53">
        <v>2620</v>
      </c>
      <c r="E53" s="1">
        <v>1019589.49356948</v>
      </c>
      <c r="F53">
        <f t="shared" si="1"/>
        <v>51.863255460745727</v>
      </c>
      <c r="G53" s="56"/>
      <c r="I53">
        <v>2620</v>
      </c>
      <c r="J53">
        <v>2620</v>
      </c>
      <c r="K53">
        <v>51.863255460745727</v>
      </c>
    </row>
    <row r="54" spans="3:11">
      <c r="C54" s="8">
        <v>45287.263886342589</v>
      </c>
      <c r="D54">
        <v>2640</v>
      </c>
      <c r="E54" s="1">
        <v>1006245.62740037</v>
      </c>
      <c r="F54">
        <f t="shared" si="1"/>
        <v>51.184495681121348</v>
      </c>
      <c r="G54" s="56"/>
      <c r="I54">
        <v>2640</v>
      </c>
      <c r="J54">
        <v>2640</v>
      </c>
      <c r="K54">
        <v>51.184495681121348</v>
      </c>
    </row>
    <row r="55" spans="3:11">
      <c r="C55" s="8">
        <v>45287.277775173614</v>
      </c>
      <c r="D55">
        <v>2660</v>
      </c>
      <c r="E55" s="1">
        <v>987855.12221861095</v>
      </c>
      <c r="F55">
        <f t="shared" si="1"/>
        <v>50.249029521152778</v>
      </c>
      <c r="I55">
        <v>2660</v>
      </c>
      <c r="J55">
        <v>2660</v>
      </c>
      <c r="K55">
        <v>50.249029521152778</v>
      </c>
    </row>
    <row r="56" spans="3:11">
      <c r="C56" s="8">
        <v>45287.291664004631</v>
      </c>
      <c r="D56">
        <v>2680</v>
      </c>
      <c r="E56" s="1">
        <v>962270.44241659204</v>
      </c>
      <c r="F56">
        <f t="shared" si="1"/>
        <v>48.94761871531157</v>
      </c>
      <c r="I56">
        <v>2680</v>
      </c>
      <c r="J56">
        <v>2680</v>
      </c>
      <c r="K56">
        <v>48.94761871531157</v>
      </c>
    </row>
    <row r="57" spans="3:11">
      <c r="C57" s="8">
        <v>45287.305552835649</v>
      </c>
      <c r="D57">
        <v>2700</v>
      </c>
      <c r="E57" s="1">
        <v>981576.38748047</v>
      </c>
      <c r="F57">
        <f t="shared" si="1"/>
        <v>49.929650373222913</v>
      </c>
      <c r="I57">
        <v>2700</v>
      </c>
      <c r="J57">
        <v>2700</v>
      </c>
      <c r="K57">
        <v>49.929650373222913</v>
      </c>
    </row>
    <row r="58" spans="3:11">
      <c r="C58" s="8">
        <v>45287.319441666667</v>
      </c>
      <c r="D58">
        <v>2720</v>
      </c>
      <c r="E58" s="1">
        <v>994939.65452372201</v>
      </c>
      <c r="F58">
        <f t="shared" si="1"/>
        <v>50.609397013243687</v>
      </c>
      <c r="I58">
        <v>2720</v>
      </c>
      <c r="J58">
        <v>2720</v>
      </c>
      <c r="K58">
        <v>50.609397013243687</v>
      </c>
    </row>
    <row r="59" spans="3:11">
      <c r="C59" s="8">
        <v>45287.333330497684</v>
      </c>
      <c r="D59">
        <v>2740</v>
      </c>
      <c r="E59" s="1">
        <v>982273.31570524501</v>
      </c>
      <c r="F59">
        <f t="shared" si="1"/>
        <v>49.965100882263343</v>
      </c>
      <c r="I59">
        <v>2740</v>
      </c>
      <c r="J59">
        <v>2740</v>
      </c>
      <c r="K59">
        <v>49.965100882263343</v>
      </c>
    </row>
    <row r="60" spans="3:11">
      <c r="C60" s="8">
        <v>45287.347219328702</v>
      </c>
      <c r="D60">
        <v>2760</v>
      </c>
      <c r="E60" s="1">
        <v>999516.00250606099</v>
      </c>
      <c r="F60">
        <f t="shared" si="1"/>
        <v>50.842181193526287</v>
      </c>
      <c r="I60">
        <v>2760</v>
      </c>
      <c r="J60">
        <v>2760</v>
      </c>
      <c r="K60">
        <v>50.842181193526287</v>
      </c>
    </row>
    <row r="61" spans="3:11">
      <c r="C61" s="8">
        <v>45287.361108159719</v>
      </c>
      <c r="D61">
        <v>2780</v>
      </c>
      <c r="E61" s="1">
        <v>1001732.90197184</v>
      </c>
      <c r="F61">
        <f t="shared" si="1"/>
        <v>50.954947776596867</v>
      </c>
      <c r="I61">
        <v>2780</v>
      </c>
      <c r="J61">
        <v>2780</v>
      </c>
      <c r="K61">
        <v>50.954947776596867</v>
      </c>
    </row>
    <row r="62" spans="3:11">
      <c r="C62" s="8">
        <v>45287.374996990744</v>
      </c>
      <c r="D62">
        <v>2800</v>
      </c>
      <c r="E62" s="1">
        <v>979508.85333410196</v>
      </c>
      <c r="F62">
        <f t="shared" si="1"/>
        <v>49.824481526071004</v>
      </c>
      <c r="I62">
        <v>2800</v>
      </c>
      <c r="J62">
        <v>2800</v>
      </c>
      <c r="K62">
        <v>49.824481526071004</v>
      </c>
    </row>
    <row r="63" spans="3:11">
      <c r="C63" s="8">
        <v>45287.388885821762</v>
      </c>
      <c r="D63">
        <v>2820</v>
      </c>
      <c r="E63" s="1">
        <v>1007901.42904789</v>
      </c>
      <c r="F63">
        <f t="shared" si="1"/>
        <v>51.268721013354835</v>
      </c>
      <c r="I63">
        <v>2820</v>
      </c>
      <c r="J63">
        <v>2820</v>
      </c>
      <c r="K63">
        <v>51.268721013354835</v>
      </c>
    </row>
    <row r="64" spans="3:11">
      <c r="C64" s="8">
        <v>45287.402774652779</v>
      </c>
      <c r="D64">
        <v>2840</v>
      </c>
      <c r="E64" s="1">
        <v>987377.98253564397</v>
      </c>
      <c r="F64">
        <f t="shared" si="1"/>
        <v>50.224758952042123</v>
      </c>
      <c r="I64">
        <v>2840</v>
      </c>
      <c r="J64">
        <v>2840</v>
      </c>
      <c r="K64">
        <v>50.224758952042123</v>
      </c>
    </row>
    <row r="65" spans="1:11">
      <c r="C65" s="8">
        <v>45287.416663483797</v>
      </c>
      <c r="D65">
        <v>2860</v>
      </c>
      <c r="E65" s="1">
        <v>986227.49981800199</v>
      </c>
      <c r="F65">
        <f t="shared" si="1"/>
        <v>50.166237577052911</v>
      </c>
      <c r="I65">
        <v>2860</v>
      </c>
      <c r="J65">
        <v>2860</v>
      </c>
      <c r="K65">
        <v>50.166237577052911</v>
      </c>
    </row>
    <row r="66" spans="1:11">
      <c r="C66" s="8">
        <v>45287.430552314814</v>
      </c>
      <c r="D66">
        <v>2880</v>
      </c>
      <c r="E66" s="1">
        <v>1013455.14242801</v>
      </c>
      <c r="F66">
        <f t="shared" si="1"/>
        <v>51.551220644437286</v>
      </c>
      <c r="I66">
        <v>2880</v>
      </c>
      <c r="J66">
        <v>2880</v>
      </c>
      <c r="K66">
        <v>51.551220644437286</v>
      </c>
    </row>
    <row r="67" spans="1:11">
      <c r="C67" s="8">
        <v>45287.444441145832</v>
      </c>
      <c r="D67">
        <v>2900</v>
      </c>
      <c r="E67" s="1">
        <v>971950.41312748997</v>
      </c>
      <c r="F67">
        <f t="shared" si="1"/>
        <v>49.440007855252844</v>
      </c>
      <c r="I67">
        <v>2900</v>
      </c>
      <c r="J67">
        <v>2900</v>
      </c>
      <c r="K67">
        <v>49.440007855252844</v>
      </c>
    </row>
    <row r="68" spans="1:11">
      <c r="C68" s="8">
        <v>45287.458329976849</v>
      </c>
      <c r="D68">
        <v>2920</v>
      </c>
      <c r="E68" s="1">
        <v>990099.31841810304</v>
      </c>
      <c r="F68">
        <f t="shared" si="1"/>
        <v>50.363184601734105</v>
      </c>
      <c r="I68">
        <v>2920</v>
      </c>
      <c r="J68">
        <v>2920</v>
      </c>
      <c r="K68">
        <v>50.363184601734105</v>
      </c>
    </row>
    <row r="69" spans="1:11">
      <c r="C69" s="8">
        <v>45287.472218807867</v>
      </c>
      <c r="D69">
        <v>2940</v>
      </c>
      <c r="E69" s="1">
        <v>992849.10345256305</v>
      </c>
      <c r="F69">
        <f t="shared" si="1"/>
        <v>50.503057368768083</v>
      </c>
      <c r="I69">
        <v>2940</v>
      </c>
      <c r="J69">
        <v>2940</v>
      </c>
      <c r="K69">
        <v>50.503057368768083</v>
      </c>
    </row>
    <row r="70" spans="1:11">
      <c r="C70" s="8">
        <v>45287.486107638892</v>
      </c>
      <c r="D70">
        <v>2960</v>
      </c>
      <c r="E70" s="1">
        <v>994974.546006875</v>
      </c>
      <c r="F70">
        <f t="shared" si="1"/>
        <v>50.611171831359783</v>
      </c>
      <c r="I70">
        <v>2960</v>
      </c>
      <c r="J70">
        <v>2960</v>
      </c>
      <c r="K70">
        <v>50.611171831359783</v>
      </c>
    </row>
    <row r="71" spans="1:11">
      <c r="C71" s="8">
        <v>45287.499996469909</v>
      </c>
      <c r="D71">
        <v>2980</v>
      </c>
      <c r="E71" s="1">
        <v>990539.53110398503</v>
      </c>
      <c r="F71">
        <f t="shared" si="1"/>
        <v>50.385576812647365</v>
      </c>
      <c r="I71">
        <v>2980</v>
      </c>
      <c r="J71">
        <v>2980</v>
      </c>
      <c r="K71">
        <v>50.385576812647365</v>
      </c>
    </row>
    <row r="72" spans="1:11">
      <c r="C72" s="8">
        <v>45287.513885300927</v>
      </c>
      <c r="D72">
        <v>3000</v>
      </c>
      <c r="E72" s="1">
        <v>1036916.59378565</v>
      </c>
      <c r="F72">
        <f t="shared" si="1"/>
        <v>52.744629612375242</v>
      </c>
      <c r="I72">
        <v>3000</v>
      </c>
      <c r="J72">
        <v>3000</v>
      </c>
      <c r="K72">
        <v>52.744629612375242</v>
      </c>
    </row>
    <row r="73" spans="1:11">
      <c r="C73" s="8">
        <v>45287.527774131944</v>
      </c>
      <c r="D73">
        <v>3020</v>
      </c>
      <c r="E73" s="1">
        <v>1000477.20741304</v>
      </c>
      <c r="F73">
        <f t="shared" si="1"/>
        <v>50.891074611862962</v>
      </c>
      <c r="I73">
        <v>3020</v>
      </c>
      <c r="J73">
        <v>3020</v>
      </c>
      <c r="K73">
        <v>50.891074611862962</v>
      </c>
    </row>
    <row r="74" spans="1:11">
      <c r="C74" s="8">
        <v>45287.541662962962</v>
      </c>
      <c r="D74">
        <v>3040</v>
      </c>
      <c r="E74" s="1">
        <v>1001248.7522512</v>
      </c>
      <c r="F74">
        <f t="shared" si="1"/>
        <v>50.930320629297718</v>
      </c>
      <c r="I74">
        <v>3040</v>
      </c>
      <c r="J74">
        <v>3040</v>
      </c>
      <c r="K74">
        <v>50.930320629297718</v>
      </c>
    </row>
    <row r="75" spans="1:11">
      <c r="C75" s="8">
        <v>45287.555551793979</v>
      </c>
      <c r="D75">
        <v>3060</v>
      </c>
      <c r="E75" s="1">
        <v>1006633.60568443</v>
      </c>
      <c r="F75">
        <f>E75*1.1/1091140*50.45709164</f>
        <v>51.20423089513281</v>
      </c>
      <c r="I75">
        <v>3060</v>
      </c>
      <c r="J75">
        <v>3060</v>
      </c>
      <c r="K75">
        <v>51.20423089513281</v>
      </c>
    </row>
    <row r="76" spans="1:11">
      <c r="C76" s="8">
        <v>45287.569440624997</v>
      </c>
      <c r="D76">
        <v>3080</v>
      </c>
      <c r="E76" s="1">
        <v>1013648.28613069</v>
      </c>
      <c r="F76">
        <f>E76*1.1/1091140*50.45709164</f>
        <v>51.561045246648185</v>
      </c>
      <c r="I76">
        <v>3080</v>
      </c>
      <c r="J76">
        <v>3080</v>
      </c>
      <c r="K76">
        <v>51.561045246648185</v>
      </c>
    </row>
    <row r="77" spans="1:11">
      <c r="C77" s="8">
        <v>45287.583329456022</v>
      </c>
      <c r="D77">
        <v>3100</v>
      </c>
      <c r="E77" s="1">
        <v>1003879.60686223</v>
      </c>
      <c r="F77">
        <f>E77*1.1/1091140*50.45709164</f>
        <v>51.064143786198088</v>
      </c>
      <c r="I77">
        <v>3100</v>
      </c>
      <c r="J77">
        <v>3100</v>
      </c>
      <c r="K77">
        <v>51.064143786198088</v>
      </c>
    </row>
    <row r="78" spans="1:11">
      <c r="C78" s="8">
        <v>45287.597218287039</v>
      </c>
      <c r="D78">
        <v>3120</v>
      </c>
      <c r="E78" s="1">
        <v>1005884.29005908</v>
      </c>
      <c r="F78">
        <f>E78*1.1/1091140*50.45709164</f>
        <v>51.166115606633504</v>
      </c>
      <c r="I78">
        <v>3120</v>
      </c>
      <c r="J78">
        <v>3120</v>
      </c>
      <c r="K78">
        <v>51.166115606633504</v>
      </c>
    </row>
    <row r="79" spans="1:11">
      <c r="C79" s="8">
        <v>45287.611107118057</v>
      </c>
      <c r="D79">
        <v>3140</v>
      </c>
      <c r="E79" s="1">
        <v>995383.73779672</v>
      </c>
      <c r="F79">
        <f>E79*1.1/1091140*50.45709164</f>
        <v>50.631986108539991</v>
      </c>
      <c r="I79">
        <v>3140</v>
      </c>
      <c r="J79">
        <v>3140</v>
      </c>
      <c r="K79">
        <v>50.631986108539991</v>
      </c>
    </row>
    <row r="80" spans="1:11">
      <c r="A80" t="s">
        <v>259</v>
      </c>
      <c r="B80" t="s">
        <v>260</v>
      </c>
      <c r="C80" s="8">
        <v>45287.624995949074</v>
      </c>
      <c r="D80">
        <v>3200</v>
      </c>
      <c r="E80" s="1">
        <v>1007459.73044224</v>
      </c>
      <c r="F80">
        <f>E80*1.09/1091140*50.45709164</f>
        <v>50.780378189198323</v>
      </c>
      <c r="I80">
        <v>3200</v>
      </c>
      <c r="J80">
        <v>3200</v>
      </c>
      <c r="K80">
        <v>50.780378189198323</v>
      </c>
    </row>
    <row r="81" spans="3:11">
      <c r="C81" s="8">
        <v>45287.638884780092</v>
      </c>
      <c r="D81">
        <v>3220</v>
      </c>
      <c r="E81" s="1">
        <v>993954.11378180794</v>
      </c>
      <c r="F81">
        <f t="shared" ref="F81:F125" si="3">E81*1.09/1091140*50.45709164</f>
        <v>50.099636020581784</v>
      </c>
      <c r="I81">
        <v>3220</v>
      </c>
      <c r="J81">
        <v>3220</v>
      </c>
      <c r="K81">
        <v>50.099636020581784</v>
      </c>
    </row>
    <row r="82" spans="3:11">
      <c r="C82" s="8">
        <v>45287.652773611109</v>
      </c>
      <c r="D82">
        <v>3240</v>
      </c>
      <c r="E82" s="1">
        <v>1002333.28809103</v>
      </c>
      <c r="F82">
        <f t="shared" si="3"/>
        <v>50.521983065806829</v>
      </c>
      <c r="I82">
        <v>3240</v>
      </c>
      <c r="J82">
        <v>3240</v>
      </c>
      <c r="K82">
        <v>50.521983065806829</v>
      </c>
    </row>
    <row r="83" spans="3:11">
      <c r="C83" s="8">
        <v>45287.666662442127</v>
      </c>
      <c r="D83">
        <v>3260</v>
      </c>
      <c r="E83" s="1">
        <v>998596.69056285103</v>
      </c>
      <c r="F83">
        <f t="shared" si="3"/>
        <v>50.33364220225841</v>
      </c>
      <c r="I83">
        <v>3260</v>
      </c>
      <c r="J83">
        <v>3260</v>
      </c>
      <c r="K83">
        <v>50.33364220225841</v>
      </c>
    </row>
    <row r="84" spans="3:11">
      <c r="C84" s="8">
        <v>45287.680551273152</v>
      </c>
      <c r="D84">
        <v>3280</v>
      </c>
      <c r="E84" s="1">
        <v>1032535.74752069</v>
      </c>
      <c r="F84">
        <f t="shared" si="3"/>
        <v>52.044319160976428</v>
      </c>
      <c r="I84">
        <v>3280</v>
      </c>
      <c r="J84">
        <v>3280</v>
      </c>
      <c r="K84">
        <v>52.044319160976428</v>
      </c>
    </row>
    <row r="85" spans="3:11">
      <c r="C85" s="8">
        <v>45287.694440104169</v>
      </c>
      <c r="D85">
        <v>3300</v>
      </c>
      <c r="E85" s="1">
        <v>1047316.13095664</v>
      </c>
      <c r="F85">
        <f t="shared" si="3"/>
        <v>52.789315152359073</v>
      </c>
      <c r="I85">
        <v>3300</v>
      </c>
      <c r="J85">
        <v>3300</v>
      </c>
      <c r="K85">
        <v>52.789315152359073</v>
      </c>
    </row>
    <row r="86" spans="3:11">
      <c r="C86" s="8">
        <v>45287.708328935187</v>
      </c>
      <c r="D86">
        <v>3320</v>
      </c>
      <c r="E86" s="1">
        <v>1032978.69591896</v>
      </c>
      <c r="F86">
        <f t="shared" si="3"/>
        <v>52.06664569820942</v>
      </c>
      <c r="I86">
        <v>3320</v>
      </c>
      <c r="J86">
        <v>3320</v>
      </c>
      <c r="K86">
        <v>52.06664569820942</v>
      </c>
    </row>
    <row r="87" spans="3:11">
      <c r="C87" s="8">
        <v>45287.722217766204</v>
      </c>
      <c r="D87">
        <v>3340</v>
      </c>
      <c r="E87" s="1">
        <v>1012324.98185755</v>
      </c>
      <c r="F87">
        <f t="shared" si="3"/>
        <v>51.025608146674152</v>
      </c>
      <c r="I87">
        <v>3340</v>
      </c>
      <c r="J87">
        <v>3340</v>
      </c>
      <c r="K87">
        <v>51.025608146674152</v>
      </c>
    </row>
    <row r="88" spans="3:11">
      <c r="C88" s="8">
        <v>45287.736106597222</v>
      </c>
      <c r="D88">
        <v>3360</v>
      </c>
      <c r="E88" s="1">
        <v>1060066.7355134899</v>
      </c>
      <c r="F88">
        <f t="shared" si="3"/>
        <v>53.432001407673255</v>
      </c>
      <c r="I88">
        <v>3360</v>
      </c>
      <c r="J88">
        <v>3360</v>
      </c>
      <c r="K88">
        <v>53.432001407673255</v>
      </c>
    </row>
    <row r="89" spans="3:11">
      <c r="C89" s="8">
        <v>45287.749995428239</v>
      </c>
      <c r="D89">
        <v>3380</v>
      </c>
      <c r="E89" s="1">
        <v>1016848.06440369</v>
      </c>
      <c r="F89">
        <f t="shared" si="3"/>
        <v>51.253591296107956</v>
      </c>
      <c r="I89">
        <v>3380</v>
      </c>
      <c r="J89">
        <v>3380</v>
      </c>
      <c r="K89">
        <v>51.253591296107956</v>
      </c>
    </row>
    <row r="90" spans="3:11">
      <c r="C90" s="8">
        <v>45287.763884259257</v>
      </c>
      <c r="D90">
        <v>3400</v>
      </c>
      <c r="E90" s="1">
        <v>1046342.33342651</v>
      </c>
      <c r="F90">
        <f t="shared" si="3"/>
        <v>52.740231496342368</v>
      </c>
      <c r="I90">
        <v>3400</v>
      </c>
      <c r="J90">
        <v>3400</v>
      </c>
      <c r="K90">
        <v>52.740231496342368</v>
      </c>
    </row>
    <row r="91" spans="3:11">
      <c r="C91" s="8">
        <v>45287.777773090274</v>
      </c>
      <c r="D91">
        <v>3420</v>
      </c>
      <c r="E91" s="1">
        <v>1047073.80210983</v>
      </c>
      <c r="F91">
        <f t="shared" si="3"/>
        <v>52.777100718257806</v>
      </c>
      <c r="I91">
        <v>3420</v>
      </c>
      <c r="J91">
        <v>3420</v>
      </c>
      <c r="K91">
        <v>52.777100718257806</v>
      </c>
    </row>
    <row r="92" spans="3:11">
      <c r="C92" s="8">
        <v>45287.791661921299</v>
      </c>
      <c r="D92">
        <v>3440</v>
      </c>
      <c r="E92" s="1">
        <v>1020332.06426124</v>
      </c>
      <c r="F92">
        <f t="shared" si="3"/>
        <v>51.429200131907123</v>
      </c>
      <c r="I92">
        <v>3440</v>
      </c>
      <c r="J92">
        <v>3440</v>
      </c>
      <c r="K92">
        <v>51.429200131907123</v>
      </c>
    </row>
    <row r="93" spans="3:11">
      <c r="C93" s="8">
        <v>45287.805550752317</v>
      </c>
      <c r="D93">
        <v>3460</v>
      </c>
      <c r="E93" s="1">
        <v>1013194.96352838</v>
      </c>
      <c r="F93">
        <f t="shared" si="3"/>
        <v>51.06945902917348</v>
      </c>
      <c r="I93">
        <v>3460</v>
      </c>
      <c r="J93">
        <v>3460</v>
      </c>
      <c r="K93">
        <v>51.06945902917348</v>
      </c>
    </row>
    <row r="94" spans="3:11">
      <c r="C94" s="8">
        <v>45287.819439583334</v>
      </c>
      <c r="D94">
        <v>3480</v>
      </c>
      <c r="E94" s="1">
        <v>1018891.90249897</v>
      </c>
      <c r="F94">
        <f t="shared" si="3"/>
        <v>51.356609678182892</v>
      </c>
      <c r="G94" s="56"/>
      <c r="J94">
        <v>3480</v>
      </c>
      <c r="K94">
        <v>51.356609678182892</v>
      </c>
    </row>
    <row r="95" spans="3:11">
      <c r="C95" s="8">
        <v>45287.833328414352</v>
      </c>
      <c r="D95">
        <v>3500</v>
      </c>
      <c r="E95" s="1">
        <v>1073238.5346937</v>
      </c>
      <c r="F95">
        <f t="shared" si="3"/>
        <v>54.095917714789209</v>
      </c>
      <c r="G95" s="56"/>
      <c r="J95">
        <v>3500</v>
      </c>
      <c r="K95">
        <v>54.095917714789209</v>
      </c>
    </row>
    <row r="96" spans="3:11">
      <c r="C96" s="8">
        <v>45287.847217245369</v>
      </c>
      <c r="D96">
        <v>3520</v>
      </c>
      <c r="E96" s="1">
        <v>1062592.2001477501</v>
      </c>
      <c r="F96">
        <f t="shared" si="3"/>
        <v>53.559295874495142</v>
      </c>
      <c r="G96" s="56"/>
      <c r="J96">
        <v>3520</v>
      </c>
      <c r="K96">
        <v>53.559295874495142</v>
      </c>
    </row>
    <row r="97" spans="3:11">
      <c r="C97" s="8">
        <v>45287.861106076387</v>
      </c>
      <c r="D97">
        <v>3540</v>
      </c>
      <c r="E97" s="1">
        <v>1044543.53257843</v>
      </c>
      <c r="F97">
        <f t="shared" si="3"/>
        <v>52.649564063597978</v>
      </c>
      <c r="G97" s="56"/>
      <c r="J97">
        <v>3540</v>
      </c>
      <c r="K97">
        <v>52.649564063597978</v>
      </c>
    </row>
    <row r="98" spans="3:11">
      <c r="C98" s="8">
        <v>45287.874994907404</v>
      </c>
      <c r="D98">
        <v>3560</v>
      </c>
      <c r="E98" s="1">
        <v>1056343.8894002</v>
      </c>
      <c r="F98">
        <f t="shared" si="3"/>
        <v>53.244353675599569</v>
      </c>
      <c r="G98" s="56"/>
      <c r="J98">
        <v>3560</v>
      </c>
      <c r="K98">
        <v>53.244353675599569</v>
      </c>
    </row>
    <row r="99" spans="3:11">
      <c r="C99" s="8">
        <v>45287.888883738429</v>
      </c>
      <c r="D99">
        <v>3580</v>
      </c>
      <c r="E99" s="1">
        <v>1043975.52526637</v>
      </c>
      <c r="F99">
        <f t="shared" si="3"/>
        <v>52.620934009960038</v>
      </c>
      <c r="G99" s="56"/>
      <c r="J99">
        <v>3580</v>
      </c>
      <c r="K99">
        <v>52.620934009960038</v>
      </c>
    </row>
    <row r="100" spans="3:11">
      <c r="C100" s="8">
        <v>45287.902772569447</v>
      </c>
      <c r="D100">
        <v>3600</v>
      </c>
      <c r="E100" s="1">
        <v>1044927.3671795001</v>
      </c>
      <c r="F100">
        <f t="shared" si="3"/>
        <v>52.668911006821091</v>
      </c>
      <c r="G100" s="56"/>
      <c r="J100">
        <v>3600</v>
      </c>
      <c r="K100">
        <v>52.668911006821091</v>
      </c>
    </row>
    <row r="101" spans="3:11">
      <c r="C101" s="8">
        <v>45287.916661400464</v>
      </c>
      <c r="D101">
        <v>3620</v>
      </c>
      <c r="E101" s="1">
        <v>1040352.43124694</v>
      </c>
      <c r="F101">
        <f t="shared" si="3"/>
        <v>52.438314219846028</v>
      </c>
      <c r="G101" s="56"/>
      <c r="J101">
        <v>3620</v>
      </c>
      <c r="K101">
        <v>52.438314219846028</v>
      </c>
    </row>
    <row r="102" spans="3:11">
      <c r="C102" s="8">
        <v>45287.930550231482</v>
      </c>
      <c r="D102">
        <v>3640</v>
      </c>
      <c r="E102" s="1">
        <v>1063043.52410753</v>
      </c>
      <c r="F102">
        <f t="shared" si="3"/>
        <v>53.582044576672466</v>
      </c>
      <c r="G102" s="56"/>
      <c r="J102">
        <v>3640</v>
      </c>
      <c r="K102">
        <v>53.582044576672466</v>
      </c>
    </row>
    <row r="103" spans="3:11">
      <c r="C103" s="8">
        <v>45287.944439062499</v>
      </c>
      <c r="D103">
        <v>3660</v>
      </c>
      <c r="E103" s="1">
        <v>1055401.3332307499</v>
      </c>
      <c r="F103">
        <f t="shared" si="3"/>
        <v>53.196844720846393</v>
      </c>
      <c r="G103" s="56"/>
      <c r="J103">
        <v>3660</v>
      </c>
      <c r="K103">
        <v>53.196844720846393</v>
      </c>
    </row>
    <row r="104" spans="3:11">
      <c r="C104" s="8">
        <v>45287.958327893517</v>
      </c>
      <c r="D104">
        <v>3680</v>
      </c>
      <c r="E104" s="1">
        <v>1025004.60215734</v>
      </c>
      <c r="F104">
        <f t="shared" si="3"/>
        <v>51.664716484866638</v>
      </c>
      <c r="G104" s="56"/>
      <c r="J104">
        <v>3680</v>
      </c>
      <c r="K104">
        <v>51.664716484866638</v>
      </c>
    </row>
    <row r="105" spans="3:11">
      <c r="C105" s="8">
        <v>45287.972216724535</v>
      </c>
      <c r="D105">
        <v>3700</v>
      </c>
      <c r="E105" s="1">
        <v>1046196.6900883</v>
      </c>
      <c r="F105">
        <f t="shared" si="3"/>
        <v>52.732890434886947</v>
      </c>
      <c r="G105" s="56"/>
      <c r="J105">
        <v>3700</v>
      </c>
      <c r="K105">
        <v>52.732890434886947</v>
      </c>
    </row>
    <row r="106" spans="3:11">
      <c r="C106" s="8">
        <v>45287.986105555552</v>
      </c>
      <c r="D106">
        <v>3720</v>
      </c>
      <c r="E106" s="1">
        <v>1016227.93294739</v>
      </c>
      <c r="F106">
        <f t="shared" si="3"/>
        <v>51.222333957550013</v>
      </c>
      <c r="G106" s="56"/>
      <c r="J106">
        <v>3720</v>
      </c>
      <c r="K106">
        <v>51.222333957550013</v>
      </c>
    </row>
    <row r="107" spans="3:11">
      <c r="C107" s="8">
        <v>45287.999994386577</v>
      </c>
      <c r="D107">
        <v>3740</v>
      </c>
      <c r="E107" s="1">
        <v>1024848.73613064</v>
      </c>
      <c r="F107">
        <f t="shared" si="3"/>
        <v>51.65686015518564</v>
      </c>
      <c r="G107" s="56"/>
      <c r="J107">
        <v>3740</v>
      </c>
      <c r="K107">
        <v>51.65686015518564</v>
      </c>
    </row>
    <row r="108" spans="3:11">
      <c r="C108" s="8">
        <v>45288.013883217594</v>
      </c>
      <c r="D108">
        <v>3760</v>
      </c>
      <c r="E108" s="1">
        <v>1004046.17170232</v>
      </c>
      <c r="F108">
        <f t="shared" si="3"/>
        <v>50.608319893917283</v>
      </c>
      <c r="G108" s="56"/>
      <c r="J108">
        <v>3760</v>
      </c>
      <c r="K108">
        <v>50.608319893917283</v>
      </c>
    </row>
    <row r="109" spans="3:11">
      <c r="C109" s="8">
        <v>45288.027772048612</v>
      </c>
      <c r="D109">
        <v>3780</v>
      </c>
      <c r="E109" s="1">
        <v>1001661.3510209901</v>
      </c>
      <c r="F109">
        <f t="shared" si="3"/>
        <v>50.488114497659708</v>
      </c>
      <c r="G109" s="56"/>
      <c r="J109">
        <v>3780</v>
      </c>
      <c r="K109">
        <v>50.488114497659708</v>
      </c>
    </row>
    <row r="110" spans="3:11">
      <c r="C110" s="8">
        <v>45288.041660879629</v>
      </c>
      <c r="D110">
        <v>3800</v>
      </c>
      <c r="E110" s="1">
        <v>1009475.27170318</v>
      </c>
      <c r="F110">
        <f t="shared" si="3"/>
        <v>50.881970287019961</v>
      </c>
      <c r="G110" s="56"/>
      <c r="J110">
        <v>3800</v>
      </c>
      <c r="K110">
        <v>50.881970287019961</v>
      </c>
    </row>
    <row r="111" spans="3:11">
      <c r="C111" s="8">
        <v>45288.055549710647</v>
      </c>
      <c r="D111">
        <v>3820</v>
      </c>
      <c r="E111" s="1">
        <v>1006860.49856466</v>
      </c>
      <c r="F111">
        <f t="shared" si="3"/>
        <v>50.750174280846387</v>
      </c>
      <c r="G111" s="56"/>
      <c r="J111">
        <v>3820</v>
      </c>
      <c r="K111">
        <v>50.750174280846387</v>
      </c>
    </row>
    <row r="112" spans="3:11">
      <c r="C112" s="8">
        <v>45288.069438541665</v>
      </c>
      <c r="D112">
        <v>3840</v>
      </c>
      <c r="E112" s="1">
        <v>970025.82539338898</v>
      </c>
      <c r="F112">
        <f t="shared" si="3"/>
        <v>48.893545596252125</v>
      </c>
      <c r="G112" s="56"/>
      <c r="J112">
        <v>3840</v>
      </c>
      <c r="K112">
        <v>48.893545596252125</v>
      </c>
    </row>
    <row r="113" spans="3:7">
      <c r="C113" s="8">
        <v>45288.083327372682</v>
      </c>
      <c r="D113">
        <v>3860</v>
      </c>
      <c r="E113" s="1">
        <v>980508.13703820505</v>
      </c>
      <c r="F113">
        <f t="shared" si="3"/>
        <v>49.421899964706277</v>
      </c>
      <c r="G113" s="56"/>
    </row>
    <row r="114" spans="3:7">
      <c r="C114" s="8">
        <v>45288.097216203707</v>
      </c>
      <c r="D114">
        <v>3880</v>
      </c>
      <c r="E114" s="1">
        <v>999290.36696719099</v>
      </c>
      <c r="F114">
        <f t="shared" si="3"/>
        <v>50.368606527966847</v>
      </c>
      <c r="G114" s="56"/>
    </row>
    <row r="115" spans="3:7">
      <c r="C115" s="8">
        <v>45288.111105034724</v>
      </c>
      <c r="D115">
        <v>3900</v>
      </c>
      <c r="E115" s="1">
        <v>990093.61377463501</v>
      </c>
      <c r="F115">
        <f t="shared" si="3"/>
        <v>49.905049930001674</v>
      </c>
      <c r="G115" s="56"/>
    </row>
    <row r="116" spans="3:7">
      <c r="C116" s="8">
        <v>45288.124993865742</v>
      </c>
      <c r="D116">
        <v>3920</v>
      </c>
      <c r="E116" s="1">
        <v>981757.69440796704</v>
      </c>
      <c r="F116">
        <f t="shared" si="3"/>
        <v>49.484883123127666</v>
      </c>
      <c r="G116" s="56"/>
    </row>
    <row r="117" spans="3:7">
      <c r="C117" s="8">
        <v>45288.13888269676</v>
      </c>
      <c r="D117">
        <v>3940</v>
      </c>
      <c r="E117" s="1">
        <v>966568.98080196197</v>
      </c>
      <c r="F117">
        <f t="shared" si="3"/>
        <v>48.719305504673592</v>
      </c>
      <c r="G117" s="56"/>
    </row>
    <row r="118" spans="3:7">
      <c r="C118" s="8">
        <v>45288.152771527777</v>
      </c>
      <c r="D118">
        <v>3960</v>
      </c>
      <c r="E118" s="1">
        <v>955619.95698455197</v>
      </c>
      <c r="F118">
        <f t="shared" si="3"/>
        <v>48.16742680079075</v>
      </c>
      <c r="G118" s="56"/>
    </row>
    <row r="119" spans="3:7">
      <c r="C119" s="8">
        <v>45288.166660358795</v>
      </c>
      <c r="D119">
        <v>3980</v>
      </c>
      <c r="E119" s="1">
        <v>946058.20993621298</v>
      </c>
      <c r="F119">
        <f t="shared" si="3"/>
        <v>47.685472915595788</v>
      </c>
      <c r="G119" s="56"/>
    </row>
    <row r="120" spans="3:7">
      <c r="C120" s="8">
        <v>45288.180549189812</v>
      </c>
      <c r="D120">
        <v>4000</v>
      </c>
      <c r="E120" s="1">
        <v>940161.73465338396</v>
      </c>
      <c r="F120">
        <f t="shared" si="3"/>
        <v>47.388264763450707</v>
      </c>
      <c r="G120" s="56"/>
    </row>
    <row r="121" spans="3:7">
      <c r="C121" s="8">
        <v>45288.19443802083</v>
      </c>
      <c r="D121">
        <v>4020</v>
      </c>
      <c r="E121" s="1">
        <v>932819.10475092195</v>
      </c>
      <c r="F121">
        <f t="shared" si="3"/>
        <v>47.018164091350727</v>
      </c>
      <c r="G121" s="56"/>
    </row>
    <row r="122" spans="3:7">
      <c r="C122" s="8">
        <v>45288.208326851855</v>
      </c>
      <c r="D122">
        <v>4040</v>
      </c>
      <c r="E122" s="1">
        <v>920777.71479045495</v>
      </c>
      <c r="F122">
        <f t="shared" si="3"/>
        <v>46.411225354605676</v>
      </c>
      <c r="G122" s="56"/>
    </row>
    <row r="123" spans="3:7">
      <c r="C123" s="8">
        <v>45288.222215682872</v>
      </c>
      <c r="D123">
        <v>4060</v>
      </c>
      <c r="E123" s="1">
        <v>948021.29244734498</v>
      </c>
      <c r="F123">
        <f t="shared" si="3"/>
        <v>47.784420862912874</v>
      </c>
      <c r="G123" s="56"/>
    </row>
    <row r="124" spans="3:7">
      <c r="C124" s="8">
        <v>45288.23610451389</v>
      </c>
      <c r="D124">
        <v>4080</v>
      </c>
      <c r="E124" s="1">
        <v>951323.48901445302</v>
      </c>
      <c r="F124">
        <f t="shared" si="3"/>
        <v>47.950866017459362</v>
      </c>
      <c r="G124" s="56"/>
    </row>
    <row r="125" spans="3:7">
      <c r="C125" s="8">
        <v>45288.249993344907</v>
      </c>
      <c r="D125">
        <v>4100</v>
      </c>
      <c r="E125" s="1">
        <v>899252.02569093602</v>
      </c>
      <c r="F125">
        <f t="shared" si="3"/>
        <v>45.326236446138985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DCE3-3F5E-6849-B8CA-D4E64E7A5C38}">
  <dimension ref="A1:I25"/>
  <sheetViews>
    <sheetView workbookViewId="0">
      <selection activeCell="D12" sqref="D12"/>
    </sheetView>
  </sheetViews>
  <sheetFormatPr defaultColWidth="11.07421875" defaultRowHeight="20"/>
  <sheetData>
    <row r="1" spans="1:9">
      <c r="A1" t="s">
        <v>0</v>
      </c>
      <c r="C1" t="s">
        <v>72</v>
      </c>
      <c r="D1" t="s">
        <v>73</v>
      </c>
      <c r="E1" t="s">
        <v>76</v>
      </c>
      <c r="F1" t="s">
        <v>72</v>
      </c>
      <c r="G1" t="s">
        <v>73</v>
      </c>
      <c r="H1" t="s">
        <v>76</v>
      </c>
    </row>
    <row r="2" spans="1:9">
      <c r="A2" t="s">
        <v>71</v>
      </c>
      <c r="B2">
        <v>46</v>
      </c>
      <c r="C2" s="10" t="s">
        <v>75</v>
      </c>
      <c r="D2">
        <v>786820.5</v>
      </c>
      <c r="F2">
        <v>200.19499999999999</v>
      </c>
      <c r="G2">
        <v>899252</v>
      </c>
    </row>
    <row r="3" spans="1:9">
      <c r="A3" t="s">
        <v>74</v>
      </c>
      <c r="B3">
        <v>1</v>
      </c>
      <c r="C3" s="10" t="s">
        <v>75</v>
      </c>
      <c r="D3">
        <v>547083.80000000005</v>
      </c>
      <c r="E3">
        <f>D3/D2</f>
        <v>0.69530954010476342</v>
      </c>
      <c r="F3">
        <v>200.19499999999999</v>
      </c>
      <c r="G3">
        <v>635972.1</v>
      </c>
      <c r="H3">
        <f>G3/G2</f>
        <v>0.70722344793228142</v>
      </c>
    </row>
    <row r="4" spans="1:9">
      <c r="A4" t="s">
        <v>77</v>
      </c>
      <c r="B4">
        <v>1</v>
      </c>
      <c r="C4" s="10" t="s">
        <v>78</v>
      </c>
      <c r="D4">
        <v>436947</v>
      </c>
      <c r="F4">
        <v>200.19499999999999</v>
      </c>
      <c r="G4">
        <v>499870.8</v>
      </c>
      <c r="H4">
        <f>G4/G3</f>
        <v>0.78599485732157115</v>
      </c>
      <c r="I4">
        <f>G4/G2</f>
        <v>0.55587399305200325</v>
      </c>
    </row>
    <row r="9" spans="1:9">
      <c r="C9">
        <f>3200+20*46</f>
        <v>4120</v>
      </c>
    </row>
    <row r="10" spans="1:9">
      <c r="A10" t="s">
        <v>79</v>
      </c>
    </row>
    <row r="11" spans="1:9">
      <c r="B11">
        <v>3200</v>
      </c>
      <c r="C11" t="s">
        <v>80</v>
      </c>
      <c r="D11">
        <v>4140</v>
      </c>
    </row>
    <row r="12" spans="1:9">
      <c r="A12" t="s">
        <v>81</v>
      </c>
      <c r="B12">
        <v>12.747</v>
      </c>
      <c r="C12">
        <v>12.757</v>
      </c>
      <c r="D12">
        <v>12.747</v>
      </c>
    </row>
    <row r="13" spans="1:9">
      <c r="A13" t="s">
        <v>82</v>
      </c>
      <c r="B13">
        <v>0</v>
      </c>
      <c r="C13">
        <v>0</v>
      </c>
      <c r="D13">
        <v>0</v>
      </c>
    </row>
    <row r="14" spans="1:9">
      <c r="A14" t="s">
        <v>27</v>
      </c>
      <c r="B14">
        <v>3</v>
      </c>
      <c r="C14">
        <v>3</v>
      </c>
      <c r="D14">
        <v>3</v>
      </c>
    </row>
    <row r="15" spans="1:9">
      <c r="A15" t="s">
        <v>28</v>
      </c>
      <c r="B15">
        <v>50</v>
      </c>
      <c r="C15">
        <v>60</v>
      </c>
      <c r="D15">
        <v>50</v>
      </c>
    </row>
    <row r="16" spans="1:9">
      <c r="A16" t="s">
        <v>92</v>
      </c>
      <c r="B16">
        <v>30</v>
      </c>
      <c r="C16" s="10" t="s">
        <v>93</v>
      </c>
      <c r="D16">
        <v>30</v>
      </c>
    </row>
    <row r="17" spans="1:4">
      <c r="A17" t="s">
        <v>83</v>
      </c>
      <c r="B17" s="10">
        <v>1</v>
      </c>
      <c r="C17">
        <v>1</v>
      </c>
      <c r="D17" s="10">
        <v>1</v>
      </c>
    </row>
    <row r="18" spans="1:4">
      <c r="A18" t="s">
        <v>84</v>
      </c>
      <c r="B18" s="10" t="s">
        <v>93</v>
      </c>
      <c r="C18">
        <v>5.5</v>
      </c>
      <c r="D18" s="10" t="s">
        <v>93</v>
      </c>
    </row>
    <row r="19" spans="1:4">
      <c r="A19" t="s">
        <v>85</v>
      </c>
      <c r="B19">
        <v>7</v>
      </c>
      <c r="C19">
        <v>7</v>
      </c>
      <c r="D19">
        <v>7</v>
      </c>
    </row>
    <row r="20" spans="1:4">
      <c r="A20" t="s">
        <v>86</v>
      </c>
      <c r="B20">
        <v>18</v>
      </c>
      <c r="C20">
        <v>18</v>
      </c>
      <c r="D20">
        <v>18</v>
      </c>
    </row>
    <row r="21" spans="1:4">
      <c r="A21" t="s">
        <v>87</v>
      </c>
      <c r="B21">
        <v>1198</v>
      </c>
      <c r="C21">
        <v>0.2</v>
      </c>
      <c r="D21">
        <v>1198</v>
      </c>
    </row>
    <row r="22" spans="1:4">
      <c r="A22" t="s">
        <v>88</v>
      </c>
      <c r="B22">
        <v>1</v>
      </c>
      <c r="C22">
        <v>1</v>
      </c>
      <c r="D22">
        <v>1</v>
      </c>
    </row>
    <row r="23" spans="1:4">
      <c r="A23" t="s">
        <v>89</v>
      </c>
      <c r="B23">
        <v>1</v>
      </c>
      <c r="C23">
        <v>1</v>
      </c>
      <c r="D23">
        <v>1</v>
      </c>
    </row>
    <row r="24" spans="1:4">
      <c r="A24" t="s">
        <v>90</v>
      </c>
      <c r="B24">
        <v>256</v>
      </c>
      <c r="C24">
        <v>256</v>
      </c>
      <c r="D24">
        <v>256</v>
      </c>
    </row>
    <row r="25" spans="1:4">
      <c r="A25" t="s">
        <v>91</v>
      </c>
      <c r="B25">
        <v>0</v>
      </c>
      <c r="C25">
        <v>0</v>
      </c>
      <c r="D25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91CE-9525-1748-BD72-61BB52B4B41D}">
  <dimension ref="A2:K23"/>
  <sheetViews>
    <sheetView workbookViewId="0">
      <selection activeCell="F26" sqref="F26"/>
    </sheetView>
  </sheetViews>
  <sheetFormatPr defaultColWidth="11.07421875" defaultRowHeight="20"/>
  <cols>
    <col min="1" max="1" width="17.53515625" customWidth="1"/>
  </cols>
  <sheetData>
    <row r="2" spans="1:6">
      <c r="B2" t="s">
        <v>114</v>
      </c>
      <c r="C2" t="s">
        <v>115</v>
      </c>
      <c r="D2" t="s">
        <v>118</v>
      </c>
      <c r="E2" t="s">
        <v>119</v>
      </c>
      <c r="F2" t="s">
        <v>120</v>
      </c>
    </row>
    <row r="3" spans="1:6">
      <c r="A3" t="s">
        <v>100</v>
      </c>
    </row>
    <row r="4" spans="1:6">
      <c r="A4" t="s">
        <v>81</v>
      </c>
      <c r="B4">
        <v>12.742000000000001</v>
      </c>
      <c r="C4">
        <v>12.747</v>
      </c>
      <c r="D4">
        <v>12.747</v>
      </c>
      <c r="E4">
        <v>12.757</v>
      </c>
      <c r="F4">
        <v>12.727</v>
      </c>
    </row>
    <row r="5" spans="1:6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27</v>
      </c>
      <c r="B6">
        <v>3</v>
      </c>
      <c r="C6">
        <v>3</v>
      </c>
      <c r="D6">
        <v>3</v>
      </c>
      <c r="E6">
        <v>3</v>
      </c>
      <c r="F6">
        <v>3</v>
      </c>
    </row>
    <row r="7" spans="1:6">
      <c r="A7" t="s">
        <v>28</v>
      </c>
    </row>
    <row r="8" spans="1:6">
      <c r="A8" t="s">
        <v>99</v>
      </c>
      <c r="B8">
        <v>60</v>
      </c>
      <c r="C8">
        <v>60</v>
      </c>
      <c r="D8">
        <v>60</v>
      </c>
      <c r="E8">
        <v>60</v>
      </c>
      <c r="F8">
        <v>60</v>
      </c>
    </row>
    <row r="9" spans="1:6">
      <c r="A9" t="s">
        <v>92</v>
      </c>
    </row>
    <row r="10" spans="1:6">
      <c r="A10" t="s">
        <v>83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84</v>
      </c>
      <c r="B11">
        <v>5.5</v>
      </c>
      <c r="C11">
        <v>5.5</v>
      </c>
      <c r="D11">
        <v>5.5</v>
      </c>
      <c r="E11">
        <v>5.5</v>
      </c>
      <c r="F11">
        <v>5.5</v>
      </c>
    </row>
    <row r="12" spans="1:6">
      <c r="A12" t="s">
        <v>85</v>
      </c>
      <c r="B12">
        <v>7</v>
      </c>
      <c r="C12">
        <v>7</v>
      </c>
      <c r="D12">
        <v>7</v>
      </c>
      <c r="E12">
        <v>7</v>
      </c>
      <c r="F12">
        <v>7</v>
      </c>
    </row>
    <row r="13" spans="1:6">
      <c r="A13" t="s">
        <v>86</v>
      </c>
      <c r="B13">
        <v>18</v>
      </c>
      <c r="C13">
        <v>18</v>
      </c>
      <c r="D13">
        <v>18</v>
      </c>
      <c r="E13">
        <v>18</v>
      </c>
      <c r="F13">
        <v>18</v>
      </c>
    </row>
    <row r="14" spans="1:6">
      <c r="A14" t="s">
        <v>87</v>
      </c>
      <c r="B14">
        <v>0.2</v>
      </c>
      <c r="C14">
        <v>0.2</v>
      </c>
      <c r="D14">
        <v>0.2</v>
      </c>
      <c r="E14">
        <v>0.2</v>
      </c>
      <c r="F14">
        <v>0.2</v>
      </c>
    </row>
    <row r="15" spans="1:6">
      <c r="A15" t="s">
        <v>88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t="s">
        <v>89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11">
      <c r="A17" t="s">
        <v>90</v>
      </c>
      <c r="B17">
        <v>256</v>
      </c>
      <c r="C17">
        <v>256</v>
      </c>
      <c r="D17">
        <v>256</v>
      </c>
      <c r="E17">
        <v>256</v>
      </c>
      <c r="F17">
        <v>256</v>
      </c>
    </row>
    <row r="18" spans="1:11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</row>
    <row r="20" spans="1:11">
      <c r="A20" t="s">
        <v>104</v>
      </c>
      <c r="B20">
        <v>525594.80000000005</v>
      </c>
      <c r="C20">
        <v>445012</v>
      </c>
      <c r="D20">
        <v>370008.7</v>
      </c>
      <c r="E20">
        <v>217983.1</v>
      </c>
      <c r="F20">
        <v>102050.5</v>
      </c>
      <c r="H20" t="s">
        <v>105</v>
      </c>
      <c r="I20" t="s">
        <v>109</v>
      </c>
    </row>
    <row r="21" spans="1:11">
      <c r="C21">
        <f>C20/B20</f>
        <v>0.84668265363355943</v>
      </c>
      <c r="D21">
        <f>D20/C20</f>
        <v>0.83145780338507724</v>
      </c>
      <c r="E21">
        <f>E20/D20</f>
        <v>0.5891296610052682</v>
      </c>
      <c r="F21">
        <f>F20/E20</f>
        <v>0.46815785260416976</v>
      </c>
      <c r="I21" t="s">
        <v>106</v>
      </c>
      <c r="J21" t="s">
        <v>116</v>
      </c>
      <c r="K21" t="s">
        <v>117</v>
      </c>
    </row>
    <row r="22" spans="1:11">
      <c r="A22" t="s">
        <v>108</v>
      </c>
      <c r="B22">
        <v>563481.80000000005</v>
      </c>
      <c r="C22">
        <v>496020.2</v>
      </c>
      <c r="D22">
        <v>416381.3</v>
      </c>
      <c r="E22">
        <v>250647.4</v>
      </c>
      <c r="F22">
        <v>116826.1</v>
      </c>
      <c r="I22">
        <v>1024</v>
      </c>
    </row>
    <row r="23" spans="1:11">
      <c r="I23" t="s">
        <v>107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CBD8-322B-8843-877F-1E6ED574BE99}">
  <dimension ref="A1:O29"/>
  <sheetViews>
    <sheetView workbookViewId="0">
      <selection activeCell="B30" sqref="B30"/>
    </sheetView>
  </sheetViews>
  <sheetFormatPr defaultColWidth="11.07421875" defaultRowHeight="20"/>
  <sheetData>
    <row r="1" spans="1:12">
      <c r="B1" t="s">
        <v>103</v>
      </c>
      <c r="C1" t="s">
        <v>102</v>
      </c>
      <c r="D1" t="s">
        <v>101</v>
      </c>
    </row>
    <row r="2" spans="1:12">
      <c r="D2" t="s">
        <v>110</v>
      </c>
      <c r="E2" t="s">
        <v>111</v>
      </c>
      <c r="F2" t="s">
        <v>94</v>
      </c>
      <c r="G2" t="s">
        <v>95</v>
      </c>
      <c r="H2" t="s">
        <v>96</v>
      </c>
      <c r="I2" t="s">
        <v>97</v>
      </c>
      <c r="J2" t="s">
        <v>112</v>
      </c>
      <c r="K2" t="s">
        <v>113</v>
      </c>
      <c r="L2" t="s">
        <v>98</v>
      </c>
    </row>
    <row r="3" spans="1:12">
      <c r="A3" t="s">
        <v>100</v>
      </c>
    </row>
    <row r="4" spans="1:12">
      <c r="A4" t="s">
        <v>81</v>
      </c>
      <c r="B4">
        <v>12.757</v>
      </c>
      <c r="C4">
        <v>12.757</v>
      </c>
      <c r="D4">
        <v>12.757</v>
      </c>
      <c r="E4">
        <v>12.757</v>
      </c>
      <c r="F4">
        <v>12.766999999999999</v>
      </c>
      <c r="G4">
        <v>12.757</v>
      </c>
      <c r="H4">
        <v>12.747</v>
      </c>
      <c r="I4">
        <v>12.747</v>
      </c>
      <c r="J4">
        <v>12.747</v>
      </c>
      <c r="K4">
        <v>12.766999999999999</v>
      </c>
      <c r="L4">
        <v>12.747</v>
      </c>
    </row>
    <row r="5" spans="1:12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</row>
    <row r="6" spans="1:12">
      <c r="A6" t="s">
        <v>27</v>
      </c>
      <c r="B6">
        <v>12</v>
      </c>
      <c r="C6">
        <v>3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K6">
        <v>12</v>
      </c>
      <c r="L6">
        <v>12</v>
      </c>
    </row>
    <row r="7" spans="1:12">
      <c r="A7" t="s">
        <v>28</v>
      </c>
      <c r="B7">
        <v>50</v>
      </c>
    </row>
    <row r="8" spans="1:12">
      <c r="A8" t="s">
        <v>99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K8">
        <v>60</v>
      </c>
      <c r="L8">
        <v>60</v>
      </c>
    </row>
    <row r="9" spans="1:12">
      <c r="A9" t="s">
        <v>92</v>
      </c>
      <c r="B9">
        <v>30</v>
      </c>
    </row>
    <row r="10" spans="1:12">
      <c r="A10" t="s">
        <v>83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</row>
    <row r="11" spans="1:12">
      <c r="A11" t="s">
        <v>84</v>
      </c>
      <c r="C11">
        <v>5.5</v>
      </c>
      <c r="D11">
        <v>6</v>
      </c>
      <c r="E11">
        <v>7</v>
      </c>
      <c r="F11">
        <v>7</v>
      </c>
      <c r="G11">
        <v>7</v>
      </c>
      <c r="H11">
        <v>7</v>
      </c>
      <c r="I11">
        <v>7</v>
      </c>
      <c r="K11">
        <v>7</v>
      </c>
      <c r="L11">
        <v>7</v>
      </c>
    </row>
    <row r="12" spans="1:12">
      <c r="A12" t="s">
        <v>85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K12">
        <v>7</v>
      </c>
      <c r="L12">
        <v>7</v>
      </c>
    </row>
    <row r="13" spans="1:12">
      <c r="A13" t="s">
        <v>86</v>
      </c>
      <c r="B13">
        <v>18</v>
      </c>
      <c r="C13">
        <v>18</v>
      </c>
      <c r="D13">
        <v>18</v>
      </c>
      <c r="E13">
        <v>18</v>
      </c>
      <c r="F13">
        <v>18</v>
      </c>
      <c r="G13">
        <v>18</v>
      </c>
      <c r="H13">
        <v>18</v>
      </c>
      <c r="I13">
        <v>18</v>
      </c>
      <c r="K13">
        <v>18</v>
      </c>
      <c r="L13">
        <v>18</v>
      </c>
    </row>
    <row r="14" spans="1:12">
      <c r="A14" t="s">
        <v>87</v>
      </c>
      <c r="B14">
        <v>1198</v>
      </c>
      <c r="C14">
        <v>0.2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</row>
    <row r="15" spans="1:12">
      <c r="A15" t="s">
        <v>88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>
      <c r="A16" t="s">
        <v>89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</row>
    <row r="17" spans="1:15">
      <c r="A17" t="s">
        <v>90</v>
      </c>
      <c r="B17">
        <v>128</v>
      </c>
      <c r="C17">
        <v>256</v>
      </c>
      <c r="D17">
        <v>128</v>
      </c>
      <c r="E17">
        <v>128</v>
      </c>
      <c r="F17">
        <v>128</v>
      </c>
      <c r="G17">
        <v>128</v>
      </c>
      <c r="H17">
        <v>128</v>
      </c>
      <c r="I17">
        <v>128</v>
      </c>
      <c r="K17">
        <v>128</v>
      </c>
      <c r="L17">
        <v>128</v>
      </c>
    </row>
    <row r="18" spans="1:15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20" spans="1:15">
      <c r="A20" t="s">
        <v>104</v>
      </c>
      <c r="D20">
        <v>295016.5</v>
      </c>
      <c r="E20">
        <v>276216.09999999998</v>
      </c>
      <c r="F20">
        <v>200104.8</v>
      </c>
      <c r="G20">
        <v>157400.79999999999</v>
      </c>
      <c r="H20">
        <v>126049.1</v>
      </c>
      <c r="I20">
        <v>69021.36</v>
      </c>
      <c r="K20">
        <v>27064.720000000001</v>
      </c>
      <c r="L20">
        <v>29544.67</v>
      </c>
      <c r="N20" t="s">
        <v>105</v>
      </c>
      <c r="O20" t="s">
        <v>109</v>
      </c>
    </row>
    <row r="21" spans="1:15">
      <c r="F21">
        <f t="shared" ref="F21:L21" si="0">F20/E20</f>
        <v>0.72445016782149918</v>
      </c>
      <c r="G21">
        <f t="shared" si="0"/>
        <v>0.78659182588323717</v>
      </c>
      <c r="H21">
        <f t="shared" si="0"/>
        <v>0.80081613308191579</v>
      </c>
      <c r="I21">
        <f t="shared" si="0"/>
        <v>0.54757519093749973</v>
      </c>
      <c r="K21">
        <f>K20/I20</f>
        <v>0.39212093183907126</v>
      </c>
      <c r="L21">
        <f t="shared" si="0"/>
        <v>1.0916303586366309</v>
      </c>
      <c r="O21" t="s">
        <v>106</v>
      </c>
    </row>
    <row r="22" spans="1:15">
      <c r="A22" t="s">
        <v>108</v>
      </c>
      <c r="D22">
        <v>331019.09999999998</v>
      </c>
      <c r="E22">
        <v>308738.2</v>
      </c>
      <c r="F22">
        <v>228733.2</v>
      </c>
      <c r="G22">
        <v>180225.1</v>
      </c>
      <c r="H22">
        <v>143908.4</v>
      </c>
      <c r="I22">
        <v>81212.600000000006</v>
      </c>
      <c r="K22">
        <v>29926.45</v>
      </c>
      <c r="L22">
        <v>33462.239999999998</v>
      </c>
      <c r="O22">
        <v>1024</v>
      </c>
    </row>
    <row r="23" spans="1:15">
      <c r="F23">
        <f t="shared" ref="F23:L23" si="1">F22/E22</f>
        <v>0.74086459012846484</v>
      </c>
      <c r="G23">
        <f t="shared" si="1"/>
        <v>0.7879271570545946</v>
      </c>
      <c r="H23">
        <f t="shared" si="1"/>
        <v>0.79849255181436984</v>
      </c>
      <c r="I23">
        <f t="shared" si="1"/>
        <v>0.56433536888743119</v>
      </c>
      <c r="K23">
        <f>K22/I22</f>
        <v>0.36849515961808882</v>
      </c>
      <c r="L23">
        <f t="shared" si="1"/>
        <v>1.1181493294393421</v>
      </c>
      <c r="O23" t="s">
        <v>107</v>
      </c>
    </row>
    <row r="27" spans="1:15">
      <c r="A27" s="20">
        <v>45250</v>
      </c>
    </row>
    <row r="28" spans="1:15">
      <c r="B28" t="s">
        <v>212</v>
      </c>
    </row>
    <row r="29" spans="1:15">
      <c r="A29" t="s">
        <v>104</v>
      </c>
      <c r="B29">
        <v>2125168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9172-956F-7A43-8FD4-0132E023F76F}">
  <dimension ref="A1:F30"/>
  <sheetViews>
    <sheetView topLeftCell="S1" workbookViewId="0">
      <selection activeCell="E17" sqref="E17:F20"/>
    </sheetView>
  </sheetViews>
  <sheetFormatPr defaultColWidth="11.07421875" defaultRowHeight="20"/>
  <cols>
    <col min="1" max="1" width="19.53515625" customWidth="1"/>
    <col min="2" max="2" width="13.3046875" customWidth="1"/>
  </cols>
  <sheetData>
    <row r="1" spans="1:3">
      <c r="A1" s="2"/>
      <c r="B1" s="2" t="s">
        <v>40</v>
      </c>
      <c r="C1" s="2" t="s">
        <v>38</v>
      </c>
    </row>
    <row r="2" spans="1:3">
      <c r="A2" s="2" t="s">
        <v>19</v>
      </c>
      <c r="B2" s="2">
        <v>4.0730000000000004</v>
      </c>
      <c r="C2" s="2">
        <v>5.3999999999999999E-2</v>
      </c>
    </row>
    <row r="3" spans="1:3">
      <c r="A3" s="2" t="s">
        <v>31</v>
      </c>
      <c r="B3" s="2">
        <v>9.2710000000000008</v>
      </c>
      <c r="C3" s="2">
        <v>9.8000000000000004E-2</v>
      </c>
    </row>
    <row r="4" spans="1:3">
      <c r="A4" s="2" t="s">
        <v>42</v>
      </c>
      <c r="B4" s="2">
        <v>0.24551927000000001</v>
      </c>
      <c r="C4" s="2">
        <v>3.2550999999999999E-3</v>
      </c>
    </row>
    <row r="5" spans="1:3">
      <c r="A5" s="2" t="s">
        <v>44</v>
      </c>
      <c r="B5" s="2">
        <v>0.10786323</v>
      </c>
      <c r="C5" s="2">
        <v>1.14018E-3</v>
      </c>
    </row>
    <row r="6" spans="1:3">
      <c r="A6" s="2" t="s">
        <v>46</v>
      </c>
      <c r="B6" s="2">
        <v>0.13765604000000001</v>
      </c>
      <c r="C6" s="2">
        <v>3.4490200000000001E-3</v>
      </c>
    </row>
    <row r="7" spans="1:3">
      <c r="A7" s="2" t="s">
        <v>30</v>
      </c>
      <c r="B7" s="2">
        <v>7.2644830699999998</v>
      </c>
      <c r="C7" s="2">
        <v>0.18201395000000001</v>
      </c>
    </row>
    <row r="8" spans="1:3" ht="20.5" thickBot="1">
      <c r="A8" s="2" t="s">
        <v>33</v>
      </c>
      <c r="B8" s="2">
        <v>0.78357060000000001</v>
      </c>
      <c r="C8" s="2">
        <v>2.1308319999999999E-2</v>
      </c>
    </row>
    <row r="9" spans="1:3" ht="20.5" thickBot="1">
      <c r="A9" s="2" t="s">
        <v>54</v>
      </c>
      <c r="B9" s="6">
        <v>0.50460576000000001</v>
      </c>
      <c r="C9" s="7">
        <v>6.0285199999999999E-3</v>
      </c>
    </row>
    <row r="10" spans="1:3">
      <c r="A10" s="2"/>
      <c r="B10" s="2"/>
      <c r="C10" s="2"/>
    </row>
    <row r="11" spans="1:3">
      <c r="A11" s="2" t="s">
        <v>48</v>
      </c>
      <c r="B11" s="4">
        <v>1090000</v>
      </c>
      <c r="C11" s="4">
        <v>5700</v>
      </c>
    </row>
    <row r="12" spans="1:3">
      <c r="A12" s="2" t="s">
        <v>50</v>
      </c>
      <c r="B12" s="4">
        <v>1150000</v>
      </c>
      <c r="C12" s="2"/>
    </row>
    <row r="13" spans="1:3" ht="20.5" thickBot="1">
      <c r="A13" s="2"/>
      <c r="B13" s="2">
        <v>1.0564567899999999</v>
      </c>
      <c r="C13" s="2">
        <v>5.5190200000000003E-3</v>
      </c>
    </row>
    <row r="14" spans="1:3" ht="20.5" thickBot="1">
      <c r="A14" s="2" t="s">
        <v>52</v>
      </c>
      <c r="B14" s="6">
        <v>0.53309417999999997</v>
      </c>
      <c r="C14" s="7">
        <v>6.9511399999999997E-3</v>
      </c>
    </row>
    <row r="17" spans="1:6">
      <c r="A17" s="65" t="s">
        <v>218</v>
      </c>
      <c r="B17" s="65"/>
      <c r="C17" s="10" t="s">
        <v>224</v>
      </c>
      <c r="E17" t="s">
        <v>218</v>
      </c>
      <c r="F17" s="10" t="s">
        <v>224</v>
      </c>
    </row>
    <row r="18" spans="1:6">
      <c r="A18" s="65" t="s">
        <v>217</v>
      </c>
      <c r="B18" s="65"/>
      <c r="C18" t="s">
        <v>219</v>
      </c>
      <c r="E18" t="s">
        <v>217</v>
      </c>
      <c r="F18" t="s">
        <v>219</v>
      </c>
    </row>
    <row r="19" spans="1:6">
      <c r="A19" s="65" t="s">
        <v>226</v>
      </c>
      <c r="B19" t="s">
        <v>227</v>
      </c>
      <c r="C19" t="s">
        <v>235</v>
      </c>
      <c r="E19" t="s">
        <v>247</v>
      </c>
      <c r="F19" t="s">
        <v>235</v>
      </c>
    </row>
    <row r="20" spans="1:6">
      <c r="A20" s="65"/>
      <c r="B20" t="s">
        <v>228</v>
      </c>
      <c r="C20" t="s">
        <v>220</v>
      </c>
      <c r="E20" t="s">
        <v>248</v>
      </c>
      <c r="F20" t="s">
        <v>225</v>
      </c>
    </row>
    <row r="21" spans="1:6">
      <c r="A21" s="65" t="s">
        <v>229</v>
      </c>
      <c r="B21" t="s">
        <v>230</v>
      </c>
      <c r="C21" t="s">
        <v>221</v>
      </c>
    </row>
    <row r="22" spans="1:6">
      <c r="A22" s="65"/>
      <c r="B22" t="s">
        <v>231</v>
      </c>
      <c r="C22" t="s">
        <v>222</v>
      </c>
    </row>
    <row r="23" spans="1:6">
      <c r="A23" s="65" t="s">
        <v>232</v>
      </c>
      <c r="B23" t="s">
        <v>233</v>
      </c>
      <c r="C23" t="s">
        <v>225</v>
      </c>
    </row>
    <row r="24" spans="1:6">
      <c r="A24" s="65"/>
      <c r="B24" t="s">
        <v>234</v>
      </c>
      <c r="C24" t="s">
        <v>223</v>
      </c>
    </row>
    <row r="27" spans="1:6">
      <c r="A27" t="s">
        <v>238</v>
      </c>
      <c r="B27" t="s">
        <v>236</v>
      </c>
    </row>
    <row r="28" spans="1:6">
      <c r="A28" t="s">
        <v>239</v>
      </c>
      <c r="B28" t="s">
        <v>237</v>
      </c>
    </row>
    <row r="29" spans="1:6">
      <c r="A29" t="s">
        <v>240</v>
      </c>
    </row>
    <row r="30" spans="1:6">
      <c r="A30" t="s">
        <v>241</v>
      </c>
    </row>
  </sheetData>
  <mergeCells count="5">
    <mergeCell ref="A19:A20"/>
    <mergeCell ref="A21:A22"/>
    <mergeCell ref="A23:A24"/>
    <mergeCell ref="A17:B17"/>
    <mergeCell ref="A18:B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correction</vt:lpstr>
      <vt:lpstr>chi</vt:lpstr>
      <vt:lpstr>NMRロス</vt:lpstr>
      <vt:lpstr>radiation loss fit</vt:lpstr>
      <vt:lpstr>Beam Intensity</vt:lpstr>
      <vt:lpstr>微分方程式計算確認</vt:lpstr>
      <vt:lpstr>Sheet2</vt:lpstr>
      <vt:lpstr>Sheet1</vt:lpstr>
      <vt:lpstr>ループ時間</vt:lpstr>
      <vt:lpstr>偏極度とビームの時間</vt:lpstr>
      <vt:lpstr>reverse_HIMAC</vt:lpstr>
      <vt:lpstr>reverse_HIMAC_1229</vt:lpstr>
      <vt:lpstr>reverse_RIKEN</vt:lpstr>
      <vt:lpstr>hirasawa_check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　貴哉</dc:creator>
  <cp:lastModifiedBy>松井貴哉</cp:lastModifiedBy>
  <cp:lastPrinted>2023-02-04T04:33:25Z</cp:lastPrinted>
  <dcterms:created xsi:type="dcterms:W3CDTF">2023-02-02T15:28:33Z</dcterms:created>
  <dcterms:modified xsi:type="dcterms:W3CDTF">2023-08-31T16:04:58Z</dcterms:modified>
</cp:coreProperties>
</file>