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FC_Spreadsheets\"/>
    </mc:Choice>
  </mc:AlternateContent>
  <bookViews>
    <workbookView xWindow="0" yWindow="0" windowWidth="16380" windowHeight="8190" tabRatio="991"/>
  </bookViews>
  <sheets>
    <sheet name="Summary" sheetId="1" r:id="rId1"/>
    <sheet name="Single_Compound" sheetId="5" r:id="rId2"/>
    <sheet name="#_Succesful_Comp" sheetId="2" r:id="rId3"/>
    <sheet name="Alternative_Calculation" sheetId="3" state="hidden" r:id="rId4"/>
    <sheet name="Capital_Structure" sheetId="4" r:id="rId5"/>
    <sheet name="Questions" sheetId="6" state="hidden" r:id="rId6"/>
    <sheet name="Assignment_answer" sheetId="7" state="hidden" r:id="rId7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2" i="7" l="1"/>
  <c r="D10" i="7"/>
  <c r="D9" i="7"/>
  <c r="B9" i="7"/>
  <c r="E8" i="7"/>
  <c r="D8" i="7"/>
  <c r="D5" i="7"/>
  <c r="C5" i="7"/>
  <c r="B13" i="5"/>
  <c r="B14" i="5" s="1"/>
  <c r="B15" i="5" s="1"/>
  <c r="B16" i="5" s="1"/>
  <c r="B17" i="5" s="1"/>
  <c r="B18" i="5" s="1"/>
  <c r="B19" i="5" s="1"/>
  <c r="B20" i="5" s="1"/>
  <c r="B21" i="5" s="1"/>
  <c r="B12" i="5"/>
  <c r="B11" i="5"/>
  <c r="F4" i="5"/>
  <c r="E35" i="3"/>
  <c r="F35" i="3" s="1"/>
  <c r="E31" i="3"/>
  <c r="F31" i="3" s="1"/>
  <c r="F28" i="3"/>
  <c r="E28" i="3"/>
  <c r="E27" i="3"/>
  <c r="F27" i="3" s="1"/>
  <c r="F24" i="3"/>
  <c r="E24" i="3"/>
  <c r="E23" i="3"/>
  <c r="F23" i="3" s="1"/>
  <c r="F20" i="3"/>
  <c r="E20" i="3"/>
  <c r="E19" i="3"/>
  <c r="F19" i="3" s="1"/>
  <c r="F16" i="3"/>
  <c r="E16" i="3"/>
  <c r="B16" i="3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E15" i="3"/>
  <c r="F15" i="3" s="1"/>
  <c r="C12" i="3"/>
  <c r="D11" i="3"/>
  <c r="E32" i="3" s="1"/>
  <c r="F32" i="3" s="1"/>
  <c r="A9" i="2"/>
  <c r="A10" i="2" s="1"/>
  <c r="A11" i="2" s="1"/>
  <c r="D11" i="2" s="1"/>
  <c r="E11" i="2" s="1"/>
  <c r="B5" i="2"/>
  <c r="B8" i="2" s="1"/>
  <c r="H8" i="2" s="1"/>
  <c r="B2" i="2"/>
  <c r="B3" i="2" s="1"/>
  <c r="F6" i="1"/>
  <c r="B22" i="5" l="1"/>
  <c r="D21" i="5"/>
  <c r="G11" i="2"/>
  <c r="A12" i="2"/>
  <c r="B9" i="2"/>
  <c r="C10" i="4"/>
  <c r="B11" i="2"/>
  <c r="B10" i="2"/>
  <c r="B12" i="2"/>
  <c r="D10" i="2"/>
  <c r="E10" i="2" s="1"/>
  <c r="D9" i="2"/>
  <c r="E9" i="2" s="1"/>
  <c r="G9" i="2" s="1"/>
  <c r="E18" i="3"/>
  <c r="F18" i="3" s="1"/>
  <c r="E22" i="3"/>
  <c r="F22" i="3" s="1"/>
  <c r="E26" i="3"/>
  <c r="F26" i="3" s="1"/>
  <c r="E30" i="3"/>
  <c r="F30" i="3" s="1"/>
  <c r="E34" i="3"/>
  <c r="F34" i="3" s="1"/>
  <c r="E17" i="3"/>
  <c r="E21" i="3"/>
  <c r="F21" i="3" s="1"/>
  <c r="E25" i="3"/>
  <c r="F25" i="3" s="1"/>
  <c r="E29" i="3"/>
  <c r="F29" i="3" s="1"/>
  <c r="E33" i="3"/>
  <c r="F33" i="3" s="1"/>
  <c r="D22" i="5" l="1"/>
  <c r="B23" i="5"/>
  <c r="G10" i="2"/>
  <c r="C8" i="4" s="1"/>
  <c r="E3" i="2"/>
  <c r="I11" i="2" s="1"/>
  <c r="I10" i="2"/>
  <c r="H9" i="2"/>
  <c r="F17" i="3"/>
  <c r="F12" i="3" s="1"/>
  <c r="I12" i="3" s="1"/>
  <c r="E12" i="3"/>
  <c r="H12" i="3" s="1"/>
  <c r="A13" i="2"/>
  <c r="D12" i="2"/>
  <c r="E12" i="2" s="1"/>
  <c r="I12" i="2" s="1"/>
  <c r="C10" i="7" l="1"/>
  <c r="C9" i="4"/>
  <c r="C5" i="4" s="1"/>
  <c r="C9" i="7"/>
  <c r="B24" i="5"/>
  <c r="D23" i="5"/>
  <c r="D13" i="2"/>
  <c r="E13" i="2" s="1"/>
  <c r="A14" i="2"/>
  <c r="B13" i="2"/>
  <c r="D5" i="4"/>
  <c r="C11" i="7" l="1"/>
  <c r="D24" i="5"/>
  <c r="B25" i="5"/>
  <c r="A15" i="2"/>
  <c r="D14" i="2"/>
  <c r="E14" i="2" s="1"/>
  <c r="B14" i="2"/>
  <c r="I13" i="2"/>
  <c r="C6" i="7" l="1"/>
  <c r="D6" i="7"/>
  <c r="B26" i="5"/>
  <c r="D25" i="5"/>
  <c r="I14" i="2"/>
  <c r="D15" i="2"/>
  <c r="E15" i="2" s="1"/>
  <c r="A16" i="2"/>
  <c r="B15" i="2"/>
  <c r="D26" i="5" l="1"/>
  <c r="B27" i="5"/>
  <c r="I15" i="2"/>
  <c r="A17" i="2"/>
  <c r="D16" i="2"/>
  <c r="E16" i="2" s="1"/>
  <c r="B16" i="2"/>
  <c r="B28" i="5" l="1"/>
  <c r="D27" i="5"/>
  <c r="D17" i="2"/>
  <c r="E17" i="2" s="1"/>
  <c r="A18" i="2"/>
  <c r="B17" i="2"/>
  <c r="I16" i="2"/>
  <c r="D28" i="5" l="1"/>
  <c r="B29" i="5"/>
  <c r="I17" i="2"/>
  <c r="A19" i="2"/>
  <c r="D18" i="2"/>
  <c r="E18" i="2" s="1"/>
  <c r="B18" i="2"/>
  <c r="B30" i="5" l="1"/>
  <c r="D30" i="5" s="1"/>
  <c r="D29" i="5"/>
  <c r="I18" i="2"/>
  <c r="D19" i="2"/>
  <c r="E19" i="2" s="1"/>
  <c r="A20" i="2"/>
  <c r="B19" i="2"/>
  <c r="E20" i="5" l="1"/>
  <c r="C5" i="5" s="1"/>
  <c r="C6" i="5" s="1"/>
  <c r="I19" i="2"/>
  <c r="A21" i="2"/>
  <c r="D20" i="2"/>
  <c r="E20" i="2" s="1"/>
  <c r="B20" i="2"/>
  <c r="D21" i="2" l="1"/>
  <c r="E21" i="2" s="1"/>
  <c r="A22" i="2"/>
  <c r="B21" i="2"/>
  <c r="I20" i="2"/>
  <c r="C5" i="1"/>
  <c r="C6" i="1" s="1"/>
  <c r="F8" i="1" s="1"/>
  <c r="D12" i="7" s="1"/>
  <c r="C8" i="1"/>
  <c r="C9" i="1" s="1"/>
  <c r="F9" i="1" s="1"/>
  <c r="E12" i="7" s="1"/>
  <c r="E11" i="7" s="1"/>
  <c r="G12" i="7" l="1"/>
  <c r="E10" i="4"/>
  <c r="E9" i="4" s="1"/>
  <c r="I21" i="2"/>
  <c r="A23" i="2"/>
  <c r="D22" i="2"/>
  <c r="E22" i="2" s="1"/>
  <c r="B22" i="2"/>
  <c r="D10" i="4"/>
  <c r="G9" i="1"/>
  <c r="G10" i="4" l="1"/>
  <c r="I22" i="2"/>
  <c r="D23" i="2"/>
  <c r="E23" i="2" s="1"/>
  <c r="A24" i="2"/>
  <c r="B23" i="2"/>
  <c r="I23" i="2" l="1"/>
  <c r="A25" i="2"/>
  <c r="D24" i="2"/>
  <c r="E24" i="2" s="1"/>
  <c r="B24" i="2"/>
  <c r="D25" i="2" l="1"/>
  <c r="E25" i="2" s="1"/>
  <c r="A26" i="2"/>
  <c r="B25" i="2"/>
  <c r="I24" i="2"/>
  <c r="A27" i="2" l="1"/>
  <c r="D26" i="2"/>
  <c r="E26" i="2" s="1"/>
  <c r="B26" i="2"/>
  <c r="I25" i="2"/>
  <c r="I26" i="2" l="1"/>
  <c r="D27" i="2"/>
  <c r="E27" i="2" s="1"/>
  <c r="A28" i="2"/>
  <c r="B27" i="2"/>
  <c r="I27" i="2" l="1"/>
  <c r="A29" i="2"/>
  <c r="D28" i="2"/>
  <c r="E28" i="2" s="1"/>
  <c r="B28" i="2"/>
  <c r="D29" i="2" l="1"/>
  <c r="E29" i="2" s="1"/>
  <c r="A30" i="2"/>
  <c r="B29" i="2"/>
  <c r="I28" i="2"/>
  <c r="A31" i="2" l="1"/>
  <c r="D30" i="2"/>
  <c r="E30" i="2" s="1"/>
  <c r="B30" i="2"/>
  <c r="I29" i="2"/>
  <c r="I30" i="2" l="1"/>
  <c r="D31" i="2"/>
  <c r="E31" i="2" s="1"/>
  <c r="A32" i="2"/>
  <c r="B31" i="2"/>
  <c r="I31" i="2" l="1"/>
  <c r="A33" i="2"/>
  <c r="D32" i="2"/>
  <c r="E32" i="2" s="1"/>
  <c r="B32" i="2"/>
  <c r="I32" i="2" l="1"/>
  <c r="A34" i="2"/>
  <c r="D33" i="2"/>
  <c r="E33" i="2" s="1"/>
  <c r="B33" i="2"/>
  <c r="I33" i="2" l="1"/>
  <c r="A35" i="2"/>
  <c r="D34" i="2"/>
  <c r="E34" i="2" s="1"/>
  <c r="B34" i="2"/>
  <c r="I34" i="2" l="1"/>
  <c r="D35" i="2"/>
  <c r="E35" i="2" s="1"/>
  <c r="B35" i="2"/>
  <c r="C31" i="2" s="1"/>
  <c r="C35" i="2" l="1"/>
  <c r="C10" i="2"/>
  <c r="H10" i="2" s="1"/>
  <c r="H36" i="2" s="1"/>
  <c r="C11" i="2"/>
  <c r="C12" i="2"/>
  <c r="C13" i="2"/>
  <c r="C9" i="2"/>
  <c r="C14" i="2"/>
  <c r="C15" i="2"/>
  <c r="C16" i="2"/>
  <c r="C17" i="2"/>
  <c r="C18" i="2"/>
  <c r="C19" i="2"/>
  <c r="C20" i="2"/>
  <c r="C21" i="2"/>
  <c r="C22" i="2"/>
  <c r="C24" i="2"/>
  <c r="C23" i="2"/>
  <c r="C25" i="2"/>
  <c r="C26" i="2"/>
  <c r="C28" i="2"/>
  <c r="C27" i="2"/>
  <c r="C29" i="2"/>
  <c r="C30" i="2"/>
  <c r="C34" i="2"/>
  <c r="C32" i="2"/>
  <c r="I35" i="2"/>
  <c r="I36" i="2" s="1"/>
  <c r="D11" i="7" s="1"/>
  <c r="G11" i="7" s="1"/>
  <c r="C33" i="2"/>
  <c r="D9" i="4" l="1"/>
  <c r="G9" i="4" s="1"/>
</calcChain>
</file>

<file path=xl/sharedStrings.xml><?xml version="1.0" encoding="utf-8"?>
<sst xmlns="http://schemas.openxmlformats.org/spreadsheetml/2006/main" count="79" uniqueCount="62">
  <si>
    <t>** assumes 0 correlation between compound successes</t>
  </si>
  <si>
    <t>Single Compound Investment Statistics</t>
  </si>
  <si>
    <t>Portfolio of Compounds Investment Statistics</t>
  </si>
  <si>
    <t>Expected Total return</t>
  </si>
  <si>
    <t># Compounds in Portfolio</t>
  </si>
  <si>
    <r>
      <rPr>
        <b/>
        <sz val="10"/>
        <rFont val="DejaVu Sans"/>
        <family val="2"/>
        <charset val="1"/>
      </rPr>
      <t>Question:</t>
    </r>
    <r>
      <rPr>
        <sz val="10"/>
        <rFont val="DejaVu Sans"/>
        <family val="2"/>
        <charset val="1"/>
      </rPr>
      <t xml:space="preserve"> What effect does changing the number of compounds have on the security’s return/risk?</t>
    </r>
  </si>
  <si>
    <t>Expected Annual Return</t>
  </si>
  <si>
    <t>Capital Commitment ($ Billions)</t>
  </si>
  <si>
    <t>Total Standard Deviation</t>
  </si>
  <si>
    <t>Sharpe Ratio</t>
  </si>
  <si>
    <t>Annual Standard Deviation</t>
  </si>
  <si>
    <t>Investment in Single Compound</t>
  </si>
  <si>
    <t>Success</t>
  </si>
  <si>
    <t>Failure</t>
  </si>
  <si>
    <t>Probability</t>
  </si>
  <si>
    <t>Total Return</t>
  </si>
  <si>
    <t>Annual Return</t>
  </si>
  <si>
    <t>Disc Rate</t>
  </si>
  <si>
    <t>Year</t>
  </si>
  <si>
    <t>Cash Flow</t>
  </si>
  <si>
    <t>DCF</t>
  </si>
  <si>
    <t>Total DCF</t>
  </si>
  <si>
    <t>Probability of Compound Success</t>
  </si>
  <si>
    <t>Probability of Compound Failure</t>
  </si>
  <si>
    <t>Debt Face Value</t>
  </si>
  <si>
    <t>Annuity Discount Rate</t>
  </si>
  <si>
    <t># of Compound Successes</t>
  </si>
  <si>
    <t>Probability of At Least:</t>
  </si>
  <si>
    <t>Annual $ (billions) Generated by the # of Successes</t>
  </si>
  <si>
    <t>Value of Annuity at t = 10</t>
  </si>
  <si>
    <t>Discount Rate</t>
  </si>
  <si>
    <t>Value at t= 0</t>
  </si>
  <si>
    <t>$ to Debt Holders</t>
  </si>
  <si>
    <t>$ to Equity Holders</t>
  </si>
  <si>
    <t>Alternative Derivation</t>
  </si>
  <si>
    <t>Portfolio of Compounds</t>
  </si>
  <si>
    <t>Standard Deviation</t>
  </si>
  <si>
    <t># compounds</t>
  </si>
  <si>
    <t>IRR</t>
  </si>
  <si>
    <t>% Equity</t>
  </si>
  <si>
    <t>Debt/Equity</t>
  </si>
  <si>
    <r>
      <rPr>
        <b/>
        <sz val="10"/>
        <rFont val="DejaVu Sans"/>
        <family val="2"/>
        <charset val="1"/>
      </rPr>
      <t>Question:</t>
    </r>
    <r>
      <rPr>
        <sz val="10"/>
        <rFont val="DejaVu Sans"/>
        <family val="2"/>
        <charset val="1"/>
      </rPr>
      <t xml:space="preserve">  What is the effect of the bond’s interest rate on equity risk?</t>
    </r>
  </si>
  <si>
    <r>
      <rPr>
        <b/>
        <sz val="10"/>
        <rFont val="DejaVu Sans"/>
        <family val="2"/>
        <charset val="1"/>
      </rPr>
      <t>Question:</t>
    </r>
    <r>
      <rPr>
        <sz val="10"/>
        <rFont val="DejaVu Sans"/>
        <family val="2"/>
        <charset val="1"/>
      </rPr>
      <t xml:space="preserve">  Does using debt financing here require that various investors have different preferences?</t>
    </r>
  </si>
  <si>
    <r>
      <rPr>
        <b/>
        <sz val="10"/>
        <rFont val="DejaVu Sans"/>
        <family val="2"/>
        <charset val="1"/>
      </rPr>
      <t>Question:</t>
    </r>
    <r>
      <rPr>
        <sz val="10"/>
        <rFont val="DejaVu Sans"/>
        <family val="2"/>
        <charset val="1"/>
      </rPr>
      <t xml:space="preserve"> What do you think an upward shift in the term structure means for the risk/return on debt and equity?</t>
    </r>
  </si>
  <si>
    <t>Expected Return</t>
  </si>
  <si>
    <t>Sharpe Ratios</t>
  </si>
  <si>
    <r>
      <rPr>
        <b/>
        <sz val="10"/>
        <rFont val="DejaVu Sans"/>
        <family val="2"/>
        <charset val="1"/>
      </rPr>
      <t>Question:</t>
    </r>
    <r>
      <rPr>
        <sz val="10"/>
        <rFont val="DejaVu Sans"/>
        <family val="2"/>
        <charset val="1"/>
      </rPr>
      <t xml:space="preserve">  How could you incorporate a Credit Enhancement into the capital structure?  What effect would this have on the rsik/return of debt/equity?</t>
    </r>
  </si>
  <si>
    <t>Debt Financing</t>
  </si>
  <si>
    <t>'@ 3.85%</t>
  </si>
  <si>
    <t>Equity Financing</t>
  </si>
  <si>
    <t>Total Financing</t>
  </si>
  <si>
    <r>
      <rPr>
        <b/>
        <sz val="10"/>
        <rFont val="DejaVu Sans"/>
        <family val="2"/>
        <charset val="1"/>
      </rPr>
      <t>Assignment:</t>
    </r>
    <r>
      <rPr>
        <sz val="10"/>
        <rFont val="DejaVu Sans"/>
        <family val="2"/>
        <charset val="1"/>
      </rPr>
      <t xml:space="preserve"> Create a capital structure with a subordinated debt tranche.</t>
    </r>
  </si>
  <si>
    <r>
      <rPr>
        <b/>
        <sz val="10"/>
        <rFont val="DejaVu Sans"/>
        <family val="2"/>
        <charset val="1"/>
      </rPr>
      <t xml:space="preserve">Question: </t>
    </r>
    <r>
      <rPr>
        <sz val="10"/>
        <rFont val="DejaVu Sans"/>
        <family val="2"/>
        <charset val="1"/>
      </rPr>
      <t>What happens to the risk/return on equity (what about the Sharpe ratio)?</t>
    </r>
  </si>
  <si>
    <r>
      <rPr>
        <b/>
        <sz val="10"/>
        <rFont val="DejaVu Sans"/>
        <family val="2"/>
        <charset val="1"/>
      </rPr>
      <t xml:space="preserve">Question: </t>
    </r>
    <r>
      <rPr>
        <sz val="10"/>
        <rFont val="DejaVu Sans"/>
        <family val="2"/>
        <charset val="1"/>
      </rPr>
      <t>What happened to the amount of equity needed?</t>
    </r>
  </si>
  <si>
    <r>
      <rPr>
        <b/>
        <sz val="10"/>
        <rFont val="DejaVu Sans"/>
        <family val="2"/>
        <charset val="1"/>
      </rPr>
      <t xml:space="preserve">Question: </t>
    </r>
    <r>
      <rPr>
        <sz val="10"/>
        <rFont val="DejaVu Sans"/>
        <family val="2"/>
        <charset val="1"/>
      </rPr>
      <t>Do you think you could sell this equity?</t>
    </r>
  </si>
  <si>
    <t>Debt Financing (Junior)</t>
  </si>
  <si>
    <t>Summary Tab</t>
  </si>
  <si>
    <t>Capital Structure</t>
  </si>
  <si>
    <t>Initial Structure</t>
  </si>
  <si>
    <t>Input cell</t>
  </si>
  <si>
    <t>Calculated (formula) cell</t>
  </si>
  <si>
    <t>Amount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</si>
</sst>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;[Red]\-[$$-409]#,##0.00"/>
    <numFmt numFmtId="165" formatCode="0.000"/>
  </numFmts>
  <fonts count="5">
    <font>
      <sz val="10"/>
      <name val="DejaVu Sans"/>
      <family val="2"/>
      <charset val="1"/>
    </font>
    <font>
      <b/>
      <sz val="10"/>
      <name val="DejaVu Sans"/>
      <family val="2"/>
      <charset val="1"/>
    </font>
    <font>
      <b/>
      <sz val="10"/>
      <name val="DejaVu Sans"/>
    </font>
    <font>
      <sz val="10"/>
      <name val="DejaVu Sans"/>
      <family val="2"/>
      <charset val="1"/>
    </font>
    <font>
      <sz val="10"/>
      <name val="DejaVu Sans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theme="4" tint="0.59999389629810485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0" xfId="0" applyFont="1"/>
    <xf numFmtId="10" fontId="1" fillId="2" borderId="3" xfId="0" applyNumberFormat="1" applyFont="1" applyFill="1" applyBorder="1"/>
    <xf numFmtId="10" fontId="0" fillId="0" borderId="3" xfId="0" applyNumberFormat="1" applyBorder="1"/>
    <xf numFmtId="0" fontId="0" fillId="0" borderId="0" xfId="0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0" xfId="0" applyNumberFormat="1"/>
    <xf numFmtId="164" fontId="0" fillId="0" borderId="0" xfId="0" applyNumberFormat="1"/>
    <xf numFmtId="0" fontId="0" fillId="0" borderId="4" xfId="0" applyBorder="1"/>
    <xf numFmtId="164" fontId="0" fillId="0" borderId="6" xfId="0" applyNumberFormat="1" applyBorder="1"/>
    <xf numFmtId="10" fontId="1" fillId="0" borderId="0" xfId="0" applyNumberFormat="1" applyFont="1"/>
    <xf numFmtId="164" fontId="1" fillId="0" borderId="0" xfId="0" applyNumberFormat="1" applyFont="1"/>
    <xf numFmtId="0" fontId="0" fillId="0" borderId="0" xfId="0" applyFont="1" applyBorder="1"/>
    <xf numFmtId="10" fontId="1" fillId="2" borderId="0" xfId="0" applyNumberFormat="1" applyFont="1" applyFill="1" applyBorder="1"/>
    <xf numFmtId="164" fontId="0" fillId="0" borderId="0" xfId="0" applyNumberFormat="1" applyBorder="1"/>
    <xf numFmtId="4" fontId="1" fillId="0" borderId="0" xfId="0" applyNumberFormat="1" applyFont="1" applyAlignment="1">
      <alignment horizontal="center"/>
    </xf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9" xfId="0" applyFont="1" applyBorder="1"/>
    <xf numFmtId="10" fontId="1" fillId="2" borderId="10" xfId="0" applyNumberFormat="1" applyFont="1" applyFill="1" applyBorder="1"/>
    <xf numFmtId="10" fontId="0" fillId="0" borderId="10" xfId="0" applyNumberFormat="1" applyBorder="1"/>
    <xf numFmtId="0" fontId="0" fillId="0" borderId="11" xfId="0" applyFont="1" applyBorder="1"/>
    <xf numFmtId="10" fontId="1" fillId="2" borderId="12" xfId="0" applyNumberFormat="1" applyFont="1" applyFill="1" applyBorder="1"/>
    <xf numFmtId="0" fontId="0" fillId="0" borderId="11" xfId="0" applyBorder="1"/>
    <xf numFmtId="0" fontId="0" fillId="0" borderId="12" xfId="0" applyBorder="1"/>
    <xf numFmtId="0" fontId="1" fillId="3" borderId="10" xfId="0" applyFont="1" applyFill="1" applyBorder="1"/>
    <xf numFmtId="164" fontId="1" fillId="2" borderId="10" xfId="0" applyNumberFormat="1" applyFont="1" applyFill="1" applyBorder="1"/>
    <xf numFmtId="0" fontId="1" fillId="0" borderId="13" xfId="0" applyFont="1" applyBorder="1" applyAlignment="1">
      <alignment horizontal="center"/>
    </xf>
    <xf numFmtId="4" fontId="1" fillId="2" borderId="14" xfId="0" applyNumberFormat="1" applyFont="1" applyFill="1" applyBorder="1" applyAlignment="1">
      <alignment horizontal="center"/>
    </xf>
    <xf numFmtId="0" fontId="1" fillId="3" borderId="0" xfId="0" applyFont="1" applyFill="1" applyBorder="1"/>
    <xf numFmtId="164" fontId="1" fillId="2" borderId="0" xfId="0" applyNumberFormat="1" applyFont="1" applyFill="1" applyBorder="1"/>
    <xf numFmtId="0" fontId="0" fillId="0" borderId="10" xfId="0" applyFont="1" applyBorder="1" applyAlignment="1">
      <alignment horizontal="center" vertical="center"/>
    </xf>
    <xf numFmtId="164" fontId="0" fillId="0" borderId="10" xfId="0" applyNumberFormat="1" applyBorder="1"/>
    <xf numFmtId="164" fontId="0" fillId="0" borderId="16" xfId="0" applyNumberFormat="1" applyBorder="1"/>
    <xf numFmtId="164" fontId="0" fillId="0" borderId="12" xfId="0" applyNumberFormat="1" applyBorder="1"/>
    <xf numFmtId="0" fontId="2" fillId="4" borderId="13" xfId="0" applyFont="1" applyFill="1" applyBorder="1" applyAlignment="1">
      <alignment horizontal="center"/>
    </xf>
    <xf numFmtId="9" fontId="1" fillId="3" borderId="14" xfId="1" applyFont="1" applyFill="1" applyBorder="1" applyAlignment="1">
      <alignment horizontal="center"/>
    </xf>
    <xf numFmtId="0" fontId="0" fillId="0" borderId="18" xfId="0" applyBorder="1"/>
    <xf numFmtId="0" fontId="0" fillId="0" borderId="19" xfId="0" applyFont="1" applyBorder="1"/>
    <xf numFmtId="0" fontId="0" fillId="0" borderId="19" xfId="0" applyBorder="1"/>
    <xf numFmtId="0" fontId="0" fillId="0" borderId="20" xfId="0" applyBorder="1"/>
    <xf numFmtId="0" fontId="1" fillId="0" borderId="10" xfId="0" applyFont="1" applyBorder="1"/>
    <xf numFmtId="0" fontId="0" fillId="0" borderId="16" xfId="0" applyBorder="1"/>
    <xf numFmtId="164" fontId="0" fillId="0" borderId="22" xfId="0" applyNumberFormat="1" applyBorder="1"/>
    <xf numFmtId="10" fontId="0" fillId="0" borderId="22" xfId="0" applyNumberFormat="1" applyBorder="1"/>
    <xf numFmtId="10" fontId="0" fillId="0" borderId="24" xfId="0" applyNumberFormat="1" applyBorder="1"/>
    <xf numFmtId="10" fontId="0" fillId="0" borderId="16" xfId="0" applyNumberFormat="1" applyBorder="1" applyAlignment="1">
      <alignment horizontal="right"/>
    </xf>
    <xf numFmtId="0" fontId="2" fillId="0" borderId="11" xfId="0" applyFont="1" applyBorder="1"/>
    <xf numFmtId="0" fontId="2" fillId="0" borderId="21" xfId="0" applyFont="1" applyBorder="1"/>
    <xf numFmtId="0" fontId="2" fillId="0" borderId="23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18" xfId="0" applyFont="1" applyBorder="1" applyAlignment="1">
      <alignment horizontal="right"/>
    </xf>
    <xf numFmtId="0" fontId="0" fillId="0" borderId="20" xfId="0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0" fontId="1" fillId="0" borderId="17" xfId="0" applyFont="1" applyBorder="1" applyAlignment="1">
      <alignment horizontal="center"/>
    </xf>
    <xf numFmtId="4" fontId="1" fillId="2" borderId="17" xfId="0" applyNumberFormat="1" applyFont="1" applyFill="1" applyBorder="1" applyAlignment="1">
      <alignment horizontal="center"/>
    </xf>
    <xf numFmtId="4" fontId="1" fillId="0" borderId="20" xfId="0" applyNumberFormat="1" applyFont="1" applyBorder="1" applyAlignment="1">
      <alignment horizontal="center"/>
    </xf>
    <xf numFmtId="4" fontId="1" fillId="0" borderId="10" xfId="0" applyNumberFormat="1" applyFont="1" applyBorder="1" applyAlignment="1">
      <alignment horizontal="center"/>
    </xf>
    <xf numFmtId="164" fontId="0" fillId="0" borderId="16" xfId="0" applyNumberFormat="1" applyBorder="1" applyAlignment="1">
      <alignment horizontal="right"/>
    </xf>
    <xf numFmtId="0" fontId="0" fillId="0" borderId="16" xfId="0" applyBorder="1" applyAlignment="1">
      <alignment horizontal="right"/>
    </xf>
    <xf numFmtId="0" fontId="2" fillId="0" borderId="11" xfId="0" applyFont="1" applyBorder="1" applyAlignment="1">
      <alignment horizontal="left"/>
    </xf>
    <xf numFmtId="164" fontId="4" fillId="0" borderId="24" xfId="0" applyNumberFormat="1" applyFont="1" applyBorder="1"/>
    <xf numFmtId="0" fontId="0" fillId="0" borderId="18" xfId="0" applyBorder="1" applyAlignment="1">
      <alignment horizontal="right"/>
    </xf>
    <xf numFmtId="0" fontId="0" fillId="0" borderId="20" xfId="0" applyBorder="1" applyAlignment="1">
      <alignment horizontal="right"/>
    </xf>
    <xf numFmtId="2" fontId="0" fillId="0" borderId="12" xfId="0" applyNumberFormat="1" applyBorder="1" applyAlignment="1">
      <alignment horizontal="right"/>
    </xf>
    <xf numFmtId="4" fontId="1" fillId="0" borderId="13" xfId="0" applyNumberFormat="1" applyFont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10" fontId="4" fillId="2" borderId="10" xfId="0" applyNumberFormat="1" applyFont="1" applyFill="1" applyBorder="1"/>
    <xf numFmtId="10" fontId="4" fillId="2" borderId="12" xfId="0" applyNumberFormat="1" applyFont="1" applyFill="1" applyBorder="1"/>
    <xf numFmtId="10" fontId="2" fillId="5" borderId="10" xfId="0" applyNumberFormat="1" applyFont="1" applyFill="1" applyBorder="1"/>
    <xf numFmtId="10" fontId="4" fillId="2" borderId="14" xfId="0" applyNumberFormat="1" applyFont="1" applyFill="1" applyBorder="1"/>
    <xf numFmtId="10" fontId="4" fillId="2" borderId="17" xfId="0" applyNumberFormat="1" applyFont="1" applyFill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F58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tabSelected="1" zoomScaleNormal="100" workbookViewId="0">
      <selection activeCell="C6" sqref="C6"/>
    </sheetView>
  </sheetViews>
  <sheetFormatPr defaultRowHeight="12.75"/>
  <cols>
    <col min="1" max="1" width="9.85546875"/>
    <col min="2" max="2" width="23.7109375"/>
    <col min="3" max="3" width="14"/>
    <col min="4" max="4" width="7.7109375"/>
    <col min="5" max="5" width="27.85546875"/>
    <col min="6" max="6" width="22.42578125"/>
    <col min="7" max="7" width="23.7109375"/>
    <col min="8" max="8" width="18.140625"/>
    <col min="9" max="1025" width="9.85546875"/>
  </cols>
  <sheetData>
    <row r="2" spans="2:9">
      <c r="E2" t="s">
        <v>0</v>
      </c>
      <c r="H2" s="34"/>
      <c r="I2" s="20" t="s">
        <v>59</v>
      </c>
    </row>
    <row r="3" spans="2:9">
      <c r="B3" s="79" t="s">
        <v>1</v>
      </c>
      <c r="C3" s="80"/>
      <c r="E3" s="79" t="s">
        <v>2</v>
      </c>
      <c r="F3" s="80"/>
      <c r="H3" s="35"/>
      <c r="I3" s="20" t="s">
        <v>60</v>
      </c>
    </row>
    <row r="4" spans="2:9">
      <c r="B4" s="28"/>
      <c r="C4" s="29"/>
      <c r="E4" s="28"/>
      <c r="F4" s="29"/>
    </row>
    <row r="5" spans="2:9">
      <c r="B5" s="23" t="s">
        <v>3</v>
      </c>
      <c r="C5" s="25">
        <f>Single_Compound!C4*(1+Single_Compound!C5)-1</f>
        <v>2.0722835528523404</v>
      </c>
      <c r="E5" s="23" t="s">
        <v>4</v>
      </c>
      <c r="F5" s="30">
        <v>150</v>
      </c>
    </row>
    <row r="6" spans="2:9">
      <c r="B6" s="23" t="s">
        <v>6</v>
      </c>
      <c r="C6" s="24">
        <f>(1+C5)^(1/Single_Compound!B20)-1</f>
        <v>0.11878369807612943</v>
      </c>
      <c r="E6" s="23" t="s">
        <v>7</v>
      </c>
      <c r="F6" s="31">
        <f>F5*(-Single_Compound!C10)</f>
        <v>30</v>
      </c>
    </row>
    <row r="7" spans="2:9">
      <c r="B7" s="23"/>
      <c r="C7" s="22"/>
      <c r="E7" s="23"/>
      <c r="F7" s="22"/>
    </row>
    <row r="8" spans="2:9">
      <c r="B8" s="23" t="s">
        <v>8</v>
      </c>
      <c r="C8" s="25">
        <f>(1+Single_Compound!C5)*SQRT(Single_Compound!C4*Single_Compound!F4)</f>
        <v>13.391773532785454</v>
      </c>
      <c r="E8" s="23" t="s">
        <v>6</v>
      </c>
      <c r="F8" s="24">
        <f>C6</f>
        <v>0.11878369807612943</v>
      </c>
      <c r="G8" s="32" t="s">
        <v>9</v>
      </c>
    </row>
    <row r="9" spans="2:9">
      <c r="B9" s="26" t="s">
        <v>10</v>
      </c>
      <c r="C9" s="27">
        <f>C8/SQRT(Single_Compound!B20)</f>
        <v>4.2348506272761615</v>
      </c>
      <c r="E9" s="26" t="s">
        <v>10</v>
      </c>
      <c r="F9" s="27">
        <f>C9/SQRT(F5)</f>
        <v>0.34577410579106216</v>
      </c>
      <c r="G9" s="33">
        <f>F8/F9</f>
        <v>0.34352976722874035</v>
      </c>
    </row>
    <row r="10" spans="2:9">
      <c r="E10" s="7"/>
      <c r="F10" s="8"/>
    </row>
  </sheetData>
  <mergeCells count="2">
    <mergeCell ref="B3:C3"/>
    <mergeCell ref="E3:F3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&amp;C&amp;"DejaVu Serif,Book"&amp;12&amp;A</oddHeader>
    <oddFooter>&amp;C&amp;"DejaVu Serif,Book"&amp;12Page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/>
  </sheetViews>
  <sheetFormatPr defaultRowHeight="12.75"/>
  <cols>
    <col min="2" max="2" width="12.7109375" bestFit="1" customWidth="1"/>
    <col min="3" max="3" width="9.7109375" bestFit="1" customWidth="1"/>
    <col min="4" max="4" width="7.28515625" bestFit="1" customWidth="1"/>
    <col min="5" max="5" width="9.28515625" bestFit="1" customWidth="1"/>
    <col min="6" max="6" width="9.7109375" bestFit="1" customWidth="1"/>
  </cols>
  <sheetData>
    <row r="2" spans="2:6">
      <c r="B2" s="79" t="s">
        <v>11</v>
      </c>
      <c r="C2" s="81"/>
      <c r="D2" s="81"/>
      <c r="E2" s="81"/>
      <c r="F2" s="80"/>
    </row>
    <row r="3" spans="2:6">
      <c r="B3" s="79" t="s">
        <v>12</v>
      </c>
      <c r="C3" s="80"/>
      <c r="D3" s="7"/>
      <c r="E3" s="7"/>
      <c r="F3" s="32" t="s">
        <v>13</v>
      </c>
    </row>
    <row r="4" spans="2:6">
      <c r="B4" s="21" t="s">
        <v>14</v>
      </c>
      <c r="C4" s="76">
        <v>0.05</v>
      </c>
      <c r="D4" s="7"/>
      <c r="E4" s="7"/>
      <c r="F4" s="78">
        <f>1-C4</f>
        <v>0.95</v>
      </c>
    </row>
    <row r="5" spans="2:6">
      <c r="B5" s="23" t="s">
        <v>15</v>
      </c>
      <c r="C5" s="74">
        <f>E20/(-C10)-1</f>
        <v>60.445671057046809</v>
      </c>
      <c r="D5" s="7"/>
      <c r="E5" s="7"/>
      <c r="F5" s="77">
        <v>-1</v>
      </c>
    </row>
    <row r="6" spans="2:6">
      <c r="B6" s="26" t="s">
        <v>16</v>
      </c>
      <c r="C6" s="75">
        <f>(1+C5)^(1/B20)-1</f>
        <v>0.50955565407091985</v>
      </c>
      <c r="D6" s="7"/>
      <c r="E6" s="7"/>
      <c r="F6" s="22"/>
    </row>
    <row r="7" spans="2:6">
      <c r="B7" s="23"/>
      <c r="C7" s="7"/>
      <c r="D7" s="7"/>
      <c r="E7" s="7"/>
      <c r="F7" s="22"/>
    </row>
    <row r="8" spans="2:6">
      <c r="B8" s="23"/>
      <c r="C8" s="7" t="s">
        <v>17</v>
      </c>
      <c r="D8" s="8">
        <v>0.1</v>
      </c>
      <c r="E8" s="7"/>
      <c r="F8" s="22"/>
    </row>
    <row r="9" spans="2:6">
      <c r="B9" s="21" t="s">
        <v>18</v>
      </c>
      <c r="C9" s="1" t="s">
        <v>19</v>
      </c>
      <c r="D9" s="16" t="s">
        <v>20</v>
      </c>
      <c r="E9" s="7" t="s">
        <v>21</v>
      </c>
      <c r="F9" s="36" t="s">
        <v>19</v>
      </c>
    </row>
    <row r="10" spans="2:6">
      <c r="B10" s="21">
        <v>0</v>
      </c>
      <c r="C10" s="18">
        <v>-0.2</v>
      </c>
      <c r="D10" s="18"/>
      <c r="E10" s="18"/>
      <c r="F10" s="37">
        <v>-0.2</v>
      </c>
    </row>
    <row r="11" spans="2:6">
      <c r="B11" s="21">
        <f t="shared" ref="B11:B30" si="0">B10+1</f>
        <v>1</v>
      </c>
      <c r="C11" s="18">
        <v>0</v>
      </c>
      <c r="D11" s="18"/>
      <c r="E11" s="18"/>
      <c r="F11" s="37">
        <v>0</v>
      </c>
    </row>
    <row r="12" spans="2:6">
      <c r="B12" s="21">
        <f t="shared" si="0"/>
        <v>2</v>
      </c>
      <c r="C12" s="18">
        <v>0</v>
      </c>
      <c r="D12" s="18"/>
      <c r="E12" s="18"/>
      <c r="F12" s="37">
        <v>0</v>
      </c>
    </row>
    <row r="13" spans="2:6">
      <c r="B13" s="21">
        <f t="shared" si="0"/>
        <v>3</v>
      </c>
      <c r="C13" s="18">
        <v>0</v>
      </c>
      <c r="D13" s="18"/>
      <c r="E13" s="18"/>
      <c r="F13" s="37">
        <v>0</v>
      </c>
    </row>
    <row r="14" spans="2:6">
      <c r="B14" s="21">
        <f t="shared" si="0"/>
        <v>4</v>
      </c>
      <c r="C14" s="18">
        <v>0</v>
      </c>
      <c r="D14" s="18"/>
      <c r="E14" s="18"/>
      <c r="F14" s="37">
        <v>0</v>
      </c>
    </row>
    <row r="15" spans="2:6">
      <c r="B15" s="21">
        <f t="shared" si="0"/>
        <v>5</v>
      </c>
      <c r="C15" s="18">
        <v>0</v>
      </c>
      <c r="D15" s="18"/>
      <c r="E15" s="18"/>
      <c r="F15" s="37">
        <v>0</v>
      </c>
    </row>
    <row r="16" spans="2:6">
      <c r="B16" s="21">
        <f t="shared" si="0"/>
        <v>6</v>
      </c>
      <c r="C16" s="18">
        <v>0</v>
      </c>
      <c r="D16" s="18"/>
      <c r="E16" s="18"/>
      <c r="F16" s="37">
        <v>0</v>
      </c>
    </row>
    <row r="17" spans="2:6">
      <c r="B17" s="21">
        <f t="shared" si="0"/>
        <v>7</v>
      </c>
      <c r="C17" s="18">
        <v>0</v>
      </c>
      <c r="D17" s="18"/>
      <c r="E17" s="18"/>
      <c r="F17" s="37">
        <v>0</v>
      </c>
    </row>
    <row r="18" spans="2:6">
      <c r="B18" s="21">
        <f t="shared" si="0"/>
        <v>8</v>
      </c>
      <c r="C18" s="18">
        <v>0</v>
      </c>
      <c r="D18" s="18"/>
      <c r="E18" s="18"/>
      <c r="F18" s="37">
        <v>0</v>
      </c>
    </row>
    <row r="19" spans="2:6">
      <c r="B19" s="21">
        <f t="shared" si="0"/>
        <v>9</v>
      </c>
      <c r="C19" s="18">
        <v>0</v>
      </c>
      <c r="D19" s="18"/>
      <c r="E19" s="18"/>
      <c r="F19" s="37">
        <v>0</v>
      </c>
    </row>
    <row r="20" spans="2:6">
      <c r="B20" s="21">
        <f t="shared" si="0"/>
        <v>10</v>
      </c>
      <c r="C20" s="18">
        <v>0</v>
      </c>
      <c r="D20" s="18"/>
      <c r="E20" s="18">
        <f>SUM(D21:D30)</f>
        <v>12.289134211409362</v>
      </c>
      <c r="F20" s="37">
        <v>0</v>
      </c>
    </row>
    <row r="21" spans="2:6">
      <c r="B21" s="21">
        <f t="shared" si="0"/>
        <v>11</v>
      </c>
      <c r="C21" s="18">
        <v>2</v>
      </c>
      <c r="D21" s="18">
        <f t="shared" ref="D21:D30" si="1">C21/(1+$D$8)^(B21-$B$20)</f>
        <v>1.8181818181818181</v>
      </c>
      <c r="E21" s="18"/>
      <c r="F21" s="37">
        <v>0</v>
      </c>
    </row>
    <row r="22" spans="2:6">
      <c r="B22" s="21">
        <f t="shared" si="0"/>
        <v>12</v>
      </c>
      <c r="C22" s="18">
        <v>2</v>
      </c>
      <c r="D22" s="18">
        <f t="shared" si="1"/>
        <v>1.6528925619834709</v>
      </c>
      <c r="E22" s="18"/>
      <c r="F22" s="37">
        <v>0</v>
      </c>
    </row>
    <row r="23" spans="2:6">
      <c r="B23" s="21">
        <f t="shared" si="0"/>
        <v>13</v>
      </c>
      <c r="C23" s="18">
        <v>2</v>
      </c>
      <c r="D23" s="18">
        <f t="shared" si="1"/>
        <v>1.5026296018031551</v>
      </c>
      <c r="E23" s="18"/>
      <c r="F23" s="37">
        <v>0</v>
      </c>
    </row>
    <row r="24" spans="2:6">
      <c r="B24" s="21">
        <f t="shared" si="0"/>
        <v>14</v>
      </c>
      <c r="C24" s="18">
        <v>2</v>
      </c>
      <c r="D24" s="18">
        <f t="shared" si="1"/>
        <v>1.366026910730141</v>
      </c>
      <c r="E24" s="18"/>
      <c r="F24" s="37">
        <v>0</v>
      </c>
    </row>
    <row r="25" spans="2:6">
      <c r="B25" s="21">
        <f t="shared" si="0"/>
        <v>15</v>
      </c>
      <c r="C25" s="18">
        <v>2</v>
      </c>
      <c r="D25" s="18">
        <f t="shared" si="1"/>
        <v>1.2418426461183099</v>
      </c>
      <c r="E25" s="18"/>
      <c r="F25" s="37">
        <v>0</v>
      </c>
    </row>
    <row r="26" spans="2:6">
      <c r="B26" s="21">
        <f t="shared" si="0"/>
        <v>16</v>
      </c>
      <c r="C26" s="18">
        <v>2</v>
      </c>
      <c r="D26" s="18">
        <f t="shared" si="1"/>
        <v>1.1289478601075544</v>
      </c>
      <c r="E26" s="18"/>
      <c r="F26" s="37">
        <v>0</v>
      </c>
    </row>
    <row r="27" spans="2:6">
      <c r="B27" s="21">
        <f t="shared" si="0"/>
        <v>17</v>
      </c>
      <c r="C27" s="18">
        <v>2</v>
      </c>
      <c r="D27" s="18">
        <f t="shared" si="1"/>
        <v>1.0263162364614129</v>
      </c>
      <c r="E27" s="18"/>
      <c r="F27" s="37">
        <v>0</v>
      </c>
    </row>
    <row r="28" spans="2:6">
      <c r="B28" s="21">
        <f t="shared" si="0"/>
        <v>18</v>
      </c>
      <c r="C28" s="18">
        <v>2</v>
      </c>
      <c r="D28" s="18">
        <f t="shared" si="1"/>
        <v>0.93301476041946629</v>
      </c>
      <c r="E28" s="18"/>
      <c r="F28" s="37">
        <v>0</v>
      </c>
    </row>
    <row r="29" spans="2:6">
      <c r="B29" s="21">
        <f t="shared" si="0"/>
        <v>19</v>
      </c>
      <c r="C29" s="18">
        <v>2</v>
      </c>
      <c r="D29" s="18">
        <f t="shared" si="1"/>
        <v>0.84819523674496933</v>
      </c>
      <c r="E29" s="18"/>
      <c r="F29" s="37">
        <v>0</v>
      </c>
    </row>
    <row r="30" spans="2:6">
      <c r="B30" s="28">
        <f t="shared" si="0"/>
        <v>20</v>
      </c>
      <c r="C30" s="38">
        <v>2</v>
      </c>
      <c r="D30" s="38">
        <f t="shared" si="1"/>
        <v>0.77108657885906295</v>
      </c>
      <c r="E30" s="38"/>
      <c r="F30" s="39">
        <v>0</v>
      </c>
    </row>
  </sheetData>
  <mergeCells count="2">
    <mergeCell ref="B2:F2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zoomScaleNormal="100" workbookViewId="0"/>
  </sheetViews>
  <sheetFormatPr defaultRowHeight="12.75"/>
  <cols>
    <col min="1" max="1" width="28.85546875"/>
    <col min="2" max="2" width="9.85546875"/>
    <col min="3" max="3" width="19.42578125"/>
    <col min="4" max="4" width="43.85546875"/>
    <col min="5" max="5" width="21.5703125"/>
    <col min="6" max="6" width="12.140625"/>
    <col min="7" max="7" width="11.5703125"/>
    <col min="8" max="8" width="15"/>
    <col min="9" max="9" width="20.28515625"/>
    <col min="10" max="1025" width="9.85546875"/>
  </cols>
  <sheetData>
    <row r="2" spans="1:9">
      <c r="A2" t="s">
        <v>22</v>
      </c>
      <c r="B2" s="10">
        <f>Single_Compound!C4</f>
        <v>0.05</v>
      </c>
    </row>
    <row r="3" spans="1:9">
      <c r="A3" t="s">
        <v>23</v>
      </c>
      <c r="B3" s="10">
        <f>1-B2</f>
        <v>0.95</v>
      </c>
      <c r="D3" t="s">
        <v>24</v>
      </c>
      <c r="E3" s="11">
        <f>E10</f>
        <v>24.578268422818741</v>
      </c>
    </row>
    <row r="5" spans="1:9">
      <c r="A5" t="s">
        <v>4</v>
      </c>
      <c r="B5">
        <f>Summary!F5</f>
        <v>150</v>
      </c>
      <c r="E5" s="40" t="s">
        <v>25</v>
      </c>
    </row>
    <row r="6" spans="1:9">
      <c r="E6" s="41">
        <v>0.1</v>
      </c>
    </row>
    <row r="7" spans="1:9">
      <c r="A7" t="s">
        <v>26</v>
      </c>
      <c r="B7" t="s">
        <v>14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</row>
    <row r="8" spans="1:9">
      <c r="A8">
        <v>0</v>
      </c>
      <c r="B8" s="10">
        <f t="shared" ref="B8:B35" si="0">(FACT($B$5)/(FACT(A8)*FACT($B$5-A8)))*$B$2^A8*$B$3^($B$5-A8)</f>
        <v>4.5555497448365983E-4</v>
      </c>
      <c r="D8">
        <v>0</v>
      </c>
      <c r="E8">
        <v>0</v>
      </c>
      <c r="H8" s="11">
        <f>B8*E8</f>
        <v>0</v>
      </c>
    </row>
    <row r="9" spans="1:9">
      <c r="A9">
        <f t="shared" ref="A9:A35" si="1">A8+1</f>
        <v>1</v>
      </c>
      <c r="B9" s="10">
        <f t="shared" si="0"/>
        <v>3.5964866406604764E-3</v>
      </c>
      <c r="C9" s="10">
        <f>SUM(B9:$B$35)</f>
        <v>0.99954444329185377</v>
      </c>
      <c r="D9" s="11">
        <f>Single_Compound!$C$21*A9</f>
        <v>2</v>
      </c>
      <c r="E9" s="11">
        <f t="shared" ref="E9:E35" si="2">D9*(1-1/(1+$E$6)^10)/$E$6</f>
        <v>12.289134211409371</v>
      </c>
      <c r="F9" s="10">
        <v>0.03</v>
      </c>
      <c r="G9" s="11">
        <f>E9/(1+F9)^10</f>
        <v>9.1442699860588785</v>
      </c>
      <c r="H9" s="11">
        <f>B9*E9</f>
        <v>4.4197707016617419E-2</v>
      </c>
      <c r="I9" s="10"/>
    </row>
    <row r="10" spans="1:9">
      <c r="A10">
        <f t="shared" si="1"/>
        <v>2</v>
      </c>
      <c r="B10" s="10">
        <f t="shared" si="0"/>
        <v>1.4102013406800295E-2</v>
      </c>
      <c r="C10" s="10">
        <f>SUM(B10:$B$35)</f>
        <v>0.99594795665119318</v>
      </c>
      <c r="D10" s="11">
        <f>Single_Compound!$C$21*A10</f>
        <v>4</v>
      </c>
      <c r="E10" s="11">
        <f t="shared" si="2"/>
        <v>24.578268422818741</v>
      </c>
      <c r="F10" s="14">
        <v>3.85E-2</v>
      </c>
      <c r="G10" s="11">
        <f>E10/(1+F10)^10</f>
        <v>16.845591857242642</v>
      </c>
      <c r="H10" s="11">
        <f>C10*E10</f>
        <v>24.478676213730871</v>
      </c>
      <c r="I10" s="11">
        <f t="shared" ref="I10:I35" si="3">(E10-$E$3)*B10</f>
        <v>0</v>
      </c>
    </row>
    <row r="11" spans="1:9">
      <c r="A11">
        <f t="shared" si="1"/>
        <v>3</v>
      </c>
      <c r="B11" s="10">
        <f t="shared" si="0"/>
        <v>3.6615754108884929E-2</v>
      </c>
      <c r="C11" s="10">
        <f>SUM(B11:$B$35)</f>
        <v>0.981845943244393</v>
      </c>
      <c r="D11" s="11">
        <f>Single_Compound!$C$21*A11</f>
        <v>6</v>
      </c>
      <c r="E11" s="11">
        <f t="shared" si="2"/>
        <v>36.867402634228114</v>
      </c>
      <c r="F11" s="14">
        <v>0.05</v>
      </c>
      <c r="G11" s="11">
        <f>E11/(1+F11)^10</f>
        <v>22.63338710077614</v>
      </c>
      <c r="I11" s="11">
        <f t="shared" si="3"/>
        <v>0.44997591649605106</v>
      </c>
    </row>
    <row r="12" spans="1:9">
      <c r="A12">
        <f t="shared" si="1"/>
        <v>4</v>
      </c>
      <c r="B12" s="10">
        <f t="shared" si="0"/>
        <v>7.0822577026395911E-2</v>
      </c>
      <c r="C12" s="10">
        <f>SUM(B12:$B$35)</f>
        <v>0.94523018913550805</v>
      </c>
      <c r="D12" s="11">
        <f>Single_Compound!$C$21*A12</f>
        <v>8</v>
      </c>
      <c r="E12" s="11">
        <f t="shared" si="2"/>
        <v>49.156536845637483</v>
      </c>
      <c r="I12" s="11">
        <f t="shared" si="3"/>
        <v>1.7406963085505147</v>
      </c>
    </row>
    <row r="13" spans="1:9">
      <c r="A13">
        <f t="shared" si="1"/>
        <v>5</v>
      </c>
      <c r="B13" s="10">
        <f t="shared" si="0"/>
        <v>0.10884311837740851</v>
      </c>
      <c r="C13" s="10">
        <f>SUM(B13:$B$35)</f>
        <v>0.87440761210911211</v>
      </c>
      <c r="D13" s="11">
        <f>Single_Compound!$C$21*A13</f>
        <v>10</v>
      </c>
      <c r="E13" s="11">
        <f t="shared" si="2"/>
        <v>61.445671057046859</v>
      </c>
      <c r="I13" s="11">
        <f t="shared" si="3"/>
        <v>4.0127630691848726</v>
      </c>
    </row>
    <row r="14" spans="1:9">
      <c r="A14">
        <f t="shared" si="1"/>
        <v>6</v>
      </c>
      <c r="B14" s="10">
        <f t="shared" si="0"/>
        <v>0.13844080846249318</v>
      </c>
      <c r="C14" s="10">
        <f>SUM(B14:$B$35)</f>
        <v>0.76556449373170365</v>
      </c>
      <c r="D14" s="11">
        <f>Single_Compound!$C$21*A14</f>
        <v>12</v>
      </c>
      <c r="E14" s="11">
        <f t="shared" si="2"/>
        <v>73.734805268456228</v>
      </c>
      <c r="I14" s="11">
        <f t="shared" si="3"/>
        <v>6.8052707021263883</v>
      </c>
    </row>
    <row r="15" spans="1:9">
      <c r="A15">
        <f t="shared" si="1"/>
        <v>7</v>
      </c>
      <c r="B15" s="10">
        <f t="shared" si="0"/>
        <v>0.14989080013984241</v>
      </c>
      <c r="C15" s="10">
        <f>SUM(B15:$B$35)</f>
        <v>0.62712368526921058</v>
      </c>
      <c r="D15" s="11">
        <f>Single_Compound!$C$21*A15</f>
        <v>14</v>
      </c>
      <c r="E15" s="11">
        <f t="shared" si="2"/>
        <v>86.023939479865589</v>
      </c>
      <c r="I15" s="11">
        <f t="shared" si="3"/>
        <v>9.2101407998703095</v>
      </c>
    </row>
    <row r="16" spans="1:9">
      <c r="A16">
        <f t="shared" si="1"/>
        <v>8</v>
      </c>
      <c r="B16" s="10">
        <f t="shared" si="0"/>
        <v>0.14101568697366743</v>
      </c>
      <c r="C16" s="10">
        <f>SUM(B16:$B$35)</f>
        <v>0.47723288512936807</v>
      </c>
      <c r="D16" s="11">
        <f>Single_Compound!$C$21*A16</f>
        <v>16</v>
      </c>
      <c r="E16" s="11">
        <f t="shared" si="2"/>
        <v>98.313073691274965</v>
      </c>
      <c r="I16" s="11">
        <f t="shared" si="3"/>
        <v>10.397764218800948</v>
      </c>
    </row>
    <row r="17" spans="1:9">
      <c r="A17">
        <f t="shared" si="1"/>
        <v>9</v>
      </c>
      <c r="B17" s="10">
        <f t="shared" si="0"/>
        <v>0.11710074590795776</v>
      </c>
      <c r="C17" s="10">
        <f>SUM(B17:$B$35)</f>
        <v>0.33621719815570067</v>
      </c>
      <c r="D17" s="11">
        <f>Single_Compound!$C$21*A17</f>
        <v>18</v>
      </c>
      <c r="E17" s="11">
        <f t="shared" si="2"/>
        <v>110.60220790268434</v>
      </c>
      <c r="I17" s="11">
        <f t="shared" si="3"/>
        <v>10.073467479033278</v>
      </c>
    </row>
    <row r="18" spans="1:9">
      <c r="A18">
        <f t="shared" si="1"/>
        <v>10</v>
      </c>
      <c r="B18" s="10">
        <f t="shared" si="0"/>
        <v>8.6901079858010793E-2</v>
      </c>
      <c r="C18" s="10">
        <f>SUM(B18:$B$35)</f>
        <v>0.21911645224774293</v>
      </c>
      <c r="D18" s="11">
        <f>Single_Compound!$C$21*A18</f>
        <v>20</v>
      </c>
      <c r="E18" s="11">
        <f t="shared" si="2"/>
        <v>122.89134211409372</v>
      </c>
      <c r="I18" s="11">
        <f t="shared" si="3"/>
        <v>8.5435122679319875</v>
      </c>
    </row>
    <row r="19" spans="1:9">
      <c r="A19">
        <f t="shared" si="1"/>
        <v>11</v>
      </c>
      <c r="B19" s="10">
        <f t="shared" si="0"/>
        <v>5.8211249665653157E-2</v>
      </c>
      <c r="C19" s="10">
        <f>SUM(B19:$B$35)</f>
        <v>0.13221537238973213</v>
      </c>
      <c r="D19" s="11">
        <f>Single_Compound!$C$21*A19</f>
        <v>22</v>
      </c>
      <c r="E19" s="11">
        <f t="shared" si="2"/>
        <v>135.18047632550307</v>
      </c>
      <c r="I19" s="11">
        <f t="shared" si="3"/>
        <v>6.438292737795634</v>
      </c>
    </row>
    <row r="20" spans="1:9">
      <c r="A20">
        <f t="shared" si="1"/>
        <v>12</v>
      </c>
      <c r="B20" s="10">
        <f t="shared" si="0"/>
        <v>3.5488437296165791E-2</v>
      </c>
      <c r="C20" s="10">
        <f>SUM(B20:$B$35)</f>
        <v>7.4004122724078983E-2</v>
      </c>
      <c r="D20" s="11">
        <f>Single_Compound!$C$21*A20</f>
        <v>24</v>
      </c>
      <c r="E20" s="11">
        <f t="shared" si="2"/>
        <v>147.46961053691246</v>
      </c>
      <c r="I20" s="11">
        <f t="shared" si="3"/>
        <v>4.3612216888576736</v>
      </c>
    </row>
    <row r="21" spans="1:9">
      <c r="A21">
        <f t="shared" si="1"/>
        <v>13</v>
      </c>
      <c r="B21" s="10">
        <f t="shared" si="0"/>
        <v>1.9827547963039985E-2</v>
      </c>
      <c r="C21" s="10">
        <f>SUM(B21:$B$35)</f>
        <v>3.8515685427913185E-2</v>
      </c>
      <c r="D21" s="11">
        <f>Single_Compound!$C$21*A21</f>
        <v>26</v>
      </c>
      <c r="E21" s="11">
        <f t="shared" si="2"/>
        <v>159.75874474832182</v>
      </c>
      <c r="I21" s="11">
        <f t="shared" si="3"/>
        <v>2.6802973780105033</v>
      </c>
    </row>
    <row r="22" spans="1:9">
      <c r="A22">
        <f t="shared" si="1"/>
        <v>14</v>
      </c>
      <c r="B22" s="10">
        <f t="shared" si="0"/>
        <v>1.0211932597505552E-2</v>
      </c>
      <c r="C22" s="10">
        <f>SUM(B22:$B$35)</f>
        <v>1.8688137464873199E-2</v>
      </c>
      <c r="D22" s="11">
        <f>Single_Compound!$C$21*A22</f>
        <v>28</v>
      </c>
      <c r="E22" s="11">
        <f t="shared" si="2"/>
        <v>172.04787895973118</v>
      </c>
      <c r="I22" s="11">
        <f t="shared" si="3"/>
        <v>1.5059497229833443</v>
      </c>
    </row>
    <row r="23" spans="1:9">
      <c r="A23">
        <f t="shared" si="1"/>
        <v>15</v>
      </c>
      <c r="B23" s="10">
        <f t="shared" si="0"/>
        <v>4.8730625728447578E-3</v>
      </c>
      <c r="C23" s="10">
        <f>SUM(B23:$B$35)</f>
        <v>8.4762048673676475E-3</v>
      </c>
      <c r="D23" s="11">
        <f>Single_Compound!$C$21*A23</f>
        <v>30</v>
      </c>
      <c r="E23" s="11">
        <f t="shared" si="2"/>
        <v>184.33701317114057</v>
      </c>
      <c r="I23" s="11">
        <f t="shared" si="3"/>
        <v>0.77851435971770611</v>
      </c>
    </row>
    <row r="24" spans="1:9">
      <c r="A24">
        <f t="shared" si="1"/>
        <v>16</v>
      </c>
      <c r="B24" s="10">
        <f t="shared" si="0"/>
        <v>2.1640244978093468E-3</v>
      </c>
      <c r="C24" s="10">
        <f>SUM(B24:$B$35)</f>
        <v>3.6031422945228889E-3</v>
      </c>
      <c r="D24" s="11">
        <f>Single_Compound!$C$21*A24</f>
        <v>32</v>
      </c>
      <c r="E24" s="11">
        <f t="shared" si="2"/>
        <v>196.62614738254993</v>
      </c>
      <c r="I24" s="11">
        <f t="shared" si="3"/>
        <v>0.37231582486499554</v>
      </c>
    </row>
    <row r="25" spans="1:9">
      <c r="A25">
        <f t="shared" si="1"/>
        <v>17</v>
      </c>
      <c r="B25" s="10">
        <f t="shared" si="0"/>
        <v>8.9776867710976156E-4</v>
      </c>
      <c r="C25" s="10">
        <f>SUM(B25:$B$35)</f>
        <v>1.4391177967135419E-3</v>
      </c>
      <c r="D25" s="11">
        <f>Single_Compound!$C$21*A25</f>
        <v>34</v>
      </c>
      <c r="E25" s="11">
        <f t="shared" si="2"/>
        <v>208.91528159395932</v>
      </c>
      <c r="I25" s="11">
        <f t="shared" si="3"/>
        <v>0.16549199645701956</v>
      </c>
    </row>
    <row r="26" spans="1:9">
      <c r="A26">
        <f t="shared" si="1"/>
        <v>18</v>
      </c>
      <c r="B26" s="10">
        <f t="shared" si="0"/>
        <v>3.4913226332046281E-4</v>
      </c>
      <c r="C26" s="10">
        <f>SUM(B26:$B$35)</f>
        <v>5.4134911960378054E-4</v>
      </c>
      <c r="D26" s="11">
        <f>Single_Compound!$C$21*A26</f>
        <v>36</v>
      </c>
      <c r="E26" s="11">
        <f t="shared" si="2"/>
        <v>221.20441580536868</v>
      </c>
      <c r="I26" s="11">
        <f t="shared" si="3"/>
        <v>6.8648531863652551E-2</v>
      </c>
    </row>
    <row r="27" spans="1:9">
      <c r="A27">
        <f t="shared" si="1"/>
        <v>19</v>
      </c>
      <c r="B27" s="10">
        <f t="shared" si="0"/>
        <v>1.276605505770114E-4</v>
      </c>
      <c r="C27" s="10">
        <f>SUM(B27:$B$35)</f>
        <v>1.9221685628331763E-4</v>
      </c>
      <c r="D27" s="11">
        <f>Single_Compound!$C$21*A27</f>
        <v>38</v>
      </c>
      <c r="E27" s="11">
        <f t="shared" si="2"/>
        <v>233.49355001677807</v>
      </c>
      <c r="I27" s="11">
        <f t="shared" si="3"/>
        <v>2.6670239872236223E-2</v>
      </c>
    </row>
    <row r="28" spans="1:9">
      <c r="A28">
        <f t="shared" si="1"/>
        <v>20</v>
      </c>
      <c r="B28" s="10">
        <f t="shared" si="0"/>
        <v>4.4009295067338115E-5</v>
      </c>
      <c r="C28" s="10">
        <f>SUM(B28:$B$35)</f>
        <v>6.4556305706306227E-5</v>
      </c>
      <c r="D28" s="11">
        <f>Single_Compound!$C$21*A28</f>
        <v>40</v>
      </c>
      <c r="E28" s="11">
        <f t="shared" si="2"/>
        <v>245.78268422818743</v>
      </c>
      <c r="I28" s="11">
        <f t="shared" si="3"/>
        <v>9.7350504053766215E-3</v>
      </c>
    </row>
    <row r="29" spans="1:9">
      <c r="A29">
        <f t="shared" si="1"/>
        <v>21</v>
      </c>
      <c r="B29" s="10">
        <f t="shared" si="0"/>
        <v>1.4338868067052519E-5</v>
      </c>
      <c r="C29" s="10">
        <f>SUM(B29:$B$35)</f>
        <v>2.0547010638968129E-5</v>
      </c>
      <c r="D29" s="11">
        <f>Single_Compound!$C$21*A29</f>
        <v>42</v>
      </c>
      <c r="E29" s="11">
        <f t="shared" si="2"/>
        <v>258.07181843959677</v>
      </c>
      <c r="I29" s="11">
        <f t="shared" si="3"/>
        <v>3.3480332081983082E-3</v>
      </c>
    </row>
    <row r="30" spans="1:9">
      <c r="A30">
        <f t="shared" si="1"/>
        <v>22</v>
      </c>
      <c r="B30" s="10">
        <f t="shared" si="0"/>
        <v>4.4251530637554383E-6</v>
      </c>
      <c r="C30" s="10">
        <f>SUM(B30:$B$35)</f>
        <v>6.2081425719156039E-6</v>
      </c>
      <c r="D30" s="11">
        <f>Single_Compound!$C$21*A30</f>
        <v>44</v>
      </c>
      <c r="E30" s="11">
        <f t="shared" si="2"/>
        <v>270.36095265100613</v>
      </c>
      <c r="I30" s="11">
        <f t="shared" si="3"/>
        <v>1.0876259981303989E-3</v>
      </c>
    </row>
    <row r="31" spans="1:9">
      <c r="A31">
        <f t="shared" si="1"/>
        <v>23</v>
      </c>
      <c r="B31" s="10">
        <f t="shared" si="0"/>
        <v>1.2961546731366046E-6</v>
      </c>
      <c r="C31" s="10">
        <f>SUM(B31:$B$35)</f>
        <v>1.7829895081601659E-6</v>
      </c>
      <c r="D31" s="11">
        <f>Single_Compound!$C$21*A31</f>
        <v>46</v>
      </c>
      <c r="E31" s="11">
        <f t="shared" si="2"/>
        <v>282.65008686241555</v>
      </c>
      <c r="I31" s="11">
        <f t="shared" si="3"/>
        <v>3.345009934753448E-4</v>
      </c>
    </row>
    <row r="32" spans="1:9">
      <c r="A32">
        <f t="shared" si="1"/>
        <v>24</v>
      </c>
      <c r="B32" s="10">
        <f t="shared" si="0"/>
        <v>3.6099044624637905E-7</v>
      </c>
      <c r="C32" s="10">
        <f>SUM(B32:$B$35)</f>
        <v>4.8683483502356127E-7</v>
      </c>
      <c r="D32" s="11">
        <f>Single_Compound!$C$21*A32</f>
        <v>48</v>
      </c>
      <c r="E32" s="11">
        <f t="shared" si="2"/>
        <v>294.93922107382491</v>
      </c>
      <c r="I32" s="11">
        <f t="shared" si="3"/>
        <v>9.7597720945082883E-5</v>
      </c>
    </row>
    <row r="33" spans="1:9">
      <c r="A33">
        <f t="shared" si="1"/>
        <v>25</v>
      </c>
      <c r="B33" s="10">
        <f t="shared" si="0"/>
        <v>9.5757465741144824E-8</v>
      </c>
      <c r="C33" s="10">
        <f>SUM(B33:$B$35)</f>
        <v>1.2584438877718217E-7</v>
      </c>
      <c r="D33" s="11">
        <f>Single_Compound!$C$21*A33</f>
        <v>50</v>
      </c>
      <c r="E33" s="11">
        <f t="shared" si="2"/>
        <v>307.22835528523427</v>
      </c>
      <c r="I33" s="11">
        <f t="shared" si="3"/>
        <v>2.7065856009459367E-5</v>
      </c>
    </row>
    <row r="34" spans="1:9">
      <c r="A34">
        <f t="shared" si="1"/>
        <v>26</v>
      </c>
      <c r="B34" s="10">
        <f t="shared" si="0"/>
        <v>2.423012797093745E-8</v>
      </c>
      <c r="C34" s="10">
        <f>SUM(B34:$B$35)</f>
        <v>3.0086923036037343E-8</v>
      </c>
      <c r="D34" s="11">
        <f>Single_Compound!$C$21*A34</f>
        <v>52</v>
      </c>
      <c r="E34" s="11">
        <f t="shared" si="2"/>
        <v>319.51748949664363</v>
      </c>
      <c r="I34" s="11">
        <f t="shared" si="3"/>
        <v>7.1464150702673894E-6</v>
      </c>
    </row>
    <row r="35" spans="1:9">
      <c r="A35">
        <f t="shared" si="1"/>
        <v>27</v>
      </c>
      <c r="B35" s="10">
        <f t="shared" si="0"/>
        <v>5.8567950650998925E-9</v>
      </c>
      <c r="C35" s="10">
        <f>SUM(B35:$B$35)</f>
        <v>5.8567950650998925E-9</v>
      </c>
      <c r="D35" s="11">
        <f>Single_Compound!$C$21*A35</f>
        <v>54</v>
      </c>
      <c r="E35" s="11">
        <f t="shared" si="2"/>
        <v>331.806623708053</v>
      </c>
      <c r="I35" s="11">
        <f t="shared" si="3"/>
        <v>1.7993735150933166E-6</v>
      </c>
    </row>
    <row r="36" spans="1:9">
      <c r="H36" s="11">
        <f>SUM(H8:H10)</f>
        <v>24.52287392074749</v>
      </c>
      <c r="I36" s="15">
        <f>SUM(I9:I35)</f>
        <v>67.645632062387847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&amp;C&amp;"DejaVu Serif,Book"&amp;12&amp;A</oddHeader>
    <oddFooter>&amp;C&amp;"DejaVu Serif,Book"&amp;12Page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35"/>
  <sheetViews>
    <sheetView topLeftCell="A4" zoomScaleNormal="100" workbookViewId="0">
      <selection activeCell="C15" sqref="C15"/>
    </sheetView>
  </sheetViews>
  <sheetFormatPr defaultRowHeight="12.75"/>
  <cols>
    <col min="1" max="4" width="9.85546875"/>
    <col min="5" max="5" width="20.7109375"/>
    <col min="6" max="6" width="16.85546875"/>
    <col min="7" max="7" width="9.85546875"/>
    <col min="8" max="8" width="20.42578125"/>
    <col min="9" max="1025" width="9.85546875"/>
  </cols>
  <sheetData>
    <row r="7" spans="2:9">
      <c r="B7" s="4" t="s">
        <v>34</v>
      </c>
    </row>
    <row r="9" spans="2:9">
      <c r="B9" s="82" t="s">
        <v>11</v>
      </c>
      <c r="C9" s="82"/>
      <c r="D9" s="82"/>
      <c r="E9" s="82"/>
      <c r="F9" s="82"/>
      <c r="H9" s="83" t="s">
        <v>35</v>
      </c>
      <c r="I9" s="83"/>
    </row>
    <row r="10" spans="2:9">
      <c r="B10" s="2"/>
      <c r="C10" t="s">
        <v>12</v>
      </c>
      <c r="D10" t="s">
        <v>13</v>
      </c>
      <c r="E10" s="16" t="s">
        <v>6</v>
      </c>
      <c r="F10" s="3" t="s">
        <v>36</v>
      </c>
      <c r="H10" t="s">
        <v>37</v>
      </c>
      <c r="I10">
        <v>150</v>
      </c>
    </row>
    <row r="11" spans="2:9">
      <c r="B11" s="2" t="s">
        <v>14</v>
      </c>
      <c r="C11" s="10">
        <v>0.05</v>
      </c>
      <c r="D11" s="10">
        <f>1-C11</f>
        <v>0.95</v>
      </c>
      <c r="E11" s="16"/>
      <c r="F11" s="3"/>
    </row>
    <row r="12" spans="2:9">
      <c r="B12" s="2" t="s">
        <v>38</v>
      </c>
      <c r="C12" s="10">
        <f>IRR(C15:C35)</f>
        <v>0.38089776608471393</v>
      </c>
      <c r="D12" s="10">
        <v>-1</v>
      </c>
      <c r="E12" s="17">
        <f>IRR(E15:E35)</f>
        <v>0.11276072726950126</v>
      </c>
      <c r="F12" s="5">
        <f>SUM(F15:F35)</f>
        <v>4.3588989435406731</v>
      </c>
      <c r="H12" s="10">
        <f>E12</f>
        <v>0.11276072726950126</v>
      </c>
      <c r="I12" s="10">
        <f>F12/SQRT(I10)</f>
        <v>0.35590260840104365</v>
      </c>
    </row>
    <row r="13" spans="2:9">
      <c r="B13" s="2"/>
      <c r="E13" s="16"/>
      <c r="F13" s="3"/>
    </row>
    <row r="14" spans="2:9">
      <c r="B14" s="2" t="s">
        <v>18</v>
      </c>
      <c r="C14" s="84" t="s">
        <v>19</v>
      </c>
      <c r="D14" s="84"/>
      <c r="E14" s="84"/>
      <c r="F14" s="3"/>
    </row>
    <row r="15" spans="2:9">
      <c r="B15" s="2">
        <v>0</v>
      </c>
      <c r="C15" s="11">
        <v>-0.2</v>
      </c>
      <c r="D15" s="11">
        <v>-0.2</v>
      </c>
      <c r="E15" s="18">
        <f t="shared" ref="E15:E35" si="0">C15*$C$11+D15*$D$11</f>
        <v>-0.2</v>
      </c>
      <c r="F15" s="6">
        <f t="shared" ref="F15:F35" si="1">SQRT($C$11*(C15-E15)^2+$D$11*(D15-E15)^2)</f>
        <v>0</v>
      </c>
    </row>
    <row r="16" spans="2:9">
      <c r="B16" s="2">
        <f t="shared" ref="B16:B35" si="2">B15+1</f>
        <v>1</v>
      </c>
      <c r="C16" s="11">
        <v>0</v>
      </c>
      <c r="D16" s="11">
        <v>0</v>
      </c>
      <c r="E16" s="18">
        <f t="shared" si="0"/>
        <v>0</v>
      </c>
      <c r="F16" s="6">
        <f t="shared" si="1"/>
        <v>0</v>
      </c>
    </row>
    <row r="17" spans="2:6">
      <c r="B17" s="2">
        <f t="shared" si="2"/>
        <v>2</v>
      </c>
      <c r="C17" s="11">
        <v>0</v>
      </c>
      <c r="D17" s="11">
        <v>0</v>
      </c>
      <c r="E17" s="18">
        <f t="shared" si="0"/>
        <v>0</v>
      </c>
      <c r="F17" s="6">
        <f t="shared" si="1"/>
        <v>0</v>
      </c>
    </row>
    <row r="18" spans="2:6">
      <c r="B18" s="2">
        <f t="shared" si="2"/>
        <v>3</v>
      </c>
      <c r="C18" s="11">
        <v>0</v>
      </c>
      <c r="D18" s="11">
        <v>0</v>
      </c>
      <c r="E18" s="18">
        <f t="shared" si="0"/>
        <v>0</v>
      </c>
      <c r="F18" s="6">
        <f t="shared" si="1"/>
        <v>0</v>
      </c>
    </row>
    <row r="19" spans="2:6">
      <c r="B19" s="2">
        <f t="shared" si="2"/>
        <v>4</v>
      </c>
      <c r="C19" s="11">
        <v>0</v>
      </c>
      <c r="D19" s="11">
        <v>0</v>
      </c>
      <c r="E19" s="18">
        <f t="shared" si="0"/>
        <v>0</v>
      </c>
      <c r="F19" s="6">
        <f t="shared" si="1"/>
        <v>0</v>
      </c>
    </row>
    <row r="20" spans="2:6">
      <c r="B20" s="2">
        <f t="shared" si="2"/>
        <v>5</v>
      </c>
      <c r="C20" s="11">
        <v>0</v>
      </c>
      <c r="D20" s="11">
        <v>0</v>
      </c>
      <c r="E20" s="18">
        <f t="shared" si="0"/>
        <v>0</v>
      </c>
      <c r="F20" s="6">
        <f t="shared" si="1"/>
        <v>0</v>
      </c>
    </row>
    <row r="21" spans="2:6">
      <c r="B21" s="2">
        <f t="shared" si="2"/>
        <v>6</v>
      </c>
      <c r="C21" s="11">
        <v>0</v>
      </c>
      <c r="D21" s="11">
        <v>0</v>
      </c>
      <c r="E21" s="18">
        <f t="shared" si="0"/>
        <v>0</v>
      </c>
      <c r="F21" s="6">
        <f t="shared" si="1"/>
        <v>0</v>
      </c>
    </row>
    <row r="22" spans="2:6">
      <c r="B22" s="2">
        <f t="shared" si="2"/>
        <v>7</v>
      </c>
      <c r="C22" s="11">
        <v>0</v>
      </c>
      <c r="D22" s="11">
        <v>0</v>
      </c>
      <c r="E22" s="18">
        <f t="shared" si="0"/>
        <v>0</v>
      </c>
      <c r="F22" s="6">
        <f t="shared" si="1"/>
        <v>0</v>
      </c>
    </row>
    <row r="23" spans="2:6">
      <c r="B23" s="2">
        <f t="shared" si="2"/>
        <v>8</v>
      </c>
      <c r="C23" s="11">
        <v>0</v>
      </c>
      <c r="D23" s="11">
        <v>0</v>
      </c>
      <c r="E23" s="18">
        <f t="shared" si="0"/>
        <v>0</v>
      </c>
      <c r="F23" s="6">
        <f t="shared" si="1"/>
        <v>0</v>
      </c>
    </row>
    <row r="24" spans="2:6">
      <c r="B24" s="2">
        <f t="shared" si="2"/>
        <v>9</v>
      </c>
      <c r="C24" s="11">
        <v>0</v>
      </c>
      <c r="D24" s="11">
        <v>0</v>
      </c>
      <c r="E24" s="18">
        <f t="shared" si="0"/>
        <v>0</v>
      </c>
      <c r="F24" s="6">
        <f t="shared" si="1"/>
        <v>0</v>
      </c>
    </row>
    <row r="25" spans="2:6">
      <c r="B25" s="2">
        <f t="shared" si="2"/>
        <v>10</v>
      </c>
      <c r="C25" s="11">
        <v>0</v>
      </c>
      <c r="D25" s="11">
        <v>0</v>
      </c>
      <c r="E25" s="18">
        <f t="shared" si="0"/>
        <v>0</v>
      </c>
      <c r="F25" s="6">
        <f t="shared" si="1"/>
        <v>0</v>
      </c>
    </row>
    <row r="26" spans="2:6">
      <c r="B26" s="2">
        <f t="shared" si="2"/>
        <v>11</v>
      </c>
      <c r="C26" s="11">
        <v>2</v>
      </c>
      <c r="D26" s="11">
        <v>0</v>
      </c>
      <c r="E26" s="18">
        <f t="shared" si="0"/>
        <v>0.1</v>
      </c>
      <c r="F26" s="6">
        <f t="shared" si="1"/>
        <v>0.43588989435406733</v>
      </c>
    </row>
    <row r="27" spans="2:6">
      <c r="B27" s="2">
        <f t="shared" si="2"/>
        <v>12</v>
      </c>
      <c r="C27" s="11">
        <v>2</v>
      </c>
      <c r="D27" s="11">
        <v>0</v>
      </c>
      <c r="E27" s="18">
        <f t="shared" si="0"/>
        <v>0.1</v>
      </c>
      <c r="F27" s="6">
        <f t="shared" si="1"/>
        <v>0.43588989435406733</v>
      </c>
    </row>
    <row r="28" spans="2:6">
      <c r="B28" s="2">
        <f t="shared" si="2"/>
        <v>13</v>
      </c>
      <c r="C28" s="11">
        <v>2</v>
      </c>
      <c r="D28" s="11">
        <v>0</v>
      </c>
      <c r="E28" s="18">
        <f t="shared" si="0"/>
        <v>0.1</v>
      </c>
      <c r="F28" s="6">
        <f t="shared" si="1"/>
        <v>0.43588989435406733</v>
      </c>
    </row>
    <row r="29" spans="2:6">
      <c r="B29" s="2">
        <f t="shared" si="2"/>
        <v>14</v>
      </c>
      <c r="C29" s="11">
        <v>2</v>
      </c>
      <c r="D29" s="11">
        <v>0</v>
      </c>
      <c r="E29" s="18">
        <f t="shared" si="0"/>
        <v>0.1</v>
      </c>
      <c r="F29" s="6">
        <f t="shared" si="1"/>
        <v>0.43588989435406733</v>
      </c>
    </row>
    <row r="30" spans="2:6">
      <c r="B30" s="2">
        <f t="shared" si="2"/>
        <v>15</v>
      </c>
      <c r="C30" s="11">
        <v>2</v>
      </c>
      <c r="D30" s="11">
        <v>0</v>
      </c>
      <c r="E30" s="18">
        <f t="shared" si="0"/>
        <v>0.1</v>
      </c>
      <c r="F30" s="6">
        <f t="shared" si="1"/>
        <v>0.43588989435406733</v>
      </c>
    </row>
    <row r="31" spans="2:6">
      <c r="B31" s="2">
        <f t="shared" si="2"/>
        <v>16</v>
      </c>
      <c r="C31" s="11">
        <v>2</v>
      </c>
      <c r="D31" s="11">
        <v>0</v>
      </c>
      <c r="E31" s="18">
        <f t="shared" si="0"/>
        <v>0.1</v>
      </c>
      <c r="F31" s="6">
        <f t="shared" si="1"/>
        <v>0.43588989435406733</v>
      </c>
    </row>
    <row r="32" spans="2:6">
      <c r="B32" s="2">
        <f t="shared" si="2"/>
        <v>17</v>
      </c>
      <c r="C32" s="11">
        <v>2</v>
      </c>
      <c r="D32" s="11">
        <v>0</v>
      </c>
      <c r="E32" s="18">
        <f t="shared" si="0"/>
        <v>0.1</v>
      </c>
      <c r="F32" s="6">
        <f t="shared" si="1"/>
        <v>0.43588989435406733</v>
      </c>
    </row>
    <row r="33" spans="2:6">
      <c r="B33" s="2">
        <f t="shared" si="2"/>
        <v>18</v>
      </c>
      <c r="C33" s="11">
        <v>2</v>
      </c>
      <c r="D33" s="11">
        <v>0</v>
      </c>
      <c r="E33" s="18">
        <f t="shared" si="0"/>
        <v>0.1</v>
      </c>
      <c r="F33" s="6">
        <f t="shared" si="1"/>
        <v>0.43588989435406733</v>
      </c>
    </row>
    <row r="34" spans="2:6">
      <c r="B34" s="2">
        <f t="shared" si="2"/>
        <v>19</v>
      </c>
      <c r="C34" s="11">
        <v>2</v>
      </c>
      <c r="D34" s="11">
        <v>0</v>
      </c>
      <c r="E34" s="18">
        <f t="shared" si="0"/>
        <v>0.1</v>
      </c>
      <c r="F34" s="6">
        <f t="shared" si="1"/>
        <v>0.43588989435406733</v>
      </c>
    </row>
    <row r="35" spans="2:6">
      <c r="B35" s="12">
        <f t="shared" si="2"/>
        <v>20</v>
      </c>
      <c r="C35" s="13">
        <v>2</v>
      </c>
      <c r="D35" s="13">
        <v>0</v>
      </c>
      <c r="E35" s="13">
        <f t="shared" si="0"/>
        <v>0.1</v>
      </c>
      <c r="F35" s="9">
        <f t="shared" si="1"/>
        <v>0.43588989435406733</v>
      </c>
    </row>
  </sheetData>
  <mergeCells count="3">
    <mergeCell ref="B9:F9"/>
    <mergeCell ref="H9:I9"/>
    <mergeCell ref="C14:E14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&amp;C&amp;"DejaVu Serif,Book"&amp;12&amp;A</oddHeader>
    <oddFooter>&amp;C&amp;"DejaVu Serif,Book"&amp;12Page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"/>
  <sheetViews>
    <sheetView zoomScaleNormal="100" workbookViewId="0"/>
  </sheetViews>
  <sheetFormatPr defaultRowHeight="12.75"/>
  <cols>
    <col min="1" max="1" width="9.85546875"/>
    <col min="2" max="2" width="16.28515625" bestFit="1" customWidth="1"/>
    <col min="3" max="3" width="10.7109375" bestFit="1" customWidth="1"/>
    <col min="4" max="4" width="16.140625" bestFit="1" customWidth="1"/>
    <col min="5" max="5" width="18.7109375" bestFit="1" customWidth="1"/>
    <col min="6" max="6" width="9.85546875"/>
    <col min="7" max="7" width="13.85546875" bestFit="1" customWidth="1"/>
    <col min="8" max="1025" width="9.85546875"/>
  </cols>
  <sheetData>
    <row r="4" spans="2:7">
      <c r="B4" s="42"/>
      <c r="C4" s="57" t="s">
        <v>39</v>
      </c>
      <c r="D4" s="58" t="s">
        <v>40</v>
      </c>
      <c r="E4" s="44"/>
      <c r="F4" s="43"/>
      <c r="G4" s="45"/>
    </row>
    <row r="5" spans="2:7">
      <c r="B5" s="21"/>
      <c r="C5" s="59">
        <f>C9/C10</f>
        <v>0.43848027142524526</v>
      </c>
      <c r="D5" s="60">
        <f>C8/C9</f>
        <v>1.28060431715566</v>
      </c>
      <c r="E5" s="7"/>
      <c r="F5" s="7"/>
      <c r="G5" s="22"/>
    </row>
    <row r="6" spans="2:7">
      <c r="B6" s="21"/>
      <c r="C6" s="7"/>
      <c r="D6" s="7"/>
      <c r="E6" s="7"/>
      <c r="F6" s="7"/>
      <c r="G6" s="46"/>
    </row>
    <row r="7" spans="2:7">
      <c r="B7" s="21"/>
      <c r="C7" s="56" t="s">
        <v>61</v>
      </c>
      <c r="D7" s="56" t="s">
        <v>44</v>
      </c>
      <c r="E7" s="56" t="s">
        <v>36</v>
      </c>
      <c r="F7" s="7"/>
      <c r="G7" s="32" t="s">
        <v>45</v>
      </c>
    </row>
    <row r="8" spans="2:7">
      <c r="B8" s="52" t="s">
        <v>47</v>
      </c>
      <c r="C8" s="38">
        <f>'#_Succesful_Comp'!G10</f>
        <v>16.845591857242642</v>
      </c>
      <c r="D8" s="51" t="s">
        <v>48</v>
      </c>
      <c r="E8" s="47"/>
      <c r="F8" s="7"/>
      <c r="G8" s="61"/>
    </row>
    <row r="9" spans="2:7">
      <c r="B9" s="53" t="s">
        <v>49</v>
      </c>
      <c r="C9" s="48">
        <f>C10-C8</f>
        <v>13.154408142757358</v>
      </c>
      <c r="D9" s="49">
        <f>('#_Succesful_Comp'!I36/Capital_Structure!C9)^(1/10)-1</f>
        <v>0.17792284483456045</v>
      </c>
      <c r="E9" s="49">
        <f>E10/C5</f>
        <v>0.78857391842773428</v>
      </c>
      <c r="F9" s="7"/>
      <c r="G9" s="62">
        <f>D9/E9</f>
        <v>0.22562608358808595</v>
      </c>
    </row>
    <row r="10" spans="2:7" ht="13.5" thickBot="1">
      <c r="B10" s="54" t="s">
        <v>50</v>
      </c>
      <c r="C10" s="68">
        <f>Summary!F6</f>
        <v>30</v>
      </c>
      <c r="D10" s="50">
        <f>Summary!F8</f>
        <v>0.11878369807612943</v>
      </c>
      <c r="E10" s="50">
        <f>Summary!F9</f>
        <v>0.34577410579106216</v>
      </c>
      <c r="F10" s="47"/>
      <c r="G10" s="33">
        <f>D10/E10</f>
        <v>0.34352976722874035</v>
      </c>
    </row>
    <row r="11" spans="2:7" ht="13.5" thickTop="1">
      <c r="G11" s="19"/>
    </row>
    <row r="12" spans="2:7">
      <c r="G12" s="1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&amp;C&amp;"DejaVu Serif,Book"&amp;12&amp;A</oddHeader>
    <oddFooter>&amp;C&amp;"DejaVu Serif,Book"&amp;12Page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A6" sqref="A6"/>
    </sheetView>
  </sheetViews>
  <sheetFormatPr defaultRowHeight="12.75"/>
  <sheetData>
    <row r="2" spans="1:1">
      <c r="A2" s="20" t="s">
        <v>56</v>
      </c>
    </row>
    <row r="3" spans="1:1">
      <c r="A3" s="4" t="s">
        <v>5</v>
      </c>
    </row>
    <row r="5" spans="1:1">
      <c r="A5" s="20" t="s">
        <v>57</v>
      </c>
    </row>
    <row r="6" spans="1:1">
      <c r="A6" s="20" t="s">
        <v>58</v>
      </c>
    </row>
    <row r="7" spans="1:1">
      <c r="A7" s="4" t="s">
        <v>41</v>
      </c>
    </row>
    <row r="8" spans="1:1">
      <c r="A8" s="4" t="s">
        <v>42</v>
      </c>
    </row>
    <row r="9" spans="1:1">
      <c r="A9" s="4" t="s">
        <v>43</v>
      </c>
    </row>
    <row r="10" spans="1:1">
      <c r="A10" s="4" t="s">
        <v>46</v>
      </c>
    </row>
    <row r="12" spans="1:1">
      <c r="A12" s="4" t="s">
        <v>51</v>
      </c>
    </row>
    <row r="13" spans="1:1">
      <c r="A13" s="4" t="s">
        <v>52</v>
      </c>
    </row>
    <row r="14" spans="1:1">
      <c r="A14" s="4" t="s">
        <v>53</v>
      </c>
    </row>
    <row r="15" spans="1:1">
      <c r="A15" s="4" t="s">
        <v>54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D12" sqref="D12"/>
    </sheetView>
  </sheetViews>
  <sheetFormatPr defaultRowHeight="12.75"/>
  <cols>
    <col min="2" max="2" width="22.85546875" bestFit="1" customWidth="1"/>
    <col min="3" max="3" width="10.7109375" bestFit="1" customWidth="1"/>
    <col min="4" max="4" width="16.140625" bestFit="1" customWidth="1"/>
    <col min="5" max="5" width="18.7109375" bestFit="1" customWidth="1"/>
    <col min="7" max="7" width="12.85546875" bestFit="1" customWidth="1"/>
  </cols>
  <sheetData>
    <row r="2" spans="2:7">
      <c r="G2" s="19"/>
    </row>
    <row r="3" spans="2:7">
      <c r="G3" s="19"/>
    </row>
    <row r="4" spans="2:7">
      <c r="G4" s="19"/>
    </row>
    <row r="5" spans="2:7">
      <c r="B5" s="42"/>
      <c r="C5" s="69" t="str">
        <f>Capital_Structure!C4</f>
        <v>% Equity</v>
      </c>
      <c r="D5" s="70" t="str">
        <f>Capital_Structure!D4</f>
        <v>Debt/Equity</v>
      </c>
      <c r="E5" s="44"/>
      <c r="F5" s="43"/>
      <c r="G5" s="63"/>
    </row>
    <row r="6" spans="2:7">
      <c r="B6" s="21"/>
      <c r="C6" s="59">
        <f>C11/C12</f>
        <v>0.24555376330746198</v>
      </c>
      <c r="D6" s="71">
        <f>SUM(C9:C10)/C11</f>
        <v>3.0724279136699004</v>
      </c>
      <c r="E6" s="7"/>
      <c r="F6" s="7"/>
      <c r="G6" s="64"/>
    </row>
    <row r="7" spans="2:7">
      <c r="B7" s="21"/>
      <c r="C7" s="7"/>
      <c r="D7" s="7"/>
      <c r="E7" s="7"/>
      <c r="F7" s="7"/>
      <c r="G7" s="64"/>
    </row>
    <row r="8" spans="2:7">
      <c r="B8" s="21"/>
      <c r="C8" s="55" t="s">
        <v>61</v>
      </c>
      <c r="D8" s="55" t="str">
        <f>Capital_Structure!D7</f>
        <v>Expected Return</v>
      </c>
      <c r="E8" s="55" t="str">
        <f>Capital_Structure!E7</f>
        <v>Standard Deviation</v>
      </c>
      <c r="F8" s="7"/>
      <c r="G8" s="72" t="s">
        <v>9</v>
      </c>
    </row>
    <row r="9" spans="2:7">
      <c r="B9" s="67" t="str">
        <f>Capital_Structure!B8&amp;" (Senior)"</f>
        <v>Debt Financing (Senior)</v>
      </c>
      <c r="C9" s="65">
        <f>Capital_Structure!C8</f>
        <v>16.845591857242642</v>
      </c>
      <c r="D9" s="66" t="str">
        <f>Capital_Structure!D8</f>
        <v>'@ 3.85%</v>
      </c>
      <c r="E9" s="66"/>
      <c r="F9" s="7"/>
      <c r="G9" s="73"/>
    </row>
    <row r="10" spans="2:7">
      <c r="B10" s="53" t="s">
        <v>55</v>
      </c>
      <c r="C10" s="48">
        <f>'#_Succesful_Comp'!G11-'#_Succesful_Comp'!G10</f>
        <v>5.7877952435334983</v>
      </c>
      <c r="D10" s="49">
        <f>'#_Succesful_Comp'!F11</f>
        <v>0.05</v>
      </c>
      <c r="E10" s="49"/>
      <c r="F10" s="7"/>
      <c r="G10" s="73"/>
    </row>
    <row r="11" spans="2:7">
      <c r="B11" s="53" t="s">
        <v>49</v>
      </c>
      <c r="C11" s="48">
        <f>Capital_Structure!C10-C9-C10</f>
        <v>7.3666128992238598</v>
      </c>
      <c r="D11" s="49">
        <f>('#_Succesful_Comp'!I36/C11)^(1/10)-1</f>
        <v>0.24823740032297126</v>
      </c>
      <c r="E11" s="49">
        <f>E12/C6</f>
        <v>1.4081401202477708</v>
      </c>
      <c r="F11" s="7"/>
      <c r="G11" s="62">
        <f>D11/E11</f>
        <v>0.17628742818526638</v>
      </c>
    </row>
    <row r="12" spans="2:7" ht="13.5" thickBot="1">
      <c r="B12" s="54" t="s">
        <v>50</v>
      </c>
      <c r="C12" s="68">
        <f>Summary!F6</f>
        <v>30</v>
      </c>
      <c r="D12" s="50">
        <f>Summary!F8</f>
        <v>0.11878369807612943</v>
      </c>
      <c r="E12" s="50">
        <f>Summary!F9</f>
        <v>0.34577410579106216</v>
      </c>
      <c r="F12" s="47"/>
      <c r="G12" s="33">
        <f>D12/E12</f>
        <v>0.34352976722874035</v>
      </c>
    </row>
    <row r="13" spans="2:7" ht="13.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Single_Compound</vt:lpstr>
      <vt:lpstr>#_Succesful_Comp</vt:lpstr>
      <vt:lpstr>Alternative_Calculation</vt:lpstr>
      <vt:lpstr>Capital_Structure</vt:lpstr>
      <vt:lpstr>Questions</vt:lpstr>
      <vt:lpstr>Assignment_answer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Matthew Brigida</cp:lastModifiedBy>
  <cp:revision>59</cp:revision>
  <dcterms:created xsi:type="dcterms:W3CDTF">2017-11-06T13:09:07Z</dcterms:created>
  <dcterms:modified xsi:type="dcterms:W3CDTF">2017-11-29T22:59:24Z</dcterms:modified>
  <dc:language>en-US</dc:language>
</cp:coreProperties>
</file>