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rel.sharepoint.com/sites/WestCoastports/Shared Documents/General/Analysis/CO2 estimates/Vessels/"/>
    </mc:Choice>
  </mc:AlternateContent>
  <xr:revisionPtr revIDLastSave="2901" documentId="13_ncr:1_{5368FA0C-6BBA-CD4C-829E-47D0371C562C}" xr6:coauthVersionLast="47" xr6:coauthVersionMax="47" xr10:uidLastSave="{447B4A01-078D-B244-8575-60A2C75D2E5F}"/>
  <bookViews>
    <workbookView xWindow="940" yWindow="500" windowWidth="32660" windowHeight="20500" activeTab="2" xr2:uid="{4254CFFD-8905-A64F-BF85-01E05A52C6BF}"/>
  </bookViews>
  <sheets>
    <sheet name="Vessels" sheetId="1" r:id="rId1"/>
    <sheet name="engine-power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E13" i="3"/>
  <c r="F13" i="3"/>
  <c r="C13" i="3"/>
  <c r="D12" i="3"/>
  <c r="E12" i="3"/>
  <c r="F12" i="3"/>
  <c r="C12" i="3"/>
  <c r="Y59" i="2"/>
  <c r="Z59" i="2"/>
  <c r="AA59" i="2"/>
  <c r="AB59" i="2"/>
  <c r="AC59" i="2"/>
  <c r="AD59" i="2"/>
  <c r="AE59" i="2"/>
  <c r="X59" i="2"/>
  <c r="AC57" i="2" l="1"/>
  <c r="AD57" i="2"/>
  <c r="AE57" i="2"/>
  <c r="AB57" i="2"/>
  <c r="AC56" i="2"/>
  <c r="AB56" i="2"/>
  <c r="AB50" i="2"/>
  <c r="AA57" i="2"/>
  <c r="Y57" i="2"/>
  <c r="Z57" i="2"/>
  <c r="X57" i="2"/>
  <c r="Y56" i="2"/>
  <c r="Z56" i="2"/>
  <c r="AA56" i="2"/>
  <c r="X56" i="2"/>
  <c r="X10" i="2"/>
  <c r="X5" i="2"/>
  <c r="AE18" i="2"/>
  <c r="AC52" i="2"/>
  <c r="Y52" i="2"/>
  <c r="AA52" i="2"/>
  <c r="Z52" i="2"/>
  <c r="X52" i="2"/>
  <c r="X51" i="2"/>
  <c r="AC42" i="2" l="1"/>
  <c r="Y42" i="2"/>
  <c r="X42" i="2"/>
  <c r="AD54" i="2" l="1"/>
  <c r="E11" i="3" s="1"/>
  <c r="AE54" i="2"/>
  <c r="F11" i="3" s="1"/>
  <c r="AC51" i="2"/>
  <c r="AC50" i="2"/>
  <c r="X50" i="2"/>
  <c r="Y51" i="2"/>
  <c r="Z51" i="2"/>
  <c r="AA51" i="2"/>
  <c r="Y50" i="2"/>
  <c r="Y54" i="2" s="1"/>
  <c r="Z50" i="2"/>
  <c r="Z54" i="2" s="1"/>
  <c r="AA50" i="2"/>
  <c r="AA54" i="2" s="1"/>
  <c r="AB51" i="2"/>
  <c r="AB54" i="2" s="1"/>
  <c r="C11" i="3" s="1"/>
  <c r="AC54" i="2" l="1"/>
  <c r="D11" i="3" s="1"/>
  <c r="X54" i="2"/>
  <c r="Z42" i="2"/>
  <c r="AA42" i="2"/>
  <c r="Y16" i="2"/>
  <c r="Z16" i="2"/>
  <c r="AA16" i="2"/>
  <c r="X16" i="2"/>
  <c r="Y15" i="2"/>
  <c r="Z15" i="2"/>
  <c r="AA15" i="2"/>
  <c r="X15" i="2"/>
  <c r="AG47" i="2" l="1"/>
  <c r="AH47" i="2"/>
  <c r="AI47" i="2"/>
  <c r="AF47" i="2"/>
  <c r="AG46" i="2"/>
  <c r="AF46" i="2"/>
  <c r="AU20" i="2"/>
  <c r="AU21" i="2"/>
  <c r="AU22" i="2"/>
  <c r="AU23" i="2"/>
  <c r="AU24" i="2"/>
  <c r="AU25" i="2"/>
  <c r="AU26" i="2"/>
  <c r="AU19" i="2"/>
  <c r="BE20" i="2"/>
  <c r="BE21" i="2"/>
  <c r="BE22" i="2"/>
  <c r="BE23" i="2"/>
  <c r="BE24" i="2"/>
  <c r="BE25" i="2"/>
  <c r="BE26" i="2"/>
  <c r="BE27" i="2"/>
  <c r="BE28" i="2"/>
  <c r="BE19" i="2"/>
  <c r="I47" i="2"/>
  <c r="I46" i="2"/>
  <c r="Y46" i="2" l="1"/>
  <c r="Y48" i="2" s="1"/>
  <c r="Z46" i="2"/>
  <c r="AA46" i="2"/>
  <c r="AA48" i="2" s="1"/>
  <c r="X46" i="2"/>
  <c r="AB46" i="2" s="1"/>
  <c r="AE47" i="2"/>
  <c r="AE48" i="2" s="1"/>
  <c r="X47" i="2"/>
  <c r="AB47" i="2" s="1"/>
  <c r="AB48" i="2" s="1"/>
  <c r="Z47" i="2"/>
  <c r="AD47" i="2" s="1"/>
  <c r="AD48" i="2" s="1"/>
  <c r="Y47" i="2"/>
  <c r="AA47" i="2"/>
  <c r="AC47" i="2"/>
  <c r="AE16" i="2"/>
  <c r="AD16" i="2"/>
  <c r="AC16" i="2"/>
  <c r="AB16" i="2"/>
  <c r="AC15" i="2"/>
  <c r="AB15" i="2"/>
  <c r="F43" i="2"/>
  <c r="F41" i="2"/>
  <c r="Y43" i="2" l="1"/>
  <c r="AC43" i="2" s="1"/>
  <c r="Z43" i="2"/>
  <c r="AA43" i="2"/>
  <c r="X43" i="2"/>
  <c r="X48" i="2"/>
  <c r="Z48" i="2"/>
  <c r="AC46" i="2"/>
  <c r="AC48" i="2" s="1"/>
  <c r="F38" i="2"/>
  <c r="Y18" i="2"/>
  <c r="Z18" i="2"/>
  <c r="AA18" i="2"/>
  <c r="AB18" i="2"/>
  <c r="C5" i="3" s="1"/>
  <c r="AC18" i="2"/>
  <c r="D5" i="3" s="1"/>
  <c r="AD18" i="2"/>
  <c r="E5" i="3" s="1"/>
  <c r="F5" i="3"/>
  <c r="X18" i="2"/>
  <c r="I37" i="2"/>
  <c r="I7" i="2"/>
  <c r="I33" i="2"/>
  <c r="I32" i="2"/>
  <c r="I31" i="2"/>
  <c r="F7" i="2"/>
  <c r="I27" i="2"/>
  <c r="I26" i="2"/>
  <c r="I21" i="2"/>
  <c r="I22" i="2"/>
  <c r="I20" i="2"/>
  <c r="F20" i="2"/>
  <c r="F21" i="2"/>
  <c r="I11" i="2"/>
  <c r="I10" i="2"/>
  <c r="AA27" i="2" l="1"/>
  <c r="Z27" i="2"/>
  <c r="Y27" i="2"/>
  <c r="AC27" i="2" s="1"/>
  <c r="X27" i="2"/>
  <c r="Y26" i="2"/>
  <c r="X26" i="2"/>
  <c r="F6" i="2"/>
  <c r="Y7" i="2"/>
  <c r="AC7" i="2" s="1"/>
  <c r="Y38" i="2"/>
  <c r="AC38" i="2" s="1"/>
  <c r="AA38" i="2"/>
  <c r="X38" i="2"/>
  <c r="Z38" i="2"/>
  <c r="Y21" i="2"/>
  <c r="AC21" i="2" s="1"/>
  <c r="AA32" i="2"/>
  <c r="X32" i="2"/>
  <c r="Y32" i="2"/>
  <c r="AC32" i="2" s="1"/>
  <c r="Z32" i="2"/>
  <c r="X37" i="2"/>
  <c r="AB37" i="2" s="1"/>
  <c r="Y37" i="2"/>
  <c r="AC37" i="2" s="1"/>
  <c r="AA37" i="2"/>
  <c r="Z37" i="2"/>
  <c r="Y31" i="2"/>
  <c r="X31" i="2"/>
  <c r="X20" i="2"/>
  <c r="Y20" i="2"/>
  <c r="AA20" i="2"/>
  <c r="Z20" i="2"/>
  <c r="I36" i="2"/>
  <c r="Z33" i="2"/>
  <c r="Y33" i="2"/>
  <c r="AA33" i="2"/>
  <c r="X33" i="2"/>
  <c r="AA22" i="2"/>
  <c r="Z22" i="2"/>
  <c r="Y22" i="2"/>
  <c r="AC22" i="2" s="1"/>
  <c r="X22" i="2"/>
  <c r="AE42" i="2"/>
  <c r="AE44" i="2" s="1"/>
  <c r="F10" i="3" s="1"/>
  <c r="U33" i="2"/>
  <c r="AD42" i="2"/>
  <c r="AD44" i="2" s="1"/>
  <c r="E10" i="3" s="1"/>
  <c r="AB42" i="2"/>
  <c r="AD37" i="2"/>
  <c r="AE37" i="2"/>
  <c r="AB22" i="2"/>
  <c r="AB27" i="2"/>
  <c r="AB32" i="2"/>
  <c r="I41" i="2" l="1"/>
  <c r="X36" i="2"/>
  <c r="AB36" i="2" s="1"/>
  <c r="Y36" i="2"/>
  <c r="AC36" i="2" s="1"/>
  <c r="Z36" i="2"/>
  <c r="Z39" i="2" s="1"/>
  <c r="AA36" i="2"/>
  <c r="Y44" i="2"/>
  <c r="AC20" i="2"/>
  <c r="AC24" i="2" s="1"/>
  <c r="D6" i="3" s="1"/>
  <c r="Y24" i="2"/>
  <c r="AE39" i="2"/>
  <c r="F9" i="3" s="1"/>
  <c r="AA39" i="2"/>
  <c r="AE22" i="2"/>
  <c r="AE24" i="2" s="1"/>
  <c r="F6" i="3" s="1"/>
  <c r="AA24" i="2"/>
  <c r="AC26" i="2"/>
  <c r="AC29" i="2" s="1"/>
  <c r="D7" i="3" s="1"/>
  <c r="Y29" i="2"/>
  <c r="AC31" i="2"/>
  <c r="AC34" i="2" s="1"/>
  <c r="D8" i="3" s="1"/>
  <c r="Y34" i="2"/>
  <c r="AD22" i="2"/>
  <c r="AD24" i="2" s="1"/>
  <c r="E6" i="3" s="1"/>
  <c r="Z24" i="2"/>
  <c r="AE32" i="2"/>
  <c r="AE34" i="2" s="1"/>
  <c r="F8" i="3" s="1"/>
  <c r="AA34" i="2"/>
  <c r="AB20" i="2"/>
  <c r="X24" i="2"/>
  <c r="AD39" i="2"/>
  <c r="E9" i="3" s="1"/>
  <c r="AE27" i="2"/>
  <c r="AE29" i="2" s="1"/>
  <c r="F7" i="3" s="1"/>
  <c r="AA29" i="2"/>
  <c r="AB26" i="2"/>
  <c r="X29" i="2"/>
  <c r="AB31" i="2"/>
  <c r="X34" i="2"/>
  <c r="AD27" i="2"/>
  <c r="AD29" i="2" s="1"/>
  <c r="E7" i="3" s="1"/>
  <c r="Z29" i="2"/>
  <c r="AD32" i="2"/>
  <c r="AD34" i="2" s="1"/>
  <c r="E8" i="3" s="1"/>
  <c r="Z34" i="2"/>
  <c r="X41" i="2" l="1"/>
  <c r="Y41" i="2"/>
  <c r="AC41" i="2" s="1"/>
  <c r="AC44" i="2" s="1"/>
  <c r="D10" i="3" s="1"/>
  <c r="Z41" i="2"/>
  <c r="Z44" i="2" s="1"/>
  <c r="AA41" i="2"/>
  <c r="AA44" i="2" s="1"/>
  <c r="AB29" i="2"/>
  <c r="C7" i="3" s="1"/>
  <c r="AB34" i="2"/>
  <c r="C8" i="3" s="1"/>
  <c r="AB24" i="2"/>
  <c r="C6" i="3" s="1"/>
  <c r="F11" i="2"/>
  <c r="F10" i="2"/>
  <c r="Y11" i="2" l="1"/>
  <c r="Z11" i="2"/>
  <c r="AA11" i="2"/>
  <c r="X11" i="2"/>
  <c r="AB11" i="2" s="1"/>
  <c r="Z10" i="2"/>
  <c r="Y10" i="2"/>
  <c r="AA10" i="2"/>
  <c r="AB41" i="2"/>
  <c r="AB44" i="2" s="1"/>
  <c r="C10" i="3" s="1"/>
  <c r="X44" i="2"/>
  <c r="AC11" i="2"/>
  <c r="AW10" i="2"/>
  <c r="AW9" i="2"/>
  <c r="AW8" i="2"/>
  <c r="AO7" i="2"/>
  <c r="AO9" i="2" s="1"/>
  <c r="AK34" i="2"/>
  <c r="AK35" i="2" s="1"/>
  <c r="AK36" i="2" s="1"/>
  <c r="AK37" i="2" s="1"/>
  <c r="AK38" i="2" s="1"/>
  <c r="AK39" i="2" s="1"/>
  <c r="AK40" i="2" s="1"/>
  <c r="AK41" i="2" s="1"/>
  <c r="AK42" i="2" s="1"/>
  <c r="AK20" i="2"/>
  <c r="AK21" i="2" s="1"/>
  <c r="AK22" i="2" s="1"/>
  <c r="AK23" i="2" s="1"/>
  <c r="AK24" i="2" s="1"/>
  <c r="AK25" i="2" s="1"/>
  <c r="AK26" i="2" s="1"/>
  <c r="AK27" i="2" s="1"/>
  <c r="AK28" i="2" s="1"/>
  <c r="I6" i="2"/>
  <c r="I5" i="2"/>
  <c r="Y5" i="2" l="1"/>
  <c r="Y6" i="2"/>
  <c r="Z6" i="2"/>
  <c r="AA6" i="2"/>
  <c r="X6" i="2"/>
  <c r="AB6" i="2" s="1"/>
  <c r="AC5" i="2"/>
  <c r="AI10" i="2"/>
  <c r="AI20" i="2"/>
  <c r="AI29" i="2"/>
  <c r="AI39" i="2"/>
  <c r="AH12" i="2"/>
  <c r="AG15" i="2"/>
  <c r="AG24" i="2"/>
  <c r="AG34" i="2"/>
  <c r="AF29" i="2"/>
  <c r="AF39" i="2"/>
  <c r="AF7" i="2"/>
  <c r="AH43" i="2"/>
  <c r="AI16" i="2"/>
  <c r="AF38" i="2"/>
  <c r="AI21" i="2"/>
  <c r="AI31" i="2"/>
  <c r="AI41" i="2"/>
  <c r="AH13" i="2"/>
  <c r="AH23" i="2"/>
  <c r="AH33" i="2"/>
  <c r="AG16" i="2"/>
  <c r="AF21" i="2"/>
  <c r="AF8" i="2"/>
  <c r="AH8" i="2"/>
  <c r="AH28" i="2"/>
  <c r="AF28" i="2"/>
  <c r="AI12" i="2"/>
  <c r="AH15" i="2"/>
  <c r="AH24" i="2"/>
  <c r="AH34" i="2"/>
  <c r="AG7" i="2"/>
  <c r="AG17" i="2"/>
  <c r="AF12" i="2"/>
  <c r="AF34" i="2"/>
  <c r="AH5" i="2"/>
  <c r="AI36" i="2"/>
  <c r="AI13" i="2"/>
  <c r="AI23" i="2"/>
  <c r="AI33" i="2"/>
  <c r="AI43" i="2"/>
  <c r="AH16" i="2"/>
  <c r="AH26" i="2"/>
  <c r="AH36" i="2"/>
  <c r="AG8" i="2"/>
  <c r="AG18" i="2"/>
  <c r="AG28" i="2"/>
  <c r="AG38" i="2"/>
  <c r="AF13" i="2"/>
  <c r="AF23" i="2"/>
  <c r="AF33" i="2"/>
  <c r="AF43" i="2"/>
  <c r="AI15" i="2"/>
  <c r="AI24" i="2"/>
  <c r="AI34" i="2"/>
  <c r="AH7" i="2"/>
  <c r="AH17" i="2"/>
  <c r="AG29" i="2"/>
  <c r="AG39" i="2"/>
  <c r="AF15" i="2"/>
  <c r="AF24" i="2"/>
  <c r="AI26" i="2"/>
  <c r="AH18" i="2"/>
  <c r="AH38" i="2"/>
  <c r="AF16" i="2"/>
  <c r="AI5" i="2"/>
  <c r="AI7" i="2"/>
  <c r="AI17" i="2"/>
  <c r="AH10" i="2"/>
  <c r="AH20" i="2"/>
  <c r="AH29" i="2"/>
  <c r="AH39" i="2"/>
  <c r="AG12" i="2"/>
  <c r="AF17" i="2"/>
  <c r="AI8" i="2"/>
  <c r="AI18" i="2"/>
  <c r="AI28" i="2"/>
  <c r="AI38" i="2"/>
  <c r="AH21" i="2"/>
  <c r="AH31" i="2"/>
  <c r="AH41" i="2"/>
  <c r="AG13" i="2"/>
  <c r="AG23" i="2"/>
  <c r="AG43" i="2"/>
  <c r="AF18" i="2"/>
  <c r="AF31" i="2"/>
  <c r="AF26" i="2"/>
  <c r="AF6" i="2"/>
  <c r="AG41" i="2"/>
  <c r="AG37" i="2"/>
  <c r="AF42" i="2"/>
  <c r="AI42" i="2"/>
  <c r="AI32" i="2"/>
  <c r="AG32" i="2"/>
  <c r="AG22" i="2"/>
  <c r="AF10" i="2"/>
  <c r="AG42" i="2"/>
  <c r="AG10" i="2"/>
  <c r="AG6" i="2"/>
  <c r="AG36" i="2"/>
  <c r="AH37" i="2"/>
  <c r="AF5" i="2"/>
  <c r="AF20" i="2"/>
  <c r="AF41" i="2"/>
  <c r="AH32" i="2"/>
  <c r="AH11" i="2"/>
  <c r="AH27" i="2"/>
  <c r="AI37" i="2"/>
  <c r="AI11" i="2"/>
  <c r="AG11" i="2"/>
  <c r="AG31" i="2"/>
  <c r="AF22" i="2"/>
  <c r="AF37" i="2"/>
  <c r="AF11" i="2"/>
  <c r="AG27" i="2"/>
  <c r="AI6" i="2"/>
  <c r="AG5" i="2"/>
  <c r="AH6" i="2"/>
  <c r="AH22" i="2"/>
  <c r="AG21" i="2"/>
  <c r="AH42" i="2"/>
  <c r="AF36" i="2"/>
  <c r="AG20" i="2"/>
  <c r="AI22" i="2"/>
  <c r="AF27" i="2"/>
  <c r="AI27" i="2"/>
  <c r="AG26" i="2"/>
  <c r="AF32" i="2"/>
  <c r="AG33" i="2"/>
  <c r="AC10" i="2"/>
  <c r="AC13" i="2" s="1"/>
  <c r="D4" i="3" s="1"/>
  <c r="Y13" i="2"/>
  <c r="AD11" i="2"/>
  <c r="AD13" i="2" s="1"/>
  <c r="E4" i="3" s="1"/>
  <c r="Z13" i="2"/>
  <c r="AE11" i="2"/>
  <c r="AE13" i="2" s="1"/>
  <c r="F4" i="3" s="1"/>
  <c r="AA13" i="2"/>
  <c r="AB39" i="2"/>
  <c r="C9" i="3" s="1"/>
  <c r="X39" i="2"/>
  <c r="AB10" i="2"/>
  <c r="X13" i="2"/>
  <c r="AC39" i="2"/>
  <c r="D9" i="3" s="1"/>
  <c r="Y39" i="2"/>
  <c r="Z8" i="2"/>
  <c r="AC6" i="2"/>
  <c r="AF9" i="1"/>
  <c r="AY9" i="1" s="1"/>
  <c r="AA9" i="1"/>
  <c r="AP9" i="1" s="1"/>
  <c r="M9" i="1"/>
  <c r="Q9" i="1"/>
  <c r="T9" i="1"/>
  <c r="W9" i="1"/>
  <c r="X9" i="1"/>
  <c r="AK9" i="1" s="1"/>
  <c r="Y9" i="1"/>
  <c r="AL9" i="1" s="1"/>
  <c r="Z9" i="1"/>
  <c r="AM9" i="1" s="1"/>
  <c r="AB9" i="1"/>
  <c r="AQ9" i="1" s="1"/>
  <c r="AC9" i="1"/>
  <c r="AR9" i="1" s="1"/>
  <c r="AD9" i="1"/>
  <c r="AU9" i="1" s="1"/>
  <c r="AE9" i="1"/>
  <c r="AV9" i="1" s="1"/>
  <c r="AG9" i="1"/>
  <c r="AZ9" i="1" s="1"/>
  <c r="AQ16" i="1"/>
  <c r="AU16" i="1"/>
  <c r="AW16" i="1" s="1"/>
  <c r="AX16" i="1" s="1"/>
  <c r="AR16" i="1"/>
  <c r="AV16" i="1"/>
  <c r="AZ16" i="1"/>
  <c r="W16" i="1"/>
  <c r="AG16" i="1"/>
  <c r="AF16" i="1"/>
  <c r="AY16" i="1" s="1"/>
  <c r="BA16" i="1" s="1"/>
  <c r="BB16" i="1" s="1"/>
  <c r="AE16" i="1"/>
  <c r="AD16" i="1"/>
  <c r="T16" i="1"/>
  <c r="Q15" i="1"/>
  <c r="Q16" i="1"/>
  <c r="AC16" i="1"/>
  <c r="AB16" i="1"/>
  <c r="AA16" i="1"/>
  <c r="AP16" i="1" s="1"/>
  <c r="AS16" i="1" s="1"/>
  <c r="AT16" i="1" s="1"/>
  <c r="M16" i="1"/>
  <c r="Z16" i="1"/>
  <c r="AM16" i="1" s="1"/>
  <c r="Y16" i="1"/>
  <c r="AL16" i="1" s="1"/>
  <c r="X16" i="1"/>
  <c r="AK16" i="1" s="1"/>
  <c r="AN16" i="1" s="1"/>
  <c r="AO16" i="1" s="1"/>
  <c r="AB11" i="1"/>
  <c r="AQ11" i="1" s="1"/>
  <c r="AA11" i="1"/>
  <c r="AP11" i="1" s="1"/>
  <c r="Z11" i="1"/>
  <c r="AM11" i="1" s="1"/>
  <c r="Y11" i="1"/>
  <c r="AL11" i="1" s="1"/>
  <c r="X11" i="1"/>
  <c r="AK11" i="1" s="1"/>
  <c r="W11" i="1"/>
  <c r="AC11" i="1"/>
  <c r="AR11" i="1" s="1"/>
  <c r="AD11" i="1"/>
  <c r="AU11" i="1" s="1"/>
  <c r="AE11" i="1"/>
  <c r="AV11" i="1" s="1"/>
  <c r="AF11" i="1"/>
  <c r="AY11" i="1" s="1"/>
  <c r="AG11" i="1"/>
  <c r="AZ11" i="1" s="1"/>
  <c r="M11" i="1"/>
  <c r="Q6" i="1"/>
  <c r="Q7" i="1"/>
  <c r="Q8" i="1"/>
  <c r="Q10" i="1"/>
  <c r="Q12" i="1"/>
  <c r="M6" i="1"/>
  <c r="M7" i="1"/>
  <c r="M8" i="1"/>
  <c r="M10" i="1"/>
  <c r="M12" i="1"/>
  <c r="AG6" i="1"/>
  <c r="AZ6" i="1" s="1"/>
  <c r="AG7" i="1"/>
  <c r="AZ7" i="1" s="1"/>
  <c r="AG8" i="1"/>
  <c r="AZ8" i="1" s="1"/>
  <c r="AG10" i="1"/>
  <c r="AZ10" i="1" s="1"/>
  <c r="AG12" i="1"/>
  <c r="AZ12" i="1" s="1"/>
  <c r="AG13" i="1"/>
  <c r="AZ13" i="1" s="1"/>
  <c r="AG14" i="1"/>
  <c r="AZ14" i="1" s="1"/>
  <c r="AG15" i="1"/>
  <c r="AZ15" i="1" s="1"/>
  <c r="AF6" i="1"/>
  <c r="AY6" i="1" s="1"/>
  <c r="AF7" i="1"/>
  <c r="AY7" i="1" s="1"/>
  <c r="BA7" i="1" s="1"/>
  <c r="AF8" i="1"/>
  <c r="AY8" i="1" s="1"/>
  <c r="BA8" i="1" s="1"/>
  <c r="AF10" i="1"/>
  <c r="AY10" i="1" s="1"/>
  <c r="AF12" i="1"/>
  <c r="AY12" i="1" s="1"/>
  <c r="AF13" i="1"/>
  <c r="AY13" i="1" s="1"/>
  <c r="AF14" i="1"/>
  <c r="AY14" i="1" s="1"/>
  <c r="AF15" i="1"/>
  <c r="AY15" i="1" s="1"/>
  <c r="BA15" i="1" s="1"/>
  <c r="AE6" i="1"/>
  <c r="AV6" i="1" s="1"/>
  <c r="AE7" i="1"/>
  <c r="AV7" i="1" s="1"/>
  <c r="AE8" i="1"/>
  <c r="AV8" i="1" s="1"/>
  <c r="AE10" i="1"/>
  <c r="AV10" i="1" s="1"/>
  <c r="AE12" i="1"/>
  <c r="AV12" i="1" s="1"/>
  <c r="AE13" i="1"/>
  <c r="AV13" i="1" s="1"/>
  <c r="AE14" i="1"/>
  <c r="AV14" i="1" s="1"/>
  <c r="AE15" i="1"/>
  <c r="AV15" i="1" s="1"/>
  <c r="AD6" i="1"/>
  <c r="AU6" i="1" s="1"/>
  <c r="AD7" i="1"/>
  <c r="AU7" i="1" s="1"/>
  <c r="AW7" i="1" s="1"/>
  <c r="AD8" i="1"/>
  <c r="AU8" i="1" s="1"/>
  <c r="AW8" i="1" s="1"/>
  <c r="AD10" i="1"/>
  <c r="AU10" i="1" s="1"/>
  <c r="AD12" i="1"/>
  <c r="AU12" i="1" s="1"/>
  <c r="AD13" i="1"/>
  <c r="AU13" i="1" s="1"/>
  <c r="AD14" i="1"/>
  <c r="AU14" i="1" s="1"/>
  <c r="AD15" i="1"/>
  <c r="AU15" i="1" s="1"/>
  <c r="AW15" i="1" s="1"/>
  <c r="AC6" i="1"/>
  <c r="AR6" i="1" s="1"/>
  <c r="AC7" i="1"/>
  <c r="AR7" i="1" s="1"/>
  <c r="AC8" i="1"/>
  <c r="AR8" i="1" s="1"/>
  <c r="AC10" i="1"/>
  <c r="AR10" i="1" s="1"/>
  <c r="AC12" i="1"/>
  <c r="AR12" i="1" s="1"/>
  <c r="AC13" i="1"/>
  <c r="AR13" i="1" s="1"/>
  <c r="AC14" i="1"/>
  <c r="AR14" i="1" s="1"/>
  <c r="AC15" i="1"/>
  <c r="AR15" i="1" s="1"/>
  <c r="AB6" i="1"/>
  <c r="AQ6" i="1" s="1"/>
  <c r="AB7" i="1"/>
  <c r="AQ7" i="1" s="1"/>
  <c r="AB8" i="1"/>
  <c r="AQ8" i="1" s="1"/>
  <c r="AB10" i="1"/>
  <c r="AQ10" i="1" s="1"/>
  <c r="AB12" i="1"/>
  <c r="AQ12" i="1" s="1"/>
  <c r="AB13" i="1"/>
  <c r="AQ13" i="1" s="1"/>
  <c r="AB14" i="1"/>
  <c r="AQ14" i="1" s="1"/>
  <c r="AB15" i="1"/>
  <c r="AQ15" i="1" s="1"/>
  <c r="AA6" i="1"/>
  <c r="AP6" i="1" s="1"/>
  <c r="AA7" i="1"/>
  <c r="AP7" i="1" s="1"/>
  <c r="AS7" i="1" s="1"/>
  <c r="AA8" i="1"/>
  <c r="AP8" i="1" s="1"/>
  <c r="AS8" i="1" s="1"/>
  <c r="AA10" i="1"/>
  <c r="AP10" i="1" s="1"/>
  <c r="AA12" i="1"/>
  <c r="AP12" i="1" s="1"/>
  <c r="AA13" i="1"/>
  <c r="AP13" i="1" s="1"/>
  <c r="AA14" i="1"/>
  <c r="AP14" i="1" s="1"/>
  <c r="AA15" i="1"/>
  <c r="AP15" i="1" s="1"/>
  <c r="Z6" i="1"/>
  <c r="AM6" i="1" s="1"/>
  <c r="Z7" i="1"/>
  <c r="AM7" i="1" s="1"/>
  <c r="Z8" i="1"/>
  <c r="AM8" i="1" s="1"/>
  <c r="Z10" i="1"/>
  <c r="AM10" i="1" s="1"/>
  <c r="Z12" i="1"/>
  <c r="AM12" i="1" s="1"/>
  <c r="Z13" i="1"/>
  <c r="AM13" i="1" s="1"/>
  <c r="Z14" i="1"/>
  <c r="AM14" i="1" s="1"/>
  <c r="Z15" i="1"/>
  <c r="AM15" i="1" s="1"/>
  <c r="Y6" i="1"/>
  <c r="AL6" i="1" s="1"/>
  <c r="Y7" i="1"/>
  <c r="AL7" i="1" s="1"/>
  <c r="Y8" i="1"/>
  <c r="AL8" i="1" s="1"/>
  <c r="Y10" i="1"/>
  <c r="AL10" i="1" s="1"/>
  <c r="Y12" i="1"/>
  <c r="AL12" i="1" s="1"/>
  <c r="Y13" i="1"/>
  <c r="AL13" i="1" s="1"/>
  <c r="Y14" i="1"/>
  <c r="AL14" i="1" s="1"/>
  <c r="Y15" i="1"/>
  <c r="AL15" i="1" s="1"/>
  <c r="X6" i="1"/>
  <c r="AK6" i="1" s="1"/>
  <c r="X7" i="1"/>
  <c r="AK7" i="1" s="1"/>
  <c r="X8" i="1"/>
  <c r="AK8" i="1" s="1"/>
  <c r="AN8" i="1" s="1"/>
  <c r="X10" i="1"/>
  <c r="AK10" i="1" s="1"/>
  <c r="X12" i="1"/>
  <c r="AK12" i="1" s="1"/>
  <c r="X13" i="1"/>
  <c r="AK13" i="1" s="1"/>
  <c r="X14" i="1"/>
  <c r="AK14" i="1" s="1"/>
  <c r="X15" i="1"/>
  <c r="AK15" i="1" s="1"/>
  <c r="AN15" i="1" s="1"/>
  <c r="W6" i="1"/>
  <c r="W7" i="1"/>
  <c r="W8" i="1"/>
  <c r="W10" i="1"/>
  <c r="W12" i="1"/>
  <c r="W13" i="1"/>
  <c r="W14" i="1"/>
  <c r="W15" i="1"/>
  <c r="T6" i="1"/>
  <c r="T7" i="1"/>
  <c r="T8" i="1"/>
  <c r="T10" i="1"/>
  <c r="T12" i="1"/>
  <c r="T13" i="1"/>
  <c r="T14" i="1"/>
  <c r="T15" i="1"/>
  <c r="Q14" i="1"/>
  <c r="M14" i="1"/>
  <c r="M15" i="1"/>
  <c r="AE6" i="2" l="1"/>
  <c r="AE8" i="2" s="1"/>
  <c r="F3" i="3" s="1"/>
  <c r="AA8" i="2"/>
  <c r="AB13" i="2"/>
  <c r="C4" i="3" s="1"/>
  <c r="AD6" i="2"/>
  <c r="AD8" i="2" s="1"/>
  <c r="E3" i="3" s="1"/>
  <c r="Y8" i="2"/>
  <c r="AC8" i="2"/>
  <c r="D3" i="3" s="1"/>
  <c r="AB5" i="2"/>
  <c r="X8" i="2"/>
  <c r="BA6" i="1"/>
  <c r="AN6" i="1"/>
  <c r="AO6" i="1" s="1"/>
  <c r="AS6" i="1"/>
  <c r="AT6" i="1" s="1"/>
  <c r="AW9" i="1"/>
  <c r="AX9" i="1" s="1"/>
  <c r="AN9" i="1"/>
  <c r="AO9" i="1" s="1"/>
  <c r="AS9" i="1"/>
  <c r="AT9" i="1" s="1"/>
  <c r="BA9" i="1"/>
  <c r="BB9" i="1" s="1"/>
  <c r="BA10" i="1"/>
  <c r="AS10" i="1"/>
  <c r="AT10" i="1" s="1"/>
  <c r="BA11" i="1"/>
  <c r="BB11" i="1" s="1"/>
  <c r="AS11" i="1"/>
  <c r="AT11" i="1" s="1"/>
  <c r="AT7" i="1"/>
  <c r="AN11" i="1"/>
  <c r="AO11" i="1" s="1"/>
  <c r="AS15" i="1"/>
  <c r="AT15" i="1" s="1"/>
  <c r="AT8" i="1"/>
  <c r="AW6" i="1"/>
  <c r="AX6" i="1" s="1"/>
  <c r="AW11" i="1"/>
  <c r="AX11" i="1" s="1"/>
  <c r="AW12" i="1"/>
  <c r="BA12" i="1"/>
  <c r="BB12" i="1" s="1"/>
  <c r="AN7" i="1"/>
  <c r="AO7" i="1" s="1"/>
  <c r="AX12" i="1"/>
  <c r="BB10" i="1"/>
  <c r="BB8" i="1"/>
  <c r="BB7" i="1"/>
  <c r="AX8" i="1"/>
  <c r="BB6" i="1"/>
  <c r="AS12" i="1"/>
  <c r="AT12" i="1" s="1"/>
  <c r="AW10" i="1"/>
  <c r="AX10" i="1" s="1"/>
  <c r="AX7" i="1"/>
  <c r="AO15" i="1"/>
  <c r="AX15" i="1"/>
  <c r="BB15" i="1"/>
  <c r="AN12" i="1"/>
  <c r="AO12" i="1" s="1"/>
  <c r="AN10" i="1"/>
  <c r="AO10" i="1" s="1"/>
  <c r="AO8" i="1"/>
  <c r="AN13" i="1"/>
  <c r="AO13" i="1" s="1"/>
  <c r="AW13" i="1"/>
  <c r="AX13" i="1" s="1"/>
  <c r="BA13" i="1"/>
  <c r="BB13" i="1" s="1"/>
  <c r="AS13" i="1"/>
  <c r="AT13" i="1" s="1"/>
  <c r="AS14" i="1"/>
  <c r="AT14" i="1" s="1"/>
  <c r="AW14" i="1"/>
  <c r="AX14" i="1" s="1"/>
  <c r="BA14" i="1"/>
  <c r="BB14" i="1" s="1"/>
  <c r="AN14" i="1"/>
  <c r="AO14" i="1" s="1"/>
  <c r="AB8" i="2" l="1"/>
  <c r="C3" i="3" s="1"/>
  <c r="AG5" i="1"/>
  <c r="AZ5" i="1" s="1"/>
  <c r="AE5" i="1"/>
  <c r="AV5" i="1" s="1"/>
  <c r="AC5" i="1"/>
  <c r="AR5" i="1" s="1"/>
  <c r="Z5" i="1"/>
  <c r="AM5" i="1"/>
  <c r="AF5" i="1"/>
  <c r="AY5" i="1" s="1"/>
  <c r="AD5" i="1"/>
  <c r="AU5" i="1" s="1"/>
  <c r="AB5" i="1"/>
  <c r="AQ5" i="1" s="1"/>
  <c r="AA5" i="1"/>
  <c r="AP5" i="1" s="1"/>
  <c r="Y5" i="1"/>
  <c r="AL5" i="1" s="1"/>
  <c r="X5" i="1"/>
  <c r="AK5" i="1" s="1"/>
  <c r="W5" i="1"/>
  <c r="T5" i="1"/>
  <c r="Q5" i="1"/>
  <c r="M5" i="1"/>
  <c r="AW5" i="1" l="1"/>
  <c r="AX5" i="1" s="1"/>
  <c r="AN5" i="1"/>
  <c r="AO5" i="1" s="1"/>
  <c r="BA5" i="1"/>
  <c r="BB5" i="1" s="1"/>
  <c r="AS5" i="1"/>
  <c r="AT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tc={DD140C0E-F35C-5249-B9A7-BDAB938FB1B2}</author>
    <author>tc={99C90D3C-D29D-6B4D-84F7-1E2060DBF6BD}</author>
    <author>tc={9592C9B6-F8DE-1B44-AF74-009751BEF055}</author>
    <author>tc={22828B01-31CE-1F42-B7B6-0F62AE0BC5D4}</author>
    <author>tc={191B0897-3AB4-CE4E-B9C8-A7F724794EB1}</author>
    <author>tc={857C8B07-83A6-0C4F-89B4-897A9652B898}</author>
  </authors>
  <commentList>
    <comment ref="E4" authorId="0" shapeId="0" xr:uid="{DD140C0E-F35C-5249-B9A7-BDAB938FB1B2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of example vessels in vessel questionnaire sent by Matt</t>
      </text>
    </comment>
    <comment ref="B11" authorId="1" shapeId="0" xr:uid="{99C90D3C-D29D-6B4D-84F7-1E2060DBF6B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in block island wind farm</t>
      </text>
    </comment>
    <comment ref="B12" authorId="2" shapeId="0" xr:uid="{9592C9B6-F8DE-1B44-AF74-009751BEF055}">
      <text>
        <t>[Threaded comment]
Your version of Excel allows you to read this threaded comment; however, any edits to it will get removed if the file is opened in a newer version of Excel. Learn more: https://go.microsoft.com/fwlink/?linkid=870924
Comment:
    Chosen based on vessel type and power</t>
      </text>
    </comment>
    <comment ref="B13" authorId="3" shapeId="0" xr:uid="{22828B01-31CE-1F42-B7B6-0F62AE0BC5D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https://www.dco.uscg.mil/OCSNCOE/Renewable-Energy/Support-Vessels/</t>
      </text>
    </comment>
    <comment ref="B14" authorId="4" shapeId="0" xr:uid="{191B0897-3AB4-CE4E-B9C8-A7F724794EB1}">
      <text>
        <t>[Threaded comment]
Your version of Excel allows you to read this threaded comment; however, any edits to it will get removed if the file is opened in a newer version of Excel. Learn more: https://go.microsoft.com/fwlink/?linkid=870924
Comment:
    Chosen based on installed power</t>
      </text>
    </comment>
    <comment ref="B15" authorId="5" shapeId="0" xr:uid="{857C8B07-83A6-0C4F-89B4-897A9652B898}">
      <text>
        <t>[Threaded comment]
Your version of Excel allows you to read this threaded comment; however, any edits to it will get removed if the file is opened in a newer version of Excel. Learn more: https://go.microsoft.com/fwlink/?linkid=870924
Comment:
    Chosen based on installed power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tc={6DDC4AA0-F7FC-0E44-974A-8F2B040E6417}</author>
    <author>tc={18B98014-7DBA-3648-A46C-CF25C4F17D2A}</author>
    <author>tc={0BB88C5D-EEA9-7842-B7E9-6C38B17E12C8}</author>
    <author>tc={115E9552-8E9D-F948-9BA2-8091873040FA}</author>
    <author>tc={A2A598F0-FEAF-F34F-9EDE-B0CC1C2F4CCE}</author>
    <author>tc={AD847F91-1F62-184D-87D0-7862882B1BF1}</author>
    <author>tc={B8296D39-4B06-934B-A870-F67795D78F9C}</author>
    <author>tc={F4B6B737-0E2C-C24A-A746-4645C7B88C85}</author>
  </authors>
  <commentList>
    <comment ref="B15" authorId="0" shapeId="0" xr:uid="{6DDC4AA0-F7FC-0E44-974A-8F2B040E6417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figures came straight from us commercial vessels data</t>
      </text>
    </comment>
    <comment ref="P21" authorId="1" shapeId="0" xr:uid="{18B98014-7DBA-3648-A46C-CF25C4F17D2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</t>
      </text>
    </comment>
    <comment ref="B31" authorId="2" shapeId="0" xr:uid="{0BB88C5D-EEA9-7842-B7E9-6C38B17E12C8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 sheet doesn’t provide power information - I copied from the SPV since they have similar deadweights.</t>
      </text>
    </comment>
    <comment ref="B36" authorId="3" shapeId="0" xr:uid="{115E9552-8E9D-F948-9BA2-8091873040FA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Boskalis spec sheet. Possibly lower the lf for transit and maneuvering for the aux engines?</t>
      </text>
    </comment>
    <comment ref="F42" authorId="4" shapeId="0" xr:uid="{A2A598F0-FEAF-F34F-9EDE-B0CC1C2F4CCE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from heavy lift vessel</t>
      </text>
    </comment>
    <comment ref="A49" authorId="5" shapeId="0" xr:uid="{AD847F91-1F62-184D-87D0-7862882B1BF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the 4 GenSets are for propulsion based on this video</t>
      </text>
    </comment>
    <comment ref="E50" authorId="6" shapeId="0" xr:uid="{B8296D39-4B06-934B-A870-F67795D78F9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propulsion</t>
      </text>
    </comment>
    <comment ref="E51" authorId="7" shapeId="0" xr:uid="{F4B6B737-0E2C-C24A-A746-4645C7B88C8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propulsion</t>
      </text>
    </comment>
  </commentList>
</comments>
</file>

<file path=xl/sharedStrings.xml><?xml version="1.0" encoding="utf-8"?>
<sst xmlns="http://schemas.openxmlformats.org/spreadsheetml/2006/main" count="444" uniqueCount="276">
  <si>
    <t>Vessel Information</t>
  </si>
  <si>
    <t>us_fleet_operating_hours_and_lf or CORAL</t>
  </si>
  <si>
    <t>representative vessel + com_vssl_energy_fuel_co2_2021</t>
  </si>
  <si>
    <t>built-in assumptions:</t>
  </si>
  <si>
    <t>total operating hours</t>
  </si>
  <si>
    <t>transit hours</t>
  </si>
  <si>
    <t>manuvering hours</t>
  </si>
  <si>
    <t>berth hours</t>
  </si>
  <si>
    <t>anchor hours</t>
  </si>
  <si>
    <t>transit proportions</t>
  </si>
  <si>
    <t>manuvering proportions</t>
  </si>
  <si>
    <t>berth proportions</t>
  </si>
  <si>
    <t>anchor proportions</t>
  </si>
  <si>
    <t>total CO2 emitted</t>
  </si>
  <si>
    <t>transit CO2</t>
  </si>
  <si>
    <t>manuvering CO2</t>
  </si>
  <si>
    <t>berth CO2</t>
  </si>
  <si>
    <t>anchor CO2</t>
  </si>
  <si>
    <t>an engine/boiler emits at the same rate regardless of action</t>
  </si>
  <si>
    <t>vessel type</t>
  </si>
  <si>
    <t>vessel name</t>
  </si>
  <si>
    <t>listed vessel type</t>
  </si>
  <si>
    <t>year built</t>
  </si>
  <si>
    <t>target kW</t>
  </si>
  <si>
    <t>actual kW</t>
  </si>
  <si>
    <t>prop total hrs</t>
  </si>
  <si>
    <t>aux eng total hrs</t>
  </si>
  <si>
    <t>aux boil total hrs</t>
  </si>
  <si>
    <t>prop transit hrs</t>
  </si>
  <si>
    <t>aux eng transit hrs</t>
  </si>
  <si>
    <t>boil transit hrs</t>
  </si>
  <si>
    <t>total transit hrs</t>
  </si>
  <si>
    <t>prop manuv hrs</t>
  </si>
  <si>
    <t>aux eng manuv hrs</t>
  </si>
  <si>
    <t>boil manuv hrs</t>
  </si>
  <si>
    <t>total manuv hrs</t>
  </si>
  <si>
    <t>aux eng berth hrs</t>
  </si>
  <si>
    <t>boil berth hrs</t>
  </si>
  <si>
    <t>total berth hours</t>
  </si>
  <si>
    <t>aux eng anchor hrs</t>
  </si>
  <si>
    <t>boil anchor hrs</t>
  </si>
  <si>
    <t>total anchor hrs</t>
  </si>
  <si>
    <t>% prop transit</t>
  </si>
  <si>
    <t>% aux eng transit</t>
  </si>
  <si>
    <t>% boil transit</t>
  </si>
  <si>
    <t>% prop manuv</t>
  </si>
  <si>
    <t>% aux eng manuv</t>
  </si>
  <si>
    <t>% boil manuv</t>
  </si>
  <si>
    <t>% aux eng berth</t>
  </si>
  <si>
    <t>% boil berth</t>
  </si>
  <si>
    <t>% aux eng anchor</t>
  </si>
  <si>
    <t>% boil anchor</t>
  </si>
  <si>
    <t>prop co2 tons</t>
  </si>
  <si>
    <t>aux eng co2 tons</t>
  </si>
  <si>
    <t>boil co2 tons</t>
  </si>
  <si>
    <t>prop transit CO2 tons</t>
  </si>
  <si>
    <t>aux eng transit CO2 tons</t>
  </si>
  <si>
    <t>boil transit CO2 tons</t>
  </si>
  <si>
    <t>total transit CO2 tons</t>
  </si>
  <si>
    <t>total transit CO2 tons / total transit hrs</t>
  </si>
  <si>
    <t>prop manuv CO2 tons</t>
  </si>
  <si>
    <t>aux eng manuv CO2 tons</t>
  </si>
  <si>
    <t>boil manuv CO2 tons</t>
  </si>
  <si>
    <t>total manuv CO2 tons</t>
  </si>
  <si>
    <t>total manuv CO2 tons / total manuv hrs</t>
  </si>
  <si>
    <t>aux eng berth CO2 tons</t>
  </si>
  <si>
    <t>boil berth CO2 tons</t>
  </si>
  <si>
    <t>total berth CO2 tons</t>
  </si>
  <si>
    <t>total berth CO2 tons / total berth hrs</t>
  </si>
  <si>
    <t>aux eng anchor CO2 tons</t>
  </si>
  <si>
    <t>boil anchor CO2 tons</t>
  </si>
  <si>
    <t>total anchor CO2 tons</t>
  </si>
  <si>
    <t>total anchor CO2 tons / total anchor hrs</t>
  </si>
  <si>
    <t>example:</t>
  </si>
  <si>
    <t>GO AMERICA</t>
  </si>
  <si>
    <t>Offshore supply vessel</t>
  </si>
  <si>
    <t>WTIV (wind turbine installation vessel)</t>
  </si>
  <si>
    <t>CAPE ISLAND</t>
  </si>
  <si>
    <t>Bulk carrier</t>
  </si>
  <si>
    <t>possible changes:</t>
  </si>
  <si>
    <t>HLV (heavy lift vessel)</t>
  </si>
  <si>
    <t>should emissions be scaled by load factor instead of time spent per activity?</t>
  </si>
  <si>
    <t>CLV (cable lay vessel)</t>
  </si>
  <si>
    <t>SOV (service operation vessel)</t>
  </si>
  <si>
    <t>JOHN JACOB</t>
  </si>
  <si>
    <t>Passenger (inspected)</t>
  </si>
  <si>
    <t>REBEKAH C</t>
  </si>
  <si>
    <t>FB (feeder barge)</t>
  </si>
  <si>
    <t>L/B PAUL</t>
  </si>
  <si>
    <t>7500 (3x 2,500 kW diesel engines)</t>
  </si>
  <si>
    <t>LIBERTY ISLAND</t>
  </si>
  <si>
    <t>procedure:</t>
  </si>
  <si>
    <t>CTV (crew transfer vessel)</t>
  </si>
  <si>
    <t>ATLANTIC PIONEER</t>
  </si>
  <si>
    <t>2x 13,000I</t>
  </si>
  <si>
    <t>find a representative vessel for each type in CORAL</t>
  </si>
  <si>
    <t>SPV (scour protection vessel)</t>
  </si>
  <si>
    <t>DEPENDABLE</t>
  </si>
  <si>
    <t>Industrial / Other</t>
  </si>
  <si>
    <t>N/A</t>
  </si>
  <si>
    <t>locate that vessel in com_vesl… and enter emissions data</t>
  </si>
  <si>
    <t>AHTS (anchor handling tug supply)</t>
  </si>
  <si>
    <t>OSG HORIZON</t>
  </si>
  <si>
    <t>Towboat</t>
  </si>
  <si>
    <t>use vessel type from com_vessl.. to find relevant hours data from us_fleet_operating…</t>
  </si>
  <si>
    <t>KURT J CROSBY</t>
  </si>
  <si>
    <t>From questionnaire vessel specs</t>
  </si>
  <si>
    <t>From us_fleet_operating_hrs dataset</t>
  </si>
  <si>
    <t>From tables</t>
  </si>
  <si>
    <t>Calculated values</t>
  </si>
  <si>
    <t>Vessel specifications</t>
  </si>
  <si>
    <t>Fuel specifications</t>
  </si>
  <si>
    <t>Hours</t>
  </si>
  <si>
    <t>Load factors</t>
  </si>
  <si>
    <t>SFOC (g-fuel/kWh)</t>
  </si>
  <si>
    <t>Specific fuel consumption (g-fuel/kWh)</t>
  </si>
  <si>
    <t>Emissions (metric tons CO2/year)</t>
  </si>
  <si>
    <t>Emissions factors (metric tons CO2/hr)</t>
  </si>
  <si>
    <t>g CO2/kWh</t>
  </si>
  <si>
    <t>orange text indicates an assumption based on the us_fleet_operating_hours_and_lf dataset</t>
  </si>
  <si>
    <t>Project vessel type</t>
  </si>
  <si>
    <t>Vessel name</t>
  </si>
  <si>
    <t>Vessel type</t>
  </si>
  <si>
    <t>Engine</t>
  </si>
  <si>
    <t>Rated power (kW)</t>
  </si>
  <si>
    <t>Engine speed</t>
  </si>
  <si>
    <t>Fuel type</t>
  </si>
  <si>
    <t>Fuel CF [g-CO2/g-fuel]</t>
  </si>
  <si>
    <t>Total hours</t>
  </si>
  <si>
    <t>Transit hrs</t>
  </si>
  <si>
    <t>Maneuv hrs</t>
  </si>
  <si>
    <t>Berth hrs</t>
  </si>
  <si>
    <t>Anchor hrs</t>
  </si>
  <si>
    <t>Transit lf</t>
  </si>
  <si>
    <t>Maneuv lf</t>
  </si>
  <si>
    <t>Berth lf</t>
  </si>
  <si>
    <t>Anchor lf</t>
  </si>
  <si>
    <t>Transit</t>
  </si>
  <si>
    <t>Maneuv</t>
  </si>
  <si>
    <t>Berth</t>
  </si>
  <si>
    <t>Anchor</t>
  </si>
  <si>
    <t>assume SSD engines are 2-stroke; MSD and HSD are 4 stroke (based on EMEP/EEA emissions inventory guidebook)</t>
  </si>
  <si>
    <t>Scour protection vessel (SPV)</t>
  </si>
  <si>
    <t>Bravenes - Van Oord</t>
  </si>
  <si>
    <t>Offshore Supply</t>
  </si>
  <si>
    <t>Propeller</t>
  </si>
  <si>
    <t>HSD</t>
  </si>
  <si>
    <t>MGO/MDO</t>
  </si>
  <si>
    <t>Auxiliary</t>
  </si>
  <si>
    <t>Specific emissions (t-CO2/t-fuel)</t>
  </si>
  <si>
    <t>additional conversions</t>
  </si>
  <si>
    <t>IMO fuel emissions factors (g CO2/g fuel)</t>
  </si>
  <si>
    <t>https://www.vanoord.com/drupal/media/data/default/2021-07/leaflet_bravenes_2021_a43_lr4.pdf?undefined</t>
  </si>
  <si>
    <t>Thrusters</t>
  </si>
  <si>
    <t>Carbon content</t>
  </si>
  <si>
    <t>Specific emissions</t>
  </si>
  <si>
    <t xml:space="preserve"> </t>
  </si>
  <si>
    <t>mass of CO2 (u)</t>
  </si>
  <si>
    <t>Heavy fuel oil (HFO)</t>
  </si>
  <si>
    <t>carbon content check:</t>
  </si>
  <si>
    <t>Totals</t>
  </si>
  <si>
    <t>Diesel / gas oil</t>
  </si>
  <si>
    <t>mass of C (u)</t>
  </si>
  <si>
    <t>Marine gas oil (MDO/MGO)</t>
  </si>
  <si>
    <t>C10H20</t>
  </si>
  <si>
    <t>low</t>
  </si>
  <si>
    <t>Light fuel oil</t>
  </si>
  <si>
    <t>CO2:C mass ratio</t>
  </si>
  <si>
    <t>Natural gas (LNG)</t>
  </si>
  <si>
    <t>C12C23</t>
  </si>
  <si>
    <t>average</t>
  </si>
  <si>
    <t>Anchor handling and tug supply (AHTS)</t>
  </si>
  <si>
    <t>Normand Sagaris - Solstad Offshore</t>
  </si>
  <si>
    <t>MSD</t>
  </si>
  <si>
    <t>Heavy fuel oil</t>
  </si>
  <si>
    <t>grams per kg</t>
  </si>
  <si>
    <t>Source: Section 1.1.1, IMO GHG report</t>
  </si>
  <si>
    <t>C15H28</t>
  </si>
  <si>
    <t>high</t>
  </si>
  <si>
    <t>spec sheet includes consumption rates at different activity levels</t>
  </si>
  <si>
    <t>LPG (propane)</t>
  </si>
  <si>
    <t>kg per metric ton</t>
  </si>
  <si>
    <t>https://www.diffen.com/difference/Diesel_vs_Petrol</t>
  </si>
  <si>
    <t>https://www.solstad.com/wp-json/solstad/api/vessel/367/pdf</t>
  </si>
  <si>
    <t>Boiler</t>
  </si>
  <si>
    <t>n/a</t>
  </si>
  <si>
    <t>LPG (butane)</t>
  </si>
  <si>
    <t>mass of H (u)</t>
  </si>
  <si>
    <t>LNG</t>
  </si>
  <si>
    <t>grams per metric ton</t>
  </si>
  <si>
    <t>Table 1: https://www.researchgate.net/publication/276452098_The_Influence_of_Different_Types_of_Marine_Fuel_over_the_Energy_Efficiency_Operational_Index</t>
  </si>
  <si>
    <t>Crew transfer vessel (CTV)</t>
  </si>
  <si>
    <t>CTV1 - Patriot</t>
  </si>
  <si>
    <t>Specific fuel consumption - g fuel/kWh of marine diesel fuel. 2 stroke engine</t>
  </si>
  <si>
    <t>Specific fuel oil consumption by engine and fuel types (g fuel/kWh)</t>
  </si>
  <si>
    <t>For MGO/MDO</t>
  </si>
  <si>
    <t>https://patriotoffshoremaritime.com/fleet/</t>
  </si>
  <si>
    <t>Load factor</t>
  </si>
  <si>
    <t>Low speed (LSD)</t>
  </si>
  <si>
    <t>Medium speed (MSD)</t>
  </si>
  <si>
    <t>High speed (HSD)</t>
  </si>
  <si>
    <t>Engine type</t>
  </si>
  <si>
    <t>HFO</t>
  </si>
  <si>
    <t>Phase</t>
  </si>
  <si>
    <t>CO (g/kWh)</t>
  </si>
  <si>
    <t>NOx Tier 0 (g/kWh)</t>
  </si>
  <si>
    <t>NMVOC (g/kWh)</t>
  </si>
  <si>
    <t>TSP, PM10, PM2.5 (g/kWh)</t>
  </si>
  <si>
    <t>BC (g/kWh)</t>
  </si>
  <si>
    <t>SFOC (g fuel/kWh)</t>
  </si>
  <si>
    <t>Main engine</t>
  </si>
  <si>
    <t>SSD</t>
  </si>
  <si>
    <t>Main</t>
  </si>
  <si>
    <t>Cruising</t>
  </si>
  <si>
    <t>Feeder barge (FB)</t>
  </si>
  <si>
    <t>Superfeeder - MiNO Marine</t>
  </si>
  <si>
    <t>Container</t>
  </si>
  <si>
    <t>ST</t>
  </si>
  <si>
    <t>GT</t>
  </si>
  <si>
    <t>Maneuvering</t>
  </si>
  <si>
    <t>https://www.workboat.com/offshore/superfeeder-design-offers-jones-act-solution-for-offshore-wind-developers</t>
  </si>
  <si>
    <t>Aux engine</t>
  </si>
  <si>
    <t>Service operation vessel (SOV)</t>
  </si>
  <si>
    <t>T60-18 - IHC</t>
  </si>
  <si>
    <t>Source: life cycle assessment of greenhouse gas and criteria air pollutant emissions from conventional and biobased marine fuels (Hawkins, Lee, Wang, and Thompson)</t>
  </si>
  <si>
    <t>https://www.royalihc.com/sites/default/files/documents/factsheet%20SOV%20T60-18.pdf</t>
  </si>
  <si>
    <t>https://www.sustainable-ships.org/stories/2022/sfc</t>
  </si>
  <si>
    <t>https://www.sciencedirect.com/science/article/pii/S026974911831251X</t>
  </si>
  <si>
    <t>https://www.eea.europa.eu/publications/emep-eea-guidebook-2019/part-b-sectoral-guidance-chapters/1-energy/1-a-combustion/1-a-3-d-navigation/view</t>
  </si>
  <si>
    <t>Cable lay vessel (CLV)</t>
  </si>
  <si>
    <t>Leonardo da Vinci - Prysmian Group</t>
  </si>
  <si>
    <t>Specific fuel consumption - g fuel/kWh of marine diesel fuel. 4 stroke engine</t>
  </si>
  <si>
    <t>https://www.prysmiangroup.com/sites/default/files/atoms/files/Leonardo%20da%20Vinci_Datasheet_v4.pdf#:~:text=Leonardo%20da%20Vinci%20is%20a%20DP3%20ship%20built,cable%20lay%20up%20to%203%2C000%20m%20water%20depth.</t>
  </si>
  <si>
    <t>Idling at port</t>
  </si>
  <si>
    <t>Idling at sea</t>
  </si>
  <si>
    <t>Propulsion</t>
  </si>
  <si>
    <t>X</t>
  </si>
  <si>
    <t>Heavy lift vessel (HLV)</t>
  </si>
  <si>
    <t>Bokalift 2</t>
  </si>
  <si>
    <t>Offshore supply</t>
  </si>
  <si>
    <t>https://www.seaway7.com/wp-content/uploads/2022/03/Seaway_Alfa-Lift.pdf</t>
  </si>
  <si>
    <t>https://boskalis.com/media/cafdcmsf/bokalift-2.pdf</t>
  </si>
  <si>
    <t>Wind turbine installation vessel (WTIV)</t>
  </si>
  <si>
    <t>Charybdis - Dominion Energy</t>
  </si>
  <si>
    <t>https://cdn-dominionenergy-prd-001.azureedge.net/-/media/pdfs/global/wind/seajacks-charybdis-spec-sheet-07jul22.pdf</t>
  </si>
  <si>
    <t>Ocean-going vessel (international shipping)</t>
  </si>
  <si>
    <t>General Cargo</t>
  </si>
  <si>
    <t>RH/HFO</t>
  </si>
  <si>
    <t>https://www.youtube.com/watch?v=hWSch01xJw4</t>
  </si>
  <si>
    <t>https://www.ship-technology.com/news/jiangsu-shipyard-man-gensets/</t>
  </si>
  <si>
    <t>Ocean-going vessel (OGV)</t>
  </si>
  <si>
    <t>Boldwind - UWL</t>
  </si>
  <si>
    <t>Deck carrier</t>
  </si>
  <si>
    <t>MAN GenSet 9L 21/31 (2x)</t>
  </si>
  <si>
    <t>https://www.man-es.com/docs/default-source/document-sync/man-l21-31-mk2-eng.pdf?sfvrsn=b33f1bf5_1</t>
  </si>
  <si>
    <t>MAN GenSet 6L 16/24 (2x)</t>
  </si>
  <si>
    <t>https://www.ettespower.com/uploadfile/fckeditor/images/file/MAN%20HFO%20Genset%2020150824/MAN%20L16-24%20HFO%20MARINE%20ENGINE%20GENSET-ETTES%20POWER.pdf</t>
  </si>
  <si>
    <t>Auxiliary?</t>
  </si>
  <si>
    <t>For reference:</t>
  </si>
  <si>
    <t>https://www.carbonindependent.org/22.html</t>
  </si>
  <si>
    <t>Domestic 747-400 emits 9.6 tons CO2/hr</t>
  </si>
  <si>
    <t>International 747-400 emits 30.6 tons CO2/hr</t>
  </si>
  <si>
    <t>Aviation and shipping both contribute to ~2.5% of global CO2 emissions</t>
  </si>
  <si>
    <t>Vessel</t>
  </si>
  <si>
    <t>Scour Protection Vessel</t>
  </si>
  <si>
    <t>Anchor handling and tug supply</t>
  </si>
  <si>
    <t>Crew transfer</t>
  </si>
  <si>
    <t>Feeder barge</t>
  </si>
  <si>
    <t>Service operations</t>
  </si>
  <si>
    <t>Cable lay</t>
  </si>
  <si>
    <t>Heavy lift</t>
  </si>
  <si>
    <t>Wind turbine installation vessel</t>
  </si>
  <si>
    <t>Tug</t>
  </si>
  <si>
    <t>Regular tug</t>
  </si>
  <si>
    <t>EPA US vessel fleet</t>
  </si>
  <si>
    <t>Towing group (weighted)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</si>
</sst>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EFF"/>
        <bgColor indexed="64"/>
      </patternFill>
    </fill>
    <fill>
      <patternFill patternType="solid">
        <fgColor rgb="FFA1EBE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9" xfId="0" applyFill="1" applyBorder="1"/>
    <xf numFmtId="2" fontId="0" fillId="6" borderId="9" xfId="0" applyNumberFormat="1" applyFill="1" applyBorder="1"/>
    <xf numFmtId="0" fontId="0" fillId="6" borderId="6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7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3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10" xfId="0" applyFill="1" applyBorder="1"/>
    <xf numFmtId="0" fontId="0" fillId="8" borderId="7" xfId="0" applyFill="1" applyBorder="1"/>
    <xf numFmtId="0" fontId="0" fillId="8" borderId="3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6" xfId="0" applyFill="1" applyBorder="1"/>
    <xf numFmtId="0" fontId="0" fillId="10" borderId="14" xfId="0" applyFill="1" applyBorder="1"/>
    <xf numFmtId="0" fontId="0" fillId="10" borderId="9" xfId="0" applyFill="1" applyBorder="1"/>
    <xf numFmtId="0" fontId="0" fillId="10" borderId="6" xfId="0" applyFill="1" applyBorder="1"/>
    <xf numFmtId="0" fontId="0" fillId="10" borderId="8" xfId="0" applyFill="1" applyBorder="1"/>
    <xf numFmtId="0" fontId="0" fillId="10" borderId="10" xfId="0" applyFill="1" applyBorder="1"/>
    <xf numFmtId="0" fontId="0" fillId="10" borderId="11" xfId="0" applyFill="1" applyBorder="1"/>
    <xf numFmtId="164" fontId="0" fillId="10" borderId="10" xfId="0" applyNumberFormat="1" applyFill="1" applyBorder="1"/>
    <xf numFmtId="0" fontId="4" fillId="0" borderId="0" xfId="1"/>
    <xf numFmtId="0" fontId="0" fillId="12" borderId="0" xfId="0" applyFill="1"/>
    <xf numFmtId="0" fontId="0" fillId="12" borderId="12" xfId="0" applyFill="1" applyBorder="1"/>
    <xf numFmtId="0" fontId="0" fillId="10" borderId="8" xfId="0" applyFill="1" applyBorder="1" applyAlignment="1">
      <alignment horizontal="left"/>
    </xf>
    <xf numFmtId="0" fontId="0" fillId="13" borderId="8" xfId="0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6" xfId="0" applyFill="1" applyBorder="1"/>
    <xf numFmtId="0" fontId="0" fillId="13" borderId="14" xfId="0" applyFill="1" applyBorder="1"/>
    <xf numFmtId="0" fontId="0" fillId="13" borderId="9" xfId="0" applyFill="1" applyBorder="1"/>
    <xf numFmtId="0" fontId="0" fillId="13" borderId="6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8" borderId="7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13" borderId="7" xfId="0" applyFill="1" applyBorder="1" applyAlignment="1">
      <alignment horizontal="left"/>
    </xf>
    <xf numFmtId="0" fontId="0" fillId="13" borderId="13" xfId="0" applyFill="1" applyBorder="1" applyAlignment="1">
      <alignment horizontal="left" vertical="center"/>
    </xf>
    <xf numFmtId="0" fontId="0" fillId="13" borderId="12" xfId="0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3" borderId="1" xfId="0" applyFill="1" applyBorder="1" applyAlignment="1">
      <alignment horizontal="left"/>
    </xf>
    <xf numFmtId="0" fontId="0" fillId="13" borderId="14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8" xfId="0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7" xfId="0" applyFont="1" applyBorder="1"/>
    <xf numFmtId="0" fontId="0" fillId="8" borderId="14" xfId="0" applyFill="1" applyBorder="1"/>
    <xf numFmtId="0" fontId="0" fillId="13" borderId="13" xfId="0" applyFill="1" applyBorder="1" applyAlignment="1">
      <alignment horizontal="left"/>
    </xf>
    <xf numFmtId="0" fontId="1" fillId="8" borderId="10" xfId="0" applyFont="1" applyFill="1" applyBorder="1"/>
    <xf numFmtId="0" fontId="1" fillId="8" borderId="11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7" borderId="6" xfId="0" applyFont="1" applyFill="1" applyBorder="1"/>
    <xf numFmtId="0" fontId="4" fillId="0" borderId="0" xfId="1" applyBorder="1"/>
    <xf numFmtId="0" fontId="0" fillId="0" borderId="0" xfId="0" applyAlignment="1">
      <alignment vertical="center"/>
    </xf>
    <xf numFmtId="0" fontId="7" fillId="0" borderId="0" xfId="1" applyFont="1"/>
    <xf numFmtId="0" fontId="0" fillId="0" borderId="11" xfId="0" applyBorder="1"/>
    <xf numFmtId="0" fontId="0" fillId="4" borderId="2" xfId="0" applyFill="1" applyBorder="1"/>
    <xf numFmtId="0" fontId="0" fillId="4" borderId="3" xfId="0" applyFill="1" applyBorder="1"/>
    <xf numFmtId="0" fontId="1" fillId="0" borderId="1" xfId="0" applyFont="1" applyBorder="1"/>
    <xf numFmtId="0" fontId="0" fillId="0" borderId="10" xfId="0" applyBorder="1"/>
    <xf numFmtId="0" fontId="0" fillId="4" borderId="15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0" fillId="0" borderId="7" xfId="0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  <xf numFmtId="0" fontId="1" fillId="0" borderId="8" xfId="0" applyFont="1" applyBorder="1"/>
    <xf numFmtId="0" fontId="0" fillId="0" borderId="11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1" fillId="4" borderId="2" xfId="0" applyFont="1" applyFill="1" applyBorder="1"/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12" borderId="0" xfId="0" applyFont="1" applyFill="1"/>
    <xf numFmtId="0" fontId="3" fillId="4" borderId="0" xfId="0" applyFont="1" applyFill="1"/>
    <xf numFmtId="0" fontId="2" fillId="4" borderId="2" xfId="0" applyFont="1" applyFill="1" applyBorder="1"/>
    <xf numFmtId="0" fontId="0" fillId="0" borderId="11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vertical="center"/>
    </xf>
    <xf numFmtId="0" fontId="6" fillId="0" borderId="11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5" fontId="0" fillId="0" borderId="0" xfId="0" applyNumberFormat="1"/>
    <xf numFmtId="0" fontId="0" fillId="2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5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A7641"/>
      <color rgb="FF62A89F"/>
      <color rgb="FFD6B1E8"/>
      <color rgb="FF8CAFEA"/>
      <color rgb="FFD67AE8"/>
      <color rgb="FF8576C5"/>
      <color rgb="FF6DA85B"/>
      <color rgb="FFE9A77D"/>
      <color rgb="FFFFE699"/>
      <color rgb="FFCAB6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Transit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Scour Protection Vessel</c:v>
                </c:pt>
                <c:pt idx="1">
                  <c:v>Anchor handling and tug supply</c:v>
                </c:pt>
                <c:pt idx="2">
                  <c:v>Crew transfer</c:v>
                </c:pt>
                <c:pt idx="3">
                  <c:v>Feeder barge</c:v>
                </c:pt>
                <c:pt idx="4">
                  <c:v>Service operations</c:v>
                </c:pt>
                <c:pt idx="5">
                  <c:v>Cable lay</c:v>
                </c:pt>
                <c:pt idx="6">
                  <c:v>Heavy lift</c:v>
                </c:pt>
                <c:pt idx="7">
                  <c:v>Wind turbine installation vessel</c:v>
                </c:pt>
                <c:pt idx="8">
                  <c:v>Deck carrier</c:v>
                </c:pt>
              </c:strCache>
            </c:strRef>
          </c:cat>
          <c:val>
            <c:numRef>
              <c:f>Sheet1!$C$3:$C$11</c:f>
              <c:numCache>
                <c:formatCode>0.000000000</c:formatCode>
                <c:ptCount val="9"/>
                <c:pt idx="0">
                  <c:v>4.1486896752</c:v>
                </c:pt>
                <c:pt idx="1">
                  <c:v>11.486200319999998</c:v>
                </c:pt>
                <c:pt idx="2">
                  <c:v>1.1117510319999999</c:v>
                </c:pt>
                <c:pt idx="3">
                  <c:v>4.5613044400000007</c:v>
                </c:pt>
                <c:pt idx="4">
                  <c:v>4.5018523760000004</c:v>
                </c:pt>
                <c:pt idx="5">
                  <c:v>4.1486896752</c:v>
                </c:pt>
                <c:pt idx="6">
                  <c:v>14.875224447999999</c:v>
                </c:pt>
                <c:pt idx="7">
                  <c:v>16.347419647999999</c:v>
                </c:pt>
                <c:pt idx="8">
                  <c:v>2.0821046399999998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4-8341-9F84-D24CC04F404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Maneuvering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Scour Protection Vessel</c:v>
                </c:pt>
                <c:pt idx="1">
                  <c:v>Anchor handling and tug supply</c:v>
                </c:pt>
                <c:pt idx="2">
                  <c:v>Crew transfer</c:v>
                </c:pt>
                <c:pt idx="3">
                  <c:v>Feeder barge</c:v>
                </c:pt>
                <c:pt idx="4">
                  <c:v>Service operations</c:v>
                </c:pt>
                <c:pt idx="5">
                  <c:v>Cable lay</c:v>
                </c:pt>
                <c:pt idx="6">
                  <c:v>Heavy lift</c:v>
                </c:pt>
                <c:pt idx="7">
                  <c:v>Wind turbine installation vessel</c:v>
                </c:pt>
                <c:pt idx="8">
                  <c:v>Deck carrier</c:v>
                </c:pt>
              </c:strCache>
            </c:strRef>
          </c:cat>
          <c:val>
            <c:numRef>
              <c:f>Sheet1!$D$3:$D$11</c:f>
              <c:numCache>
                <c:formatCode>0.000000000</c:formatCode>
                <c:ptCount val="9"/>
                <c:pt idx="0">
                  <c:v>3.9358741127999997</c:v>
                </c:pt>
                <c:pt idx="1">
                  <c:v>6.9370786799999999</c:v>
                </c:pt>
                <c:pt idx="2">
                  <c:v>0.43255993199999998</c:v>
                </c:pt>
                <c:pt idx="3">
                  <c:v>4.5822075600000005</c:v>
                </c:pt>
                <c:pt idx="4">
                  <c:v>3.3693585239999999</c:v>
                </c:pt>
                <c:pt idx="5">
                  <c:v>2.5556911127999999</c:v>
                </c:pt>
                <c:pt idx="6">
                  <c:v>20.420014272</c:v>
                </c:pt>
                <c:pt idx="7">
                  <c:v>19.138415772000002</c:v>
                </c:pt>
                <c:pt idx="8">
                  <c:v>0.69403488000000002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4-8341-9F84-D24CC04F404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Idling at 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Scour Protection Vessel</c:v>
                </c:pt>
                <c:pt idx="1">
                  <c:v>Anchor handling and tug supply</c:v>
                </c:pt>
                <c:pt idx="2">
                  <c:v>Crew transfer</c:v>
                </c:pt>
                <c:pt idx="3">
                  <c:v>Feeder barge</c:v>
                </c:pt>
                <c:pt idx="4">
                  <c:v>Service operations</c:v>
                </c:pt>
                <c:pt idx="5">
                  <c:v>Cable lay</c:v>
                </c:pt>
                <c:pt idx="6">
                  <c:v>Heavy lift</c:v>
                </c:pt>
                <c:pt idx="7">
                  <c:v>Wind turbine installation vessel</c:v>
                </c:pt>
                <c:pt idx="8">
                  <c:v>Deck carrier</c:v>
                </c:pt>
              </c:strCache>
            </c:strRef>
          </c:cat>
          <c:val>
            <c:numRef>
              <c:f>Sheet1!$E$3:$E$11</c:f>
              <c:numCache>
                <c:formatCode>0.000000000</c:formatCode>
                <c:ptCount val="9"/>
                <c:pt idx="0">
                  <c:v>0.44441443759999993</c:v>
                </c:pt>
                <c:pt idx="1">
                  <c:v>1.16877936</c:v>
                </c:pt>
                <c:pt idx="2">
                  <c:v>6.9570200000000004E-3</c:v>
                </c:pt>
                <c:pt idx="3">
                  <c:v>0.80423151199999998</c:v>
                </c:pt>
                <c:pt idx="4">
                  <c:v>0.74718394799999999</c:v>
                </c:pt>
                <c:pt idx="5">
                  <c:v>0.44441443759999993</c:v>
                </c:pt>
                <c:pt idx="6">
                  <c:v>4.8086922239999996</c:v>
                </c:pt>
                <c:pt idx="7">
                  <c:v>4.8086922239999996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4-8341-9F84-D24CC04F4049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Idling at sea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Scour Protection Vessel</c:v>
                </c:pt>
                <c:pt idx="1">
                  <c:v>Anchor handling and tug supply</c:v>
                </c:pt>
                <c:pt idx="2">
                  <c:v>Crew transfer</c:v>
                </c:pt>
                <c:pt idx="3">
                  <c:v>Feeder barge</c:v>
                </c:pt>
                <c:pt idx="4">
                  <c:v>Service operations</c:v>
                </c:pt>
                <c:pt idx="5">
                  <c:v>Cable lay</c:v>
                </c:pt>
                <c:pt idx="6">
                  <c:v>Heavy lift</c:v>
                </c:pt>
                <c:pt idx="7">
                  <c:v>Wind turbine installation vessel</c:v>
                </c:pt>
                <c:pt idx="8">
                  <c:v>Deck carrier</c:v>
                </c:pt>
              </c:strCache>
            </c:strRef>
          </c:cat>
          <c:val>
            <c:numRef>
              <c:f>Sheet1!$F$3:$F$11</c:f>
              <c:numCache>
                <c:formatCode>0.000000000</c:formatCode>
                <c:ptCount val="9"/>
                <c:pt idx="0">
                  <c:v>0.22220721879999997</c:v>
                </c:pt>
                <c:pt idx="1">
                  <c:v>0.58438968000000002</c:v>
                </c:pt>
                <c:pt idx="2">
                  <c:v>3.4785100000000002E-3</c:v>
                </c:pt>
                <c:pt idx="3">
                  <c:v>0.47307735999999995</c:v>
                </c:pt>
                <c:pt idx="4">
                  <c:v>0.37359197399999999</c:v>
                </c:pt>
                <c:pt idx="5">
                  <c:v>0.22220721879999997</c:v>
                </c:pt>
                <c:pt idx="6">
                  <c:v>2.4043461119999998</c:v>
                </c:pt>
                <c:pt idx="7">
                  <c:v>2.4043461119999998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4-8341-9F84-D24CC04F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106447"/>
        <c:axId val="709064847"/>
      </c:barChart>
      <c:catAx>
        <c:axId val="7091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64847"/>
        <c:crosses val="autoZero"/>
        <c:auto val="1"/>
        <c:lblAlgn val="ctr"/>
        <c:lblOffset val="100"/>
        <c:noMultiLvlLbl val="0"/>
      </c:catAx>
      <c:valAx>
        <c:axId val="7090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Emissions factors (tons CO2/hour) by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Transit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Scour Protection Vessel</c:v>
                </c:pt>
                <c:pt idx="1">
                  <c:v>Anchor handling and tug supply</c:v>
                </c:pt>
                <c:pt idx="2">
                  <c:v>Crew transfer</c:v>
                </c:pt>
                <c:pt idx="3">
                  <c:v>Feeder barge</c:v>
                </c:pt>
                <c:pt idx="4">
                  <c:v>Service operations</c:v>
                </c:pt>
                <c:pt idx="5">
                  <c:v>Cable lay</c:v>
                </c:pt>
                <c:pt idx="6">
                  <c:v>Heavy lift</c:v>
                </c:pt>
                <c:pt idx="7">
                  <c:v>Wind turbine installation vessel</c:v>
                </c:pt>
                <c:pt idx="8">
                  <c:v>Deck carrier</c:v>
                </c:pt>
              </c:strCache>
            </c:strRef>
          </c:cat>
          <c:val>
            <c:numRef>
              <c:f>Sheet1!$C$3:$C$11</c:f>
              <c:numCache>
                <c:formatCode>0.000000000</c:formatCode>
                <c:ptCount val="9"/>
                <c:pt idx="0">
                  <c:v>4.1486896752</c:v>
                </c:pt>
                <c:pt idx="1">
                  <c:v>11.486200319999998</c:v>
                </c:pt>
                <c:pt idx="2">
                  <c:v>1.1117510319999999</c:v>
                </c:pt>
                <c:pt idx="3">
                  <c:v>4.5613044400000007</c:v>
                </c:pt>
                <c:pt idx="4">
                  <c:v>4.5018523760000004</c:v>
                </c:pt>
                <c:pt idx="5">
                  <c:v>4.1486896752</c:v>
                </c:pt>
                <c:pt idx="6">
                  <c:v>14.875224447999999</c:v>
                </c:pt>
                <c:pt idx="7">
                  <c:v>16.347419647999999</c:v>
                </c:pt>
                <c:pt idx="8">
                  <c:v>2.0821046399999998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1-E14D-B335-7A57FC45DFF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Maneuvering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Scour Protection Vessel</c:v>
                </c:pt>
                <c:pt idx="1">
                  <c:v>Anchor handling and tug supply</c:v>
                </c:pt>
                <c:pt idx="2">
                  <c:v>Crew transfer</c:v>
                </c:pt>
                <c:pt idx="3">
                  <c:v>Feeder barge</c:v>
                </c:pt>
                <c:pt idx="4">
                  <c:v>Service operations</c:v>
                </c:pt>
                <c:pt idx="5">
                  <c:v>Cable lay</c:v>
                </c:pt>
                <c:pt idx="6">
                  <c:v>Heavy lift</c:v>
                </c:pt>
                <c:pt idx="7">
                  <c:v>Wind turbine installation vessel</c:v>
                </c:pt>
                <c:pt idx="8">
                  <c:v>Deck carrier</c:v>
                </c:pt>
              </c:strCache>
            </c:strRef>
          </c:cat>
          <c:val>
            <c:numRef>
              <c:f>Sheet1!$D$3:$D$11</c:f>
              <c:numCache>
                <c:formatCode>0.000000000</c:formatCode>
                <c:ptCount val="9"/>
                <c:pt idx="0">
                  <c:v>3.9358741127999997</c:v>
                </c:pt>
                <c:pt idx="1">
                  <c:v>6.9370786799999999</c:v>
                </c:pt>
                <c:pt idx="2">
                  <c:v>0.43255993199999998</c:v>
                </c:pt>
                <c:pt idx="3">
                  <c:v>4.5822075600000005</c:v>
                </c:pt>
                <c:pt idx="4">
                  <c:v>3.3693585239999999</c:v>
                </c:pt>
                <c:pt idx="5">
                  <c:v>2.5556911127999999</c:v>
                </c:pt>
                <c:pt idx="6">
                  <c:v>20.420014272</c:v>
                </c:pt>
                <c:pt idx="7">
                  <c:v>19.138415772000002</c:v>
                </c:pt>
                <c:pt idx="8">
                  <c:v>0.69403488000000002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1-E14D-B335-7A57FC45DFF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Idling at 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Scour Protection Vessel</c:v>
                </c:pt>
                <c:pt idx="1">
                  <c:v>Anchor handling and tug supply</c:v>
                </c:pt>
                <c:pt idx="2">
                  <c:v>Crew transfer</c:v>
                </c:pt>
                <c:pt idx="3">
                  <c:v>Feeder barge</c:v>
                </c:pt>
                <c:pt idx="4">
                  <c:v>Service operations</c:v>
                </c:pt>
                <c:pt idx="5">
                  <c:v>Cable lay</c:v>
                </c:pt>
                <c:pt idx="6">
                  <c:v>Heavy lift</c:v>
                </c:pt>
                <c:pt idx="7">
                  <c:v>Wind turbine installation vessel</c:v>
                </c:pt>
                <c:pt idx="8">
                  <c:v>Deck carrier</c:v>
                </c:pt>
              </c:strCache>
            </c:strRef>
          </c:cat>
          <c:val>
            <c:numRef>
              <c:f>Sheet1!$E$3:$E$11</c:f>
              <c:numCache>
                <c:formatCode>0.000000000</c:formatCode>
                <c:ptCount val="9"/>
                <c:pt idx="0">
                  <c:v>0.44441443759999993</c:v>
                </c:pt>
                <c:pt idx="1">
                  <c:v>1.16877936</c:v>
                </c:pt>
                <c:pt idx="2">
                  <c:v>6.9570200000000004E-3</c:v>
                </c:pt>
                <c:pt idx="3">
                  <c:v>0.80423151199999998</c:v>
                </c:pt>
                <c:pt idx="4">
                  <c:v>0.74718394799999999</c:v>
                </c:pt>
                <c:pt idx="5">
                  <c:v>0.44441443759999993</c:v>
                </c:pt>
                <c:pt idx="6">
                  <c:v>4.8086922239999996</c:v>
                </c:pt>
                <c:pt idx="7">
                  <c:v>4.8086922239999996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1-E14D-B335-7A57FC45DFF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Idling at sea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Scour Protection Vessel</c:v>
                </c:pt>
                <c:pt idx="1">
                  <c:v>Anchor handling and tug supply</c:v>
                </c:pt>
                <c:pt idx="2">
                  <c:v>Crew transfer</c:v>
                </c:pt>
                <c:pt idx="3">
                  <c:v>Feeder barge</c:v>
                </c:pt>
                <c:pt idx="4">
                  <c:v>Service operations</c:v>
                </c:pt>
                <c:pt idx="5">
                  <c:v>Cable lay</c:v>
                </c:pt>
                <c:pt idx="6">
                  <c:v>Heavy lift</c:v>
                </c:pt>
                <c:pt idx="7">
                  <c:v>Wind turbine installation vessel</c:v>
                </c:pt>
                <c:pt idx="8">
                  <c:v>Deck carrier</c:v>
                </c:pt>
              </c:strCache>
            </c:strRef>
          </c:cat>
          <c:val>
            <c:numRef>
              <c:f>Sheet1!$F$3:$F$11</c:f>
              <c:numCache>
                <c:formatCode>0.000000000</c:formatCode>
                <c:ptCount val="9"/>
                <c:pt idx="0">
                  <c:v>0.22220721879999997</c:v>
                </c:pt>
                <c:pt idx="1">
                  <c:v>0.58438968000000002</c:v>
                </c:pt>
                <c:pt idx="2">
                  <c:v>3.4785100000000002E-3</c:v>
                </c:pt>
                <c:pt idx="3">
                  <c:v>0.47307735999999995</c:v>
                </c:pt>
                <c:pt idx="4">
                  <c:v>0.37359197399999999</c:v>
                </c:pt>
                <c:pt idx="5">
                  <c:v>0.22220721879999997</c:v>
                </c:pt>
                <c:pt idx="6">
                  <c:v>2.4043461119999998</c:v>
                </c:pt>
                <c:pt idx="7">
                  <c:v>2.4043461119999998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1-E14D-B335-7A57FC4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010223"/>
        <c:axId val="240791119"/>
      </c:barChart>
      <c:catAx>
        <c:axId val="70601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91119"/>
        <c:crosses val="autoZero"/>
        <c:auto val="1"/>
        <c:lblAlgn val="ctr"/>
        <c:lblOffset val="100"/>
        <c:noMultiLvlLbl val="0"/>
      </c:catAx>
      <c:valAx>
        <c:axId val="2407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1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601870</xdr:colOff>
      <xdr:row>1</xdr:row>
      <xdr:rowOff>14355</xdr:rowOff>
    </xdr:from>
    <xdr:to>
      <xdr:col>21</xdr:col>
      <xdr:colOff>0</xdr:colOff>
      <xdr:row>20</xdr:row>
      <xdr:rowOff>121477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06086-EEAF-1BF6-4F98-341E88F30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635000</xdr:colOff>
      <xdr:row>25</xdr:row>
      <xdr:rowOff>135834</xdr:rowOff>
    </xdr:from>
    <xdr:to>
      <xdr:col>13</xdr:col>
      <xdr:colOff>629479</xdr:colOff>
      <xdr:row>52</xdr:row>
      <xdr:rowOff>143565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E5F613-3225-28C7-A6F5-F8B23F3E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mez, Zoe" id="{0F18A861-0CA1-2641-8682-35DAF9F8905C}" userId="S::zhemez@nrel.gov::195b9c37-3742-4149-b24c-e7a472092c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2-12-29T20:25:10.56" personId="{0F18A861-0CA1-2641-8682-35DAF9F8905C}" id="{DD140C0E-F35C-5249-B9A7-BDAB938FB1B2}">
    <text>Power of example vessels in vessel questionnaire sent by Matt</text>
  </threadedComment>
  <threadedComment ref="B11" dT="2022-12-29T18:12:55.43" personId="{0F18A861-0CA1-2641-8682-35DAF9F8905C}" id="{99C90D3C-D29D-6B4D-84F7-1E2060DBF6BD}">
    <text>Used in block island wind farm</text>
  </threadedComment>
  <threadedComment ref="B12" dT="2022-12-29T18:12:38.17" personId="{0F18A861-0CA1-2641-8682-35DAF9F8905C}" id="{9592C9B6-F8DE-1B44-AF74-009751BEF055}">
    <text>Chosen based on vessel type and power</text>
  </threadedComment>
  <threadedComment ref="B13" dT="2022-12-29T15:17:15.65" personId="{0F18A861-0CA1-2641-8682-35DAF9F8905C}" id="{22828B01-31CE-1F42-B7B6-0F62AE0BC5D4}">
    <text>https://www.dco.uscg.mil/OCSNCOE/Renewable-Energy/Support-Vessels/</text>
  </threadedComment>
  <threadedComment ref="B14" dT="2022-12-29T15:47:00.77" personId="{0F18A861-0CA1-2641-8682-35DAF9F8905C}" id="{191B0897-3AB4-CE4E-B9C8-A7F724794EB1}">
    <text>Chosen based on installed power</text>
  </threadedComment>
  <threadedComment ref="B15" dT="2022-12-29T15:47:19.60" personId="{0F18A861-0CA1-2641-8682-35DAF9F8905C}" id="{857C8B07-83A6-0C4F-89B4-897A9652B898}">
    <text>Chosen based on installed power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5" dT="2023-02-02T21:50:36.92" personId="{0F18A861-0CA1-2641-8682-35DAF9F8905C}" id="{6DDC4AA0-F7FC-0E44-974A-8F2B040E6417}">
    <text>Power figures came straight from us commercial vessels data</text>
  </threadedComment>
  <threadedComment ref="P21" dT="2023-02-01T18:27:04.44" personId="{0F18A861-0CA1-2641-8682-35DAF9F8905C}" id="{18B98014-7DBA-3648-A46C-CF25C4F17D2A}">
    <text>Assumed</text>
  </threadedComment>
  <threadedComment ref="B31" dT="2023-02-01T19:31:48.99" personId="{0F18A861-0CA1-2641-8682-35DAF9F8905C}" id="{0BB88C5D-EEA9-7842-B7E9-6C38B17E12C8}">
    <text>Spec sheet doesn’t provide power information - I copied from the SPV since they have similar deadweights.</text>
  </threadedComment>
  <threadedComment ref="B36" dT="2023-02-01T20:04:39.99" personId="{0F18A861-0CA1-2641-8682-35DAF9F8905C}" id="{115E9552-8E9D-F948-9BA2-8091873040FA}">
    <text>Used Boskalis spec sheet. Possibly lower the lf for transit and maneuvering for the aux engines?</text>
  </threadedComment>
  <threadedComment ref="F42" dT="2023-02-02T21:15:42.96" personId="{0F18A861-0CA1-2641-8682-35DAF9F8905C}" id="{A2A598F0-FEAF-F34F-9EDE-B0CC1C2F4CCE}">
    <text>Copied from heavy lift vessel</text>
  </threadedComment>
  <threadedComment ref="A49" dT="2023-02-16T00:01:39.63" personId="{0F18A861-0CA1-2641-8682-35DAF9F8905C}" id="{AD847F91-1F62-184D-87D0-7862882B1BF1}">
    <text>Assumed the 4 GenSets are for propulsion based on this video</text>
  </threadedComment>
  <threadedComment ref="E50" dT="2023-02-16T00:02:58.89" personId="{0F18A861-0CA1-2641-8682-35DAF9F8905C}" id="{B8296D39-4B06-934B-A870-F67795D78F9C}">
    <text>Assumed propulsion</text>
  </threadedComment>
  <threadedComment ref="E51" dT="2023-02-16T00:03:08.72" personId="{0F18A861-0CA1-2641-8682-35DAF9F8905C}" id="{F4B6B737-0E2C-C24A-A746-4645C7B88C85}">
    <text>Assumed propulsion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ysmiangroup.com/sites/default/files/atoms/files/Leonardo%20da%20Vinci_Datasheet_v4.pdf" TargetMode="External"/><Relationship Id="rId13" Type="http://schemas.openxmlformats.org/officeDocument/2006/relationships/hyperlink" Target="https://boskalis.com/media/cafdcmsf/bokalift-2.pdf" TargetMode="External"/><Relationship Id="rId18" Type="http://schemas.microsoft.com/office/2017/10/relationships/threadedComment" Target="../threadedComments/threadedComment2.xml"/><Relationship Id="rId3" Type="http://schemas.openxmlformats.org/officeDocument/2006/relationships/hyperlink" Target="https://www.vanoord.com/drupal/media/data/default/2021-07/leaflet_bravenes_2021_a43_lr4.pdf?undefined" TargetMode="External"/><Relationship Id="rId7" Type="http://schemas.openxmlformats.org/officeDocument/2006/relationships/hyperlink" Target="https://www.royalihc.com/sites/default/files/documents/factsheet%20SOV%20T60-18.pdf" TargetMode="External"/><Relationship Id="rId12" Type="http://schemas.openxmlformats.org/officeDocument/2006/relationships/hyperlink" Target="https://www.man-es.com/docs/default-source/document-sync/man-l21-31-mk2-eng.pdf?sfvrsn=b33f1bf5_1" TargetMode="External"/><Relationship Id="rId17" Type="http://schemas.openxmlformats.org/officeDocument/2006/relationships/comments" Target="../comments2.xml"/><Relationship Id="rId2" Type="http://schemas.openxmlformats.org/officeDocument/2006/relationships/hyperlink" Target="https://www.solstad.com/wp-json/solstad/api/vessel/367/pdf" TargetMode="External"/><Relationship Id="rId16" Type="http://schemas.openxmlformats.org/officeDocument/2006/relationships/vmlDrawing" Target="../drawings/vmlDrawing2.vml"/><Relationship Id="rId1" Type="http://schemas.openxmlformats.org/officeDocument/2006/relationships/hyperlink" Target="https://www.sustainable-ships.org/stories/2022/sfc" TargetMode="External"/><Relationship Id="rId6" Type="http://schemas.openxmlformats.org/officeDocument/2006/relationships/hyperlink" Target="https://www.workboat.com/offshore/superfeeder-design-offers-jones-act-solution-for-offshore-wind-developers" TargetMode="External"/><Relationship Id="rId11" Type="http://schemas.openxmlformats.org/officeDocument/2006/relationships/hyperlink" Target="https://www.ship-technology.com/news/jiangsu-shipyard-man-gensets/" TargetMode="External"/><Relationship Id="rId5" Type="http://schemas.openxmlformats.org/officeDocument/2006/relationships/hyperlink" Target="https://patriotoffshoremaritime.com/fleet/" TargetMode="External"/><Relationship Id="rId15" Type="http://schemas.openxmlformats.org/officeDocument/2006/relationships/hyperlink" Target="https://www.ettespower.com/uploadfile/fckeditor/images/file/MAN%20HFO%20Genset%2020150824/MAN%20L16-24%20HFO%20MARINE%20ENGINE%20GENSET-ETTES%20POWER.pdf" TargetMode="External"/><Relationship Id="rId10" Type="http://schemas.openxmlformats.org/officeDocument/2006/relationships/hyperlink" Target="https://www.carbonindependent.org/22.html" TargetMode="External"/><Relationship Id="rId4" Type="http://schemas.openxmlformats.org/officeDocument/2006/relationships/hyperlink" Target="https://cdn-dominionenergy-prd-001.azureedge.net/-/media/pdfs/global/wind/seajacks-charybdis-spec-sheet-07jul22.pdf" TargetMode="External"/><Relationship Id="rId9" Type="http://schemas.openxmlformats.org/officeDocument/2006/relationships/hyperlink" Target="https://www.seaway7.com/wp-content/uploads/2022/03/Seaway_Alfa-Lift.pdf" TargetMode="External"/><Relationship Id="rId14" Type="http://schemas.openxmlformats.org/officeDocument/2006/relationships/hyperlink" Target="https://www.sciencedirect.com/science/article/pii/S026974911831251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7A3A-6DB0-C648-9B23-7B227F29A33C}">
  <dimension ref="A2:BG16"/>
  <sheetViews>
    <sheetView zoomScale="84" zoomScaleNormal="120" workbookViewId="0">
      <selection activeCell="BB13" sqref="BB13"/>
    </sheetView>
  </sheetViews>
  <sheetFormatPr baseColWidth="10" defaultColWidth="10.6640625" defaultRowHeight="16" x14ac:dyDescent="0.2"/>
  <cols>
    <col min="1" max="1" width="33.6640625" bestFit="1" customWidth="1"/>
    <col min="2" max="2" width="17.1640625" bestFit="1" customWidth="1"/>
    <col min="3" max="3" width="19.6640625" bestFit="1" customWidth="1"/>
    <col min="4" max="6" width="19.6640625" customWidth="1"/>
    <col min="7" max="7" width="12.1640625" bestFit="1" customWidth="1"/>
    <col min="8" max="9" width="14.83203125" bestFit="1" customWidth="1"/>
    <col min="10" max="10" width="13.6640625" bestFit="1" customWidth="1"/>
    <col min="11" max="11" width="16.5" bestFit="1" customWidth="1"/>
    <col min="12" max="12" width="13" bestFit="1" customWidth="1"/>
    <col min="13" max="14" width="13.83203125" bestFit="1" customWidth="1"/>
    <col min="15" max="15" width="16.6640625" bestFit="1" customWidth="1"/>
    <col min="16" max="16" width="13.1640625" bestFit="1" customWidth="1"/>
    <col min="17" max="17" width="14" bestFit="1" customWidth="1"/>
    <col min="18" max="18" width="15.33203125" bestFit="1" customWidth="1"/>
    <col min="19" max="19" width="12" bestFit="1" customWidth="1"/>
    <col min="20" max="20" width="14.83203125" bestFit="1" customWidth="1"/>
    <col min="21" max="21" width="16.6640625" bestFit="1" customWidth="1"/>
    <col min="22" max="22" width="13.1640625" bestFit="1" customWidth="1"/>
    <col min="23" max="23" width="13.1640625" customWidth="1"/>
    <col min="24" max="24" width="12.6640625" bestFit="1" customWidth="1"/>
    <col min="25" max="25" width="15.33203125" bestFit="1" customWidth="1"/>
    <col min="26" max="26" width="12" bestFit="1" customWidth="1"/>
    <col min="27" max="27" width="12.83203125" bestFit="1" customWidth="1"/>
    <col min="28" max="28" width="15.5" bestFit="1" customWidth="1"/>
    <col min="29" max="29" width="12.1640625" bestFit="1" customWidth="1"/>
    <col min="30" max="30" width="14.33203125" bestFit="1" customWidth="1"/>
    <col min="31" max="31" width="11" bestFit="1" customWidth="1"/>
    <col min="32" max="32" width="15.5" bestFit="1" customWidth="1"/>
    <col min="33" max="33" width="13.5" bestFit="1" customWidth="1"/>
    <col min="34" max="34" width="12.1640625" bestFit="1" customWidth="1"/>
    <col min="35" max="35" width="14.83203125" bestFit="1" customWidth="1"/>
    <col min="36" max="36" width="11.5" bestFit="1" customWidth="1"/>
    <col min="37" max="37" width="18.6640625" bestFit="1" customWidth="1"/>
    <col min="38" max="38" width="21.5" bestFit="1" customWidth="1"/>
    <col min="39" max="39" width="18" bestFit="1" customWidth="1"/>
    <col min="40" max="40" width="18.83203125" bestFit="1" customWidth="1"/>
    <col min="41" max="41" width="33.83203125" bestFit="1" customWidth="1"/>
    <col min="42" max="42" width="18.83203125" bestFit="1" customWidth="1"/>
    <col min="43" max="43" width="21.6640625" bestFit="1" customWidth="1"/>
    <col min="44" max="44" width="18.1640625" bestFit="1" customWidth="1"/>
    <col min="45" max="45" width="19" bestFit="1" customWidth="1"/>
    <col min="46" max="46" width="34.5" bestFit="1" customWidth="1"/>
    <col min="47" max="47" width="20.33203125" bestFit="1" customWidth="1"/>
    <col min="48" max="48" width="17" bestFit="1" customWidth="1"/>
    <col min="49" max="49" width="17.83203125" bestFit="1" customWidth="1"/>
    <col min="50" max="50" width="31.83203125" bestFit="1" customWidth="1"/>
    <col min="51" max="51" width="21.6640625" bestFit="1" customWidth="1"/>
    <col min="52" max="52" width="18.1640625" bestFit="1" customWidth="1"/>
    <col min="53" max="53" width="19" bestFit="1" customWidth="1"/>
    <col min="54" max="54" width="34.33203125" bestFit="1" customWidth="1"/>
  </cols>
  <sheetData>
    <row r="2" spans="1:59" x14ac:dyDescent="0.2">
      <c r="A2" s="116" t="s">
        <v>0</v>
      </c>
      <c r="B2" s="116"/>
      <c r="C2" s="116"/>
      <c r="D2" s="116"/>
      <c r="E2" s="116"/>
      <c r="F2" s="116"/>
      <c r="G2" s="123" t="s">
        <v>1</v>
      </c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5"/>
      <c r="AH2" s="120" t="s">
        <v>2</v>
      </c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2"/>
      <c r="BG2" t="s">
        <v>3</v>
      </c>
    </row>
    <row r="3" spans="1:59" x14ac:dyDescent="0.2">
      <c r="G3" s="113" t="s">
        <v>4</v>
      </c>
      <c r="H3" s="114"/>
      <c r="I3" s="115"/>
      <c r="J3" s="113" t="s">
        <v>5</v>
      </c>
      <c r="K3" s="114"/>
      <c r="L3" s="114"/>
      <c r="M3" s="115"/>
      <c r="N3" s="113" t="s">
        <v>6</v>
      </c>
      <c r="O3" s="114"/>
      <c r="P3" s="114"/>
      <c r="Q3" s="115"/>
      <c r="R3" s="117" t="s">
        <v>7</v>
      </c>
      <c r="S3" s="118"/>
      <c r="T3" s="119"/>
      <c r="U3" s="117" t="s">
        <v>8</v>
      </c>
      <c r="V3" s="118"/>
      <c r="W3" s="119"/>
      <c r="X3" s="117" t="s">
        <v>9</v>
      </c>
      <c r="Y3" s="118"/>
      <c r="Z3" s="119"/>
      <c r="AA3" s="117" t="s">
        <v>10</v>
      </c>
      <c r="AB3" s="118"/>
      <c r="AC3" s="119"/>
      <c r="AD3" s="117" t="s">
        <v>11</v>
      </c>
      <c r="AE3" s="119"/>
      <c r="AF3" s="117" t="s">
        <v>12</v>
      </c>
      <c r="AG3" s="119"/>
      <c r="AH3" s="117" t="s">
        <v>13</v>
      </c>
      <c r="AI3" s="118"/>
      <c r="AJ3" s="119"/>
      <c r="AK3" s="117" t="s">
        <v>14</v>
      </c>
      <c r="AL3" s="118"/>
      <c r="AM3" s="118"/>
      <c r="AN3" s="118"/>
      <c r="AO3" s="119"/>
      <c r="AP3" s="117" t="s">
        <v>15</v>
      </c>
      <c r="AQ3" s="118"/>
      <c r="AR3" s="118"/>
      <c r="AS3" s="118"/>
      <c r="AT3" s="119"/>
      <c r="AU3" s="117" t="s">
        <v>16</v>
      </c>
      <c r="AV3" s="118"/>
      <c r="AW3" s="118"/>
      <c r="AX3" s="119"/>
      <c r="AY3" s="117" t="s">
        <v>17</v>
      </c>
      <c r="AZ3" s="118"/>
      <c r="BA3" s="118"/>
      <c r="BB3" s="119"/>
      <c r="BG3" t="s">
        <v>18</v>
      </c>
    </row>
    <row r="4" spans="1:59" x14ac:dyDescent="0.2">
      <c r="A4" s="6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8" t="s">
        <v>25</v>
      </c>
      <c r="H4" s="8" t="s">
        <v>26</v>
      </c>
      <c r="I4" s="8" t="s">
        <v>27</v>
      </c>
      <c r="J4" s="8" t="s">
        <v>28</v>
      </c>
      <c r="K4" s="8" t="s">
        <v>29</v>
      </c>
      <c r="L4" s="8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6" t="s">
        <v>40</v>
      </c>
      <c r="W4" s="6" t="s">
        <v>41</v>
      </c>
      <c r="X4" s="6" t="s">
        <v>42</v>
      </c>
      <c r="Y4" s="6" t="s">
        <v>43</v>
      </c>
      <c r="Z4" s="6" t="s">
        <v>44</v>
      </c>
      <c r="AA4" s="6" t="s">
        <v>45</v>
      </c>
      <c r="AB4" s="6" t="s">
        <v>46</v>
      </c>
      <c r="AC4" s="6" t="s">
        <v>47</v>
      </c>
      <c r="AD4" s="6" t="s">
        <v>48</v>
      </c>
      <c r="AE4" s="6" t="s">
        <v>49</v>
      </c>
      <c r="AF4" s="6" t="s">
        <v>50</v>
      </c>
      <c r="AG4" s="6" t="s">
        <v>51</v>
      </c>
      <c r="AH4" s="6" t="s">
        <v>52</v>
      </c>
      <c r="AI4" s="6" t="s">
        <v>53</v>
      </c>
      <c r="AJ4" s="6" t="s">
        <v>54</v>
      </c>
      <c r="AK4" s="6" t="s">
        <v>55</v>
      </c>
      <c r="AL4" s="6" t="s">
        <v>56</v>
      </c>
      <c r="AM4" s="6" t="s">
        <v>57</v>
      </c>
      <c r="AN4" s="6" t="s">
        <v>58</v>
      </c>
      <c r="AO4" s="7" t="s">
        <v>59</v>
      </c>
      <c r="AP4" s="6" t="s">
        <v>60</v>
      </c>
      <c r="AQ4" s="6" t="s">
        <v>61</v>
      </c>
      <c r="AR4" s="6" t="s">
        <v>62</v>
      </c>
      <c r="AS4" s="6" t="s">
        <v>63</v>
      </c>
      <c r="AT4" s="7" t="s">
        <v>64</v>
      </c>
      <c r="AU4" s="6" t="s">
        <v>65</v>
      </c>
      <c r="AV4" s="6" t="s">
        <v>66</v>
      </c>
      <c r="AW4" s="6" t="s">
        <v>67</v>
      </c>
      <c r="AX4" s="7" t="s">
        <v>68</v>
      </c>
      <c r="AY4" s="6" t="s">
        <v>69</v>
      </c>
      <c r="AZ4" s="6" t="s">
        <v>70</v>
      </c>
      <c r="BA4" s="6" t="s">
        <v>71</v>
      </c>
      <c r="BB4" s="7" t="s">
        <v>72</v>
      </c>
    </row>
    <row r="5" spans="1:59" s="2" customFormat="1" x14ac:dyDescent="0.2">
      <c r="A5" s="2" t="s">
        <v>73</v>
      </c>
      <c r="B5" s="2" t="s">
        <v>74</v>
      </c>
      <c r="C5" s="2" t="s">
        <v>75</v>
      </c>
      <c r="D5" s="2">
        <v>2001</v>
      </c>
      <c r="G5" s="9">
        <v>1046</v>
      </c>
      <c r="H5" s="9">
        <v>452</v>
      </c>
      <c r="I5" s="9">
        <v>0</v>
      </c>
      <c r="J5" s="9">
        <v>732</v>
      </c>
      <c r="K5" s="9">
        <v>136</v>
      </c>
      <c r="L5" s="9">
        <v>0</v>
      </c>
      <c r="M5" s="2">
        <f>J5+K5+L5</f>
        <v>868</v>
      </c>
      <c r="N5" s="4">
        <v>314</v>
      </c>
      <c r="O5" s="4">
        <v>136</v>
      </c>
      <c r="P5" s="4">
        <v>0</v>
      </c>
      <c r="Q5" s="2">
        <f>N5+O5+P5</f>
        <v>450</v>
      </c>
      <c r="R5" s="4">
        <v>90</v>
      </c>
      <c r="S5" s="4">
        <v>0</v>
      </c>
      <c r="T5" s="2">
        <f>R5+S5</f>
        <v>90</v>
      </c>
      <c r="U5" s="4">
        <v>90</v>
      </c>
      <c r="V5" s="4">
        <v>0</v>
      </c>
      <c r="W5" s="2">
        <f>U5+V5</f>
        <v>90</v>
      </c>
      <c r="X5" s="2">
        <f>ROUND(J5/G5,1)</f>
        <v>0.7</v>
      </c>
      <c r="Y5" s="2">
        <f>ROUND(K5/H5,1)</f>
        <v>0.3</v>
      </c>
      <c r="Z5" s="2">
        <f>IF(I5=0, 0, ROUND(L5/I5,1))</f>
        <v>0</v>
      </c>
      <c r="AA5" s="2">
        <f>ROUND(N5/G5,1)</f>
        <v>0.3</v>
      </c>
      <c r="AB5" s="2">
        <f>ROUND(O5/H5,1)</f>
        <v>0.3</v>
      </c>
      <c r="AC5" s="2">
        <f>IF(I5=0, 0, ROUND(P5/I5,1))</f>
        <v>0</v>
      </c>
      <c r="AD5" s="2">
        <f>ROUND(R5/H5,1)</f>
        <v>0.2</v>
      </c>
      <c r="AE5" s="2">
        <f>IF(I5=0, 0, ROUND(S5/I5,1))</f>
        <v>0</v>
      </c>
      <c r="AF5" s="2">
        <f>ROUND(U5/H5,1)</f>
        <v>0.2</v>
      </c>
      <c r="AG5" s="2">
        <f>IF(I5=0, 0, ROUND(V5/I5,1))</f>
        <v>0</v>
      </c>
      <c r="AH5" s="4">
        <v>500</v>
      </c>
      <c r="AI5" s="4">
        <v>6</v>
      </c>
      <c r="AJ5" s="4">
        <v>0</v>
      </c>
      <c r="AK5" s="2">
        <f>X5*AH5</f>
        <v>350</v>
      </c>
      <c r="AL5" s="2">
        <f>Y5*AI5</f>
        <v>1.7999999999999998</v>
      </c>
      <c r="AM5" s="2">
        <f>Z5*AJ5</f>
        <v>0</v>
      </c>
      <c r="AN5" s="2">
        <f>AK5+AL5+AM5</f>
        <v>351.8</v>
      </c>
      <c r="AO5" s="3">
        <f>AN5/M5</f>
        <v>0.40529953917050693</v>
      </c>
      <c r="AP5" s="2">
        <f>AA5*AH5</f>
        <v>150</v>
      </c>
      <c r="AQ5" s="2">
        <f>AB5*AI5</f>
        <v>1.7999999999999998</v>
      </c>
      <c r="AR5" s="2">
        <f>AC5*AJ5</f>
        <v>0</v>
      </c>
      <c r="AS5" s="2">
        <f>AP5+AQ5+AR5</f>
        <v>151.80000000000001</v>
      </c>
      <c r="AT5" s="3">
        <f>AS5/Q5</f>
        <v>0.33733333333333337</v>
      </c>
      <c r="AU5" s="2">
        <f>AD5*AI5</f>
        <v>1.2000000000000002</v>
      </c>
      <c r="AV5" s="2">
        <f>AE5*AJ5</f>
        <v>0</v>
      </c>
      <c r="AW5" s="2">
        <f>AU5+AV5</f>
        <v>1.2000000000000002</v>
      </c>
      <c r="AX5" s="3">
        <f>AW5/T5</f>
        <v>1.3333333333333336E-2</v>
      </c>
      <c r="AY5" s="2">
        <f>AF5*AI5</f>
        <v>1.2000000000000002</v>
      </c>
      <c r="AZ5" s="2">
        <f>AG5*AJ5</f>
        <v>0</v>
      </c>
      <c r="BA5" s="2">
        <f>AY5+AZ5</f>
        <v>1.2000000000000002</v>
      </c>
      <c r="BB5" s="3">
        <f>BA5/W5</f>
        <v>1.3333333333333336E-2</v>
      </c>
    </row>
    <row r="6" spans="1:59" x14ac:dyDescent="0.2">
      <c r="A6" t="s">
        <v>76</v>
      </c>
      <c r="B6" t="s">
        <v>77</v>
      </c>
      <c r="C6" t="s">
        <v>78</v>
      </c>
      <c r="D6">
        <v>1977</v>
      </c>
      <c r="E6">
        <v>27600</v>
      </c>
      <c r="F6">
        <v>27591</v>
      </c>
      <c r="G6" s="10">
        <v>6000</v>
      </c>
      <c r="H6" s="10">
        <v>6600</v>
      </c>
      <c r="I6" s="10">
        <v>3450</v>
      </c>
      <c r="J6" s="10">
        <v>4200</v>
      </c>
      <c r="K6" s="10">
        <v>4200</v>
      </c>
      <c r="L6" s="10">
        <v>1050</v>
      </c>
      <c r="M6">
        <f t="shared" ref="M6:M12" si="0">J6+K6+L6</f>
        <v>9450</v>
      </c>
      <c r="N6" s="5">
        <v>1800</v>
      </c>
      <c r="O6" s="5">
        <v>1800</v>
      </c>
      <c r="P6" s="5">
        <v>1800</v>
      </c>
      <c r="Q6">
        <f t="shared" ref="Q6:Q12" si="1">N6+O6+P6</f>
        <v>5400</v>
      </c>
      <c r="R6" s="5">
        <v>480</v>
      </c>
      <c r="S6" s="5">
        <v>480</v>
      </c>
      <c r="T6">
        <f t="shared" ref="T6:T16" si="2">R6+S6</f>
        <v>960</v>
      </c>
      <c r="U6" s="5">
        <v>120</v>
      </c>
      <c r="V6" s="5">
        <v>120</v>
      </c>
      <c r="W6">
        <f t="shared" ref="W6:W16" si="3">U6+V6</f>
        <v>240</v>
      </c>
      <c r="X6">
        <f>ROUND(J6/G6,1)</f>
        <v>0.7</v>
      </c>
      <c r="Y6">
        <f t="shared" ref="Y6:Y16" si="4">ROUND(K6/H6,1)</f>
        <v>0.6</v>
      </c>
      <c r="Z6">
        <f t="shared" ref="Z6:Z16" si="5">IF(I6=0, 0, ROUND(L6/I6,1))</f>
        <v>0.3</v>
      </c>
      <c r="AA6">
        <f>ROUND(N6/G6,1)</f>
        <v>0.3</v>
      </c>
      <c r="AB6">
        <f t="shared" ref="AB6:AB16" si="6">ROUND(O6/H6,1)</f>
        <v>0.3</v>
      </c>
      <c r="AC6">
        <f t="shared" ref="AC6:AC16" si="7">IF(I6=0, 0, ROUND(P6/I6,1))</f>
        <v>0.5</v>
      </c>
      <c r="AD6">
        <f t="shared" ref="AD6:AD16" si="8">ROUND(R6/H6,1)</f>
        <v>0.1</v>
      </c>
      <c r="AE6">
        <f t="shared" ref="AE6:AE16" si="9">IF(I6=0, 0, ROUND(S6/I6,1))</f>
        <v>0.1</v>
      </c>
      <c r="AF6">
        <f t="shared" ref="AF6:AF16" si="10">ROUND(U6/H6,1)</f>
        <v>0</v>
      </c>
      <c r="AG6">
        <f t="shared" ref="AG6:AG16" si="11">IF(I6=0, 0, ROUND(V6/I6,1))</f>
        <v>0</v>
      </c>
      <c r="AH6" s="5">
        <v>47130</v>
      </c>
      <c r="AI6" s="5">
        <v>3555</v>
      </c>
      <c r="AJ6" s="5">
        <v>228</v>
      </c>
      <c r="AK6">
        <f t="shared" ref="AK6:AK16" si="12">X6*AH6</f>
        <v>32991</v>
      </c>
      <c r="AL6">
        <f t="shared" ref="AL6:AL16" si="13">Y6*AI6</f>
        <v>2133</v>
      </c>
      <c r="AM6">
        <f t="shared" ref="AM6:AM16" si="14">Z6*AJ6</f>
        <v>68.399999999999991</v>
      </c>
      <c r="AN6">
        <f t="shared" ref="AN6:AN16" si="15">AK6+AL6+AM6</f>
        <v>35192.400000000001</v>
      </c>
      <c r="AO6" s="1">
        <f t="shared" ref="AO6:AO16" si="16">AN6/M6</f>
        <v>3.7240634920634923</v>
      </c>
      <c r="AP6">
        <f t="shared" ref="AP6:AP16" si="17">AA6*AH6</f>
        <v>14139</v>
      </c>
      <c r="AQ6">
        <f t="shared" ref="AQ6:AQ16" si="18">AB6*AI6</f>
        <v>1066.5</v>
      </c>
      <c r="AR6">
        <f t="shared" ref="AR6:AR16" si="19">AC6*AJ6</f>
        <v>114</v>
      </c>
      <c r="AS6">
        <f t="shared" ref="AS6:AS16" si="20">AP6+AQ6+AR6</f>
        <v>15319.5</v>
      </c>
      <c r="AT6" s="1">
        <f t="shared" ref="AT6:AT16" si="21">AS6/Q6</f>
        <v>2.8369444444444443</v>
      </c>
      <c r="AU6">
        <f t="shared" ref="AU6:AV16" si="22">AD6*AI6</f>
        <v>355.5</v>
      </c>
      <c r="AV6">
        <f t="shared" ref="AV6:AV16" si="23">AE6*AJ6</f>
        <v>22.8</v>
      </c>
      <c r="AW6">
        <f t="shared" ref="AW6:AW16" si="24">AU6+AV6</f>
        <v>378.3</v>
      </c>
      <c r="AX6" s="1">
        <f t="shared" ref="AX6:AX16" si="25">AW6/T6</f>
        <v>0.39406250000000004</v>
      </c>
      <c r="AY6">
        <f t="shared" ref="AY6:AY16" si="26">AF6*AI6</f>
        <v>0</v>
      </c>
      <c r="AZ6">
        <f t="shared" ref="AZ6:AZ16" si="27">AG6*AJ6</f>
        <v>0</v>
      </c>
      <c r="BA6">
        <f t="shared" ref="BA6:BA16" si="28">AY6+AZ6</f>
        <v>0</v>
      </c>
      <c r="BB6" s="1">
        <f t="shared" ref="BB6:BB16" si="29">BA6/W6</f>
        <v>0</v>
      </c>
      <c r="BG6" t="s">
        <v>79</v>
      </c>
    </row>
    <row r="7" spans="1:59" x14ac:dyDescent="0.2">
      <c r="A7" t="s">
        <v>80</v>
      </c>
      <c r="G7" s="10"/>
      <c r="H7" s="10"/>
      <c r="I7" s="10"/>
      <c r="J7" s="10"/>
      <c r="K7" s="10"/>
      <c r="L7" s="10"/>
      <c r="M7">
        <f t="shared" si="0"/>
        <v>0</v>
      </c>
      <c r="N7" s="5"/>
      <c r="O7" s="5"/>
      <c r="P7" s="5"/>
      <c r="Q7">
        <f t="shared" si="1"/>
        <v>0</v>
      </c>
      <c r="R7" s="5"/>
      <c r="S7" s="5"/>
      <c r="T7">
        <f t="shared" si="2"/>
        <v>0</v>
      </c>
      <c r="U7" s="5"/>
      <c r="V7" s="5"/>
      <c r="W7">
        <f t="shared" si="3"/>
        <v>0</v>
      </c>
      <c r="X7" t="e">
        <f t="shared" ref="X7:X16" si="30">ROUND(J7/G7,1)</f>
        <v>#DIV/0!</v>
      </c>
      <c r="Y7" t="e">
        <f t="shared" si="4"/>
        <v>#DIV/0!</v>
      </c>
      <c r="Z7">
        <f t="shared" si="5"/>
        <v>0</v>
      </c>
      <c r="AA7" t="e">
        <f t="shared" ref="AA7:AA16" si="31">ROUND(N7/G7,1)</f>
        <v>#DIV/0!</v>
      </c>
      <c r="AB7" t="e">
        <f t="shared" si="6"/>
        <v>#DIV/0!</v>
      </c>
      <c r="AC7">
        <f t="shared" si="7"/>
        <v>0</v>
      </c>
      <c r="AD7" t="e">
        <f t="shared" si="8"/>
        <v>#DIV/0!</v>
      </c>
      <c r="AE7">
        <f t="shared" si="9"/>
        <v>0</v>
      </c>
      <c r="AF7" t="e">
        <f t="shared" si="10"/>
        <v>#DIV/0!</v>
      </c>
      <c r="AG7">
        <f t="shared" si="11"/>
        <v>0</v>
      </c>
      <c r="AH7" s="5"/>
      <c r="AI7" s="5"/>
      <c r="AJ7" s="5"/>
      <c r="AK7" t="e">
        <f t="shared" si="12"/>
        <v>#DIV/0!</v>
      </c>
      <c r="AL7" t="e">
        <f t="shared" si="13"/>
        <v>#DIV/0!</v>
      </c>
      <c r="AM7">
        <f t="shared" si="14"/>
        <v>0</v>
      </c>
      <c r="AN7" t="e">
        <f t="shared" si="15"/>
        <v>#DIV/0!</v>
      </c>
      <c r="AO7" s="1" t="e">
        <f t="shared" si="16"/>
        <v>#DIV/0!</v>
      </c>
      <c r="AP7" t="e">
        <f t="shared" si="17"/>
        <v>#DIV/0!</v>
      </c>
      <c r="AQ7" t="e">
        <f t="shared" si="18"/>
        <v>#DIV/0!</v>
      </c>
      <c r="AR7">
        <f t="shared" si="19"/>
        <v>0</v>
      </c>
      <c r="AS7" t="e">
        <f t="shared" si="20"/>
        <v>#DIV/0!</v>
      </c>
      <c r="AT7" s="1" t="e">
        <f t="shared" si="21"/>
        <v>#DIV/0!</v>
      </c>
      <c r="AU7" t="e">
        <f t="shared" si="22"/>
        <v>#DIV/0!</v>
      </c>
      <c r="AV7">
        <f t="shared" si="23"/>
        <v>0</v>
      </c>
      <c r="AW7" t="e">
        <f t="shared" si="24"/>
        <v>#DIV/0!</v>
      </c>
      <c r="AX7" s="1" t="e">
        <f t="shared" si="25"/>
        <v>#DIV/0!</v>
      </c>
      <c r="AY7" t="e">
        <f t="shared" si="26"/>
        <v>#DIV/0!</v>
      </c>
      <c r="AZ7">
        <f t="shared" si="27"/>
        <v>0</v>
      </c>
      <c r="BA7" t="e">
        <f t="shared" si="28"/>
        <v>#DIV/0!</v>
      </c>
      <c r="BB7" s="1" t="e">
        <f t="shared" si="29"/>
        <v>#DIV/0!</v>
      </c>
      <c r="BG7" t="s">
        <v>81</v>
      </c>
    </row>
    <row r="8" spans="1:59" x14ac:dyDescent="0.2">
      <c r="A8" t="s">
        <v>82</v>
      </c>
      <c r="G8" s="10"/>
      <c r="H8" s="10"/>
      <c r="I8" s="10"/>
      <c r="J8" s="10"/>
      <c r="K8" s="10"/>
      <c r="L8" s="10"/>
      <c r="M8">
        <f t="shared" si="0"/>
        <v>0</v>
      </c>
      <c r="N8" s="5"/>
      <c r="O8" s="5"/>
      <c r="P8" s="5"/>
      <c r="Q8">
        <f t="shared" si="1"/>
        <v>0</v>
      </c>
      <c r="R8" s="5"/>
      <c r="S8" s="5"/>
      <c r="T8">
        <f t="shared" si="2"/>
        <v>0</v>
      </c>
      <c r="U8" s="5"/>
      <c r="V8" s="5"/>
      <c r="W8">
        <f t="shared" si="3"/>
        <v>0</v>
      </c>
      <c r="X8" t="e">
        <f t="shared" si="30"/>
        <v>#DIV/0!</v>
      </c>
      <c r="Y8" t="e">
        <f t="shared" si="4"/>
        <v>#DIV/0!</v>
      </c>
      <c r="Z8">
        <f t="shared" si="5"/>
        <v>0</v>
      </c>
      <c r="AA8" t="e">
        <f t="shared" si="31"/>
        <v>#DIV/0!</v>
      </c>
      <c r="AB8" t="e">
        <f t="shared" si="6"/>
        <v>#DIV/0!</v>
      </c>
      <c r="AC8">
        <f t="shared" si="7"/>
        <v>0</v>
      </c>
      <c r="AD8" t="e">
        <f t="shared" si="8"/>
        <v>#DIV/0!</v>
      </c>
      <c r="AE8">
        <f t="shared" si="9"/>
        <v>0</v>
      </c>
      <c r="AF8" t="e">
        <f t="shared" si="10"/>
        <v>#DIV/0!</v>
      </c>
      <c r="AG8">
        <f t="shared" si="11"/>
        <v>0</v>
      </c>
      <c r="AH8" s="5"/>
      <c r="AI8" s="5"/>
      <c r="AJ8" s="5"/>
      <c r="AK8" t="e">
        <f t="shared" si="12"/>
        <v>#DIV/0!</v>
      </c>
      <c r="AL8" t="e">
        <f t="shared" si="13"/>
        <v>#DIV/0!</v>
      </c>
      <c r="AM8">
        <f t="shared" si="14"/>
        <v>0</v>
      </c>
      <c r="AN8" t="e">
        <f t="shared" si="15"/>
        <v>#DIV/0!</v>
      </c>
      <c r="AO8" s="1" t="e">
        <f t="shared" si="16"/>
        <v>#DIV/0!</v>
      </c>
      <c r="AP8" t="e">
        <f t="shared" si="17"/>
        <v>#DIV/0!</v>
      </c>
      <c r="AQ8" t="e">
        <f t="shared" si="18"/>
        <v>#DIV/0!</v>
      </c>
      <c r="AR8">
        <f t="shared" si="19"/>
        <v>0</v>
      </c>
      <c r="AS8" t="e">
        <f t="shared" si="20"/>
        <v>#DIV/0!</v>
      </c>
      <c r="AT8" s="1" t="e">
        <f t="shared" si="21"/>
        <v>#DIV/0!</v>
      </c>
      <c r="AU8" t="e">
        <f t="shared" si="22"/>
        <v>#DIV/0!</v>
      </c>
      <c r="AV8">
        <f t="shared" si="23"/>
        <v>0</v>
      </c>
      <c r="AW8" t="e">
        <f t="shared" si="24"/>
        <v>#DIV/0!</v>
      </c>
      <c r="AX8" s="1" t="e">
        <f t="shared" si="25"/>
        <v>#DIV/0!</v>
      </c>
      <c r="AY8" t="e">
        <f t="shared" si="26"/>
        <v>#DIV/0!</v>
      </c>
      <c r="AZ8">
        <f t="shared" si="27"/>
        <v>0</v>
      </c>
      <c r="BA8" t="e">
        <f t="shared" si="28"/>
        <v>#DIV/0!</v>
      </c>
      <c r="BB8" s="1" t="e">
        <f t="shared" si="29"/>
        <v>#DIV/0!</v>
      </c>
    </row>
    <row r="9" spans="1:59" x14ac:dyDescent="0.2">
      <c r="A9" t="s">
        <v>83</v>
      </c>
      <c r="B9" t="s">
        <v>84</v>
      </c>
      <c r="C9" t="s">
        <v>85</v>
      </c>
      <c r="D9">
        <v>2013</v>
      </c>
      <c r="E9">
        <v>5370</v>
      </c>
      <c r="F9">
        <v>5369</v>
      </c>
      <c r="G9" s="10">
        <v>1038</v>
      </c>
      <c r="H9" s="10">
        <v>1268</v>
      </c>
      <c r="I9" s="10">
        <v>0</v>
      </c>
      <c r="J9" s="10">
        <v>727</v>
      </c>
      <c r="K9" s="10">
        <v>727</v>
      </c>
      <c r="L9" s="10">
        <v>0</v>
      </c>
      <c r="M9">
        <f t="shared" si="0"/>
        <v>1454</v>
      </c>
      <c r="N9" s="5">
        <v>311</v>
      </c>
      <c r="O9" s="5">
        <v>311</v>
      </c>
      <c r="P9" s="5">
        <v>0</v>
      </c>
      <c r="Q9">
        <f t="shared" si="1"/>
        <v>622</v>
      </c>
      <c r="R9" s="5">
        <v>184</v>
      </c>
      <c r="S9" s="5">
        <v>0</v>
      </c>
      <c r="T9">
        <f t="shared" si="2"/>
        <v>184</v>
      </c>
      <c r="U9" s="5">
        <v>46</v>
      </c>
      <c r="V9" s="5">
        <v>0</v>
      </c>
      <c r="W9">
        <f t="shared" si="3"/>
        <v>46</v>
      </c>
      <c r="X9">
        <f t="shared" si="30"/>
        <v>0.7</v>
      </c>
      <c r="Y9">
        <f t="shared" si="4"/>
        <v>0.6</v>
      </c>
      <c r="Z9">
        <f t="shared" si="5"/>
        <v>0</v>
      </c>
      <c r="AA9">
        <f t="shared" si="31"/>
        <v>0.3</v>
      </c>
      <c r="AB9">
        <f t="shared" si="6"/>
        <v>0.2</v>
      </c>
      <c r="AC9">
        <f t="shared" si="7"/>
        <v>0</v>
      </c>
      <c r="AD9">
        <f t="shared" si="8"/>
        <v>0.1</v>
      </c>
      <c r="AE9">
        <f t="shared" si="9"/>
        <v>0</v>
      </c>
      <c r="AF9">
        <f>ROUND(U9/H9,3)</f>
        <v>3.5999999999999997E-2</v>
      </c>
      <c r="AG9">
        <f t="shared" si="11"/>
        <v>0</v>
      </c>
      <c r="AH9" s="5">
        <v>2399</v>
      </c>
      <c r="AI9" s="5">
        <v>6</v>
      </c>
      <c r="AJ9" s="5">
        <v>0</v>
      </c>
      <c r="AK9">
        <f t="shared" si="12"/>
        <v>1679.3</v>
      </c>
      <c r="AL9">
        <f t="shared" si="13"/>
        <v>3.5999999999999996</v>
      </c>
      <c r="AM9">
        <f t="shared" si="14"/>
        <v>0</v>
      </c>
      <c r="AN9">
        <f t="shared" si="15"/>
        <v>1682.8999999999999</v>
      </c>
      <c r="AO9" s="1">
        <f t="shared" si="16"/>
        <v>1.1574277854195323</v>
      </c>
      <c r="AP9">
        <f t="shared" si="17"/>
        <v>719.69999999999993</v>
      </c>
      <c r="AQ9">
        <f t="shared" si="18"/>
        <v>1.2000000000000002</v>
      </c>
      <c r="AR9">
        <f t="shared" si="19"/>
        <v>0</v>
      </c>
      <c r="AS9">
        <f t="shared" si="20"/>
        <v>720.9</v>
      </c>
      <c r="AT9" s="1">
        <f t="shared" si="21"/>
        <v>1.1590032154340835</v>
      </c>
      <c r="AU9">
        <f t="shared" si="22"/>
        <v>0.60000000000000009</v>
      </c>
      <c r="AV9">
        <f t="shared" si="23"/>
        <v>0</v>
      </c>
      <c r="AW9">
        <f t="shared" si="24"/>
        <v>0.60000000000000009</v>
      </c>
      <c r="AX9" s="1">
        <f t="shared" si="25"/>
        <v>3.260869565217392E-3</v>
      </c>
      <c r="AY9">
        <f t="shared" si="26"/>
        <v>0.21599999999999997</v>
      </c>
      <c r="AZ9">
        <f t="shared" si="27"/>
        <v>0</v>
      </c>
      <c r="BA9">
        <f t="shared" si="28"/>
        <v>0.21599999999999997</v>
      </c>
      <c r="BB9" s="1">
        <f t="shared" si="29"/>
        <v>4.6956521739130426E-3</v>
      </c>
    </row>
    <row r="10" spans="1:59" x14ac:dyDescent="0.2">
      <c r="A10" t="s">
        <v>83</v>
      </c>
      <c r="B10" t="s">
        <v>86</v>
      </c>
      <c r="C10" t="s">
        <v>75</v>
      </c>
      <c r="D10">
        <v>2009</v>
      </c>
      <c r="E10">
        <v>5370</v>
      </c>
      <c r="F10">
        <v>5369</v>
      </c>
      <c r="G10" s="10">
        <v>1046</v>
      </c>
      <c r="H10" s="10">
        <v>452</v>
      </c>
      <c r="I10" s="10">
        <v>0</v>
      </c>
      <c r="J10" s="10">
        <v>732</v>
      </c>
      <c r="K10" s="10">
        <v>136</v>
      </c>
      <c r="L10" s="10">
        <v>0</v>
      </c>
      <c r="M10">
        <f t="shared" si="0"/>
        <v>868</v>
      </c>
      <c r="N10" s="5">
        <v>314</v>
      </c>
      <c r="O10" s="5">
        <v>136</v>
      </c>
      <c r="P10" s="5">
        <v>0</v>
      </c>
      <c r="Q10">
        <f t="shared" si="1"/>
        <v>450</v>
      </c>
      <c r="R10" s="5">
        <v>90</v>
      </c>
      <c r="S10" s="5">
        <v>0</v>
      </c>
      <c r="T10">
        <f t="shared" si="2"/>
        <v>90</v>
      </c>
      <c r="U10" s="5">
        <v>90</v>
      </c>
      <c r="V10" s="5">
        <v>0</v>
      </c>
      <c r="W10">
        <f t="shared" si="3"/>
        <v>90</v>
      </c>
      <c r="X10">
        <f t="shared" si="30"/>
        <v>0.7</v>
      </c>
      <c r="Y10">
        <f t="shared" si="4"/>
        <v>0.3</v>
      </c>
      <c r="Z10">
        <f t="shared" si="5"/>
        <v>0</v>
      </c>
      <c r="AA10">
        <f t="shared" si="31"/>
        <v>0.3</v>
      </c>
      <c r="AB10">
        <f t="shared" si="6"/>
        <v>0.3</v>
      </c>
      <c r="AC10">
        <f t="shared" si="7"/>
        <v>0</v>
      </c>
      <c r="AD10">
        <f t="shared" si="8"/>
        <v>0.2</v>
      </c>
      <c r="AE10">
        <f t="shared" si="9"/>
        <v>0</v>
      </c>
      <c r="AF10">
        <f t="shared" si="10"/>
        <v>0.2</v>
      </c>
      <c r="AG10">
        <f t="shared" si="11"/>
        <v>0</v>
      </c>
      <c r="AH10" s="5">
        <v>2399</v>
      </c>
      <c r="AI10" s="5">
        <v>6</v>
      </c>
      <c r="AJ10" s="5">
        <v>0</v>
      </c>
      <c r="AK10">
        <f>X10*AH10</f>
        <v>1679.3</v>
      </c>
      <c r="AL10">
        <f t="shared" si="13"/>
        <v>1.7999999999999998</v>
      </c>
      <c r="AM10">
        <f t="shared" si="14"/>
        <v>0</v>
      </c>
      <c r="AN10">
        <f t="shared" si="15"/>
        <v>1681.1</v>
      </c>
      <c r="AO10" s="1">
        <f t="shared" si="16"/>
        <v>1.9367511520737326</v>
      </c>
      <c r="AP10">
        <f t="shared" si="17"/>
        <v>719.69999999999993</v>
      </c>
      <c r="AQ10">
        <f t="shared" si="18"/>
        <v>1.7999999999999998</v>
      </c>
      <c r="AR10">
        <f t="shared" si="19"/>
        <v>0</v>
      </c>
      <c r="AS10">
        <f t="shared" si="20"/>
        <v>721.49999999999989</v>
      </c>
      <c r="AT10" s="1">
        <f t="shared" si="21"/>
        <v>1.6033333333333331</v>
      </c>
      <c r="AU10">
        <f t="shared" si="22"/>
        <v>1.2000000000000002</v>
      </c>
      <c r="AV10">
        <f t="shared" si="22"/>
        <v>0</v>
      </c>
      <c r="AW10">
        <f t="shared" si="24"/>
        <v>1.2000000000000002</v>
      </c>
      <c r="AX10" s="1">
        <f t="shared" si="25"/>
        <v>1.3333333333333336E-2</v>
      </c>
      <c r="AY10">
        <f t="shared" si="26"/>
        <v>1.2000000000000002</v>
      </c>
      <c r="AZ10">
        <f t="shared" si="27"/>
        <v>0</v>
      </c>
      <c r="BA10">
        <f t="shared" si="28"/>
        <v>1.2000000000000002</v>
      </c>
      <c r="BB10" s="1">
        <f t="shared" si="29"/>
        <v>1.3333333333333336E-2</v>
      </c>
    </row>
    <row r="11" spans="1:59" x14ac:dyDescent="0.2">
      <c r="A11" t="s">
        <v>87</v>
      </c>
      <c r="B11" t="s">
        <v>88</v>
      </c>
      <c r="C11" t="s">
        <v>75</v>
      </c>
      <c r="D11">
        <v>2009</v>
      </c>
      <c r="E11" t="s">
        <v>89</v>
      </c>
      <c r="F11">
        <v>746</v>
      </c>
      <c r="G11" s="10">
        <v>1046</v>
      </c>
      <c r="H11" s="10">
        <v>452</v>
      </c>
      <c r="I11" s="10">
        <v>0</v>
      </c>
      <c r="J11" s="10">
        <v>732</v>
      </c>
      <c r="K11" s="10">
        <v>136</v>
      </c>
      <c r="L11" s="10">
        <v>0</v>
      </c>
      <c r="M11">
        <f t="shared" si="0"/>
        <v>868</v>
      </c>
      <c r="N11" s="5">
        <v>314</v>
      </c>
      <c r="O11" s="5">
        <v>136</v>
      </c>
      <c r="P11" s="5">
        <v>0</v>
      </c>
      <c r="Q11">
        <v>450</v>
      </c>
      <c r="R11" s="5">
        <v>90</v>
      </c>
      <c r="S11" s="5">
        <v>0</v>
      </c>
      <c r="T11">
        <v>90</v>
      </c>
      <c r="U11" s="5">
        <v>90</v>
      </c>
      <c r="V11" s="5">
        <v>0</v>
      </c>
      <c r="W11">
        <f t="shared" si="3"/>
        <v>90</v>
      </c>
      <c r="X11">
        <f t="shared" si="30"/>
        <v>0.7</v>
      </c>
      <c r="Y11">
        <f t="shared" si="4"/>
        <v>0.3</v>
      </c>
      <c r="Z11">
        <f t="shared" si="5"/>
        <v>0</v>
      </c>
      <c r="AA11">
        <f t="shared" si="31"/>
        <v>0.3</v>
      </c>
      <c r="AB11">
        <f>ROUND(O11/H11,1)</f>
        <v>0.3</v>
      </c>
      <c r="AC11">
        <f t="shared" si="7"/>
        <v>0</v>
      </c>
      <c r="AD11">
        <f t="shared" si="8"/>
        <v>0.2</v>
      </c>
      <c r="AE11">
        <f t="shared" si="9"/>
        <v>0</v>
      </c>
      <c r="AF11">
        <f t="shared" si="10"/>
        <v>0.2</v>
      </c>
      <c r="AG11">
        <f t="shared" si="11"/>
        <v>0</v>
      </c>
      <c r="AH11" s="5">
        <v>333</v>
      </c>
      <c r="AI11" s="5">
        <v>6</v>
      </c>
      <c r="AJ11" s="5">
        <v>0</v>
      </c>
      <c r="AK11">
        <f t="shared" si="12"/>
        <v>233.1</v>
      </c>
      <c r="AL11">
        <f t="shared" si="13"/>
        <v>1.7999999999999998</v>
      </c>
      <c r="AM11">
        <f t="shared" si="14"/>
        <v>0</v>
      </c>
      <c r="AN11">
        <f t="shared" si="15"/>
        <v>234.9</v>
      </c>
      <c r="AO11" s="1">
        <f t="shared" si="16"/>
        <v>0.27062211981566819</v>
      </c>
      <c r="AP11">
        <f t="shared" si="17"/>
        <v>99.899999999999991</v>
      </c>
      <c r="AQ11">
        <f t="shared" si="18"/>
        <v>1.7999999999999998</v>
      </c>
      <c r="AR11">
        <f t="shared" si="19"/>
        <v>0</v>
      </c>
      <c r="AS11">
        <f t="shared" si="20"/>
        <v>101.69999999999999</v>
      </c>
      <c r="AT11" s="1">
        <f t="shared" si="21"/>
        <v>0.22599999999999998</v>
      </c>
      <c r="AU11">
        <f>AD11*AI11</f>
        <v>1.2000000000000002</v>
      </c>
      <c r="AV11">
        <f t="shared" si="22"/>
        <v>0</v>
      </c>
      <c r="AW11">
        <f t="shared" si="24"/>
        <v>1.2000000000000002</v>
      </c>
      <c r="AX11" s="1">
        <f>AW11/T11</f>
        <v>1.3333333333333336E-2</v>
      </c>
      <c r="AY11">
        <f t="shared" si="26"/>
        <v>1.2000000000000002</v>
      </c>
      <c r="AZ11">
        <f t="shared" si="27"/>
        <v>0</v>
      </c>
      <c r="BA11">
        <f>AY11+AZ11</f>
        <v>1.2000000000000002</v>
      </c>
      <c r="BB11" s="1">
        <f t="shared" si="29"/>
        <v>1.3333333333333336E-2</v>
      </c>
    </row>
    <row r="12" spans="1:59" x14ac:dyDescent="0.2">
      <c r="A12" t="s">
        <v>87</v>
      </c>
      <c r="B12" t="s">
        <v>90</v>
      </c>
      <c r="C12" t="s">
        <v>75</v>
      </c>
      <c r="D12">
        <v>2001</v>
      </c>
      <c r="E12" t="s">
        <v>89</v>
      </c>
      <c r="F12">
        <v>7400</v>
      </c>
      <c r="G12" s="10">
        <v>1046</v>
      </c>
      <c r="H12" s="10">
        <v>452</v>
      </c>
      <c r="I12" s="10">
        <v>0</v>
      </c>
      <c r="J12" s="10">
        <v>732</v>
      </c>
      <c r="K12" s="10">
        <v>136</v>
      </c>
      <c r="L12" s="10">
        <v>0</v>
      </c>
      <c r="M12">
        <f t="shared" si="0"/>
        <v>868</v>
      </c>
      <c r="N12" s="5">
        <v>314</v>
      </c>
      <c r="O12" s="5">
        <v>136</v>
      </c>
      <c r="P12" s="5">
        <v>0</v>
      </c>
      <c r="Q12">
        <f t="shared" si="1"/>
        <v>450</v>
      </c>
      <c r="R12" s="5">
        <v>90</v>
      </c>
      <c r="S12" s="5">
        <v>0</v>
      </c>
      <c r="T12">
        <f t="shared" si="2"/>
        <v>90</v>
      </c>
      <c r="U12" s="5">
        <v>90</v>
      </c>
      <c r="V12" s="5">
        <v>0</v>
      </c>
      <c r="W12">
        <f t="shared" si="3"/>
        <v>90</v>
      </c>
      <c r="X12">
        <f t="shared" si="30"/>
        <v>0.7</v>
      </c>
      <c r="Y12">
        <f t="shared" si="4"/>
        <v>0.3</v>
      </c>
      <c r="Z12">
        <f t="shared" si="5"/>
        <v>0</v>
      </c>
      <c r="AA12">
        <f t="shared" si="31"/>
        <v>0.3</v>
      </c>
      <c r="AB12">
        <f t="shared" si="6"/>
        <v>0.3</v>
      </c>
      <c r="AC12">
        <f t="shared" si="7"/>
        <v>0</v>
      </c>
      <c r="AD12">
        <f t="shared" si="8"/>
        <v>0.2</v>
      </c>
      <c r="AE12">
        <f t="shared" si="9"/>
        <v>0</v>
      </c>
      <c r="AF12">
        <f t="shared" si="10"/>
        <v>0.2</v>
      </c>
      <c r="AG12">
        <f t="shared" si="11"/>
        <v>0</v>
      </c>
      <c r="AH12" s="5">
        <v>3306</v>
      </c>
      <c r="AI12" s="5">
        <v>6</v>
      </c>
      <c r="AJ12" s="5">
        <v>0</v>
      </c>
      <c r="AK12">
        <f t="shared" si="12"/>
        <v>2314.1999999999998</v>
      </c>
      <c r="AL12">
        <f t="shared" si="13"/>
        <v>1.7999999999999998</v>
      </c>
      <c r="AM12">
        <f t="shared" si="14"/>
        <v>0</v>
      </c>
      <c r="AN12">
        <f t="shared" si="15"/>
        <v>2316</v>
      </c>
      <c r="AO12" s="1">
        <f t="shared" si="16"/>
        <v>2.6682027649769586</v>
      </c>
      <c r="AP12">
        <f t="shared" si="17"/>
        <v>991.8</v>
      </c>
      <c r="AQ12">
        <f t="shared" si="18"/>
        <v>1.7999999999999998</v>
      </c>
      <c r="AR12">
        <f t="shared" si="19"/>
        <v>0</v>
      </c>
      <c r="AS12">
        <f t="shared" si="20"/>
        <v>993.59999999999991</v>
      </c>
      <c r="AT12" s="1">
        <f t="shared" si="21"/>
        <v>2.2079999999999997</v>
      </c>
      <c r="AU12">
        <f t="shared" si="22"/>
        <v>1.2000000000000002</v>
      </c>
      <c r="AV12">
        <f t="shared" si="23"/>
        <v>0</v>
      </c>
      <c r="AW12">
        <f t="shared" si="24"/>
        <v>1.2000000000000002</v>
      </c>
      <c r="AX12" s="1">
        <f t="shared" si="25"/>
        <v>1.3333333333333336E-2</v>
      </c>
      <c r="AY12">
        <f t="shared" si="26"/>
        <v>1.2000000000000002</v>
      </c>
      <c r="AZ12">
        <f t="shared" si="27"/>
        <v>0</v>
      </c>
      <c r="BA12">
        <f t="shared" si="28"/>
        <v>1.2000000000000002</v>
      </c>
      <c r="BB12" s="1">
        <f t="shared" si="29"/>
        <v>1.3333333333333336E-2</v>
      </c>
      <c r="BG12" t="s">
        <v>91</v>
      </c>
    </row>
    <row r="13" spans="1:59" x14ac:dyDescent="0.2">
      <c r="A13" t="s">
        <v>92</v>
      </c>
      <c r="B13" t="s">
        <v>93</v>
      </c>
      <c r="C13" t="s">
        <v>75</v>
      </c>
      <c r="D13">
        <v>2016</v>
      </c>
      <c r="E13" t="s">
        <v>94</v>
      </c>
      <c r="F13">
        <v>2088</v>
      </c>
      <c r="G13" s="10">
        <v>1046</v>
      </c>
      <c r="H13" s="10">
        <v>452</v>
      </c>
      <c r="I13" s="10">
        <v>0</v>
      </c>
      <c r="J13" s="10">
        <v>732</v>
      </c>
      <c r="K13" s="10">
        <v>136</v>
      </c>
      <c r="L13" s="10">
        <v>0</v>
      </c>
      <c r="M13">
        <v>868</v>
      </c>
      <c r="N13" s="5">
        <v>314</v>
      </c>
      <c r="O13" s="5">
        <v>136</v>
      </c>
      <c r="P13" s="5">
        <v>0</v>
      </c>
      <c r="Q13">
        <v>450</v>
      </c>
      <c r="R13" s="5">
        <v>90</v>
      </c>
      <c r="S13" s="5">
        <v>0</v>
      </c>
      <c r="T13">
        <f t="shared" si="2"/>
        <v>90</v>
      </c>
      <c r="U13" s="5">
        <v>90</v>
      </c>
      <c r="V13" s="5">
        <v>0</v>
      </c>
      <c r="W13">
        <f t="shared" si="3"/>
        <v>90</v>
      </c>
      <c r="X13">
        <f t="shared" si="30"/>
        <v>0.7</v>
      </c>
      <c r="Y13">
        <f t="shared" si="4"/>
        <v>0.3</v>
      </c>
      <c r="Z13">
        <f t="shared" si="5"/>
        <v>0</v>
      </c>
      <c r="AA13">
        <f t="shared" si="31"/>
        <v>0.3</v>
      </c>
      <c r="AB13">
        <f t="shared" si="6"/>
        <v>0.3</v>
      </c>
      <c r="AC13">
        <f t="shared" si="7"/>
        <v>0</v>
      </c>
      <c r="AD13">
        <f t="shared" si="8"/>
        <v>0.2</v>
      </c>
      <c r="AE13">
        <f t="shared" si="9"/>
        <v>0</v>
      </c>
      <c r="AF13">
        <f t="shared" si="10"/>
        <v>0.2</v>
      </c>
      <c r="AG13">
        <f t="shared" si="11"/>
        <v>0</v>
      </c>
      <c r="AH13" s="5">
        <v>933</v>
      </c>
      <c r="AI13" s="5">
        <v>6</v>
      </c>
      <c r="AJ13" s="5">
        <v>0</v>
      </c>
      <c r="AK13">
        <f t="shared" si="12"/>
        <v>653.09999999999991</v>
      </c>
      <c r="AL13">
        <f t="shared" si="13"/>
        <v>1.7999999999999998</v>
      </c>
      <c r="AM13">
        <f t="shared" si="14"/>
        <v>0</v>
      </c>
      <c r="AN13">
        <f t="shared" si="15"/>
        <v>654.89999999999986</v>
      </c>
      <c r="AO13" s="1">
        <f t="shared" si="16"/>
        <v>0.75449308755760358</v>
      </c>
      <c r="AP13">
        <f t="shared" si="17"/>
        <v>279.89999999999998</v>
      </c>
      <c r="AQ13">
        <f t="shared" si="18"/>
        <v>1.7999999999999998</v>
      </c>
      <c r="AR13">
        <f t="shared" si="19"/>
        <v>0</v>
      </c>
      <c r="AS13">
        <f t="shared" si="20"/>
        <v>281.7</v>
      </c>
      <c r="AT13" s="1">
        <f t="shared" si="21"/>
        <v>0.626</v>
      </c>
      <c r="AU13">
        <f t="shared" si="22"/>
        <v>1.2000000000000002</v>
      </c>
      <c r="AV13">
        <f t="shared" si="23"/>
        <v>0</v>
      </c>
      <c r="AW13">
        <f t="shared" si="24"/>
        <v>1.2000000000000002</v>
      </c>
      <c r="AX13" s="1">
        <f t="shared" si="25"/>
        <v>1.3333333333333336E-2</v>
      </c>
      <c r="AY13">
        <f t="shared" si="26"/>
        <v>1.2000000000000002</v>
      </c>
      <c r="AZ13">
        <f t="shared" si="27"/>
        <v>0</v>
      </c>
      <c r="BA13">
        <f t="shared" si="28"/>
        <v>1.2000000000000002</v>
      </c>
      <c r="BB13" s="1">
        <f t="shared" si="29"/>
        <v>1.3333333333333336E-2</v>
      </c>
      <c r="BG13" t="s">
        <v>95</v>
      </c>
    </row>
    <row r="14" spans="1:59" x14ac:dyDescent="0.2">
      <c r="A14" t="s">
        <v>96</v>
      </c>
      <c r="B14" t="s">
        <v>97</v>
      </c>
      <c r="C14" t="s">
        <v>98</v>
      </c>
      <c r="D14" t="s">
        <v>99</v>
      </c>
      <c r="E14">
        <v>6200</v>
      </c>
      <c r="F14">
        <v>6200</v>
      </c>
      <c r="G14" s="10">
        <v>800</v>
      </c>
      <c r="H14" s="10">
        <v>802</v>
      </c>
      <c r="I14" s="10">
        <v>0</v>
      </c>
      <c r="J14" s="10">
        <v>560</v>
      </c>
      <c r="K14" s="10">
        <v>560</v>
      </c>
      <c r="L14" s="10">
        <v>0</v>
      </c>
      <c r="M14">
        <f t="shared" ref="M14:M16" si="32">J14+K14+L14</f>
        <v>1120</v>
      </c>
      <c r="N14" s="5">
        <v>240</v>
      </c>
      <c r="O14" s="5">
        <v>240</v>
      </c>
      <c r="P14" s="5">
        <v>0</v>
      </c>
      <c r="Q14">
        <f t="shared" ref="Q14:Q16" si="33">N14+O14+P14</f>
        <v>480</v>
      </c>
      <c r="R14" s="5">
        <v>2</v>
      </c>
      <c r="S14" s="5">
        <v>0</v>
      </c>
      <c r="T14">
        <f t="shared" si="2"/>
        <v>2</v>
      </c>
      <c r="U14" s="5">
        <v>0</v>
      </c>
      <c r="V14" s="5">
        <v>0</v>
      </c>
      <c r="W14">
        <f t="shared" si="3"/>
        <v>0</v>
      </c>
      <c r="X14">
        <f t="shared" si="30"/>
        <v>0.7</v>
      </c>
      <c r="Y14">
        <f t="shared" si="4"/>
        <v>0.7</v>
      </c>
      <c r="Z14">
        <f t="shared" si="5"/>
        <v>0</v>
      </c>
      <c r="AA14">
        <f t="shared" si="31"/>
        <v>0.3</v>
      </c>
      <c r="AB14">
        <f t="shared" si="6"/>
        <v>0.3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 s="5">
        <v>2243</v>
      </c>
      <c r="AI14" s="5">
        <v>53</v>
      </c>
      <c r="AJ14" s="5">
        <v>0</v>
      </c>
      <c r="AK14">
        <f t="shared" si="12"/>
        <v>1570.1</v>
      </c>
      <c r="AL14">
        <f t="shared" si="13"/>
        <v>37.099999999999994</v>
      </c>
      <c r="AM14">
        <f t="shared" si="14"/>
        <v>0</v>
      </c>
      <c r="AN14">
        <f t="shared" si="15"/>
        <v>1607.1999999999998</v>
      </c>
      <c r="AO14" s="1">
        <f t="shared" si="16"/>
        <v>1.4349999999999998</v>
      </c>
      <c r="AP14">
        <f t="shared" si="17"/>
        <v>672.9</v>
      </c>
      <c r="AQ14">
        <f t="shared" si="18"/>
        <v>15.899999999999999</v>
      </c>
      <c r="AR14">
        <f t="shared" si="19"/>
        <v>0</v>
      </c>
      <c r="AS14">
        <f t="shared" si="20"/>
        <v>688.8</v>
      </c>
      <c r="AT14" s="1">
        <f t="shared" si="21"/>
        <v>1.4349999999999998</v>
      </c>
      <c r="AU14">
        <f t="shared" si="22"/>
        <v>0</v>
      </c>
      <c r="AV14">
        <f t="shared" si="23"/>
        <v>0</v>
      </c>
      <c r="AW14">
        <f t="shared" si="24"/>
        <v>0</v>
      </c>
      <c r="AX14" s="1">
        <f t="shared" si="25"/>
        <v>0</v>
      </c>
      <c r="AY14">
        <f t="shared" si="26"/>
        <v>0</v>
      </c>
      <c r="AZ14">
        <f t="shared" si="27"/>
        <v>0</v>
      </c>
      <c r="BA14">
        <f t="shared" si="28"/>
        <v>0</v>
      </c>
      <c r="BB14" s="1" t="e">
        <f t="shared" si="29"/>
        <v>#DIV/0!</v>
      </c>
      <c r="BG14" t="s">
        <v>100</v>
      </c>
    </row>
    <row r="15" spans="1:59" x14ac:dyDescent="0.2">
      <c r="A15" t="s">
        <v>101</v>
      </c>
      <c r="B15" t="s">
        <v>102</v>
      </c>
      <c r="C15" t="s">
        <v>103</v>
      </c>
      <c r="D15">
        <v>2011</v>
      </c>
      <c r="E15">
        <v>17400</v>
      </c>
      <c r="F15">
        <v>8948</v>
      </c>
      <c r="G15" s="10">
        <v>1273</v>
      </c>
      <c r="H15" s="10">
        <v>1271</v>
      </c>
      <c r="I15" s="10">
        <v>0</v>
      </c>
      <c r="J15" s="10">
        <v>891</v>
      </c>
      <c r="K15" s="10">
        <v>381</v>
      </c>
      <c r="L15" s="10">
        <v>0</v>
      </c>
      <c r="M15">
        <f t="shared" si="32"/>
        <v>1272</v>
      </c>
      <c r="N15" s="5">
        <v>382</v>
      </c>
      <c r="O15" s="5">
        <v>381</v>
      </c>
      <c r="P15" s="5">
        <v>0</v>
      </c>
      <c r="Q15">
        <f t="shared" si="33"/>
        <v>763</v>
      </c>
      <c r="R15" s="5">
        <v>254</v>
      </c>
      <c r="S15" s="5">
        <v>0</v>
      </c>
      <c r="T15">
        <f t="shared" si="2"/>
        <v>254</v>
      </c>
      <c r="U15" s="5">
        <v>254</v>
      </c>
      <c r="V15" s="5">
        <v>0</v>
      </c>
      <c r="W15">
        <f t="shared" si="3"/>
        <v>254</v>
      </c>
      <c r="X15">
        <f t="shared" si="30"/>
        <v>0.7</v>
      </c>
      <c r="Y15">
        <f t="shared" si="4"/>
        <v>0.3</v>
      </c>
      <c r="Z15">
        <f t="shared" si="5"/>
        <v>0</v>
      </c>
      <c r="AA15">
        <f t="shared" si="31"/>
        <v>0.3</v>
      </c>
      <c r="AB15">
        <f t="shared" si="6"/>
        <v>0.3</v>
      </c>
      <c r="AC15">
        <f t="shared" si="7"/>
        <v>0</v>
      </c>
      <c r="AD15">
        <f t="shared" si="8"/>
        <v>0.2</v>
      </c>
      <c r="AE15">
        <f t="shared" si="9"/>
        <v>0</v>
      </c>
      <c r="AF15">
        <f t="shared" si="10"/>
        <v>0.2</v>
      </c>
      <c r="AG15">
        <f t="shared" si="11"/>
        <v>0</v>
      </c>
      <c r="AH15" s="5">
        <v>4866</v>
      </c>
      <c r="AI15" s="5">
        <v>61</v>
      </c>
      <c r="AJ15" s="5">
        <v>0</v>
      </c>
      <c r="AK15">
        <f t="shared" si="12"/>
        <v>3406.2</v>
      </c>
      <c r="AL15">
        <f t="shared" si="13"/>
        <v>18.3</v>
      </c>
      <c r="AM15">
        <f t="shared" si="14"/>
        <v>0</v>
      </c>
      <c r="AN15">
        <f t="shared" si="15"/>
        <v>3424.5</v>
      </c>
      <c r="AO15" s="1">
        <f t="shared" si="16"/>
        <v>2.6922169811320753</v>
      </c>
      <c r="AP15">
        <f t="shared" si="17"/>
        <v>1459.8</v>
      </c>
      <c r="AQ15">
        <f t="shared" si="18"/>
        <v>18.3</v>
      </c>
      <c r="AR15">
        <f t="shared" si="19"/>
        <v>0</v>
      </c>
      <c r="AS15">
        <f t="shared" si="20"/>
        <v>1478.1</v>
      </c>
      <c r="AT15" s="1">
        <f t="shared" si="21"/>
        <v>1.9372214941022279</v>
      </c>
      <c r="AU15">
        <f t="shared" si="22"/>
        <v>12.200000000000001</v>
      </c>
      <c r="AV15">
        <f t="shared" si="23"/>
        <v>0</v>
      </c>
      <c r="AW15">
        <f t="shared" si="24"/>
        <v>12.200000000000001</v>
      </c>
      <c r="AX15" s="1">
        <f t="shared" si="25"/>
        <v>4.8031496062992132E-2</v>
      </c>
      <c r="AY15">
        <f t="shared" si="26"/>
        <v>12.200000000000001</v>
      </c>
      <c r="AZ15">
        <f t="shared" si="27"/>
        <v>0</v>
      </c>
      <c r="BA15">
        <f t="shared" si="28"/>
        <v>12.200000000000001</v>
      </c>
      <c r="BB15" s="1">
        <f t="shared" si="29"/>
        <v>4.8031496062992132E-2</v>
      </c>
      <c r="BG15" t="s">
        <v>104</v>
      </c>
    </row>
    <row r="16" spans="1:59" x14ac:dyDescent="0.2">
      <c r="A16" t="s">
        <v>101</v>
      </c>
      <c r="B16" t="s">
        <v>105</v>
      </c>
      <c r="C16" t="s">
        <v>103</v>
      </c>
      <c r="D16">
        <v>2000</v>
      </c>
      <c r="E16">
        <v>17400</v>
      </c>
      <c r="F16">
        <v>12304</v>
      </c>
      <c r="G16" s="10">
        <v>1273</v>
      </c>
      <c r="H16" s="10">
        <v>1273</v>
      </c>
      <c r="I16" s="10">
        <v>0</v>
      </c>
      <c r="J16" s="10">
        <v>891</v>
      </c>
      <c r="K16" s="10">
        <v>381</v>
      </c>
      <c r="L16" s="10">
        <v>0</v>
      </c>
      <c r="M16">
        <f t="shared" si="32"/>
        <v>1272</v>
      </c>
      <c r="N16" s="5">
        <v>382</v>
      </c>
      <c r="O16" s="5">
        <v>381</v>
      </c>
      <c r="P16" s="5">
        <v>0</v>
      </c>
      <c r="Q16">
        <f t="shared" si="33"/>
        <v>763</v>
      </c>
      <c r="R16" s="5">
        <v>254</v>
      </c>
      <c r="S16" s="5">
        <v>0</v>
      </c>
      <c r="T16">
        <f t="shared" si="2"/>
        <v>254</v>
      </c>
      <c r="U16" s="5">
        <v>254</v>
      </c>
      <c r="V16" s="5">
        <v>0</v>
      </c>
      <c r="W16">
        <f t="shared" si="3"/>
        <v>254</v>
      </c>
      <c r="X16">
        <f t="shared" si="30"/>
        <v>0.7</v>
      </c>
      <c r="Y16">
        <f t="shared" si="4"/>
        <v>0.3</v>
      </c>
      <c r="Z16">
        <f t="shared" si="5"/>
        <v>0</v>
      </c>
      <c r="AA16">
        <f t="shared" si="31"/>
        <v>0.3</v>
      </c>
      <c r="AB16">
        <f t="shared" si="6"/>
        <v>0.3</v>
      </c>
      <c r="AC16">
        <f t="shared" si="7"/>
        <v>0</v>
      </c>
      <c r="AD16">
        <f t="shared" si="8"/>
        <v>0.2</v>
      </c>
      <c r="AE16">
        <f t="shared" si="9"/>
        <v>0</v>
      </c>
      <c r="AF16">
        <f t="shared" si="10"/>
        <v>0.2</v>
      </c>
      <c r="AG16">
        <f t="shared" si="11"/>
        <v>0</v>
      </c>
      <c r="AH16" s="5">
        <v>6691</v>
      </c>
      <c r="AI16" s="5">
        <v>61</v>
      </c>
      <c r="AJ16" s="5">
        <v>0</v>
      </c>
      <c r="AK16">
        <f t="shared" si="12"/>
        <v>4683.7</v>
      </c>
      <c r="AL16">
        <f t="shared" si="13"/>
        <v>18.3</v>
      </c>
      <c r="AM16">
        <f t="shared" si="14"/>
        <v>0</v>
      </c>
      <c r="AN16">
        <f t="shared" si="15"/>
        <v>4702</v>
      </c>
      <c r="AO16" s="1">
        <f t="shared" si="16"/>
        <v>3.6965408805031448</v>
      </c>
      <c r="AP16">
        <f t="shared" si="17"/>
        <v>2007.3</v>
      </c>
      <c r="AQ16">
        <f t="shared" si="18"/>
        <v>18.3</v>
      </c>
      <c r="AR16">
        <f t="shared" si="19"/>
        <v>0</v>
      </c>
      <c r="AS16">
        <f t="shared" si="20"/>
        <v>2025.6</v>
      </c>
      <c r="AT16" s="1">
        <f t="shared" si="21"/>
        <v>2.65478374836173</v>
      </c>
      <c r="AU16">
        <f t="shared" si="22"/>
        <v>12.200000000000001</v>
      </c>
      <c r="AV16">
        <f t="shared" si="23"/>
        <v>0</v>
      </c>
      <c r="AW16">
        <f t="shared" si="24"/>
        <v>12.200000000000001</v>
      </c>
      <c r="AX16" s="1">
        <f t="shared" si="25"/>
        <v>4.8031496062992132E-2</v>
      </c>
      <c r="AY16">
        <f t="shared" si="26"/>
        <v>12.200000000000001</v>
      </c>
      <c r="AZ16">
        <f t="shared" si="27"/>
        <v>0</v>
      </c>
      <c r="BA16">
        <f t="shared" si="28"/>
        <v>12.200000000000001</v>
      </c>
      <c r="BB16" s="1">
        <f t="shared" si="29"/>
        <v>4.8031496062992132E-2</v>
      </c>
    </row>
  </sheetData>
  <mergeCells count="17">
    <mergeCell ref="AF3:AG3"/>
    <mergeCell ref="G3:I3"/>
    <mergeCell ref="A2:F2"/>
    <mergeCell ref="AP3:AT3"/>
    <mergeCell ref="AU3:AX3"/>
    <mergeCell ref="AY3:BB3"/>
    <mergeCell ref="AH2:BB2"/>
    <mergeCell ref="G2:AG2"/>
    <mergeCell ref="AH3:AJ3"/>
    <mergeCell ref="AK3:AO3"/>
    <mergeCell ref="J3:M3"/>
    <mergeCell ref="N3:Q3"/>
    <mergeCell ref="R3:T3"/>
    <mergeCell ref="U3:W3"/>
    <mergeCell ref="X3:Z3"/>
    <mergeCell ref="AA3:AC3"/>
    <mergeCell ref="AD3:AE3"/>
  </mergeCells>
  <pageMargins left="0.7" right="0.7" top="0.75" bottom="0.75" header="0.3" footer="0.3"/>
  <ignoredErrors>
    <ignoredError sqref="AX10" evalError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D2C8-296F-BF47-BE6C-2805CC004139}">
  <dimension ref="A2:BH59"/>
  <sheetViews>
    <sheetView zoomScale="108" zoomScaleNormal="90" workbookViewId="0">
      <pane xSplit="2" ySplit="4" topLeftCell="S27" activePane="bottomRight" state="frozen"/>
      <selection pane="topRight" activeCell="C1" sqref="C1"/>
      <selection pane="bottomLeft" activeCell="A5" sqref="A5"/>
      <selection pane="bottomRight" activeCell="AB59" sqref="AB59:AE59"/>
    </sheetView>
  </sheetViews>
  <sheetFormatPr baseColWidth="10" defaultColWidth="10.6640625" defaultRowHeight="16" x14ac:dyDescent="0.2"/>
  <cols>
    <col min="2" max="2" width="16.5" bestFit="1" customWidth="1"/>
    <col min="3" max="3" width="17" customWidth="1"/>
    <col min="4" max="4" width="11" customWidth="1"/>
    <col min="5" max="5" width="23.83203125" bestFit="1" customWidth="1"/>
    <col min="6" max="6" width="16.33203125" bestFit="1" customWidth="1"/>
    <col min="7" max="7" width="16.33203125" customWidth="1"/>
    <col min="8" max="8" width="18.6640625" bestFit="1" customWidth="1"/>
    <col min="9" max="9" width="19.83203125" bestFit="1" customWidth="1"/>
    <col min="19" max="19" width="16.83203125" bestFit="1" customWidth="1"/>
    <col min="37" max="37" width="13.6640625" customWidth="1"/>
    <col min="38" max="38" width="14.6640625" bestFit="1" customWidth="1"/>
    <col min="39" max="39" width="18.83203125" customWidth="1"/>
    <col min="40" max="40" width="15.33203125" bestFit="1" customWidth="1"/>
    <col min="41" max="41" width="12" bestFit="1" customWidth="1"/>
    <col min="42" max="42" width="17.5" customWidth="1"/>
    <col min="44" max="44" width="24.33203125" bestFit="1" customWidth="1"/>
    <col min="47" max="47" width="11.5" customWidth="1"/>
    <col min="48" max="48" width="11.83203125" customWidth="1"/>
    <col min="49" max="49" width="12.1640625" bestFit="1" customWidth="1"/>
    <col min="50" max="50" width="17" bestFit="1" customWidth="1"/>
    <col min="51" max="51" width="14.5" bestFit="1" customWidth="1"/>
    <col min="52" max="52" width="17.33203125" bestFit="1" customWidth="1"/>
    <col min="53" max="53" width="15" bestFit="1" customWidth="1"/>
    <col min="54" max="54" width="23.6640625" bestFit="1" customWidth="1"/>
    <col min="56" max="56" width="16.6640625" bestFit="1" customWidth="1"/>
  </cols>
  <sheetData>
    <row r="2" spans="1:60" x14ac:dyDescent="0.2">
      <c r="B2" s="135" t="s">
        <v>106</v>
      </c>
      <c r="C2" s="135"/>
      <c r="D2" s="135"/>
      <c r="E2" s="135"/>
      <c r="F2" s="135"/>
      <c r="G2" s="135" t="s">
        <v>107</v>
      </c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12"/>
      <c r="T2" s="135" t="s">
        <v>108</v>
      </c>
      <c r="U2" s="135"/>
      <c r="V2" s="135"/>
      <c r="W2" s="135"/>
      <c r="X2" s="135" t="s">
        <v>109</v>
      </c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</row>
    <row r="3" spans="1:60" x14ac:dyDescent="0.2">
      <c r="B3" s="132" t="s">
        <v>110</v>
      </c>
      <c r="C3" s="132"/>
      <c r="D3" s="132"/>
      <c r="E3" s="132"/>
      <c r="F3" s="132"/>
      <c r="G3" s="132"/>
      <c r="H3" s="133" t="s">
        <v>111</v>
      </c>
      <c r="I3" s="134"/>
      <c r="J3" s="132" t="s">
        <v>112</v>
      </c>
      <c r="K3" s="132"/>
      <c r="L3" s="132"/>
      <c r="M3" s="132"/>
      <c r="N3" s="132"/>
      <c r="O3" s="132" t="s">
        <v>113</v>
      </c>
      <c r="P3" s="132"/>
      <c r="Q3" s="132"/>
      <c r="R3" s="132"/>
      <c r="S3" s="111" t="s">
        <v>114</v>
      </c>
      <c r="T3" s="132" t="s">
        <v>115</v>
      </c>
      <c r="U3" s="132"/>
      <c r="V3" s="132"/>
      <c r="W3" s="132"/>
      <c r="X3" s="137" t="s">
        <v>116</v>
      </c>
      <c r="Y3" s="137"/>
      <c r="Z3" s="137"/>
      <c r="AA3" s="137"/>
      <c r="AB3" s="129" t="s">
        <v>117</v>
      </c>
      <c r="AC3" s="130"/>
      <c r="AD3" s="130"/>
      <c r="AE3" s="131"/>
      <c r="AF3" s="136" t="s">
        <v>118</v>
      </c>
      <c r="AG3" s="136"/>
      <c r="AH3" s="136"/>
      <c r="AI3" s="136"/>
      <c r="AK3" s="68" t="s">
        <v>119</v>
      </c>
    </row>
    <row r="4" spans="1:60" s="104" customFormat="1" x14ac:dyDescent="0.2">
      <c r="B4" s="103" t="s">
        <v>120</v>
      </c>
      <c r="C4" s="103" t="s">
        <v>121</v>
      </c>
      <c r="D4" s="103" t="s">
        <v>122</v>
      </c>
      <c r="E4" s="103" t="s">
        <v>123</v>
      </c>
      <c r="F4" s="103" t="s">
        <v>124</v>
      </c>
      <c r="G4" s="103" t="s">
        <v>125</v>
      </c>
      <c r="H4" s="103" t="s">
        <v>126</v>
      </c>
      <c r="I4" s="103" t="s">
        <v>127</v>
      </c>
      <c r="J4" s="103" t="s">
        <v>128</v>
      </c>
      <c r="K4" s="103" t="s">
        <v>129</v>
      </c>
      <c r="L4" s="103" t="s">
        <v>130</v>
      </c>
      <c r="M4" s="103" t="s">
        <v>131</v>
      </c>
      <c r="N4" s="103" t="s">
        <v>132</v>
      </c>
      <c r="O4" s="103" t="s">
        <v>133</v>
      </c>
      <c r="P4" s="103" t="s">
        <v>134</v>
      </c>
      <c r="Q4" s="103" t="s">
        <v>135</v>
      </c>
      <c r="R4" s="103" t="s">
        <v>136</v>
      </c>
      <c r="S4" s="103"/>
      <c r="T4" s="103" t="s">
        <v>137</v>
      </c>
      <c r="U4" s="103" t="s">
        <v>138</v>
      </c>
      <c r="V4" s="103" t="s">
        <v>139</v>
      </c>
      <c r="W4" s="103" t="s">
        <v>140</v>
      </c>
      <c r="X4" s="103" t="s">
        <v>137</v>
      </c>
      <c r="Y4" s="103" t="s">
        <v>138</v>
      </c>
      <c r="Z4" s="103" t="s">
        <v>139</v>
      </c>
      <c r="AA4" s="103" t="s">
        <v>140</v>
      </c>
      <c r="AB4" s="103" t="s">
        <v>137</v>
      </c>
      <c r="AC4" s="103" t="s">
        <v>138</v>
      </c>
      <c r="AD4" s="103" t="s">
        <v>139</v>
      </c>
      <c r="AE4" s="103" t="s">
        <v>140</v>
      </c>
      <c r="AF4" s="105" t="s">
        <v>137</v>
      </c>
      <c r="AG4" s="105" t="s">
        <v>138</v>
      </c>
      <c r="AH4" s="105" t="s">
        <v>139</v>
      </c>
      <c r="AI4" s="105" t="s">
        <v>140</v>
      </c>
      <c r="AK4" s="106" t="s">
        <v>141</v>
      </c>
    </row>
    <row r="5" spans="1:60" ht="16" customHeight="1" x14ac:dyDescent="0.2">
      <c r="B5" s="127" t="s">
        <v>142</v>
      </c>
      <c r="C5" s="127" t="s">
        <v>143</v>
      </c>
      <c r="D5" s="127" t="s">
        <v>144</v>
      </c>
      <c r="E5" s="6" t="s">
        <v>145</v>
      </c>
      <c r="F5" s="6">
        <v>6200</v>
      </c>
      <c r="G5" s="6" t="s">
        <v>146</v>
      </c>
      <c r="H5" s="6" t="s">
        <v>147</v>
      </c>
      <c r="I5" s="6">
        <f>$AM$8</f>
        <v>3.206</v>
      </c>
      <c r="J5" s="6">
        <v>1046</v>
      </c>
      <c r="K5" s="6">
        <v>732</v>
      </c>
      <c r="L5" s="6">
        <v>314</v>
      </c>
      <c r="M5" s="6">
        <v>0</v>
      </c>
      <c r="N5" s="6">
        <v>0</v>
      </c>
      <c r="O5" s="6">
        <v>0.8</v>
      </c>
      <c r="P5" s="6">
        <v>0.3</v>
      </c>
      <c r="Q5" s="6">
        <v>0</v>
      </c>
      <c r="R5" s="6">
        <v>0</v>
      </c>
      <c r="S5" s="6">
        <v>205</v>
      </c>
      <c r="T5" s="6">
        <v>205</v>
      </c>
      <c r="U5" s="6">
        <v>205</v>
      </c>
      <c r="V5" s="6">
        <v>0</v>
      </c>
      <c r="W5" s="6">
        <v>0</v>
      </c>
      <c r="X5" s="6">
        <f>$F$5*K5*O5*$S$5*$I$5/$AO$13</f>
        <v>2386.2181055999999</v>
      </c>
      <c r="Y5" s="6">
        <f>$F$5*L5*P5*$S$5*$I$5/$AO$13</f>
        <v>383.8486092</v>
      </c>
      <c r="Z5" s="6">
        <v>0</v>
      </c>
      <c r="AA5" s="6">
        <v>0</v>
      </c>
      <c r="AB5" s="6">
        <f>X5/K5</f>
        <v>3.2598607999999998</v>
      </c>
      <c r="AC5" s="6">
        <f>Y5/L5</f>
        <v>1.2224478000000001</v>
      </c>
      <c r="AD5" s="6">
        <v>0</v>
      </c>
      <c r="AE5" s="6">
        <v>0</v>
      </c>
      <c r="AF5" s="6">
        <f>T5*$I$5</f>
        <v>657.23</v>
      </c>
      <c r="AG5" s="6">
        <f>U5*$I$5</f>
        <v>657.23</v>
      </c>
      <c r="AH5" s="6">
        <f t="shared" ref="AH5:AI20" si="0">V5*$I$5</f>
        <v>0</v>
      </c>
      <c r="AI5" s="6">
        <f t="shared" si="0"/>
        <v>0</v>
      </c>
      <c r="AJ5">
        <v>6200</v>
      </c>
    </row>
    <row r="6" spans="1:60" x14ac:dyDescent="0.2">
      <c r="B6" s="127"/>
      <c r="C6" s="127"/>
      <c r="D6" s="127"/>
      <c r="E6" s="6" t="s">
        <v>148</v>
      </c>
      <c r="F6" s="6">
        <f>16394-F5-F7</f>
        <v>3194</v>
      </c>
      <c r="G6" s="6" t="s">
        <v>146</v>
      </c>
      <c r="H6" s="6" t="s">
        <v>147</v>
      </c>
      <c r="I6" s="6">
        <f>$AM$8</f>
        <v>3.206</v>
      </c>
      <c r="J6" s="6">
        <v>452</v>
      </c>
      <c r="K6" s="6">
        <v>136</v>
      </c>
      <c r="L6" s="6">
        <v>136</v>
      </c>
      <c r="M6" s="6">
        <v>90</v>
      </c>
      <c r="N6" s="6">
        <v>90</v>
      </c>
      <c r="O6" s="6">
        <v>0.4</v>
      </c>
      <c r="P6" s="6">
        <v>0.6</v>
      </c>
      <c r="Q6" s="6">
        <v>0.2</v>
      </c>
      <c r="R6" s="6">
        <v>0.1</v>
      </c>
      <c r="S6" s="6">
        <v>217</v>
      </c>
      <c r="T6" s="6">
        <v>217</v>
      </c>
      <c r="U6" s="6">
        <v>217</v>
      </c>
      <c r="V6" s="6">
        <v>217</v>
      </c>
      <c r="W6" s="6">
        <v>217</v>
      </c>
      <c r="X6" s="6">
        <f>$F$6*K6*O6*$S$6*$I$6/$AO$13</f>
        <v>120.88072702720001</v>
      </c>
      <c r="Y6" s="6">
        <f>$F$6*L6*P6*$S$6*$I$6/$AO$13</f>
        <v>181.32109054079999</v>
      </c>
      <c r="Z6" s="6">
        <f>$F$6*M6*Q6*$S$6*$I$6/$AO$13</f>
        <v>39.997299383999994</v>
      </c>
      <c r="AA6" s="6">
        <f t="shared" ref="AA6" si="1">$F$6*N6*R6*$S$6*$I$6/$AO$13</f>
        <v>19.998649691999997</v>
      </c>
      <c r="AB6" s="6">
        <f>X6/K6</f>
        <v>0.88882887520000009</v>
      </c>
      <c r="AC6" s="6">
        <f>Y6/L6</f>
        <v>1.3332433127999999</v>
      </c>
      <c r="AD6" s="6">
        <f>Z6/M6</f>
        <v>0.44441443759999993</v>
      </c>
      <c r="AE6" s="6">
        <f>AA6/N6</f>
        <v>0.22220721879999997</v>
      </c>
      <c r="AF6" s="6">
        <f t="shared" ref="AF6:AF43" si="2">T6*$I$5</f>
        <v>695.702</v>
      </c>
      <c r="AG6" s="6">
        <f>U6*$I$5</f>
        <v>695.702</v>
      </c>
      <c r="AH6" s="6">
        <f t="shared" si="0"/>
        <v>695.702</v>
      </c>
      <c r="AI6" s="6">
        <f t="shared" si="0"/>
        <v>695.702</v>
      </c>
      <c r="AJ6">
        <v>3194</v>
      </c>
      <c r="AK6" s="53" t="s">
        <v>149</v>
      </c>
      <c r="AL6" s="54"/>
      <c r="AM6" s="55"/>
      <c r="AO6" s="40" t="s">
        <v>150</v>
      </c>
      <c r="AP6" s="40"/>
      <c r="AR6" s="66" t="s">
        <v>151</v>
      </c>
      <c r="AS6" s="66"/>
    </row>
    <row r="7" spans="1:60" x14ac:dyDescent="0.2">
      <c r="A7" s="37" t="s">
        <v>152</v>
      </c>
      <c r="B7" s="127"/>
      <c r="C7" s="127"/>
      <c r="D7" s="127"/>
      <c r="E7" s="6" t="s">
        <v>153</v>
      </c>
      <c r="F7" s="6">
        <f>3000+4000</f>
        <v>7000</v>
      </c>
      <c r="G7" s="6" t="s">
        <v>146</v>
      </c>
      <c r="H7" s="6" t="s">
        <v>147</v>
      </c>
      <c r="I7" s="6">
        <f>AS8</f>
        <v>3.206</v>
      </c>
      <c r="J7" s="6">
        <v>314</v>
      </c>
      <c r="K7" s="6">
        <v>0</v>
      </c>
      <c r="L7" s="6">
        <v>314</v>
      </c>
      <c r="M7" s="6">
        <v>0</v>
      </c>
      <c r="N7" s="6">
        <v>0</v>
      </c>
      <c r="O7" s="6">
        <v>0</v>
      </c>
      <c r="P7" s="6">
        <v>0.3</v>
      </c>
      <c r="Q7" s="6">
        <v>0</v>
      </c>
      <c r="R7" s="6">
        <v>0</v>
      </c>
      <c r="S7" s="6">
        <v>205</v>
      </c>
      <c r="T7" s="6">
        <v>205</v>
      </c>
      <c r="U7" s="6">
        <v>205</v>
      </c>
      <c r="V7" s="6">
        <v>205</v>
      </c>
      <c r="W7" s="6">
        <v>205</v>
      </c>
      <c r="X7" s="6">
        <v>0</v>
      </c>
      <c r="Y7" s="6">
        <f>$F$7*L7*P7*$S$7*$I$7/$AO$13</f>
        <v>433.37746199999998</v>
      </c>
      <c r="Z7" s="6">
        <v>0</v>
      </c>
      <c r="AA7" s="6">
        <v>0</v>
      </c>
      <c r="AB7" s="6">
        <v>0</v>
      </c>
      <c r="AC7" s="6">
        <f>Y7/L7</f>
        <v>1.3801829999999999</v>
      </c>
      <c r="AD7" s="6">
        <v>0</v>
      </c>
      <c r="AE7" s="6">
        <v>0</v>
      </c>
      <c r="AF7" s="6">
        <f t="shared" si="2"/>
        <v>657.23</v>
      </c>
      <c r="AG7" s="6">
        <f t="shared" ref="AG7:AI43" si="3">U7*$I$5</f>
        <v>657.23</v>
      </c>
      <c r="AH7" s="6">
        <f t="shared" si="0"/>
        <v>657.23</v>
      </c>
      <c r="AI7" s="6">
        <f t="shared" si="0"/>
        <v>657.23</v>
      </c>
      <c r="AJ7">
        <v>7000</v>
      </c>
      <c r="AK7" s="16" t="s">
        <v>126</v>
      </c>
      <c r="AL7" s="16" t="s">
        <v>154</v>
      </c>
      <c r="AM7" s="17" t="s">
        <v>155</v>
      </c>
      <c r="AN7" t="s">
        <v>156</v>
      </c>
      <c r="AO7" s="33">
        <f>12.011+(2*15.999)</f>
        <v>44.009</v>
      </c>
      <c r="AP7" s="30" t="s">
        <v>157</v>
      </c>
      <c r="AR7" s="48" t="s">
        <v>158</v>
      </c>
      <c r="AS7" s="42">
        <v>3.1139999999999999</v>
      </c>
      <c r="AV7" t="s">
        <v>159</v>
      </c>
    </row>
    <row r="8" spans="1:60" s="1" customFormat="1" x14ac:dyDescent="0.2">
      <c r="A8" s="81"/>
      <c r="B8" s="127"/>
      <c r="C8" s="127"/>
      <c r="D8" s="127"/>
      <c r="E8" s="126" t="s">
        <v>160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7">
        <f>SUM(X5:X7)</f>
        <v>2507.0988326272</v>
      </c>
      <c r="Y8" s="7">
        <f t="shared" ref="Y8:AE8" si="4">SUM(Y5:Y7)</f>
        <v>998.54716174079999</v>
      </c>
      <c r="Z8" s="7">
        <f t="shared" si="4"/>
        <v>39.997299383999994</v>
      </c>
      <c r="AA8" s="7">
        <f t="shared" si="4"/>
        <v>19.998649691999997</v>
      </c>
      <c r="AB8" s="7">
        <f t="shared" si="4"/>
        <v>4.1486896752</v>
      </c>
      <c r="AC8" s="7">
        <f t="shared" si="4"/>
        <v>3.9358741127999997</v>
      </c>
      <c r="AD8" s="7">
        <f t="shared" si="4"/>
        <v>0.44441443759999993</v>
      </c>
      <c r="AE8" s="7">
        <f t="shared" si="4"/>
        <v>0.22220721879999997</v>
      </c>
      <c r="AF8" s="8">
        <f t="shared" si="2"/>
        <v>0</v>
      </c>
      <c r="AG8" s="8">
        <f t="shared" si="3"/>
        <v>0</v>
      </c>
      <c r="AH8" s="8">
        <f t="shared" si="0"/>
        <v>0</v>
      </c>
      <c r="AI8" s="8">
        <f t="shared" si="0"/>
        <v>0</v>
      </c>
      <c r="AJ8" s="86"/>
      <c r="AK8" s="14" t="s">
        <v>161</v>
      </c>
      <c r="AL8" s="14">
        <v>0.875</v>
      </c>
      <c r="AM8" s="11">
        <v>3.206</v>
      </c>
      <c r="AN8"/>
      <c r="AO8" s="34">
        <v>12.010999999999999</v>
      </c>
      <c r="AP8" s="31" t="s">
        <v>162</v>
      </c>
      <c r="AQ8"/>
      <c r="AR8" s="49" t="s">
        <v>163</v>
      </c>
      <c r="AS8" s="43">
        <v>3.206</v>
      </c>
      <c r="AT8"/>
      <c r="AU8"/>
      <c r="AV8" t="s">
        <v>164</v>
      </c>
      <c r="AW8">
        <f>(10*AO8)/((10*AO8)+(20*AO12))</f>
        <v>0.85627717972481643</v>
      </c>
      <c r="AX8" t="s">
        <v>165</v>
      </c>
      <c r="AY8"/>
      <c r="AZ8"/>
      <c r="BA8"/>
      <c r="BB8"/>
      <c r="BC8"/>
      <c r="BD8"/>
      <c r="BE8"/>
      <c r="BF8"/>
      <c r="BG8"/>
      <c r="BH8"/>
    </row>
    <row r="9" spans="1:60" x14ac:dyDescent="0.2">
      <c r="B9" s="39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83"/>
      <c r="AG9" s="83"/>
      <c r="AH9" s="83"/>
      <c r="AI9" s="84"/>
      <c r="AK9" s="14" t="s">
        <v>166</v>
      </c>
      <c r="AL9" s="14">
        <v>0.86</v>
      </c>
      <c r="AM9" s="11">
        <v>3.1510400000000001</v>
      </c>
      <c r="AO9" s="36">
        <f>AO7/AO8</f>
        <v>3.6640579468820249</v>
      </c>
      <c r="AP9" s="31" t="s">
        <v>167</v>
      </c>
      <c r="AR9" s="50" t="s">
        <v>168</v>
      </c>
      <c r="AS9" s="44">
        <v>2.75</v>
      </c>
      <c r="AV9" t="s">
        <v>169</v>
      </c>
      <c r="AW9">
        <f>(12*AO8)/((12*AO8)+(23*AO12))</f>
        <v>0.86143584594420142</v>
      </c>
      <c r="AX9" t="s">
        <v>170</v>
      </c>
    </row>
    <row r="10" spans="1:60" ht="16" customHeight="1" x14ac:dyDescent="0.2">
      <c r="B10" s="127" t="s">
        <v>171</v>
      </c>
      <c r="C10" s="127" t="s">
        <v>172</v>
      </c>
      <c r="D10" s="128" t="s">
        <v>103</v>
      </c>
      <c r="E10" s="6" t="s">
        <v>145</v>
      </c>
      <c r="F10" s="6">
        <f>(2*4500) + (4*2100)</f>
        <v>17400</v>
      </c>
      <c r="G10" s="69" t="s">
        <v>173</v>
      </c>
      <c r="H10" s="69" t="s">
        <v>147</v>
      </c>
      <c r="I10" s="6">
        <f>AS8</f>
        <v>3.206</v>
      </c>
      <c r="J10" s="6">
        <v>1273</v>
      </c>
      <c r="K10" s="6">
        <v>891</v>
      </c>
      <c r="L10" s="6">
        <v>382</v>
      </c>
      <c r="M10" s="6">
        <v>0</v>
      </c>
      <c r="N10" s="6">
        <v>0</v>
      </c>
      <c r="O10" s="6">
        <v>0.8</v>
      </c>
      <c r="P10" s="6">
        <v>0.3</v>
      </c>
      <c r="Q10" s="6">
        <v>0</v>
      </c>
      <c r="R10" s="6">
        <v>0</v>
      </c>
      <c r="S10" s="6">
        <v>205</v>
      </c>
      <c r="T10" s="6">
        <v>205</v>
      </c>
      <c r="U10" s="6">
        <v>205</v>
      </c>
      <c r="V10" s="6">
        <v>0</v>
      </c>
      <c r="W10" s="6">
        <v>0</v>
      </c>
      <c r="X10" s="6">
        <f>$F$10*K10*O10*$S$10*$I$10/$AO$13</f>
        <v>8151.439665599999</v>
      </c>
      <c r="Y10" s="6">
        <f>$F$10*L10*P10*$S$10*$I$10/$AO$13</f>
        <v>1310.5429091999999</v>
      </c>
      <c r="Z10" s="6">
        <f>$F$10*M10*Q10*$S$10*$I$10/$AO$13</f>
        <v>0</v>
      </c>
      <c r="AA10" s="6">
        <f>$F$10*N10*R10*$S$10*$I$10/$AO$13</f>
        <v>0</v>
      </c>
      <c r="AB10" s="6">
        <f>X10/K10</f>
        <v>9.1486415999999995</v>
      </c>
      <c r="AC10" s="6">
        <f>Y10/L10</f>
        <v>3.4307406</v>
      </c>
      <c r="AD10" s="6">
        <v>0</v>
      </c>
      <c r="AE10" s="6">
        <v>0</v>
      </c>
      <c r="AF10" s="82">
        <f t="shared" si="2"/>
        <v>657.23</v>
      </c>
      <c r="AG10" s="82">
        <f t="shared" si="3"/>
        <v>657.23</v>
      </c>
      <c r="AH10" s="82">
        <f t="shared" si="0"/>
        <v>0</v>
      </c>
      <c r="AI10" s="82">
        <f t="shared" si="0"/>
        <v>0</v>
      </c>
      <c r="AJ10">
        <v>17400</v>
      </c>
      <c r="AK10" s="14" t="s">
        <v>174</v>
      </c>
      <c r="AL10" s="14">
        <v>0.85</v>
      </c>
      <c r="AM10" s="11">
        <v>3.1143999999999998</v>
      </c>
      <c r="AO10" s="34">
        <v>1000</v>
      </c>
      <c r="AP10" s="31" t="s">
        <v>175</v>
      </c>
      <c r="AR10" t="s">
        <v>176</v>
      </c>
      <c r="AV10" t="s">
        <v>177</v>
      </c>
      <c r="AW10">
        <f>(15*AO8)/((15*AO8)+(28*AO12))</f>
        <v>0.8645609893036581</v>
      </c>
      <c r="AX10" t="s">
        <v>178</v>
      </c>
    </row>
    <row r="11" spans="1:60" x14ac:dyDescent="0.2">
      <c r="A11" s="67" t="s">
        <v>179</v>
      </c>
      <c r="B11" s="127"/>
      <c r="C11" s="127"/>
      <c r="D11" s="128"/>
      <c r="E11" s="6" t="s">
        <v>148</v>
      </c>
      <c r="F11" s="6">
        <f>4*2100</f>
        <v>8400</v>
      </c>
      <c r="G11" s="69" t="s">
        <v>146</v>
      </c>
      <c r="H11" s="69" t="s">
        <v>147</v>
      </c>
      <c r="I11" s="6">
        <f>AS8</f>
        <v>3.206</v>
      </c>
      <c r="J11" s="6">
        <v>1271</v>
      </c>
      <c r="K11" s="6">
        <v>381</v>
      </c>
      <c r="L11" s="6">
        <v>381</v>
      </c>
      <c r="M11" s="6">
        <v>254</v>
      </c>
      <c r="N11" s="6">
        <v>254</v>
      </c>
      <c r="O11" s="6">
        <v>0.4</v>
      </c>
      <c r="P11" s="6">
        <v>0.6</v>
      </c>
      <c r="Q11" s="6">
        <v>0.2</v>
      </c>
      <c r="R11" s="6">
        <v>0.1</v>
      </c>
      <c r="S11" s="6">
        <v>217</v>
      </c>
      <c r="T11" s="6">
        <v>217</v>
      </c>
      <c r="U11" s="6">
        <v>217</v>
      </c>
      <c r="V11" s="6">
        <v>217</v>
      </c>
      <c r="W11" s="6">
        <v>217</v>
      </c>
      <c r="X11" s="6">
        <f>$F$11*K11*O11*$S$11*$I$11/$AO$13</f>
        <v>890.60987231999991</v>
      </c>
      <c r="Y11" s="6">
        <f t="shared" ref="Y11:AA11" si="5">$F$11*L11*P11*$S$11*$I$11/$AO$13</f>
        <v>1335.9148084799999</v>
      </c>
      <c r="Z11" s="6">
        <f t="shared" si="5"/>
        <v>296.86995744000001</v>
      </c>
      <c r="AA11" s="6">
        <f t="shared" si="5"/>
        <v>148.43497872</v>
      </c>
      <c r="AB11" s="6">
        <f>X11/K11</f>
        <v>2.3375587199999996</v>
      </c>
      <c r="AC11" s="6">
        <f>Y11/L11</f>
        <v>3.5063380799999999</v>
      </c>
      <c r="AD11" s="6">
        <f>Z11/M11</f>
        <v>1.16877936</v>
      </c>
      <c r="AE11" s="6">
        <f>AA11/N11</f>
        <v>0.58438968000000002</v>
      </c>
      <c r="AF11" s="6">
        <f t="shared" si="2"/>
        <v>695.702</v>
      </c>
      <c r="AG11" s="6">
        <f t="shared" si="3"/>
        <v>695.702</v>
      </c>
      <c r="AH11" s="6">
        <f t="shared" si="0"/>
        <v>695.702</v>
      </c>
      <c r="AI11" s="6">
        <f t="shared" si="0"/>
        <v>695.702</v>
      </c>
      <c r="AJ11">
        <v>8400</v>
      </c>
      <c r="AK11" s="14" t="s">
        <v>180</v>
      </c>
      <c r="AL11" s="14">
        <v>0.81899999999999995</v>
      </c>
      <c r="AM11" s="11">
        <v>3</v>
      </c>
      <c r="AO11" s="34">
        <v>1000</v>
      </c>
      <c r="AP11" s="31" t="s">
        <v>181</v>
      </c>
      <c r="AV11" t="s">
        <v>182</v>
      </c>
    </row>
    <row r="12" spans="1:60" x14ac:dyDescent="0.2">
      <c r="A12" s="37" t="s">
        <v>183</v>
      </c>
      <c r="B12" s="127"/>
      <c r="C12" s="127"/>
      <c r="D12" s="128"/>
      <c r="E12" s="6" t="s">
        <v>184</v>
      </c>
      <c r="F12" s="6">
        <v>0</v>
      </c>
      <c r="G12" s="6" t="s">
        <v>185</v>
      </c>
      <c r="H12" s="6" t="s">
        <v>185</v>
      </c>
      <c r="I12" s="6" t="s">
        <v>185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/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f t="shared" si="2"/>
        <v>0</v>
      </c>
      <c r="AG12" s="6">
        <f t="shared" si="3"/>
        <v>0</v>
      </c>
      <c r="AH12" s="6">
        <f t="shared" si="0"/>
        <v>0</v>
      </c>
      <c r="AI12" s="6">
        <f t="shared" si="0"/>
        <v>0</v>
      </c>
      <c r="AK12" s="14" t="s">
        <v>186</v>
      </c>
      <c r="AL12" s="14">
        <v>0.82699999999999996</v>
      </c>
      <c r="AM12" s="12">
        <v>3.03</v>
      </c>
      <c r="AO12" s="34">
        <v>1.008</v>
      </c>
      <c r="AP12" s="31" t="s">
        <v>187</v>
      </c>
    </row>
    <row r="13" spans="1:60" s="1" customFormat="1" x14ac:dyDescent="0.2">
      <c r="A13" s="81"/>
      <c r="B13" s="127"/>
      <c r="C13" s="127"/>
      <c r="D13" s="128"/>
      <c r="E13" s="126" t="s">
        <v>160</v>
      </c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7">
        <f>SUM(X10:X12)</f>
        <v>9042.0495379199983</v>
      </c>
      <c r="Y13" s="7">
        <f t="shared" ref="Y13:AE13" si="6">SUM(Y10:Y12)</f>
        <v>2646.4577176799999</v>
      </c>
      <c r="Z13" s="7">
        <f t="shared" si="6"/>
        <v>296.86995744000001</v>
      </c>
      <c r="AA13" s="7">
        <f t="shared" si="6"/>
        <v>148.43497872</v>
      </c>
      <c r="AB13" s="7">
        <f t="shared" si="6"/>
        <v>11.486200319999998</v>
      </c>
      <c r="AC13" s="7">
        <f t="shared" si="6"/>
        <v>6.9370786799999999</v>
      </c>
      <c r="AD13" s="7">
        <f t="shared" si="6"/>
        <v>1.16877936</v>
      </c>
      <c r="AE13" s="7">
        <f t="shared" si="6"/>
        <v>0.58438968000000002</v>
      </c>
      <c r="AF13" s="8">
        <f t="shared" si="2"/>
        <v>0</v>
      </c>
      <c r="AG13" s="8">
        <f t="shared" si="3"/>
        <v>0</v>
      </c>
      <c r="AH13" s="8">
        <f t="shared" si="0"/>
        <v>0</v>
      </c>
      <c r="AI13" s="8">
        <f t="shared" si="0"/>
        <v>0</v>
      </c>
      <c r="AJ13"/>
      <c r="AK13" s="15" t="s">
        <v>188</v>
      </c>
      <c r="AL13" s="15">
        <v>0.75</v>
      </c>
      <c r="AM13" s="13">
        <v>2.75</v>
      </c>
      <c r="AN13"/>
      <c r="AO13" s="35">
        <v>1000000</v>
      </c>
      <c r="AP13" s="32" t="s">
        <v>189</v>
      </c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x14ac:dyDescent="0.2">
      <c r="B14" s="39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83"/>
      <c r="AG14" s="83"/>
      <c r="AH14" s="83"/>
      <c r="AI14" s="84"/>
      <c r="AK14" t="s">
        <v>190</v>
      </c>
    </row>
    <row r="15" spans="1:60" ht="16" customHeight="1" x14ac:dyDescent="0.2">
      <c r="B15" s="127" t="s">
        <v>191</v>
      </c>
      <c r="C15" s="127" t="s">
        <v>192</v>
      </c>
      <c r="D15" s="127" t="s">
        <v>144</v>
      </c>
      <c r="E15" s="6" t="s">
        <v>145</v>
      </c>
      <c r="F15" s="6">
        <v>2088</v>
      </c>
      <c r="G15" s="69" t="s">
        <v>173</v>
      </c>
      <c r="H15" s="69" t="s">
        <v>147</v>
      </c>
      <c r="I15" s="6">
        <v>3.206</v>
      </c>
      <c r="J15" s="6">
        <v>1046</v>
      </c>
      <c r="K15" s="6">
        <v>732</v>
      </c>
      <c r="L15" s="6">
        <v>314</v>
      </c>
      <c r="M15" s="6">
        <v>0</v>
      </c>
      <c r="N15" s="6">
        <v>0</v>
      </c>
      <c r="O15" s="6">
        <v>0.8</v>
      </c>
      <c r="P15" s="6">
        <v>0.3</v>
      </c>
      <c r="Q15" s="6">
        <v>0</v>
      </c>
      <c r="R15" s="6">
        <v>0</v>
      </c>
      <c r="S15" s="6">
        <v>205</v>
      </c>
      <c r="T15" s="6">
        <v>205</v>
      </c>
      <c r="U15" s="6">
        <v>205</v>
      </c>
      <c r="V15" s="6">
        <v>0</v>
      </c>
      <c r="W15" s="6">
        <v>0</v>
      </c>
      <c r="X15" s="6">
        <f>$F$15*K15*O15*$S$15*$I$15/$AO$13</f>
        <v>803.61667814399993</v>
      </c>
      <c r="Y15" s="6">
        <f t="shared" ref="Y15:AA15" si="7">$F$15*L15*P15*$S$15*$I$15/$AO$13</f>
        <v>129.27030580799999</v>
      </c>
      <c r="Z15" s="6">
        <f t="shared" si="7"/>
        <v>0</v>
      </c>
      <c r="AA15" s="6">
        <f t="shared" si="7"/>
        <v>0</v>
      </c>
      <c r="AB15" s="6">
        <f>X15/K15</f>
        <v>1.097836992</v>
      </c>
      <c r="AC15" s="6">
        <f>Y15/L15</f>
        <v>0.41168887199999998</v>
      </c>
      <c r="AD15" s="6">
        <v>0</v>
      </c>
      <c r="AE15" s="6">
        <v>0</v>
      </c>
      <c r="AF15" s="82">
        <f t="shared" si="2"/>
        <v>657.23</v>
      </c>
      <c r="AG15" s="82">
        <f t="shared" si="3"/>
        <v>657.23</v>
      </c>
      <c r="AH15" s="82">
        <f t="shared" si="0"/>
        <v>0</v>
      </c>
      <c r="AI15" s="82">
        <f t="shared" si="0"/>
        <v>0</v>
      </c>
      <c r="AJ15">
        <v>2088</v>
      </c>
    </row>
    <row r="16" spans="1:60" x14ac:dyDescent="0.2">
      <c r="B16" s="127"/>
      <c r="C16" s="127"/>
      <c r="D16" s="127"/>
      <c r="E16" s="6" t="s">
        <v>148</v>
      </c>
      <c r="F16" s="6">
        <v>50</v>
      </c>
      <c r="G16" s="69" t="s">
        <v>146</v>
      </c>
      <c r="H16" s="69" t="s">
        <v>147</v>
      </c>
      <c r="I16" s="6">
        <v>3.206</v>
      </c>
      <c r="J16" s="6">
        <v>452</v>
      </c>
      <c r="K16" s="6">
        <v>136</v>
      </c>
      <c r="L16" s="6">
        <v>136</v>
      </c>
      <c r="M16" s="6">
        <v>90</v>
      </c>
      <c r="N16" s="6">
        <v>90</v>
      </c>
      <c r="O16" s="6">
        <v>0.4</v>
      </c>
      <c r="P16" s="6">
        <v>0.6</v>
      </c>
      <c r="Q16" s="6">
        <v>0.2</v>
      </c>
      <c r="R16" s="6">
        <v>0.1</v>
      </c>
      <c r="S16" s="6">
        <v>217</v>
      </c>
      <c r="T16" s="6">
        <v>217</v>
      </c>
      <c r="U16" s="6">
        <v>217</v>
      </c>
      <c r="V16" s="6">
        <v>217</v>
      </c>
      <c r="W16" s="6">
        <v>217</v>
      </c>
      <c r="X16" s="6">
        <f>$F$16*K16*O16*$S$16*$I$16/$AO$13</f>
        <v>1.89230944</v>
      </c>
      <c r="Y16" s="6">
        <f t="shared" ref="Y16:AA16" si="8">$F$16*L16*P16*$S$16*$I$16/$AO$13</f>
        <v>2.83846416</v>
      </c>
      <c r="Z16" s="6">
        <f t="shared" si="8"/>
        <v>0.62613180000000002</v>
      </c>
      <c r="AA16" s="6">
        <f t="shared" si="8"/>
        <v>0.31306590000000001</v>
      </c>
      <c r="AB16" s="6">
        <f>X16/K16</f>
        <v>1.3914040000000001E-2</v>
      </c>
      <c r="AC16" s="6">
        <f>Y16/L16</f>
        <v>2.087106E-2</v>
      </c>
      <c r="AD16" s="6">
        <f>Z16/M16</f>
        <v>6.9570200000000004E-3</v>
      </c>
      <c r="AE16" s="6">
        <f>AA16/N16</f>
        <v>3.4785100000000002E-3</v>
      </c>
      <c r="AF16" s="6">
        <f t="shared" si="2"/>
        <v>695.702</v>
      </c>
      <c r="AG16" s="6">
        <f t="shared" si="3"/>
        <v>695.702</v>
      </c>
      <c r="AH16" s="6">
        <f t="shared" si="0"/>
        <v>695.702</v>
      </c>
      <c r="AI16" s="6">
        <f t="shared" si="0"/>
        <v>695.702</v>
      </c>
      <c r="AJ16">
        <v>50</v>
      </c>
      <c r="AK16" s="57" t="s">
        <v>193</v>
      </c>
      <c r="AL16" s="57"/>
      <c r="AM16" s="57"/>
      <c r="AN16" s="57"/>
      <c r="AP16" s="59" t="s">
        <v>194</v>
      </c>
      <c r="AQ16" s="59"/>
      <c r="AR16" s="59"/>
      <c r="AS16" s="59"/>
      <c r="AT16" s="59"/>
      <c r="AV16" s="65" t="s">
        <v>195</v>
      </c>
      <c r="AW16" s="65"/>
      <c r="AX16" s="65"/>
      <c r="AY16" s="65"/>
      <c r="AZ16" s="65"/>
      <c r="BA16" s="65"/>
      <c r="BB16" s="65"/>
      <c r="BC16" s="65"/>
      <c r="BD16" s="65"/>
    </row>
    <row r="17" spans="1:60" x14ac:dyDescent="0.2">
      <c r="A17" s="37" t="s">
        <v>196</v>
      </c>
      <c r="B17" s="127"/>
      <c r="C17" s="127"/>
      <c r="D17" s="127"/>
      <c r="E17" s="6" t="s">
        <v>184</v>
      </c>
      <c r="F17" s="6">
        <v>0</v>
      </c>
      <c r="G17" s="6" t="s">
        <v>185</v>
      </c>
      <c r="H17" s="6" t="s">
        <v>185</v>
      </c>
      <c r="I17" s="6" t="s">
        <v>185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/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f t="shared" si="2"/>
        <v>0</v>
      </c>
      <c r="AG17" s="6">
        <f t="shared" si="3"/>
        <v>0</v>
      </c>
      <c r="AH17" s="6">
        <f t="shared" si="0"/>
        <v>0</v>
      </c>
      <c r="AI17" s="6">
        <f t="shared" si="0"/>
        <v>0</v>
      </c>
      <c r="AK17" s="24" t="s">
        <v>197</v>
      </c>
      <c r="AL17" s="24" t="s">
        <v>198</v>
      </c>
      <c r="AM17" s="25" t="s">
        <v>199</v>
      </c>
      <c r="AN17" s="24" t="s">
        <v>200</v>
      </c>
      <c r="AP17" s="63" t="s">
        <v>201</v>
      </c>
      <c r="AQ17" s="64"/>
      <c r="AR17" s="41" t="s">
        <v>202</v>
      </c>
      <c r="AS17" s="41" t="s">
        <v>147</v>
      </c>
      <c r="AT17" s="41" t="s">
        <v>188</v>
      </c>
      <c r="AV17" s="6" t="s">
        <v>123</v>
      </c>
      <c r="AW17" s="6" t="s">
        <v>203</v>
      </c>
      <c r="AX17" s="6" t="s">
        <v>201</v>
      </c>
      <c r="AY17" s="6" t="s">
        <v>204</v>
      </c>
      <c r="AZ17" s="6" t="s">
        <v>205</v>
      </c>
      <c r="BA17" s="6" t="s">
        <v>206</v>
      </c>
      <c r="BB17" s="6" t="s">
        <v>207</v>
      </c>
      <c r="BC17" s="6" t="s">
        <v>208</v>
      </c>
      <c r="BD17" s="6" t="s">
        <v>209</v>
      </c>
    </row>
    <row r="18" spans="1:60" s="1" customFormat="1" x14ac:dyDescent="0.2">
      <c r="A18" s="81"/>
      <c r="B18" s="127"/>
      <c r="C18" s="127"/>
      <c r="D18" s="127"/>
      <c r="E18" s="126" t="s">
        <v>160</v>
      </c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7">
        <f>SUM(X15:X17)</f>
        <v>805.5089875839999</v>
      </c>
      <c r="Y18" s="7">
        <f t="shared" ref="Y18:AD18" si="9">SUM(Y15:Y17)</f>
        <v>132.10876996799999</v>
      </c>
      <c r="Z18" s="7">
        <f t="shared" si="9"/>
        <v>0.62613180000000002</v>
      </c>
      <c r="AA18" s="7">
        <f t="shared" si="9"/>
        <v>0.31306590000000001</v>
      </c>
      <c r="AB18" s="7">
        <f t="shared" si="9"/>
        <v>1.1117510319999999</v>
      </c>
      <c r="AC18" s="7">
        <f t="shared" si="9"/>
        <v>0.43255993199999998</v>
      </c>
      <c r="AD18" s="7">
        <f t="shared" si="9"/>
        <v>6.9570200000000004E-3</v>
      </c>
      <c r="AE18" s="7">
        <f>SUM(AE15:AE17)</f>
        <v>3.4785100000000002E-3</v>
      </c>
      <c r="AF18" s="8">
        <f t="shared" si="2"/>
        <v>0</v>
      </c>
      <c r="AG18" s="8">
        <f t="shared" si="3"/>
        <v>0</v>
      </c>
      <c r="AH18" s="8">
        <f t="shared" si="0"/>
        <v>0</v>
      </c>
      <c r="AI18" s="8">
        <f t="shared" si="0"/>
        <v>0</v>
      </c>
      <c r="AJ18"/>
      <c r="AK18" s="26"/>
      <c r="AL18" s="23"/>
      <c r="AM18" s="70"/>
      <c r="AN18" s="27"/>
      <c r="AO18"/>
      <c r="AP18" s="71"/>
      <c r="AQ18" s="64"/>
      <c r="AR18" s="41"/>
      <c r="AS18" s="41"/>
      <c r="AT18" s="45"/>
      <c r="AU18"/>
      <c r="AV18" s="6"/>
      <c r="AW18" s="6"/>
      <c r="AX18" s="6"/>
      <c r="AY18" s="6"/>
      <c r="AZ18" s="6"/>
      <c r="BA18" s="6"/>
      <c r="BB18" s="6"/>
      <c r="BC18" s="6"/>
      <c r="BD18" s="6"/>
      <c r="BE18"/>
      <c r="BF18"/>
      <c r="BG18"/>
      <c r="BH18"/>
    </row>
    <row r="19" spans="1:60" x14ac:dyDescent="0.2">
      <c r="B19" s="39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83"/>
      <c r="AG19" s="83"/>
      <c r="AH19" s="83"/>
      <c r="AI19" s="84"/>
      <c r="AK19" s="26">
        <v>0.1</v>
      </c>
      <c r="AL19" s="72">
        <v>183</v>
      </c>
      <c r="AM19" s="26">
        <v>298</v>
      </c>
      <c r="AN19" s="27">
        <v>233</v>
      </c>
      <c r="AP19" s="60" t="s">
        <v>210</v>
      </c>
      <c r="AQ19" s="41" t="s">
        <v>211</v>
      </c>
      <c r="AR19" s="41">
        <v>195</v>
      </c>
      <c r="AS19" s="41">
        <v>185</v>
      </c>
      <c r="AT19" s="45"/>
      <c r="AU19">
        <f>AS19*3.206</f>
        <v>593.11</v>
      </c>
      <c r="AV19" s="56" t="s">
        <v>212</v>
      </c>
      <c r="AW19" s="56" t="s">
        <v>213</v>
      </c>
      <c r="AX19" s="6" t="s">
        <v>146</v>
      </c>
      <c r="AY19" s="6">
        <v>0.69299999999999995</v>
      </c>
      <c r="AZ19" s="6">
        <v>8.5299999999999994</v>
      </c>
      <c r="BA19" s="6">
        <v>0.44</v>
      </c>
      <c r="BB19" s="6">
        <v>1.1299999999999999</v>
      </c>
      <c r="BC19" s="6">
        <v>1.14E-2</v>
      </c>
      <c r="BD19" s="6">
        <v>214</v>
      </c>
      <c r="BE19">
        <f>BD19*3.206</f>
        <v>686.08399999999995</v>
      </c>
    </row>
    <row r="20" spans="1:60" ht="16" customHeight="1" x14ac:dyDescent="0.2">
      <c r="B20" s="127" t="s">
        <v>214</v>
      </c>
      <c r="C20" s="127" t="s">
        <v>215</v>
      </c>
      <c r="D20" s="127" t="s">
        <v>216</v>
      </c>
      <c r="E20" s="6" t="s">
        <v>145</v>
      </c>
      <c r="F20" s="6">
        <f>(3*2500)</f>
        <v>7500</v>
      </c>
      <c r="G20" s="69" t="s">
        <v>211</v>
      </c>
      <c r="H20" s="6" t="s">
        <v>147</v>
      </c>
      <c r="I20" s="6">
        <f>$AS$8</f>
        <v>3.206</v>
      </c>
      <c r="J20" s="6">
        <v>6500</v>
      </c>
      <c r="K20" s="6">
        <v>4550</v>
      </c>
      <c r="L20" s="6">
        <v>1950</v>
      </c>
      <c r="M20" s="6">
        <v>0</v>
      </c>
      <c r="N20" s="6">
        <v>0</v>
      </c>
      <c r="O20" s="6">
        <v>0.6</v>
      </c>
      <c r="P20" s="6">
        <v>0.2</v>
      </c>
      <c r="Q20" s="6">
        <v>0</v>
      </c>
      <c r="R20" s="6">
        <v>0</v>
      </c>
      <c r="S20" s="6">
        <v>185</v>
      </c>
      <c r="T20" s="6">
        <v>185</v>
      </c>
      <c r="U20" s="6">
        <v>185</v>
      </c>
      <c r="V20" s="6">
        <v>0</v>
      </c>
      <c r="W20" s="6">
        <v>0</v>
      </c>
      <c r="X20" s="6">
        <f>$F$20*K20*O20*$S$20*$I$20/$AO$13</f>
        <v>12143.927250000001</v>
      </c>
      <c r="Y20" s="6">
        <f t="shared" ref="Y20:AA20" si="10">$F$20*L20*P20*$S$20*$I$20/$AO$13</f>
        <v>1734.8467499999999</v>
      </c>
      <c r="Z20" s="6">
        <f t="shared" si="10"/>
        <v>0</v>
      </c>
      <c r="AA20" s="6">
        <f t="shared" si="10"/>
        <v>0</v>
      </c>
      <c r="AB20" s="6">
        <f>X20/K20</f>
        <v>2.6689950000000002</v>
      </c>
      <c r="AC20" s="6">
        <f>Y20/L20</f>
        <v>0.88966499999999993</v>
      </c>
      <c r="AD20" s="6">
        <v>0</v>
      </c>
      <c r="AE20" s="6">
        <v>0</v>
      </c>
      <c r="AF20" s="82">
        <f t="shared" si="2"/>
        <v>593.11</v>
      </c>
      <c r="AG20" s="82">
        <f t="shared" si="3"/>
        <v>593.11</v>
      </c>
      <c r="AH20" s="82">
        <f t="shared" si="0"/>
        <v>0</v>
      </c>
      <c r="AI20" s="82">
        <f t="shared" si="0"/>
        <v>0</v>
      </c>
      <c r="AJ20">
        <v>7500</v>
      </c>
      <c r="AK20" s="23">
        <f>AK19+0.1</f>
        <v>0.2</v>
      </c>
      <c r="AL20" s="72">
        <v>178</v>
      </c>
      <c r="AM20" s="23">
        <v>202</v>
      </c>
      <c r="AN20" s="27">
        <v>227</v>
      </c>
      <c r="AP20" s="61"/>
      <c r="AQ20" s="51" t="s">
        <v>173</v>
      </c>
      <c r="AR20" s="51">
        <v>215</v>
      </c>
      <c r="AS20" s="51">
        <v>205</v>
      </c>
      <c r="AT20" s="46"/>
      <c r="AU20">
        <f t="shared" ref="AU20:AU26" si="11">AS20*3.206</f>
        <v>657.23</v>
      </c>
      <c r="AV20" s="56"/>
      <c r="AW20" s="56"/>
      <c r="AX20" s="6" t="s">
        <v>173</v>
      </c>
      <c r="AY20" s="6">
        <v>0.61399999999999999</v>
      </c>
      <c r="AZ20" s="6">
        <v>10.8</v>
      </c>
      <c r="BA20" s="6">
        <v>0.26900000000000002</v>
      </c>
      <c r="BB20" s="6">
        <v>0.18</v>
      </c>
      <c r="BC20" s="6">
        <v>5.8399999999999997E-3</v>
      </c>
      <c r="BD20" s="6">
        <v>177</v>
      </c>
      <c r="BE20">
        <f t="shared" ref="BE20:BE28" si="12">BD20*3.206</f>
        <v>567.46199999999999</v>
      </c>
    </row>
    <row r="21" spans="1:60" x14ac:dyDescent="0.2">
      <c r="B21" s="127"/>
      <c r="C21" s="127"/>
      <c r="D21" s="127"/>
      <c r="E21" s="6" t="s">
        <v>153</v>
      </c>
      <c r="F21" s="6">
        <f>2*1200</f>
        <v>2400</v>
      </c>
      <c r="G21" s="69" t="s">
        <v>211</v>
      </c>
      <c r="H21" s="6" t="s">
        <v>147</v>
      </c>
      <c r="I21" s="6">
        <f>$AS$8</f>
        <v>3.206</v>
      </c>
      <c r="J21" s="6">
        <v>1950</v>
      </c>
      <c r="K21" s="6">
        <v>0</v>
      </c>
      <c r="L21" s="6">
        <v>1950</v>
      </c>
      <c r="M21" s="6">
        <v>0</v>
      </c>
      <c r="N21" s="6">
        <v>0</v>
      </c>
      <c r="O21" s="6">
        <v>0</v>
      </c>
      <c r="P21" s="6">
        <v>0.6</v>
      </c>
      <c r="Q21" s="6">
        <v>0</v>
      </c>
      <c r="R21" s="6">
        <v>0</v>
      </c>
      <c r="S21" s="6">
        <v>185</v>
      </c>
      <c r="T21" s="6">
        <v>0</v>
      </c>
      <c r="U21" s="6">
        <v>185</v>
      </c>
      <c r="V21" s="6">
        <v>0</v>
      </c>
      <c r="W21" s="6">
        <v>0</v>
      </c>
      <c r="X21" s="6">
        <v>0</v>
      </c>
      <c r="Y21" s="6">
        <f>F21*L21*P21*S21*I21/AO13</f>
        <v>1665.4528800000001</v>
      </c>
      <c r="Z21" s="6">
        <v>0</v>
      </c>
      <c r="AA21" s="6">
        <v>0</v>
      </c>
      <c r="AB21" s="6">
        <v>0</v>
      </c>
      <c r="AC21" s="6">
        <f>Y21/L21</f>
        <v>0.85407840000000002</v>
      </c>
      <c r="AD21" s="6">
        <v>0</v>
      </c>
      <c r="AE21" s="6">
        <v>0</v>
      </c>
      <c r="AF21" s="6">
        <f t="shared" si="2"/>
        <v>0</v>
      </c>
      <c r="AG21" s="6">
        <f t="shared" si="3"/>
        <v>593.11</v>
      </c>
      <c r="AH21" s="6">
        <f t="shared" si="3"/>
        <v>0</v>
      </c>
      <c r="AI21" s="6">
        <f t="shared" si="3"/>
        <v>0</v>
      </c>
      <c r="AJ21">
        <v>2400</v>
      </c>
      <c r="AK21" s="23">
        <f>AK20+0.1</f>
        <v>0.30000000000000004</v>
      </c>
      <c r="AL21" s="72">
        <v>174</v>
      </c>
      <c r="AM21" s="23">
        <v>198</v>
      </c>
      <c r="AN21" s="27">
        <v>221</v>
      </c>
      <c r="AP21" s="61"/>
      <c r="AQ21" s="51" t="s">
        <v>217</v>
      </c>
      <c r="AR21" s="51">
        <v>305</v>
      </c>
      <c r="AS21" s="51">
        <v>300</v>
      </c>
      <c r="AT21" s="46"/>
      <c r="AU21">
        <f t="shared" si="11"/>
        <v>961.8</v>
      </c>
      <c r="AV21" s="56"/>
      <c r="AW21" s="56"/>
      <c r="AX21" s="6" t="s">
        <v>211</v>
      </c>
      <c r="AY21" s="6">
        <v>0.45100000000000001</v>
      </c>
      <c r="AZ21" s="6">
        <v>17.7</v>
      </c>
      <c r="BA21" s="6">
        <v>0.23799999999999999</v>
      </c>
      <c r="BB21" s="6">
        <v>0.18</v>
      </c>
      <c r="BC21" s="6">
        <v>5.8399999999999997E-3</v>
      </c>
      <c r="BD21" s="6">
        <v>178</v>
      </c>
      <c r="BE21">
        <f t="shared" si="12"/>
        <v>570.66800000000001</v>
      </c>
    </row>
    <row r="22" spans="1:60" x14ac:dyDescent="0.2">
      <c r="B22" s="127"/>
      <c r="C22" s="127"/>
      <c r="D22" s="127"/>
      <c r="E22" s="6" t="s">
        <v>148</v>
      </c>
      <c r="F22" s="69">
        <v>6800</v>
      </c>
      <c r="G22" s="69" t="s">
        <v>146</v>
      </c>
      <c r="H22" s="69" t="s">
        <v>147</v>
      </c>
      <c r="I22" s="6">
        <f>$AS$8</f>
        <v>3.206</v>
      </c>
      <c r="J22" s="6">
        <v>7150</v>
      </c>
      <c r="K22" s="6">
        <v>4550</v>
      </c>
      <c r="L22" s="6">
        <v>1950</v>
      </c>
      <c r="M22" s="6">
        <v>520</v>
      </c>
      <c r="N22" s="6">
        <v>130</v>
      </c>
      <c r="O22" s="6">
        <v>0.4</v>
      </c>
      <c r="P22" s="6">
        <v>0.6</v>
      </c>
      <c r="Q22" s="6">
        <v>0.17</v>
      </c>
      <c r="R22" s="6">
        <v>0.1</v>
      </c>
      <c r="S22" s="6">
        <v>217</v>
      </c>
      <c r="T22" s="6">
        <v>217</v>
      </c>
      <c r="U22" s="6">
        <v>217</v>
      </c>
      <c r="V22" s="6">
        <v>217</v>
      </c>
      <c r="W22" s="6">
        <v>217</v>
      </c>
      <c r="X22" s="6">
        <f>$F$22*K22*O22*$S$22*$I$22/$AO$13</f>
        <v>8610.0079519999999</v>
      </c>
      <c r="Y22" s="6">
        <f>$F$22*L22*P22*$S$22*$I$22/$AO$13</f>
        <v>5535.0051119999998</v>
      </c>
      <c r="Z22" s="6">
        <f>$F$22*M22*Q22*$S$22*$I$22/$AO$13</f>
        <v>418.20038624</v>
      </c>
      <c r="AA22" s="6">
        <f>$F$22*N22*R22*$S$22*$I$22/$AO$13</f>
        <v>61.500056799999996</v>
      </c>
      <c r="AB22" s="6">
        <f>X22/K22</f>
        <v>1.89230944</v>
      </c>
      <c r="AC22" s="6">
        <f>Y22/L22</f>
        <v>2.83846416</v>
      </c>
      <c r="AD22" s="6">
        <f>Z22/M22</f>
        <v>0.80423151199999998</v>
      </c>
      <c r="AE22" s="6">
        <f>AA22/N22</f>
        <v>0.47307735999999995</v>
      </c>
      <c r="AF22" s="6">
        <f t="shared" si="2"/>
        <v>695.702</v>
      </c>
      <c r="AG22" s="6">
        <f t="shared" si="3"/>
        <v>695.702</v>
      </c>
      <c r="AH22" s="6">
        <f t="shared" si="3"/>
        <v>695.702</v>
      </c>
      <c r="AI22" s="6">
        <f t="shared" si="3"/>
        <v>695.702</v>
      </c>
      <c r="AJ22">
        <v>6800</v>
      </c>
      <c r="AK22" s="23">
        <f t="shared" ref="AK22:AK26" si="13">AK21+0.1</f>
        <v>0.4</v>
      </c>
      <c r="AL22" s="72">
        <v>170</v>
      </c>
      <c r="AM22" s="23">
        <v>193</v>
      </c>
      <c r="AN22" s="27">
        <v>217</v>
      </c>
      <c r="AP22" s="61"/>
      <c r="AQ22" s="51" t="s">
        <v>218</v>
      </c>
      <c r="AR22" s="51">
        <v>305</v>
      </c>
      <c r="AS22" s="51">
        <v>300</v>
      </c>
      <c r="AT22" s="46"/>
      <c r="AU22">
        <f t="shared" si="11"/>
        <v>961.8</v>
      </c>
      <c r="AV22" s="56"/>
      <c r="AW22" s="56" t="s">
        <v>219</v>
      </c>
      <c r="AX22" s="6" t="s">
        <v>146</v>
      </c>
      <c r="AY22" s="6">
        <v>2.7</v>
      </c>
      <c r="AZ22" s="6">
        <v>11.7</v>
      </c>
      <c r="BA22" s="6">
        <v>1233</v>
      </c>
      <c r="BB22" s="6">
        <v>0.36699999999999999</v>
      </c>
      <c r="BC22" s="6">
        <v>3.3000000000000002E-2</v>
      </c>
      <c r="BD22" s="6">
        <v>304</v>
      </c>
      <c r="BE22">
        <f t="shared" si="12"/>
        <v>974.62400000000002</v>
      </c>
    </row>
    <row r="23" spans="1:60" x14ac:dyDescent="0.2">
      <c r="A23" s="37" t="s">
        <v>220</v>
      </c>
      <c r="B23" s="127"/>
      <c r="C23" s="127"/>
      <c r="D23" s="127"/>
      <c r="E23" s="6" t="s">
        <v>184</v>
      </c>
      <c r="F23" s="69">
        <v>0</v>
      </c>
      <c r="G23" s="69" t="s">
        <v>185</v>
      </c>
      <c r="H23" s="69" t="s">
        <v>185</v>
      </c>
      <c r="I23" s="6" t="s">
        <v>185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/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f t="shared" si="2"/>
        <v>0</v>
      </c>
      <c r="AG23" s="6">
        <f t="shared" si="3"/>
        <v>0</v>
      </c>
      <c r="AH23" s="6">
        <f t="shared" si="3"/>
        <v>0</v>
      </c>
      <c r="AI23" s="6">
        <f t="shared" si="3"/>
        <v>0</v>
      </c>
      <c r="AK23" s="23">
        <f>AK22+0.1</f>
        <v>0.5</v>
      </c>
      <c r="AL23" s="72">
        <v>168</v>
      </c>
      <c r="AM23" s="23">
        <v>191</v>
      </c>
      <c r="AN23" s="27">
        <v>213</v>
      </c>
      <c r="AP23" s="62"/>
      <c r="AQ23" s="51" t="s">
        <v>188</v>
      </c>
      <c r="AR23" s="51"/>
      <c r="AS23" s="51"/>
      <c r="AT23" s="46">
        <v>166</v>
      </c>
      <c r="AU23">
        <f t="shared" si="11"/>
        <v>0</v>
      </c>
      <c r="AV23" s="56"/>
      <c r="AW23" s="56"/>
      <c r="AX23" s="6" t="s">
        <v>173</v>
      </c>
      <c r="AY23" s="6">
        <v>2.39</v>
      </c>
      <c r="AZ23" s="6">
        <v>14.8</v>
      </c>
      <c r="BA23" s="6">
        <v>0.753</v>
      </c>
      <c r="BB23" s="6">
        <v>0.36099999999999999</v>
      </c>
      <c r="BC23" s="6">
        <v>3.3000000000000002E-2</v>
      </c>
      <c r="BD23" s="6">
        <v>263</v>
      </c>
      <c r="BE23">
        <f t="shared" si="12"/>
        <v>843.178</v>
      </c>
    </row>
    <row r="24" spans="1:60" s="1" customFormat="1" x14ac:dyDescent="0.2">
      <c r="A24" s="81"/>
      <c r="B24" s="127"/>
      <c r="C24" s="127"/>
      <c r="D24" s="127"/>
      <c r="E24" s="126" t="s">
        <v>160</v>
      </c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7">
        <f>SUM(X20:X23)</f>
        <v>20753.935202000001</v>
      </c>
      <c r="Y24" s="7">
        <f t="shared" ref="Y24:AE24" si="14">SUM(Y20:Y23)</f>
        <v>8935.3047420000003</v>
      </c>
      <c r="Z24" s="7">
        <f t="shared" si="14"/>
        <v>418.20038624</v>
      </c>
      <c r="AA24" s="7">
        <f t="shared" si="14"/>
        <v>61.500056799999996</v>
      </c>
      <c r="AB24" s="7">
        <f t="shared" si="14"/>
        <v>4.5613044400000007</v>
      </c>
      <c r="AC24" s="7">
        <f t="shared" si="14"/>
        <v>4.5822075600000005</v>
      </c>
      <c r="AD24" s="7">
        <f t="shared" si="14"/>
        <v>0.80423151199999998</v>
      </c>
      <c r="AE24" s="7">
        <f t="shared" si="14"/>
        <v>0.47307735999999995</v>
      </c>
      <c r="AF24" s="8">
        <f t="shared" si="2"/>
        <v>0</v>
      </c>
      <c r="AG24" s="8">
        <f t="shared" si="3"/>
        <v>0</v>
      </c>
      <c r="AH24" s="8">
        <f t="shared" si="3"/>
        <v>0</v>
      </c>
      <c r="AI24" s="8">
        <f t="shared" si="3"/>
        <v>0</v>
      </c>
      <c r="AJ24"/>
      <c r="AK24" s="23">
        <f t="shared" si="13"/>
        <v>0.6</v>
      </c>
      <c r="AL24" s="72">
        <v>166</v>
      </c>
      <c r="AM24" s="23">
        <v>189</v>
      </c>
      <c r="AN24" s="27">
        <v>211</v>
      </c>
      <c r="AO24"/>
      <c r="AP24" s="60" t="s">
        <v>221</v>
      </c>
      <c r="AQ24" s="51" t="s">
        <v>146</v>
      </c>
      <c r="AR24" s="51">
        <v>227</v>
      </c>
      <c r="AS24" s="51">
        <v>217</v>
      </c>
      <c r="AT24" s="46"/>
      <c r="AU24">
        <f t="shared" si="11"/>
        <v>695.702</v>
      </c>
      <c r="AV24" s="56"/>
      <c r="AW24" s="56"/>
      <c r="AX24" s="6" t="s">
        <v>211</v>
      </c>
      <c r="AY24" s="6">
        <v>1.75</v>
      </c>
      <c r="AZ24" s="6">
        <v>24.3</v>
      </c>
      <c r="BA24" s="6">
        <v>0.66600000000000004</v>
      </c>
      <c r="BB24" s="6">
        <v>0.36099999999999999</v>
      </c>
      <c r="BC24" s="6">
        <v>3.3000000000000002E-2</v>
      </c>
      <c r="BD24" s="6">
        <v>265</v>
      </c>
      <c r="BE24">
        <f t="shared" si="12"/>
        <v>849.59</v>
      </c>
      <c r="BF24"/>
      <c r="BG24"/>
      <c r="BH24"/>
    </row>
    <row r="25" spans="1:60" x14ac:dyDescent="0.2">
      <c r="B25" s="39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98"/>
      <c r="Y25" s="98"/>
      <c r="Z25" s="98"/>
      <c r="AA25" s="98"/>
      <c r="AB25" s="38"/>
      <c r="AC25" s="38"/>
      <c r="AD25" s="38"/>
      <c r="AE25" s="38"/>
      <c r="AF25" s="83"/>
      <c r="AG25" s="83"/>
      <c r="AH25" s="83"/>
      <c r="AI25" s="84"/>
      <c r="AK25" s="23">
        <f t="shared" si="13"/>
        <v>0.7</v>
      </c>
      <c r="AL25" s="72">
        <v>165</v>
      </c>
      <c r="AM25" s="23">
        <v>188</v>
      </c>
      <c r="AN25" s="27">
        <v>210</v>
      </c>
      <c r="AP25" s="61"/>
      <c r="AQ25" s="51" t="s">
        <v>173</v>
      </c>
      <c r="AR25" s="51">
        <v>227</v>
      </c>
      <c r="AS25" s="51">
        <v>217</v>
      </c>
      <c r="AT25" s="46"/>
      <c r="AU25">
        <f t="shared" si="11"/>
        <v>695.702</v>
      </c>
      <c r="AV25" s="56" t="s">
        <v>148</v>
      </c>
      <c r="AW25" s="56" t="s">
        <v>213</v>
      </c>
      <c r="AX25" s="6" t="s">
        <v>146</v>
      </c>
      <c r="AY25" s="6">
        <v>1.81</v>
      </c>
      <c r="AZ25" s="6">
        <v>9.94</v>
      </c>
      <c r="BA25" s="6">
        <v>0.997</v>
      </c>
      <c r="BB25" s="6">
        <v>0.28999999999999998</v>
      </c>
      <c r="BC25" s="6">
        <v>1.9900000000000001E-2</v>
      </c>
      <c r="BD25" s="6">
        <v>271</v>
      </c>
      <c r="BE25">
        <f t="shared" si="12"/>
        <v>868.82600000000002</v>
      </c>
    </row>
    <row r="26" spans="1:60" ht="16" customHeight="1" x14ac:dyDescent="0.2">
      <c r="B26" s="127" t="s">
        <v>222</v>
      </c>
      <c r="C26" s="127" t="s">
        <v>223</v>
      </c>
      <c r="D26" s="127" t="s">
        <v>144</v>
      </c>
      <c r="E26" s="6" t="s">
        <v>145</v>
      </c>
      <c r="F26" s="6">
        <v>5720</v>
      </c>
      <c r="G26" s="69" t="s">
        <v>173</v>
      </c>
      <c r="H26" s="6" t="s">
        <v>147</v>
      </c>
      <c r="I26" s="6">
        <f>$AS$8</f>
        <v>3.206</v>
      </c>
      <c r="J26" s="6">
        <v>1046</v>
      </c>
      <c r="K26" s="6">
        <v>732</v>
      </c>
      <c r="L26" s="6">
        <v>314</v>
      </c>
      <c r="M26" s="6">
        <v>0</v>
      </c>
      <c r="N26" s="6">
        <v>0</v>
      </c>
      <c r="O26" s="6">
        <v>0.8</v>
      </c>
      <c r="P26" s="6">
        <v>0.3</v>
      </c>
      <c r="Q26" s="6">
        <v>0</v>
      </c>
      <c r="R26" s="6">
        <v>0</v>
      </c>
      <c r="S26" s="6">
        <v>205</v>
      </c>
      <c r="T26" s="6">
        <v>205</v>
      </c>
      <c r="U26" s="6">
        <v>205</v>
      </c>
      <c r="V26" s="6">
        <v>0</v>
      </c>
      <c r="W26" s="6">
        <v>0</v>
      </c>
      <c r="X26" s="6">
        <f>$F$26*K26*O26*$S$26*$I$26/$AO$13</f>
        <v>2201.4786393600002</v>
      </c>
      <c r="Y26" s="6">
        <f>$F$26*L26*P26*$S$26*$I$26/$AO$13</f>
        <v>354.13129751999998</v>
      </c>
      <c r="Z26" s="6">
        <v>0</v>
      </c>
      <c r="AA26" s="6">
        <v>0</v>
      </c>
      <c r="AB26" s="6">
        <f>X26/K26</f>
        <v>3.0074844800000005</v>
      </c>
      <c r="AC26" s="6">
        <f>Y26/L26</f>
        <v>1.12780668</v>
      </c>
      <c r="AD26" s="6">
        <v>0</v>
      </c>
      <c r="AE26" s="6">
        <v>0</v>
      </c>
      <c r="AF26" s="82">
        <f t="shared" si="2"/>
        <v>657.23</v>
      </c>
      <c r="AG26" s="82">
        <f t="shared" si="3"/>
        <v>657.23</v>
      </c>
      <c r="AH26" s="82">
        <f t="shared" si="3"/>
        <v>0</v>
      </c>
      <c r="AI26" s="82">
        <f t="shared" si="3"/>
        <v>0</v>
      </c>
      <c r="AJ26">
        <v>5720</v>
      </c>
      <c r="AK26" s="23">
        <f t="shared" si="13"/>
        <v>0.79999999999999993</v>
      </c>
      <c r="AL26" s="72">
        <v>165</v>
      </c>
      <c r="AM26" s="23">
        <v>188</v>
      </c>
      <c r="AN26" s="27">
        <v>210</v>
      </c>
      <c r="AP26" s="62"/>
      <c r="AQ26" s="52" t="s">
        <v>188</v>
      </c>
      <c r="AR26" s="52"/>
      <c r="AS26" s="52"/>
      <c r="AT26" s="47">
        <v>166</v>
      </c>
      <c r="AU26">
        <f t="shared" si="11"/>
        <v>0</v>
      </c>
      <c r="AV26" s="56"/>
      <c r="AW26" s="56"/>
      <c r="AX26" s="6" t="s">
        <v>173</v>
      </c>
      <c r="AY26" s="6">
        <v>1.61</v>
      </c>
      <c r="AZ26" s="6">
        <v>12.6</v>
      </c>
      <c r="BA26" s="6">
        <v>0.60899999999999999</v>
      </c>
      <c r="BB26" s="6">
        <v>0.28399999999999997</v>
      </c>
      <c r="BC26" s="6">
        <v>1.9900000000000001E-2</v>
      </c>
      <c r="BD26" s="6">
        <v>234</v>
      </c>
      <c r="BE26">
        <f t="shared" si="12"/>
        <v>750.20399999999995</v>
      </c>
    </row>
    <row r="27" spans="1:60" x14ac:dyDescent="0.2">
      <c r="B27" s="127"/>
      <c r="C27" s="127"/>
      <c r="D27" s="127"/>
      <c r="E27" s="6" t="s">
        <v>148</v>
      </c>
      <c r="F27" s="6">
        <v>5370</v>
      </c>
      <c r="G27" s="69" t="s">
        <v>146</v>
      </c>
      <c r="H27" s="6" t="s">
        <v>147</v>
      </c>
      <c r="I27" s="6">
        <f>$AS$8</f>
        <v>3.206</v>
      </c>
      <c r="J27" s="6">
        <v>452</v>
      </c>
      <c r="K27" s="6">
        <v>136</v>
      </c>
      <c r="L27" s="6">
        <v>136</v>
      </c>
      <c r="M27" s="6">
        <v>90</v>
      </c>
      <c r="N27" s="6">
        <v>90</v>
      </c>
      <c r="O27" s="6">
        <v>0.4</v>
      </c>
      <c r="P27" s="6">
        <v>0.6</v>
      </c>
      <c r="Q27" s="6">
        <v>0.2</v>
      </c>
      <c r="R27" s="6">
        <v>0.1</v>
      </c>
      <c r="S27" s="6">
        <v>217</v>
      </c>
      <c r="T27" s="6">
        <v>217</v>
      </c>
      <c r="U27" s="6">
        <v>217</v>
      </c>
      <c r="V27" s="6">
        <v>217</v>
      </c>
      <c r="W27" s="6">
        <v>217</v>
      </c>
      <c r="X27" s="6">
        <f>$F$27*K27*O27*$S$27*$I$27/$AO$13</f>
        <v>203.234033856</v>
      </c>
      <c r="Y27" s="6">
        <f>$F$27*L27*P27*$S$27*$I$27/$AO$13</f>
        <v>304.85105078399999</v>
      </c>
      <c r="Z27" s="6">
        <f>$F$27*M27*Q27*$S$27*$I$27/$AO$13</f>
        <v>67.246555319999999</v>
      </c>
      <c r="AA27" s="6">
        <f>$F$27*N27*R27*$S$27*$I$27/$AO$13</f>
        <v>33.623277659999999</v>
      </c>
      <c r="AB27" s="6">
        <f>X27/K27</f>
        <v>1.494367896</v>
      </c>
      <c r="AC27" s="6">
        <f>Y27/L27</f>
        <v>2.241551844</v>
      </c>
      <c r="AD27" s="6">
        <f>Z27/M27</f>
        <v>0.74718394799999999</v>
      </c>
      <c r="AE27" s="6">
        <f>AA27/N27</f>
        <v>0.37359197399999999</v>
      </c>
      <c r="AF27" s="6">
        <f t="shared" si="2"/>
        <v>695.702</v>
      </c>
      <c r="AG27" s="6">
        <f t="shared" si="3"/>
        <v>695.702</v>
      </c>
      <c r="AH27" s="6">
        <f t="shared" si="3"/>
        <v>695.702</v>
      </c>
      <c r="AI27" s="6">
        <f t="shared" si="3"/>
        <v>695.702</v>
      </c>
      <c r="AJ27">
        <v>5370</v>
      </c>
      <c r="AK27" s="23">
        <f>AK26+0.1</f>
        <v>0.89999999999999991</v>
      </c>
      <c r="AL27" s="72">
        <v>166</v>
      </c>
      <c r="AM27" s="23">
        <v>189</v>
      </c>
      <c r="AN27" s="27">
        <v>211</v>
      </c>
      <c r="AP27" t="s">
        <v>224</v>
      </c>
      <c r="AV27" s="56"/>
      <c r="AW27" s="56" t="s">
        <v>219</v>
      </c>
      <c r="AX27" s="6" t="s">
        <v>146</v>
      </c>
      <c r="AY27" s="6">
        <v>1.1000000000000001</v>
      </c>
      <c r="AZ27" s="6">
        <v>8.5299999999999994</v>
      </c>
      <c r="BA27" s="6">
        <v>0.64900000000000002</v>
      </c>
      <c r="BB27" s="6">
        <v>0.221</v>
      </c>
      <c r="BC27" s="6">
        <v>1.0500000000000001E-2</v>
      </c>
      <c r="BD27" s="6">
        <v>224</v>
      </c>
      <c r="BE27">
        <f t="shared" si="12"/>
        <v>718.14400000000001</v>
      </c>
    </row>
    <row r="28" spans="1:60" x14ac:dyDescent="0.2">
      <c r="A28" s="37" t="s">
        <v>225</v>
      </c>
      <c r="B28" s="127"/>
      <c r="C28" s="127"/>
      <c r="D28" s="127"/>
      <c r="E28" s="6" t="s">
        <v>184</v>
      </c>
      <c r="F28" s="6">
        <v>0</v>
      </c>
      <c r="G28" s="6" t="s">
        <v>185</v>
      </c>
      <c r="H28" s="6" t="s">
        <v>185</v>
      </c>
      <c r="I28" s="6" t="s">
        <v>185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/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f t="shared" si="2"/>
        <v>0</v>
      </c>
      <c r="AG28" s="6">
        <f t="shared" si="3"/>
        <v>0</v>
      </c>
      <c r="AH28" s="6">
        <f t="shared" si="3"/>
        <v>0</v>
      </c>
      <c r="AI28" s="6">
        <f t="shared" si="3"/>
        <v>0</v>
      </c>
      <c r="AK28" s="28">
        <f>AK27+0.1</f>
        <v>0.99999999999999989</v>
      </c>
      <c r="AL28" s="73">
        <v>168</v>
      </c>
      <c r="AM28" s="28">
        <v>191</v>
      </c>
      <c r="AN28" s="29">
        <v>214</v>
      </c>
      <c r="AV28" s="56"/>
      <c r="AW28" s="56"/>
      <c r="AX28" s="6" t="s">
        <v>173</v>
      </c>
      <c r="AY28" s="6">
        <v>0.97399999999999998</v>
      </c>
      <c r="AZ28" s="6">
        <v>10.8</v>
      </c>
      <c r="BA28" s="6">
        <v>0.39700000000000002</v>
      </c>
      <c r="BB28" s="6">
        <v>0.215</v>
      </c>
      <c r="BC28" s="6">
        <v>1.0500000000000001E-2</v>
      </c>
      <c r="BD28" s="6">
        <v>194</v>
      </c>
      <c r="BE28">
        <f t="shared" si="12"/>
        <v>621.96399999999994</v>
      </c>
    </row>
    <row r="29" spans="1:60" s="1" customFormat="1" x14ac:dyDescent="0.2">
      <c r="A29" s="81"/>
      <c r="B29" s="127"/>
      <c r="C29" s="127"/>
      <c r="D29" s="127"/>
      <c r="E29" s="126" t="s">
        <v>160</v>
      </c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7">
        <f>SUM(X26:X28)</f>
        <v>2404.7126732160004</v>
      </c>
      <c r="Y29" s="7">
        <f t="shared" ref="Y29:AE29" si="15">SUM(Y26:Y28)</f>
        <v>658.98234830399997</v>
      </c>
      <c r="Z29" s="7">
        <f t="shared" si="15"/>
        <v>67.246555319999999</v>
      </c>
      <c r="AA29" s="7">
        <f t="shared" si="15"/>
        <v>33.623277659999999</v>
      </c>
      <c r="AB29" s="7">
        <f t="shared" si="15"/>
        <v>4.5018523760000004</v>
      </c>
      <c r="AC29" s="7">
        <f t="shared" si="15"/>
        <v>3.3693585239999999</v>
      </c>
      <c r="AD29" s="7">
        <f t="shared" si="15"/>
        <v>0.74718394799999999</v>
      </c>
      <c r="AE29" s="7">
        <f t="shared" si="15"/>
        <v>0.37359197399999999</v>
      </c>
      <c r="AF29" s="8">
        <f t="shared" si="2"/>
        <v>0</v>
      </c>
      <c r="AG29" s="8">
        <f t="shared" si="3"/>
        <v>0</v>
      </c>
      <c r="AH29" s="8">
        <f t="shared" si="3"/>
        <v>0</v>
      </c>
      <c r="AI29" s="8">
        <f t="shared" si="3"/>
        <v>0</v>
      </c>
      <c r="AJ29"/>
      <c r="AK29" s="37" t="s">
        <v>226</v>
      </c>
      <c r="AL29"/>
      <c r="AM29"/>
      <c r="AN29"/>
      <c r="AO29"/>
      <c r="AP29" s="37" t="s">
        <v>227</v>
      </c>
      <c r="AQ29"/>
      <c r="AR29"/>
      <c r="AS29"/>
      <c r="AT29"/>
      <c r="AU29"/>
      <c r="AV29" t="s">
        <v>228</v>
      </c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x14ac:dyDescent="0.2">
      <c r="B30" s="39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98"/>
      <c r="Y30" s="98"/>
      <c r="Z30" s="98"/>
      <c r="AA30" s="98"/>
      <c r="AB30" s="38"/>
      <c r="AC30" s="38"/>
      <c r="AD30" s="38"/>
      <c r="AE30" s="38"/>
      <c r="AF30" s="83"/>
      <c r="AG30" s="83"/>
      <c r="AH30" s="83"/>
      <c r="AI30" s="84"/>
    </row>
    <row r="31" spans="1:60" ht="16" customHeight="1" x14ac:dyDescent="0.2">
      <c r="B31" s="127" t="s">
        <v>229</v>
      </c>
      <c r="C31" s="127" t="s">
        <v>230</v>
      </c>
      <c r="D31" s="127" t="s">
        <v>144</v>
      </c>
      <c r="E31" s="6" t="s">
        <v>145</v>
      </c>
      <c r="F31" s="6">
        <v>6200</v>
      </c>
      <c r="G31" s="6" t="s">
        <v>146</v>
      </c>
      <c r="H31" s="6" t="s">
        <v>147</v>
      </c>
      <c r="I31" s="6">
        <f>AS8</f>
        <v>3.206</v>
      </c>
      <c r="J31" s="6">
        <v>1046</v>
      </c>
      <c r="K31" s="6">
        <v>732</v>
      </c>
      <c r="L31" s="6">
        <v>314</v>
      </c>
      <c r="M31" s="6">
        <v>0</v>
      </c>
      <c r="N31" s="6">
        <v>0</v>
      </c>
      <c r="O31" s="6">
        <v>0.8</v>
      </c>
      <c r="P31" s="6">
        <v>0.3</v>
      </c>
      <c r="Q31" s="6">
        <v>0</v>
      </c>
      <c r="R31" s="6">
        <v>0</v>
      </c>
      <c r="S31" s="6">
        <v>205</v>
      </c>
      <c r="T31" s="6">
        <v>205</v>
      </c>
      <c r="U31" s="6">
        <v>205</v>
      </c>
      <c r="V31" s="6">
        <v>0</v>
      </c>
      <c r="W31" s="6">
        <v>0</v>
      </c>
      <c r="X31" s="6">
        <f>$F$31*K31*O31*$S$31*$I$31/$AO$13</f>
        <v>2386.2181055999999</v>
      </c>
      <c r="Y31" s="6">
        <f>$F$31*L31*P31*$S$31*$I$31/$AO$13</f>
        <v>383.8486092</v>
      </c>
      <c r="Z31" s="6">
        <v>0</v>
      </c>
      <c r="AA31" s="6">
        <v>0</v>
      </c>
      <c r="AB31" s="6">
        <f>X31/K31</f>
        <v>3.2598607999999998</v>
      </c>
      <c r="AC31" s="6">
        <f>Y31/L31</f>
        <v>1.2224478000000001</v>
      </c>
      <c r="AD31" s="6">
        <v>0</v>
      </c>
      <c r="AE31" s="6">
        <v>0</v>
      </c>
      <c r="AF31" s="82">
        <f t="shared" si="2"/>
        <v>657.23</v>
      </c>
      <c r="AG31" s="82">
        <f t="shared" si="3"/>
        <v>657.23</v>
      </c>
      <c r="AH31" s="82">
        <f t="shared" si="3"/>
        <v>0</v>
      </c>
      <c r="AI31" s="82">
        <f t="shared" si="3"/>
        <v>0</v>
      </c>
      <c r="AJ31">
        <v>6200</v>
      </c>
      <c r="AK31" s="58" t="s">
        <v>231</v>
      </c>
      <c r="AL31" s="58"/>
      <c r="AM31" s="58"/>
      <c r="AN31" s="58"/>
    </row>
    <row r="32" spans="1:60" x14ac:dyDescent="0.2">
      <c r="B32" s="127"/>
      <c r="C32" s="127"/>
      <c r="D32" s="127"/>
      <c r="E32" s="6" t="s">
        <v>148</v>
      </c>
      <c r="F32" s="6">
        <v>3194</v>
      </c>
      <c r="G32" s="6" t="s">
        <v>146</v>
      </c>
      <c r="H32" s="6" t="s">
        <v>147</v>
      </c>
      <c r="I32" s="6">
        <f>AS8</f>
        <v>3.206</v>
      </c>
      <c r="J32" s="6">
        <v>452</v>
      </c>
      <c r="K32" s="6">
        <v>136</v>
      </c>
      <c r="L32" s="6">
        <v>136</v>
      </c>
      <c r="M32" s="6">
        <v>90</v>
      </c>
      <c r="N32" s="6">
        <v>90</v>
      </c>
      <c r="O32" s="6">
        <v>0.4</v>
      </c>
      <c r="P32" s="6">
        <v>0.6</v>
      </c>
      <c r="Q32" s="6">
        <v>0.2</v>
      </c>
      <c r="R32" s="6">
        <v>0.1</v>
      </c>
      <c r="S32" s="6">
        <v>217</v>
      </c>
      <c r="T32" s="6">
        <v>217</v>
      </c>
      <c r="U32" s="6">
        <v>217</v>
      </c>
      <c r="V32" s="6">
        <v>217</v>
      </c>
      <c r="W32" s="6">
        <v>217</v>
      </c>
      <c r="X32" s="6">
        <f>$F$32*K32*O32*$S$32*$I$32/$AO$13</f>
        <v>120.88072702720001</v>
      </c>
      <c r="Y32" s="6">
        <f>$F$32*L32*P32*$S$32*$I$32/$AO$13</f>
        <v>181.32109054079999</v>
      </c>
      <c r="Z32" s="6">
        <f t="shared" ref="Z32:AA32" si="16">$F$32*M32*Q32*$S$32*$I$32/$AO$13</f>
        <v>39.997299383999994</v>
      </c>
      <c r="AA32" s="6">
        <f t="shared" si="16"/>
        <v>19.998649691999997</v>
      </c>
      <c r="AB32" s="6">
        <f>X32/K32</f>
        <v>0.88882887520000009</v>
      </c>
      <c r="AC32" s="6">
        <f>Y32/L32</f>
        <v>1.3332433127999999</v>
      </c>
      <c r="AD32" s="6">
        <f>Z32/M32</f>
        <v>0.44441443759999993</v>
      </c>
      <c r="AE32" s="6">
        <f>AA32/N32</f>
        <v>0.22220721879999997</v>
      </c>
      <c r="AF32" s="6">
        <f t="shared" si="2"/>
        <v>695.702</v>
      </c>
      <c r="AG32" s="6">
        <f t="shared" si="3"/>
        <v>695.702</v>
      </c>
      <c r="AH32" s="6">
        <f t="shared" si="3"/>
        <v>695.702</v>
      </c>
      <c r="AI32" s="6">
        <f t="shared" si="3"/>
        <v>695.702</v>
      </c>
      <c r="AJ32">
        <v>3194</v>
      </c>
      <c r="AK32" s="18" t="s">
        <v>197</v>
      </c>
      <c r="AL32" s="18" t="s">
        <v>198</v>
      </c>
      <c r="AM32" s="19" t="s">
        <v>199</v>
      </c>
      <c r="AN32" s="18" t="s">
        <v>200</v>
      </c>
    </row>
    <row r="33" spans="1:60" x14ac:dyDescent="0.2">
      <c r="A33" s="37" t="s">
        <v>232</v>
      </c>
      <c r="B33" s="127"/>
      <c r="C33" s="127"/>
      <c r="D33" s="127"/>
      <c r="E33" s="6" t="s">
        <v>153</v>
      </c>
      <c r="F33" s="6">
        <v>7000</v>
      </c>
      <c r="G33" s="6" t="s">
        <v>146</v>
      </c>
      <c r="H33" s="6" t="s">
        <v>147</v>
      </c>
      <c r="I33" s="6">
        <f>AS8</f>
        <v>3.206</v>
      </c>
      <c r="J33" s="6">
        <v>314</v>
      </c>
      <c r="K33" s="6">
        <v>0</v>
      </c>
      <c r="L33" s="6">
        <v>314</v>
      </c>
      <c r="M33" s="6">
        <v>0</v>
      </c>
      <c r="N33" s="6">
        <v>0</v>
      </c>
      <c r="O33" s="6">
        <v>0</v>
      </c>
      <c r="P33" s="6">
        <v>0.3</v>
      </c>
      <c r="Q33" s="6">
        <v>0</v>
      </c>
      <c r="R33" s="6">
        <v>0</v>
      </c>
      <c r="S33" s="6">
        <v>205</v>
      </c>
      <c r="T33" s="6">
        <v>0</v>
      </c>
      <c r="U33" s="6">
        <f>U31</f>
        <v>205</v>
      </c>
      <c r="V33" s="6">
        <v>0</v>
      </c>
      <c r="W33" s="6">
        <v>0</v>
      </c>
      <c r="X33" s="6">
        <f>$F$33*K33*O33*$S$33*$I$33/$AO$13</f>
        <v>0</v>
      </c>
      <c r="Y33" s="6">
        <f>$F$33*L33*P33*$S$33*$I$33/$AO$13</f>
        <v>433.37746199999998</v>
      </c>
      <c r="Z33" s="6">
        <f>$F$33*M33*Q33*$S$33*$I$33/$AO$13</f>
        <v>0</v>
      </c>
      <c r="AA33" s="6">
        <f t="shared" ref="AA33" si="17">$F$33*N33*R33*$S$33*$I$33/$AO$13</f>
        <v>0</v>
      </c>
      <c r="AB33" s="6">
        <v>0</v>
      </c>
      <c r="AC33" s="6">
        <v>0</v>
      </c>
      <c r="AD33" s="6">
        <v>0</v>
      </c>
      <c r="AE33" s="6">
        <v>0</v>
      </c>
      <c r="AF33" s="6">
        <f t="shared" si="2"/>
        <v>0</v>
      </c>
      <c r="AG33" s="6">
        <f t="shared" si="3"/>
        <v>657.23</v>
      </c>
      <c r="AH33" s="6">
        <f t="shared" si="3"/>
        <v>0</v>
      </c>
      <c r="AI33" s="6">
        <f t="shared" si="3"/>
        <v>0</v>
      </c>
      <c r="AJ33">
        <v>7000</v>
      </c>
      <c r="AK33" s="20">
        <v>0.1</v>
      </c>
      <c r="AL33" s="21">
        <v>194</v>
      </c>
      <c r="AM33" s="74">
        <v>227</v>
      </c>
      <c r="AN33" s="75">
        <v>195</v>
      </c>
      <c r="AS33" s="6"/>
      <c r="AT33" s="6" t="s">
        <v>137</v>
      </c>
      <c r="AU33" s="6" t="s">
        <v>219</v>
      </c>
      <c r="AV33" s="107" t="s">
        <v>233</v>
      </c>
      <c r="AW33" s="107" t="s">
        <v>234</v>
      </c>
    </row>
    <row r="34" spans="1:60" s="1" customFormat="1" x14ac:dyDescent="0.2">
      <c r="A34" s="81"/>
      <c r="B34" s="127"/>
      <c r="C34" s="127"/>
      <c r="D34" s="127"/>
      <c r="E34" s="126" t="s">
        <v>160</v>
      </c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7">
        <f>SUM(X31:X33)</f>
        <v>2507.0988326272</v>
      </c>
      <c r="Y34" s="7">
        <f t="shared" ref="Y34:AE34" si="18">SUM(Y31:Y33)</f>
        <v>998.54716174079999</v>
      </c>
      <c r="Z34" s="7">
        <f t="shared" si="18"/>
        <v>39.997299383999994</v>
      </c>
      <c r="AA34" s="7">
        <f t="shared" si="18"/>
        <v>19.998649691999997</v>
      </c>
      <c r="AB34" s="7">
        <f t="shared" si="18"/>
        <v>4.1486896752</v>
      </c>
      <c r="AC34" s="7">
        <f t="shared" si="18"/>
        <v>2.5556911127999999</v>
      </c>
      <c r="AD34" s="7">
        <f t="shared" si="18"/>
        <v>0.44441443759999993</v>
      </c>
      <c r="AE34" s="7">
        <f t="shared" si="18"/>
        <v>0.22220721879999997</v>
      </c>
      <c r="AF34" s="8">
        <f t="shared" si="2"/>
        <v>0</v>
      </c>
      <c r="AG34" s="8">
        <f t="shared" si="3"/>
        <v>0</v>
      </c>
      <c r="AH34" s="8">
        <f t="shared" si="3"/>
        <v>0</v>
      </c>
      <c r="AI34" s="8">
        <f t="shared" si="3"/>
        <v>0</v>
      </c>
      <c r="AK34" s="21">
        <f>AK33+0.1</f>
        <v>0.2</v>
      </c>
      <c r="AL34" s="21">
        <v>186</v>
      </c>
      <c r="AM34" s="76">
        <v>212</v>
      </c>
      <c r="AN34" s="75">
        <v>186</v>
      </c>
      <c r="AO34"/>
      <c r="AP34"/>
      <c r="AQ34"/>
      <c r="AR34"/>
      <c r="AS34" s="6" t="s">
        <v>235</v>
      </c>
      <c r="AT34" s="6" t="s">
        <v>236</v>
      </c>
      <c r="AU34" s="6" t="s">
        <v>236</v>
      </c>
      <c r="AV34" s="107"/>
      <c r="AW34" s="107"/>
      <c r="AX34"/>
      <c r="AY34"/>
      <c r="AZ34"/>
      <c r="BA34"/>
      <c r="BB34"/>
      <c r="BC34"/>
      <c r="BD34"/>
      <c r="BE34"/>
      <c r="BF34"/>
      <c r="BG34"/>
      <c r="BH34"/>
    </row>
    <row r="35" spans="1:60" x14ac:dyDescent="0.2">
      <c r="B35" s="39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98"/>
      <c r="Y35" s="98"/>
      <c r="Z35" s="98"/>
      <c r="AA35" s="98"/>
      <c r="AB35" s="38"/>
      <c r="AC35" s="38"/>
      <c r="AD35" s="38"/>
      <c r="AE35" s="38"/>
      <c r="AF35" s="83"/>
      <c r="AG35" s="83"/>
      <c r="AH35" s="83"/>
      <c r="AI35" s="84"/>
      <c r="AK35" s="21">
        <f>AK34+0.1</f>
        <v>0.30000000000000004</v>
      </c>
      <c r="AL35" s="21">
        <v>180</v>
      </c>
      <c r="AM35" s="76">
        <v>205</v>
      </c>
      <c r="AN35" s="75">
        <v>180</v>
      </c>
      <c r="AS35" s="6" t="s">
        <v>148</v>
      </c>
      <c r="AT35" s="6" t="s">
        <v>236</v>
      </c>
      <c r="AU35" s="6" t="s">
        <v>236</v>
      </c>
      <c r="AV35" s="107" t="s">
        <v>236</v>
      </c>
      <c r="AW35" s="107" t="s">
        <v>236</v>
      </c>
    </row>
    <row r="36" spans="1:60" ht="16" customHeight="1" x14ac:dyDescent="0.2">
      <c r="B36" s="127" t="s">
        <v>237</v>
      </c>
      <c r="C36" s="127" t="s">
        <v>238</v>
      </c>
      <c r="D36" s="127" t="s">
        <v>239</v>
      </c>
      <c r="E36" s="6" t="s">
        <v>145</v>
      </c>
      <c r="F36" s="6">
        <v>10000</v>
      </c>
      <c r="G36" s="69" t="s">
        <v>173</v>
      </c>
      <c r="H36" s="69" t="s">
        <v>147</v>
      </c>
      <c r="I36" s="6">
        <f>I33</f>
        <v>3.206</v>
      </c>
      <c r="J36" s="6">
        <v>1046</v>
      </c>
      <c r="K36" s="6">
        <v>732</v>
      </c>
      <c r="L36" s="6">
        <v>314</v>
      </c>
      <c r="M36" s="6">
        <v>0</v>
      </c>
      <c r="N36" s="6">
        <v>0</v>
      </c>
      <c r="O36" s="6">
        <v>0.8</v>
      </c>
      <c r="P36" s="6">
        <v>0.3</v>
      </c>
      <c r="Q36" s="6">
        <v>0</v>
      </c>
      <c r="R36" s="6">
        <v>0</v>
      </c>
      <c r="S36" s="6">
        <v>205</v>
      </c>
      <c r="T36" s="6">
        <v>205</v>
      </c>
      <c r="U36" s="6">
        <v>205</v>
      </c>
      <c r="V36" s="6">
        <v>0</v>
      </c>
      <c r="W36" s="6">
        <v>0</v>
      </c>
      <c r="X36" s="6">
        <f>$F$36*K36*O36*$S$36*$I$36/$AO$13</f>
        <v>3848.7388799999999</v>
      </c>
      <c r="Y36" s="6">
        <f>$F$36*L36*P36*$S$36*$I$36/$AO$13</f>
        <v>619.11066000000005</v>
      </c>
      <c r="Z36" s="6">
        <f t="shared" ref="Z36:AA36" si="19">$F$36*M36*Q36*$S$36*$I$36/$AO$13</f>
        <v>0</v>
      </c>
      <c r="AA36" s="6">
        <f t="shared" si="19"/>
        <v>0</v>
      </c>
      <c r="AB36" s="6">
        <f>X36/K36</f>
        <v>5.2578399999999998</v>
      </c>
      <c r="AC36" s="6">
        <f>Y36/L36</f>
        <v>1.9716900000000002</v>
      </c>
      <c r="AD36" s="6">
        <v>0</v>
      </c>
      <c r="AE36" s="6">
        <v>0</v>
      </c>
      <c r="AF36" s="82">
        <f t="shared" si="2"/>
        <v>657.23</v>
      </c>
      <c r="AG36" s="82">
        <f t="shared" si="3"/>
        <v>657.23</v>
      </c>
      <c r="AH36" s="82">
        <f t="shared" si="3"/>
        <v>0</v>
      </c>
      <c r="AI36" s="82">
        <f t="shared" si="3"/>
        <v>0</v>
      </c>
      <c r="AJ36">
        <v>10000</v>
      </c>
      <c r="AK36" s="21">
        <f t="shared" ref="AK36:AK40" si="20">AK35+0.1</f>
        <v>0.4</v>
      </c>
      <c r="AL36" s="21">
        <v>175</v>
      </c>
      <c r="AM36" s="76">
        <v>198</v>
      </c>
      <c r="AN36" s="75">
        <v>175</v>
      </c>
      <c r="AS36" s="6" t="s">
        <v>153</v>
      </c>
      <c r="AT36" s="6"/>
      <c r="AU36" s="6" t="s">
        <v>236</v>
      </c>
      <c r="AV36" s="107"/>
      <c r="AW36" s="107"/>
    </row>
    <row r="37" spans="1:60" x14ac:dyDescent="0.2">
      <c r="B37" s="127"/>
      <c r="C37" s="127"/>
      <c r="D37" s="127"/>
      <c r="E37" s="6" t="s">
        <v>148</v>
      </c>
      <c r="F37" s="6">
        <v>34560</v>
      </c>
      <c r="G37" s="69" t="s">
        <v>146</v>
      </c>
      <c r="H37" s="69" t="s">
        <v>147</v>
      </c>
      <c r="I37" s="6">
        <f>AS8</f>
        <v>3.206</v>
      </c>
      <c r="J37" s="6">
        <v>452</v>
      </c>
      <c r="K37" s="6">
        <v>136</v>
      </c>
      <c r="L37" s="6">
        <v>136</v>
      </c>
      <c r="M37" s="6">
        <v>90</v>
      </c>
      <c r="N37" s="6">
        <v>90</v>
      </c>
      <c r="O37" s="6">
        <v>0.4</v>
      </c>
      <c r="P37" s="6">
        <v>0.6</v>
      </c>
      <c r="Q37" s="6">
        <v>0.2</v>
      </c>
      <c r="R37" s="6">
        <v>0.1</v>
      </c>
      <c r="S37" s="6">
        <v>217</v>
      </c>
      <c r="T37" s="6">
        <v>217</v>
      </c>
      <c r="U37" s="6">
        <v>217</v>
      </c>
      <c r="V37" s="6">
        <v>217</v>
      </c>
      <c r="W37" s="6">
        <v>217</v>
      </c>
      <c r="X37" s="6">
        <f>$F$37*K37*O37*$S$37*$I$37/$AO$13</f>
        <v>1307.9642849279999</v>
      </c>
      <c r="Y37" s="6">
        <f>$F$37*L37*P37*$S$37*$I$37/$AO$13</f>
        <v>1961.946427392</v>
      </c>
      <c r="Z37" s="6">
        <f>$F$37*M37*Q37*$S$37*$I$37/$AO$13</f>
        <v>432.78230015999998</v>
      </c>
      <c r="AA37" s="6">
        <f>$F$37*N37*R37*$S$37*$I$37/$AO$13</f>
        <v>216.39115007999999</v>
      </c>
      <c r="AB37" s="6">
        <f>X37/K37</f>
        <v>9.6173844479999993</v>
      </c>
      <c r="AC37" s="6">
        <f>Y37/L37</f>
        <v>14.426076672000001</v>
      </c>
      <c r="AD37" s="6">
        <f>Z37/M37</f>
        <v>4.8086922239999996</v>
      </c>
      <c r="AE37" s="6">
        <f>AA37/N37</f>
        <v>2.4043461119999998</v>
      </c>
      <c r="AF37" s="6">
        <f t="shared" si="2"/>
        <v>695.702</v>
      </c>
      <c r="AG37" s="6">
        <f t="shared" si="3"/>
        <v>695.702</v>
      </c>
      <c r="AH37" s="6">
        <f t="shared" si="3"/>
        <v>695.702</v>
      </c>
      <c r="AI37" s="6">
        <f t="shared" si="3"/>
        <v>695.702</v>
      </c>
      <c r="AJ37">
        <v>34560</v>
      </c>
      <c r="AK37" s="21">
        <f t="shared" si="20"/>
        <v>0.5</v>
      </c>
      <c r="AL37" s="21">
        <v>170</v>
      </c>
      <c r="AM37" s="76">
        <v>194</v>
      </c>
      <c r="AN37" s="75">
        <v>170</v>
      </c>
      <c r="AV37" s="80"/>
      <c r="AW37" s="80"/>
    </row>
    <row r="38" spans="1:60" x14ac:dyDescent="0.2">
      <c r="A38" s="37" t="s">
        <v>240</v>
      </c>
      <c r="B38" s="127"/>
      <c r="C38" s="127"/>
      <c r="D38" s="127"/>
      <c r="E38" s="6" t="s">
        <v>153</v>
      </c>
      <c r="F38" s="6">
        <f>18000+2400</f>
        <v>20400</v>
      </c>
      <c r="G38" s="69" t="s">
        <v>173</v>
      </c>
      <c r="H38" s="69" t="s">
        <v>147</v>
      </c>
      <c r="I38" s="6">
        <v>3.206</v>
      </c>
      <c r="J38" s="6">
        <v>0</v>
      </c>
      <c r="K38" s="6">
        <v>0</v>
      </c>
      <c r="L38" s="6">
        <v>314</v>
      </c>
      <c r="M38" s="6">
        <v>0</v>
      </c>
      <c r="N38" s="6">
        <v>0</v>
      </c>
      <c r="O38" s="6">
        <v>0.8</v>
      </c>
      <c r="P38" s="6">
        <v>0.3</v>
      </c>
      <c r="Q38" s="6">
        <v>0</v>
      </c>
      <c r="R38" s="6">
        <v>0</v>
      </c>
      <c r="S38" s="6">
        <v>205</v>
      </c>
      <c r="T38" s="6">
        <v>205</v>
      </c>
      <c r="U38" s="6">
        <v>205</v>
      </c>
      <c r="V38" s="6">
        <v>205</v>
      </c>
      <c r="W38" s="6">
        <v>205</v>
      </c>
      <c r="X38" s="6">
        <f>$F$38*K38*O38*$S$38*$I$38/$AO$13</f>
        <v>0</v>
      </c>
      <c r="Y38" s="6">
        <f>$F$38*L38*P38*$S$38*$I$38/$AO$13</f>
        <v>1262.9857464000002</v>
      </c>
      <c r="Z38" s="6">
        <f t="shared" ref="Z38:AA38" si="21">$F$38*M38*Q38*$S$38*$I$38/$AO$13</f>
        <v>0</v>
      </c>
      <c r="AA38" s="6">
        <f t="shared" si="21"/>
        <v>0</v>
      </c>
      <c r="AB38" s="6">
        <v>0</v>
      </c>
      <c r="AC38" s="6">
        <f>Y38/L38</f>
        <v>4.0222476000000009</v>
      </c>
      <c r="AD38" s="6">
        <v>0</v>
      </c>
      <c r="AE38" s="6">
        <v>0</v>
      </c>
      <c r="AF38" s="6">
        <f t="shared" si="2"/>
        <v>657.23</v>
      </c>
      <c r="AG38" s="6">
        <f t="shared" si="3"/>
        <v>657.23</v>
      </c>
      <c r="AH38" s="6">
        <f t="shared" si="3"/>
        <v>657.23</v>
      </c>
      <c r="AI38" s="6">
        <f t="shared" si="3"/>
        <v>657.23</v>
      </c>
      <c r="AJ38">
        <v>20400</v>
      </c>
      <c r="AK38" s="21">
        <f t="shared" si="20"/>
        <v>0.6</v>
      </c>
      <c r="AL38" s="21">
        <v>167</v>
      </c>
      <c r="AM38" s="76">
        <v>190</v>
      </c>
      <c r="AN38" s="75">
        <v>167</v>
      </c>
      <c r="AV38" s="80"/>
      <c r="AW38" s="80"/>
    </row>
    <row r="39" spans="1:60" s="1" customFormat="1" x14ac:dyDescent="0.2">
      <c r="A39" s="37" t="s">
        <v>241</v>
      </c>
      <c r="B39" s="127"/>
      <c r="C39" s="127"/>
      <c r="D39" s="127"/>
      <c r="E39" s="126" t="s">
        <v>160</v>
      </c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7">
        <f>SUM(X36:X38)</f>
        <v>5156.7031649279998</v>
      </c>
      <c r="Y39" s="7">
        <f t="shared" ref="Y39:AE39" si="22">SUM(Y36:Y38)</f>
        <v>3844.0428337920002</v>
      </c>
      <c r="Z39" s="7">
        <f t="shared" si="22"/>
        <v>432.78230015999998</v>
      </c>
      <c r="AA39" s="7">
        <f t="shared" si="22"/>
        <v>216.39115007999999</v>
      </c>
      <c r="AB39" s="7">
        <f t="shared" si="22"/>
        <v>14.875224447999999</v>
      </c>
      <c r="AC39" s="7">
        <f t="shared" si="22"/>
        <v>20.420014272</v>
      </c>
      <c r="AD39" s="7">
        <f t="shared" si="22"/>
        <v>4.8086922239999996</v>
      </c>
      <c r="AE39" s="7">
        <f t="shared" si="22"/>
        <v>2.4043461119999998</v>
      </c>
      <c r="AF39" s="8">
        <f t="shared" si="2"/>
        <v>0</v>
      </c>
      <c r="AG39" s="8">
        <f t="shared" si="3"/>
        <v>0</v>
      </c>
      <c r="AH39" s="8">
        <f t="shared" si="3"/>
        <v>0</v>
      </c>
      <c r="AI39" s="8">
        <f t="shared" si="3"/>
        <v>0</v>
      </c>
      <c r="AK39" s="21">
        <f t="shared" si="20"/>
        <v>0.7</v>
      </c>
      <c r="AL39" s="21">
        <v>165</v>
      </c>
      <c r="AM39" s="76">
        <v>188</v>
      </c>
      <c r="AN39" s="75">
        <v>165</v>
      </c>
      <c r="AO39"/>
      <c r="AP39"/>
      <c r="AQ39"/>
      <c r="AR39"/>
      <c r="AS39"/>
      <c r="AT39"/>
      <c r="AU39"/>
      <c r="AV39" s="80"/>
      <c r="AW39" s="80"/>
      <c r="AX39"/>
      <c r="AY39"/>
      <c r="AZ39"/>
      <c r="BA39"/>
      <c r="BB39"/>
      <c r="BC39"/>
      <c r="BD39"/>
      <c r="BE39"/>
      <c r="BF39"/>
      <c r="BG39"/>
      <c r="BH39"/>
    </row>
    <row r="40" spans="1:60" x14ac:dyDescent="0.2">
      <c r="B40" s="39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98"/>
      <c r="Y40" s="98"/>
      <c r="Z40" s="98"/>
      <c r="AA40" s="98"/>
      <c r="AB40" s="38"/>
      <c r="AC40" s="38"/>
      <c r="AD40" s="38"/>
      <c r="AE40" s="38"/>
      <c r="AF40" s="83"/>
      <c r="AG40" s="83"/>
      <c r="AH40" s="83"/>
      <c r="AI40" s="84"/>
      <c r="AK40" s="21">
        <f t="shared" si="20"/>
        <v>0.79999999999999993</v>
      </c>
      <c r="AL40" s="21">
        <v>164</v>
      </c>
      <c r="AM40" s="76">
        <v>187</v>
      </c>
      <c r="AN40" s="75">
        <v>164</v>
      </c>
      <c r="AV40" s="80"/>
      <c r="AW40" s="80"/>
    </row>
    <row r="41" spans="1:60" ht="16" customHeight="1" x14ac:dyDescent="0.2">
      <c r="B41" s="127" t="s">
        <v>242</v>
      </c>
      <c r="C41" s="127" t="s">
        <v>243</v>
      </c>
      <c r="D41" s="127" t="s">
        <v>239</v>
      </c>
      <c r="E41" s="6" t="s">
        <v>145</v>
      </c>
      <c r="F41" s="6">
        <f>4*3200</f>
        <v>12800</v>
      </c>
      <c r="G41" s="69" t="s">
        <v>173</v>
      </c>
      <c r="H41" s="69" t="s">
        <v>147</v>
      </c>
      <c r="I41" s="6">
        <f>I36</f>
        <v>3.206</v>
      </c>
      <c r="J41" s="6">
        <v>1046</v>
      </c>
      <c r="K41" s="6">
        <v>732</v>
      </c>
      <c r="L41" s="6">
        <v>314</v>
      </c>
      <c r="M41" s="6">
        <v>0</v>
      </c>
      <c r="N41" s="6">
        <v>0</v>
      </c>
      <c r="O41" s="6">
        <v>0.8</v>
      </c>
      <c r="P41" s="6">
        <v>0.3</v>
      </c>
      <c r="Q41" s="6">
        <v>0</v>
      </c>
      <c r="R41" s="6">
        <v>0</v>
      </c>
      <c r="S41" s="6">
        <v>205</v>
      </c>
      <c r="T41" s="6">
        <v>205</v>
      </c>
      <c r="U41" s="6">
        <v>205</v>
      </c>
      <c r="V41" s="6">
        <v>0</v>
      </c>
      <c r="W41" s="6">
        <v>0</v>
      </c>
      <c r="X41" s="6">
        <f>$F$41*K41*O41*$S$41*$I$41/$AO$13</f>
        <v>4926.3857663999997</v>
      </c>
      <c r="Y41" s="6">
        <f>$F$41*L41*P41*$S$41*$I$41/$AO$13</f>
        <v>792.46164479999993</v>
      </c>
      <c r="Z41" s="6">
        <f t="shared" ref="Z41:AA41" si="23">$F$41*M41*Q41*$S$41*$I$41/$AO$13</f>
        <v>0</v>
      </c>
      <c r="AA41" s="6">
        <f t="shared" si="23"/>
        <v>0</v>
      </c>
      <c r="AB41" s="6">
        <f>X41/K41</f>
        <v>6.7300351999999997</v>
      </c>
      <c r="AC41" s="6">
        <f>Y41/L41</f>
        <v>2.5237631999999999</v>
      </c>
      <c r="AD41" s="6">
        <v>0</v>
      </c>
      <c r="AE41" s="6">
        <v>0</v>
      </c>
      <c r="AF41" s="82">
        <f t="shared" si="2"/>
        <v>657.23</v>
      </c>
      <c r="AG41" s="82">
        <f t="shared" si="3"/>
        <v>657.23</v>
      </c>
      <c r="AH41" s="82">
        <f t="shared" si="3"/>
        <v>0</v>
      </c>
      <c r="AI41" s="82">
        <f t="shared" si="3"/>
        <v>0</v>
      </c>
      <c r="AJ41">
        <v>12800</v>
      </c>
      <c r="AK41" s="21">
        <f>AK40+0.1</f>
        <v>0.89999999999999991</v>
      </c>
      <c r="AL41" s="21">
        <v>165</v>
      </c>
      <c r="AM41" s="76">
        <v>187</v>
      </c>
      <c r="AN41" s="75">
        <v>165</v>
      </c>
      <c r="AV41" s="80"/>
      <c r="AW41" s="80"/>
    </row>
    <row r="42" spans="1:60" x14ac:dyDescent="0.2">
      <c r="B42" s="127"/>
      <c r="C42" s="127"/>
      <c r="D42" s="127"/>
      <c r="E42" s="6" t="s">
        <v>148</v>
      </c>
      <c r="F42" s="6">
        <v>34560</v>
      </c>
      <c r="G42" s="69" t="s">
        <v>146</v>
      </c>
      <c r="H42" s="69" t="s">
        <v>147</v>
      </c>
      <c r="I42" s="6">
        <v>3.206</v>
      </c>
      <c r="J42" s="6">
        <v>452</v>
      </c>
      <c r="K42" s="6">
        <v>136</v>
      </c>
      <c r="L42" s="6">
        <v>136</v>
      </c>
      <c r="M42" s="6">
        <v>90</v>
      </c>
      <c r="N42" s="6">
        <v>90</v>
      </c>
      <c r="O42" s="6">
        <v>0.4</v>
      </c>
      <c r="P42" s="6">
        <v>0.6</v>
      </c>
      <c r="Q42" s="6">
        <v>0.2</v>
      </c>
      <c r="R42" s="6">
        <v>0.1</v>
      </c>
      <c r="S42" s="6">
        <v>217</v>
      </c>
      <c r="T42" s="6">
        <v>217</v>
      </c>
      <c r="U42" s="6">
        <v>217</v>
      </c>
      <c r="V42" s="6">
        <v>217</v>
      </c>
      <c r="W42" s="6">
        <v>217</v>
      </c>
      <c r="X42" s="6">
        <f>$F$42*K42*O42*$S$42*$I$42/$AO$13</f>
        <v>1307.9642849279999</v>
      </c>
      <c r="Y42" s="6">
        <f>$F$42*L42*P42*$S$42*$I$42/$AO$13</f>
        <v>1961.946427392</v>
      </c>
      <c r="Z42" s="6">
        <f t="shared" ref="Z42:AA42" si="24">$F$42*M42*Q42*$S$42*$I$42/$AO$13</f>
        <v>432.78230015999998</v>
      </c>
      <c r="AA42" s="6">
        <f t="shared" si="24"/>
        <v>216.39115007999999</v>
      </c>
      <c r="AB42" s="6">
        <f>X42/K42</f>
        <v>9.6173844479999993</v>
      </c>
      <c r="AC42" s="6">
        <f>Y42/L42</f>
        <v>14.426076672000001</v>
      </c>
      <c r="AD42" s="6">
        <f>Z42/M42</f>
        <v>4.8086922239999996</v>
      </c>
      <c r="AE42" s="6">
        <f>AA42/N42</f>
        <v>2.4043461119999998</v>
      </c>
      <c r="AF42" s="6">
        <f t="shared" si="2"/>
        <v>695.702</v>
      </c>
      <c r="AG42" s="6">
        <f t="shared" si="3"/>
        <v>695.702</v>
      </c>
      <c r="AH42" s="6">
        <f t="shared" si="3"/>
        <v>695.702</v>
      </c>
      <c r="AI42" s="6">
        <f t="shared" si="3"/>
        <v>695.702</v>
      </c>
      <c r="AJ42">
        <v>34560</v>
      </c>
      <c r="AK42" s="22">
        <f>AK41+0.1</f>
        <v>0.99999999999999989</v>
      </c>
      <c r="AL42" s="22">
        <v>167</v>
      </c>
      <c r="AM42" s="77">
        <v>189</v>
      </c>
      <c r="AN42" s="78">
        <v>167</v>
      </c>
      <c r="AV42" s="80"/>
      <c r="AW42" s="80"/>
    </row>
    <row r="43" spans="1:60" x14ac:dyDescent="0.2">
      <c r="A43" s="37" t="s">
        <v>244</v>
      </c>
      <c r="B43" s="127"/>
      <c r="C43" s="127"/>
      <c r="D43" s="127"/>
      <c r="E43" s="6" t="s">
        <v>153</v>
      </c>
      <c r="F43" s="6">
        <f>3*3700</f>
        <v>11100</v>
      </c>
      <c r="G43" s="69" t="s">
        <v>173</v>
      </c>
      <c r="H43" s="69" t="s">
        <v>147</v>
      </c>
      <c r="I43" s="6">
        <v>3.206</v>
      </c>
      <c r="J43" s="6">
        <v>314</v>
      </c>
      <c r="K43" s="6">
        <v>0</v>
      </c>
      <c r="L43" s="6">
        <v>314</v>
      </c>
      <c r="M43" s="6">
        <v>0</v>
      </c>
      <c r="N43" s="6">
        <v>0</v>
      </c>
      <c r="O43" s="6">
        <v>0.8</v>
      </c>
      <c r="P43" s="6">
        <v>0.3</v>
      </c>
      <c r="Q43" s="6">
        <v>0</v>
      </c>
      <c r="R43" s="6">
        <v>0</v>
      </c>
      <c r="S43" s="6">
        <v>205</v>
      </c>
      <c r="T43" s="6">
        <v>205</v>
      </c>
      <c r="U43" s="6">
        <v>205</v>
      </c>
      <c r="V43" s="6">
        <v>205</v>
      </c>
      <c r="W43" s="6">
        <v>205</v>
      </c>
      <c r="X43" s="6">
        <f>$F$43*K43*O43*$S$43*$I$43/$AO$13</f>
        <v>0</v>
      </c>
      <c r="Y43" s="6">
        <f>$F$43*L43*P43*$S$43*$I$43/$AO$13</f>
        <v>687.21283260000007</v>
      </c>
      <c r="Z43" s="6">
        <f t="shared" ref="Z43:AA43" si="25">$F$43*M43*Q43*$S$43*$I$43/$AO$13</f>
        <v>0</v>
      </c>
      <c r="AA43" s="6">
        <f t="shared" si="25"/>
        <v>0</v>
      </c>
      <c r="AB43" s="6">
        <v>0</v>
      </c>
      <c r="AC43" s="6">
        <f>Y43/L43</f>
        <v>2.1885759</v>
      </c>
      <c r="AD43" s="6">
        <v>0</v>
      </c>
      <c r="AE43" s="6">
        <v>0</v>
      </c>
      <c r="AF43" s="8">
        <f t="shared" si="2"/>
        <v>657.23</v>
      </c>
      <c r="AG43" s="8">
        <f t="shared" si="3"/>
        <v>657.23</v>
      </c>
      <c r="AH43" s="8">
        <f t="shared" si="3"/>
        <v>657.23</v>
      </c>
      <c r="AI43" s="8">
        <f t="shared" si="3"/>
        <v>657.23</v>
      </c>
      <c r="AJ43">
        <v>11100</v>
      </c>
      <c r="AV43" s="79"/>
    </row>
    <row r="44" spans="1:60" s="1" customFormat="1" x14ac:dyDescent="0.2">
      <c r="A44" s="81"/>
      <c r="B44" s="127"/>
      <c r="C44" s="127"/>
      <c r="D44" s="127"/>
      <c r="E44" s="126" t="s">
        <v>160</v>
      </c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7">
        <f>SUM(X41:X43)</f>
        <v>6234.3500513279996</v>
      </c>
      <c r="Y44" s="7">
        <f>SUM(Y42:Y43)</f>
        <v>2649.159259992</v>
      </c>
      <c r="Z44" s="7">
        <f t="shared" ref="Z44:AE44" si="26">SUM(Z41:Z43)</f>
        <v>432.78230015999998</v>
      </c>
      <c r="AA44" s="7">
        <f t="shared" si="26"/>
        <v>216.39115007999999</v>
      </c>
      <c r="AB44" s="7">
        <f t="shared" si="26"/>
        <v>16.347419647999999</v>
      </c>
      <c r="AC44" s="7">
        <f t="shared" si="26"/>
        <v>19.138415772000002</v>
      </c>
      <c r="AD44" s="7">
        <f t="shared" si="26"/>
        <v>4.8086922239999996</v>
      </c>
      <c r="AE44" s="85">
        <f t="shared" si="26"/>
        <v>2.4043461119999998</v>
      </c>
      <c r="AF44" s="6">
        <v>0</v>
      </c>
      <c r="AG44" s="6">
        <v>0</v>
      </c>
      <c r="AH44" s="6">
        <v>0</v>
      </c>
      <c r="AI44" s="6">
        <v>0</v>
      </c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 s="1" customFormat="1" x14ac:dyDescent="0.2">
      <c r="B45" s="91"/>
      <c r="C45" s="87"/>
      <c r="D45" s="87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99"/>
      <c r="Y45" s="99"/>
      <c r="Z45" s="99"/>
      <c r="AA45" s="99"/>
      <c r="AB45" s="89"/>
      <c r="AC45" s="89"/>
      <c r="AD45" s="89"/>
      <c r="AE45" s="89"/>
      <c r="AF45" s="5"/>
      <c r="AG45" s="5"/>
      <c r="AH45" s="5"/>
      <c r="AI45" s="84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x14ac:dyDescent="0.2">
      <c r="B46" s="127" t="s">
        <v>245</v>
      </c>
      <c r="C46" s="128"/>
      <c r="D46" s="127" t="s">
        <v>246</v>
      </c>
      <c r="E46" s="65" t="s">
        <v>145</v>
      </c>
      <c r="F46" s="90">
        <v>4879</v>
      </c>
      <c r="G46" s="90" t="s">
        <v>211</v>
      </c>
      <c r="H46" s="65" t="s">
        <v>247</v>
      </c>
      <c r="I46" s="90">
        <f>AS7</f>
        <v>3.1139999999999999</v>
      </c>
      <c r="J46" s="90">
        <v>6000</v>
      </c>
      <c r="K46" s="90">
        <v>4200</v>
      </c>
      <c r="L46" s="90">
        <v>1800</v>
      </c>
      <c r="M46" s="90">
        <v>0</v>
      </c>
      <c r="N46" s="90">
        <v>0</v>
      </c>
      <c r="O46" s="90">
        <v>0.6</v>
      </c>
      <c r="P46" s="90">
        <v>0.2</v>
      </c>
      <c r="Q46" s="90">
        <v>0</v>
      </c>
      <c r="R46" s="90">
        <v>0</v>
      </c>
      <c r="S46" s="90">
        <v>195</v>
      </c>
      <c r="T46" s="90">
        <v>185</v>
      </c>
      <c r="U46" s="90">
        <v>185</v>
      </c>
      <c r="V46" s="90">
        <v>0</v>
      </c>
      <c r="W46" s="90">
        <v>0</v>
      </c>
      <c r="X46" s="6">
        <f>$F$46*K46*O46*$S$46*$I$46/$AO$13</f>
        <v>7465.9414283999995</v>
      </c>
      <c r="Y46" s="6">
        <f t="shared" ref="Y46:AA46" si="27">$F$46*L46*P46*$S$46*$I$46/$AO$13</f>
        <v>1066.5630612</v>
      </c>
      <c r="Z46" s="6">
        <f t="shared" si="27"/>
        <v>0</v>
      </c>
      <c r="AA46" s="6">
        <f t="shared" si="27"/>
        <v>0</v>
      </c>
      <c r="AB46" s="6">
        <f>X46/K46</f>
        <v>1.7776051019999999</v>
      </c>
      <c r="AC46" s="6">
        <f>Y46/L46</f>
        <v>0.59253503399999996</v>
      </c>
      <c r="AD46" s="6">
        <v>0</v>
      </c>
      <c r="AE46" s="6">
        <v>0</v>
      </c>
      <c r="AF46" s="6">
        <f>T46*3.114</f>
        <v>576.09</v>
      </c>
      <c r="AG46" s="6">
        <f>U46*3.114</f>
        <v>576.09</v>
      </c>
      <c r="AH46" s="6"/>
      <c r="AI46" s="6"/>
    </row>
    <row r="47" spans="1:60" x14ac:dyDescent="0.2">
      <c r="B47" s="127"/>
      <c r="C47" s="128"/>
      <c r="D47" s="127"/>
      <c r="E47" s="65" t="s">
        <v>148</v>
      </c>
      <c r="F47" s="90">
        <v>1776</v>
      </c>
      <c r="G47" s="90" t="s">
        <v>146</v>
      </c>
      <c r="H47" s="65" t="s">
        <v>147</v>
      </c>
      <c r="I47" s="90">
        <f>AS8</f>
        <v>3.206</v>
      </c>
      <c r="J47" s="90">
        <v>6600</v>
      </c>
      <c r="K47" s="90">
        <v>4200</v>
      </c>
      <c r="L47" s="90">
        <v>1800</v>
      </c>
      <c r="M47" s="90">
        <v>480</v>
      </c>
      <c r="N47" s="90">
        <v>120</v>
      </c>
      <c r="O47" s="90">
        <v>0.4</v>
      </c>
      <c r="P47" s="90">
        <v>0.6</v>
      </c>
      <c r="Q47" s="90">
        <v>0.22</v>
      </c>
      <c r="R47" s="90">
        <v>0.1</v>
      </c>
      <c r="S47" s="90">
        <v>217</v>
      </c>
      <c r="T47" s="90">
        <v>217</v>
      </c>
      <c r="U47" s="90">
        <v>217</v>
      </c>
      <c r="V47" s="90">
        <v>217</v>
      </c>
      <c r="W47" s="90">
        <v>217</v>
      </c>
      <c r="X47" s="6">
        <f>$F$47*K47*O47*$S$47*$I$47/$AO$13</f>
        <v>2075.75214336</v>
      </c>
      <c r="Y47" s="6">
        <f>$F$47*L47*P47*$S$47*$I$47/$AO$13</f>
        <v>1334.4120921600002</v>
      </c>
      <c r="Z47" s="6">
        <f t="shared" ref="Z47:AA47" si="28">$F$47*M47*Q47*$S$47*$I$47/$AO$13</f>
        <v>130.47584901120001</v>
      </c>
      <c r="AA47" s="6">
        <f t="shared" si="28"/>
        <v>14.826801024</v>
      </c>
      <c r="AB47" s="6">
        <f>X47/K47</f>
        <v>0.49422670079999997</v>
      </c>
      <c r="AC47" s="6">
        <f>Y47/L47</f>
        <v>0.74134005120000013</v>
      </c>
      <c r="AD47" s="6">
        <f>Z47/M47</f>
        <v>0.27182468544000005</v>
      </c>
      <c r="AE47" s="6">
        <f>AA47/N47</f>
        <v>0.12355667519999999</v>
      </c>
      <c r="AF47" s="6">
        <f>T47*3.206</f>
        <v>695.702</v>
      </c>
      <c r="AG47" s="6">
        <f t="shared" ref="AG47:AI47" si="29">U47*3.206</f>
        <v>695.702</v>
      </c>
      <c r="AH47" s="6">
        <f t="shared" si="29"/>
        <v>695.702</v>
      </c>
      <c r="AI47" s="6">
        <f t="shared" si="29"/>
        <v>695.702</v>
      </c>
    </row>
    <row r="48" spans="1:60" x14ac:dyDescent="0.2">
      <c r="B48" s="142"/>
      <c r="C48" s="143"/>
      <c r="D48" s="142"/>
      <c r="E48" s="138" t="s">
        <v>160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40"/>
      <c r="X48" s="92">
        <f>X46+X47</f>
        <v>9541.693571759999</v>
      </c>
      <c r="Y48" s="92">
        <f t="shared" ref="Y48:AA48" si="30">Y46+Y47</f>
        <v>2400.9751533600001</v>
      </c>
      <c r="Z48" s="92">
        <f t="shared" si="30"/>
        <v>130.47584901120001</v>
      </c>
      <c r="AA48" s="92">
        <f t="shared" si="30"/>
        <v>14.826801024</v>
      </c>
      <c r="AB48" s="92">
        <f>AB46+AB47</f>
        <v>2.2718318028</v>
      </c>
      <c r="AC48" s="92">
        <f>AC46+AC47</f>
        <v>1.3338750852000001</v>
      </c>
      <c r="AD48" s="92">
        <f>AD46+AD47</f>
        <v>0.27182468544000005</v>
      </c>
      <c r="AE48" s="92">
        <f>AE46+AE47</f>
        <v>0.12355667519999999</v>
      </c>
      <c r="AF48" s="8"/>
      <c r="AG48" s="8"/>
      <c r="AH48" s="8"/>
      <c r="AI48" s="8"/>
      <c r="AK48" t="s">
        <v>258</v>
      </c>
      <c r="AL48" s="37" t="s">
        <v>259</v>
      </c>
    </row>
    <row r="49" spans="1:60" x14ac:dyDescent="0.2">
      <c r="A49" s="81" t="s">
        <v>248</v>
      </c>
      <c r="B49" s="91"/>
      <c r="C49" s="97"/>
      <c r="D49" s="9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100"/>
      <c r="Y49" s="100"/>
      <c r="Z49" s="100"/>
      <c r="AA49" s="100"/>
      <c r="AB49" s="95"/>
      <c r="AC49" s="95"/>
      <c r="AD49" s="95"/>
      <c r="AE49" s="95"/>
      <c r="AF49" s="83"/>
      <c r="AG49" s="83"/>
      <c r="AH49" s="83"/>
      <c r="AI49" s="84"/>
      <c r="AK49" t="s">
        <v>260</v>
      </c>
    </row>
    <row r="50" spans="1:60" ht="17" customHeight="1" x14ac:dyDescent="0.2">
      <c r="A50" s="37" t="s">
        <v>249</v>
      </c>
      <c r="B50" s="141" t="s">
        <v>250</v>
      </c>
      <c r="C50" s="127" t="s">
        <v>251</v>
      </c>
      <c r="D50" s="127" t="s">
        <v>252</v>
      </c>
      <c r="E50" s="101" t="s">
        <v>253</v>
      </c>
      <c r="F50" s="93">
        <v>3960</v>
      </c>
      <c r="G50" s="108" t="s">
        <v>173</v>
      </c>
      <c r="H50" s="101" t="s">
        <v>147</v>
      </c>
      <c r="I50" s="93">
        <v>3.206</v>
      </c>
      <c r="J50" s="90">
        <v>6000</v>
      </c>
      <c r="K50" s="93">
        <v>4200</v>
      </c>
      <c r="L50" s="93">
        <v>1800</v>
      </c>
      <c r="M50" s="93">
        <v>0</v>
      </c>
      <c r="N50" s="93">
        <v>0</v>
      </c>
      <c r="O50" s="93">
        <v>0.6</v>
      </c>
      <c r="P50" s="93">
        <v>0.2</v>
      </c>
      <c r="Q50" s="93">
        <v>0</v>
      </c>
      <c r="R50" s="93">
        <v>0</v>
      </c>
      <c r="S50" s="93">
        <v>205</v>
      </c>
      <c r="T50" s="93"/>
      <c r="U50" s="93"/>
      <c r="V50" s="93"/>
      <c r="W50" s="93"/>
      <c r="X50" s="82">
        <f>$F$50*K50*O50*$S$50*$I$50/$AO$13</f>
        <v>6558.6296160000002</v>
      </c>
      <c r="Y50" s="82">
        <f t="shared" ref="Y50:AA50" si="31">$F$50*L50*P50*$S$50*$I$50/$AO$13</f>
        <v>936.94708800000001</v>
      </c>
      <c r="Z50" s="82">
        <f t="shared" si="31"/>
        <v>0</v>
      </c>
      <c r="AA50" s="82">
        <f t="shared" si="31"/>
        <v>0</v>
      </c>
      <c r="AB50" s="82">
        <f>X50/K50</f>
        <v>1.5615784800000001</v>
      </c>
      <c r="AC50" s="82">
        <f t="shared" ref="AC50" si="32">Y50/L50</f>
        <v>0.52052615999999996</v>
      </c>
      <c r="AD50" s="82">
        <v>0</v>
      </c>
      <c r="AE50" s="82">
        <v>0</v>
      </c>
      <c r="AF50" s="82"/>
      <c r="AG50" s="82"/>
      <c r="AH50" s="82"/>
      <c r="AI50" s="82"/>
      <c r="AK50" t="s">
        <v>261</v>
      </c>
    </row>
    <row r="51" spans="1:60" x14ac:dyDescent="0.2">
      <c r="A51" s="37" t="s">
        <v>254</v>
      </c>
      <c r="B51" s="141"/>
      <c r="C51" s="127"/>
      <c r="D51" s="127"/>
      <c r="E51" s="65" t="s">
        <v>255</v>
      </c>
      <c r="F51" s="90">
        <v>1320</v>
      </c>
      <c r="G51" s="109" t="s">
        <v>173</v>
      </c>
      <c r="H51" s="65" t="s">
        <v>147</v>
      </c>
      <c r="I51" s="93">
        <v>3.206</v>
      </c>
      <c r="J51" s="90">
        <v>6000</v>
      </c>
      <c r="K51" s="90">
        <v>4200</v>
      </c>
      <c r="L51" s="90">
        <v>1800</v>
      </c>
      <c r="M51" s="90">
        <v>0</v>
      </c>
      <c r="N51" s="90">
        <v>0</v>
      </c>
      <c r="O51" s="93">
        <v>0.6</v>
      </c>
      <c r="P51" s="93">
        <v>0.2</v>
      </c>
      <c r="Q51" s="93">
        <v>0</v>
      </c>
      <c r="R51" s="90">
        <v>0</v>
      </c>
      <c r="S51" s="90">
        <v>205</v>
      </c>
      <c r="T51" s="90"/>
      <c r="U51" s="90"/>
      <c r="V51" s="90"/>
      <c r="W51" s="90"/>
      <c r="X51" s="82">
        <f>$F$51*K51*O51*$S$51*$I$51/$AO$13</f>
        <v>2186.2098719999999</v>
      </c>
      <c r="Y51" s="82">
        <f>$F$51*L51*P51*$S$51*$I$51/$AO$13</f>
        <v>312.315696</v>
      </c>
      <c r="Z51" s="82">
        <f t="shared" ref="Z51:AA51" si="33">$F$51*M51*Q51*$S$51*$I$51/$AO$13</f>
        <v>0</v>
      </c>
      <c r="AA51" s="82">
        <f t="shared" si="33"/>
        <v>0</v>
      </c>
      <c r="AB51" s="82">
        <f>X51/K51</f>
        <v>0.52052615999999996</v>
      </c>
      <c r="AC51" s="82">
        <f>Y51/L51</f>
        <v>0.17350872000000001</v>
      </c>
      <c r="AD51" s="6">
        <v>0</v>
      </c>
      <c r="AE51" s="6">
        <v>0</v>
      </c>
      <c r="AF51" s="6"/>
      <c r="AG51" s="6"/>
      <c r="AH51" s="6"/>
      <c r="AI51" s="6"/>
      <c r="AK51" t="s">
        <v>262</v>
      </c>
    </row>
    <row r="52" spans="1:60" x14ac:dyDescent="0.2">
      <c r="A52" s="37"/>
      <c r="B52" s="141"/>
      <c r="C52" s="127"/>
      <c r="D52" s="127"/>
      <c r="E52" s="65" t="s">
        <v>153</v>
      </c>
      <c r="F52" s="90">
        <v>700</v>
      </c>
      <c r="G52" s="109" t="s">
        <v>173</v>
      </c>
      <c r="H52" s="65" t="s">
        <v>147</v>
      </c>
      <c r="I52" s="93">
        <v>3.206</v>
      </c>
      <c r="J52" s="90">
        <v>1800</v>
      </c>
      <c r="K52" s="90">
        <v>0</v>
      </c>
      <c r="L52" s="90">
        <v>1800</v>
      </c>
      <c r="M52" s="90">
        <v>0</v>
      </c>
      <c r="N52" s="90">
        <v>0</v>
      </c>
      <c r="O52" s="93">
        <v>0</v>
      </c>
      <c r="P52" s="93">
        <v>0.2</v>
      </c>
      <c r="Q52" s="93">
        <v>0</v>
      </c>
      <c r="R52" s="90">
        <v>0</v>
      </c>
      <c r="S52" s="90">
        <v>205</v>
      </c>
      <c r="T52" s="90"/>
      <c r="U52" s="90"/>
      <c r="V52" s="90"/>
      <c r="W52" s="90"/>
      <c r="X52" s="82">
        <f>$F$52*K52*O52*$S$52*$I$52/$AO$13</f>
        <v>0</v>
      </c>
      <c r="Y52" s="82">
        <f>$F$52*L52*P52*$S$52*$I$52/$AO$13</f>
        <v>165.62196</v>
      </c>
      <c r="Z52" s="82">
        <f>$F$52*M52*Q52*$S$52*$I$52/$AO$13</f>
        <v>0</v>
      </c>
      <c r="AA52" s="82">
        <f>$F$52*N52*R52*$S$52*$I$52/$AO$13</f>
        <v>0</v>
      </c>
      <c r="AB52" s="82">
        <v>0</v>
      </c>
      <c r="AC52" s="82">
        <f>Y52/L52</f>
        <v>9.2012200000000002E-2</v>
      </c>
      <c r="AD52" s="6">
        <v>0</v>
      </c>
      <c r="AE52" s="6">
        <v>0</v>
      </c>
      <c r="AF52" s="6"/>
      <c r="AG52" s="6"/>
      <c r="AH52" s="6"/>
      <c r="AI52" s="6"/>
    </row>
    <row r="53" spans="1:60" x14ac:dyDescent="0.2">
      <c r="A53" s="37" t="s">
        <v>256</v>
      </c>
      <c r="B53" s="141"/>
      <c r="C53" s="127"/>
      <c r="D53" s="127"/>
      <c r="E53" s="102" t="s">
        <v>257</v>
      </c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60" s="1" customFormat="1" x14ac:dyDescent="0.2">
      <c r="B54" s="141"/>
      <c r="C54" s="127"/>
      <c r="D54" s="127"/>
      <c r="E54" s="126" t="s">
        <v>160</v>
      </c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7">
        <f>SUM(X50:X53)</f>
        <v>8744.8394879999996</v>
      </c>
      <c r="Y54" s="7">
        <f t="shared" ref="Y54:AA54" si="34">SUM(Y50:Y53)</f>
        <v>1414.884744</v>
      </c>
      <c r="Z54" s="7">
        <f t="shared" si="34"/>
        <v>0</v>
      </c>
      <c r="AA54" s="7">
        <f t="shared" si="34"/>
        <v>0</v>
      </c>
      <c r="AB54" s="7">
        <f>AB53+AB51+AB50</f>
        <v>2.0821046399999998</v>
      </c>
      <c r="AC54" s="7">
        <f>AC53+AC51+AC50</f>
        <v>0.69403488000000002</v>
      </c>
      <c r="AD54" s="7">
        <f t="shared" ref="AD54:AE54" si="35">AD53+AD51+AD50</f>
        <v>0</v>
      </c>
      <c r="AE54" s="7">
        <f t="shared" si="35"/>
        <v>0</v>
      </c>
      <c r="AF54" s="6"/>
      <c r="AG54" s="6"/>
      <c r="AH54" s="6"/>
      <c r="AI54" s="6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s="1" customFormat="1" ht="17" customHeight="1" x14ac:dyDescent="0.2">
      <c r="A55" s="81"/>
      <c r="B55" s="89"/>
      <c r="C55" s="144"/>
      <c r="D55" s="144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9"/>
      <c r="Y55" s="89"/>
      <c r="Z55" s="89"/>
      <c r="AA55" s="89"/>
      <c r="AB55" s="89"/>
      <c r="AC55" s="89"/>
      <c r="AD55" s="89"/>
      <c r="AE55" s="89"/>
      <c r="AF55" s="5"/>
      <c r="AG55" s="5"/>
      <c r="AH55" s="5"/>
      <c r="AI55" s="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17" customHeight="1" x14ac:dyDescent="0.2">
      <c r="B56" s="127" t="s">
        <v>273</v>
      </c>
      <c r="C56" s="128" t="s">
        <v>274</v>
      </c>
      <c r="D56" s="128" t="s">
        <v>103</v>
      </c>
      <c r="E56" s="6" t="s">
        <v>145</v>
      </c>
      <c r="F56" s="6">
        <v>2536</v>
      </c>
      <c r="G56" s="6" t="s">
        <v>173</v>
      </c>
      <c r="H56" s="6" t="s">
        <v>147</v>
      </c>
      <c r="I56" s="6">
        <v>3.206</v>
      </c>
      <c r="J56" s="6">
        <v>1273</v>
      </c>
      <c r="K56" s="6">
        <v>891</v>
      </c>
      <c r="L56" s="6">
        <v>382</v>
      </c>
      <c r="M56" s="6">
        <v>0</v>
      </c>
      <c r="N56" s="6">
        <v>0</v>
      </c>
      <c r="O56" s="6">
        <v>0.8</v>
      </c>
      <c r="P56" s="6">
        <v>0.3</v>
      </c>
      <c r="Q56" s="6">
        <v>0</v>
      </c>
      <c r="R56" s="6">
        <v>0</v>
      </c>
      <c r="S56" s="6">
        <v>205</v>
      </c>
      <c r="T56" s="6"/>
      <c r="U56" s="6"/>
      <c r="V56" s="6"/>
      <c r="W56" s="6"/>
      <c r="X56" s="6">
        <f>K56*$F$56*O56*$S$56*$I$56/$AO$13</f>
        <v>1188.0489075839998</v>
      </c>
      <c r="Y56" s="6">
        <f>L56*$F$56*P56*$S$56*$I$56/$AO$13</f>
        <v>191.00786308799997</v>
      </c>
      <c r="Z56" s="6">
        <f t="shared" ref="Y56:AA56" si="36">M56*$F$56*Q56*$S$56*$I$56/$AO$13</f>
        <v>0</v>
      </c>
      <c r="AA56" s="6">
        <f t="shared" si="36"/>
        <v>0</v>
      </c>
      <c r="AB56" s="6">
        <f>X56/K56</f>
        <v>1.3333882239999999</v>
      </c>
      <c r="AC56" s="6">
        <f>Y56/L56</f>
        <v>0.50002058399999993</v>
      </c>
      <c r="AD56" s="6">
        <v>0</v>
      </c>
      <c r="AE56" s="6">
        <v>0</v>
      </c>
      <c r="AF56" s="6"/>
      <c r="AG56" s="6"/>
      <c r="AH56" s="6"/>
      <c r="AI56" s="6"/>
    </row>
    <row r="57" spans="1:60" x14ac:dyDescent="0.2">
      <c r="B57" s="127"/>
      <c r="C57" s="128"/>
      <c r="D57" s="128"/>
      <c r="E57" s="6" t="s">
        <v>148</v>
      </c>
      <c r="F57" s="6">
        <v>191</v>
      </c>
      <c r="G57" s="6" t="s">
        <v>173</v>
      </c>
      <c r="H57" s="6" t="s">
        <v>147</v>
      </c>
      <c r="I57" s="6">
        <v>3.206</v>
      </c>
      <c r="J57" s="6">
        <v>1271</v>
      </c>
      <c r="K57" s="6">
        <v>381</v>
      </c>
      <c r="L57" s="6">
        <v>381</v>
      </c>
      <c r="M57" s="6">
        <v>254</v>
      </c>
      <c r="N57" s="6">
        <v>254</v>
      </c>
      <c r="O57" s="6">
        <v>0.4</v>
      </c>
      <c r="P57" s="6">
        <v>0.6</v>
      </c>
      <c r="Q57" s="6">
        <v>0.2</v>
      </c>
      <c r="R57" s="6">
        <v>0.1</v>
      </c>
      <c r="S57" s="6">
        <v>217</v>
      </c>
      <c r="T57" s="6"/>
      <c r="U57" s="6"/>
      <c r="V57" s="6"/>
      <c r="W57" s="6"/>
      <c r="X57" s="6">
        <f>$F$57*K57*O57*$S$57*$I$57/$AO$13</f>
        <v>20.250772096800002</v>
      </c>
      <c r="Y57" s="6">
        <f t="shared" ref="Y57:AA57" si="37">$F$57*L57*P57*$S$57*$I$57/$AO$13</f>
        <v>30.376158145199994</v>
      </c>
      <c r="Z57" s="6">
        <f t="shared" si="37"/>
        <v>6.7502573656000004</v>
      </c>
      <c r="AA57" s="6">
        <f>$F$57*N57*R57*$S$57*$I$57/$AO$13</f>
        <v>3.3751286828000002</v>
      </c>
      <c r="AB57" s="6">
        <f>X57/K57</f>
        <v>5.3151632800000008E-2</v>
      </c>
      <c r="AC57" s="6">
        <f t="shared" ref="AC57:AE57" si="38">Y57/L57</f>
        <v>7.9727449199999981E-2</v>
      </c>
      <c r="AD57" s="6">
        <f t="shared" si="38"/>
        <v>2.6575816400000001E-2</v>
      </c>
      <c r="AE57" s="6">
        <f t="shared" si="38"/>
        <v>1.32879082E-2</v>
      </c>
      <c r="AF57" s="6"/>
      <c r="AG57" s="6"/>
      <c r="AH57" s="6"/>
      <c r="AI57" s="6"/>
    </row>
    <row r="58" spans="1:60" x14ac:dyDescent="0.2">
      <c r="B58" s="127"/>
      <c r="C58" s="128"/>
      <c r="D58" s="128"/>
      <c r="E58" s="6" t="s">
        <v>184</v>
      </c>
      <c r="F58" s="6">
        <v>0</v>
      </c>
      <c r="G58" s="6"/>
      <c r="H58" s="6"/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/>
      <c r="U58" s="6"/>
      <c r="V58" s="6"/>
      <c r="W58" s="6"/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/>
      <c r="AG58" s="6"/>
      <c r="AH58" s="6"/>
      <c r="AI58" s="6"/>
    </row>
    <row r="59" spans="1:60" x14ac:dyDescent="0.2">
      <c r="B59" s="127"/>
      <c r="C59" s="128"/>
      <c r="D59" s="12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>
        <f>SUM(X56:X58)</f>
        <v>1208.2996796807997</v>
      </c>
      <c r="Y59" s="6">
        <f t="shared" ref="Y59:AE59" si="39">SUM(Y56:Y58)</f>
        <v>221.38402123319997</v>
      </c>
      <c r="Z59" s="6">
        <f t="shared" si="39"/>
        <v>6.7502573656000004</v>
      </c>
      <c r="AA59" s="6">
        <f t="shared" si="39"/>
        <v>3.3751286828000002</v>
      </c>
      <c r="AB59" s="6">
        <f t="shared" si="39"/>
        <v>1.3865398567999998</v>
      </c>
      <c r="AC59" s="6">
        <f t="shared" si="39"/>
        <v>0.5797480331999999</v>
      </c>
      <c r="AD59" s="6">
        <f t="shared" si="39"/>
        <v>2.6575816400000001E-2</v>
      </c>
      <c r="AE59" s="6">
        <f t="shared" si="39"/>
        <v>1.32879082E-2</v>
      </c>
      <c r="AF59" s="6"/>
      <c r="AG59" s="6"/>
      <c r="AH59" s="6"/>
      <c r="AI59" s="6"/>
    </row>
  </sheetData>
  <mergeCells count="55">
    <mergeCell ref="B56:B59"/>
    <mergeCell ref="C56:C59"/>
    <mergeCell ref="D56:D59"/>
    <mergeCell ref="E48:W48"/>
    <mergeCell ref="B50:B54"/>
    <mergeCell ref="C50:C54"/>
    <mergeCell ref="D50:D54"/>
    <mergeCell ref="E54:W54"/>
    <mergeCell ref="B46:B48"/>
    <mergeCell ref="D46:D48"/>
    <mergeCell ref="C46:C48"/>
    <mergeCell ref="B3:G3"/>
    <mergeCell ref="B2:F2"/>
    <mergeCell ref="G2:R2"/>
    <mergeCell ref="T2:W2"/>
    <mergeCell ref="X3:AA3"/>
    <mergeCell ref="J3:N3"/>
    <mergeCell ref="O3:R3"/>
    <mergeCell ref="AB3:AE3"/>
    <mergeCell ref="T3:W3"/>
    <mergeCell ref="H3:I3"/>
    <mergeCell ref="X2:AI2"/>
    <mergeCell ref="AF3:AI3"/>
    <mergeCell ref="B5:B8"/>
    <mergeCell ref="C5:C8"/>
    <mergeCell ref="D5:D8"/>
    <mergeCell ref="E8:W8"/>
    <mergeCell ref="C31:C34"/>
    <mergeCell ref="D31:D34"/>
    <mergeCell ref="B31:B34"/>
    <mergeCell ref="E13:W13"/>
    <mergeCell ref="E18:W18"/>
    <mergeCell ref="E24:W24"/>
    <mergeCell ref="E29:W29"/>
    <mergeCell ref="E34:W34"/>
    <mergeCell ref="B20:B24"/>
    <mergeCell ref="C20:C24"/>
    <mergeCell ref="D20:D24"/>
    <mergeCell ref="B26:B29"/>
    <mergeCell ref="C26:C29"/>
    <mergeCell ref="D26:D29"/>
    <mergeCell ref="B10:B13"/>
    <mergeCell ref="C10:C13"/>
    <mergeCell ref="D10:D13"/>
    <mergeCell ref="B15:B18"/>
    <mergeCell ref="C15:C18"/>
    <mergeCell ref="D15:D18"/>
    <mergeCell ref="E39:W39"/>
    <mergeCell ref="E44:W44"/>
    <mergeCell ref="B36:B39"/>
    <mergeCell ref="C36:C39"/>
    <mergeCell ref="D36:D39"/>
    <mergeCell ref="B41:B44"/>
    <mergeCell ref="C41:C44"/>
    <mergeCell ref="D41:D44"/>
  </mergeCells>
  <hyperlinks>
    <hyperlink ref="AK29" r:id="rId1" xr:uid="{C3D40798-2AAC-E849-917D-39165AEF5B82}"/>
    <hyperlink ref="A12" r:id="rId2" xr:uid="{23CDC08C-5EFD-174B-91ED-6874F6F8CBD5}"/>
    <hyperlink ref="A7" r:id="rId3" xr:uid="{0B3DBD8B-1F2E-E842-8431-12576954634B}"/>
    <hyperlink ref="A43" r:id="rId4" xr:uid="{0360BD24-418D-3244-9E9A-8C6462588A1F}"/>
    <hyperlink ref="A17" r:id="rId5" xr:uid="{6B47CFAE-E004-C146-83D1-FDA8A65EFF36}"/>
    <hyperlink ref="A23" r:id="rId6" xr:uid="{656A88CA-7DDF-0E4B-B23A-F31936E16EAB}"/>
    <hyperlink ref="A28" r:id="rId7" xr:uid="{D80A2D1E-5ABC-2947-B640-35ABB6570DE0}"/>
    <hyperlink ref="A33" r:id="rId8" location=":~:text=Leonardo%20da%20Vinci%20is%20a%20DP3%20ship%20built,cable%20lay%20up%20to%203%2C000%20m%20water%20depth." xr:uid="{65EB56A6-4F5D-0F4F-A7A4-C066B9927A18}"/>
    <hyperlink ref="A38" r:id="rId9" xr:uid="{467C4C45-AF28-3943-9976-E00AA546CECE}"/>
    <hyperlink ref="AL48" r:id="rId10" xr:uid="{6148C7C4-7C82-6743-A29F-27C125B156A1}"/>
    <hyperlink ref="A50" r:id="rId11" xr:uid="{87EB9E0D-FFB5-5D4D-8A45-C49629270BFC}"/>
    <hyperlink ref="A51" r:id="rId12" xr:uid="{C9CA7C98-09F7-6849-8C7A-C286B3C975C7}"/>
    <hyperlink ref="A39" r:id="rId13" xr:uid="{2800AA0E-0877-2748-8550-DD0D5B540A37}"/>
    <hyperlink ref="AP29" r:id="rId14" xr:uid="{541BE02B-A99B-7B40-AC4F-7B6D31733EBC}"/>
    <hyperlink ref="A53" r:id="rId15" xr:uid="{5F2FACA7-58F8-6140-AFAD-141A1BBCBB19}"/>
  </hyperlinks>
  <pageMargins left="0.7" right="0.7" top="0.75" bottom="0.75" header="0.3" footer="0.3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3B06-C93D-C645-A220-FF0691FAC059}">
  <dimension ref="B2:F13"/>
  <sheetViews>
    <sheetView tabSelected="1" zoomScale="115" workbookViewId="0">
      <selection activeCell="E17" sqref="E17"/>
    </sheetView>
  </sheetViews>
  <sheetFormatPr baseColWidth="10" defaultColWidth="11" defaultRowHeight="16" x14ac:dyDescent="0.2"/>
  <cols>
    <col min="2" max="2" width="27.5" bestFit="1" customWidth="1"/>
    <col min="3" max="3" width="16.1640625" customWidth="1"/>
    <col min="4" max="4" width="18" customWidth="1"/>
    <col min="5" max="5" width="19.1640625" customWidth="1"/>
    <col min="6" max="6" width="18.83203125" customWidth="1"/>
  </cols>
  <sheetData>
    <row r="2" spans="2:6" x14ac:dyDescent="0.2">
      <c r="B2" t="s">
        <v>263</v>
      </c>
      <c r="C2" t="s">
        <v>137</v>
      </c>
      <c r="D2" t="s">
        <v>219</v>
      </c>
      <c r="E2" t="s">
        <v>233</v>
      </c>
      <c r="F2" t="s">
        <v>234</v>
      </c>
    </row>
    <row r="3" spans="2:6" x14ac:dyDescent="0.2">
      <c r="B3" t="s">
        <v>264</v>
      </c>
      <c r="C3" s="110">
        <f>'engine-power'!AB8</f>
        <v>4.1486896752</v>
      </c>
      <c r="D3" s="110">
        <f>'engine-power'!AC8</f>
        <v>3.9358741127999997</v>
      </c>
      <c r="E3" s="110">
        <f>'engine-power'!AD8</f>
        <v>0.44441443759999993</v>
      </c>
      <c r="F3" s="110">
        <f>'engine-power'!AE8</f>
        <v>0.22220721879999997</v>
      </c>
    </row>
    <row r="4" spans="2:6" x14ac:dyDescent="0.2">
      <c r="B4" t="s">
        <v>265</v>
      </c>
      <c r="C4" s="110">
        <f>'engine-power'!AB13</f>
        <v>11.486200319999998</v>
      </c>
      <c r="D4" s="110">
        <f>'engine-power'!AC13</f>
        <v>6.9370786799999999</v>
      </c>
      <c r="E4" s="110">
        <f>'engine-power'!AD13</f>
        <v>1.16877936</v>
      </c>
      <c r="F4" s="110">
        <f>'engine-power'!AE13</f>
        <v>0.58438968000000002</v>
      </c>
    </row>
    <row r="5" spans="2:6" x14ac:dyDescent="0.2">
      <c r="B5" t="s">
        <v>266</v>
      </c>
      <c r="C5" s="110">
        <f>'engine-power'!AB18</f>
        <v>1.1117510319999999</v>
      </c>
      <c r="D5" s="110">
        <f>'engine-power'!AC18</f>
        <v>0.43255993199999998</v>
      </c>
      <c r="E5" s="110">
        <f>'engine-power'!AD18</f>
        <v>6.9570200000000004E-3</v>
      </c>
      <c r="F5" s="110">
        <f>'engine-power'!AE18</f>
        <v>3.4785100000000002E-3</v>
      </c>
    </row>
    <row r="6" spans="2:6" x14ac:dyDescent="0.2">
      <c r="B6" t="s">
        <v>267</v>
      </c>
      <c r="C6" s="110">
        <f>'engine-power'!AB24</f>
        <v>4.5613044400000007</v>
      </c>
      <c r="D6" s="110">
        <f>'engine-power'!AC24</f>
        <v>4.5822075600000005</v>
      </c>
      <c r="E6" s="110">
        <f>'engine-power'!AD24</f>
        <v>0.80423151199999998</v>
      </c>
      <c r="F6" s="110">
        <f>'engine-power'!AE24</f>
        <v>0.47307735999999995</v>
      </c>
    </row>
    <row r="7" spans="2:6" x14ac:dyDescent="0.2">
      <c r="B7" t="s">
        <v>268</v>
      </c>
      <c r="C7" s="110">
        <f>'engine-power'!AB29</f>
        <v>4.5018523760000004</v>
      </c>
      <c r="D7" s="110">
        <f>'engine-power'!AC29</f>
        <v>3.3693585239999999</v>
      </c>
      <c r="E7" s="110">
        <f>'engine-power'!AD29</f>
        <v>0.74718394799999999</v>
      </c>
      <c r="F7" s="110">
        <f>'engine-power'!AE29</f>
        <v>0.37359197399999999</v>
      </c>
    </row>
    <row r="8" spans="2:6" x14ac:dyDescent="0.2">
      <c r="B8" t="s">
        <v>269</v>
      </c>
      <c r="C8" s="110">
        <f>'engine-power'!AB34</f>
        <v>4.1486896752</v>
      </c>
      <c r="D8" s="110">
        <f>'engine-power'!AC34</f>
        <v>2.5556911127999999</v>
      </c>
      <c r="E8" s="110">
        <f>'engine-power'!AD34</f>
        <v>0.44441443759999993</v>
      </c>
      <c r="F8" s="110">
        <f>'engine-power'!AE34</f>
        <v>0.22220721879999997</v>
      </c>
    </row>
    <row r="9" spans="2:6" x14ac:dyDescent="0.2">
      <c r="B9" t="s">
        <v>270</v>
      </c>
      <c r="C9" s="110">
        <f>'engine-power'!AB39</f>
        <v>14.875224447999999</v>
      </c>
      <c r="D9" s="110">
        <f>'engine-power'!AC39</f>
        <v>20.420014272</v>
      </c>
      <c r="E9" s="110">
        <f>'engine-power'!AD39</f>
        <v>4.8086922239999996</v>
      </c>
      <c r="F9" s="110">
        <f>'engine-power'!AE39</f>
        <v>2.4043461119999998</v>
      </c>
    </row>
    <row r="10" spans="2:6" x14ac:dyDescent="0.2">
      <c r="B10" t="s">
        <v>271</v>
      </c>
      <c r="C10" s="110">
        <f>'engine-power'!AB44</f>
        <v>16.347419647999999</v>
      </c>
      <c r="D10" s="110">
        <f>'engine-power'!AC44</f>
        <v>19.138415772000002</v>
      </c>
      <c r="E10" s="110">
        <f>'engine-power'!AD44</f>
        <v>4.8086922239999996</v>
      </c>
      <c r="F10" s="110">
        <f>'engine-power'!AE44</f>
        <v>2.4043461119999998</v>
      </c>
    </row>
    <row r="11" spans="2:6" x14ac:dyDescent="0.2">
      <c r="B11" t="s">
        <v>252</v>
      </c>
      <c r="C11" s="110">
        <f>'engine-power'!AB54</f>
        <v>2.0821046399999998</v>
      </c>
      <c r="D11" s="110">
        <f>'engine-power'!AC54</f>
        <v>0.69403488000000002</v>
      </c>
      <c r="E11" s="110">
        <f>'engine-power'!AD54</f>
        <v>0</v>
      </c>
      <c r="F11" s="110">
        <f>'engine-power'!AE54</f>
        <v>0</v>
      </c>
    </row>
    <row r="12" spans="2:6" x14ac:dyDescent="0.2">
      <c r="B12" t="s">
        <v>272</v>
      </c>
      <c r="C12" s="145">
        <f>'engine-power'!AB59</f>
        <v>1.3865398567999998</v>
      </c>
      <c r="D12" s="145">
        <f>'engine-power'!AC59</f>
        <v>0.5797480331999999</v>
      </c>
      <c r="E12" s="145">
        <f>'engine-power'!AD59</f>
        <v>2.6575816400000001E-2</v>
      </c>
      <c r="F12" s="145">
        <f>'engine-power'!AE59</f>
        <v>1.32879082E-2</v>
      </c>
    </row>
    <row r="13" spans="2:6" x14ac:dyDescent="0.2">
      <c r="B13" t="s">
        <v>275</v>
      </c>
      <c r="C13">
        <f>(2*C12+C4)/3</f>
        <v>4.7530933445333323</v>
      </c>
      <c r="D13">
        <f t="shared" ref="D13:F13" si="0">(2*D12+D4)/3</f>
        <v>2.6988582488000001</v>
      </c>
      <c r="E13">
        <f t="shared" si="0"/>
        <v>0.4073103309333333</v>
      </c>
      <c r="F13">
        <f t="shared" si="0"/>
        <v>0.20365516546666665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52F9F6DEDAF408208614EE6C0588E" ma:contentTypeVersion="14" ma:contentTypeDescription="Create a new document." ma:contentTypeScope="" ma:versionID="b61c4c2277194ff8d073e8d936fd6546">
  <xsd:schema xmlns:xsd="http://www.w3.org/2001/XMLSchema" xmlns:xs="http://www.w3.org/2001/XMLSchema" xmlns:p="http://schemas.microsoft.com/office/2006/metadata/properties" xmlns:ns2="c3fed6a1-161a-40e2-8029-a56ff5784305" xmlns:ns3="a44c0d7f-4a78-4b51-b7b2-4685f44aea4a" targetNamespace="http://schemas.microsoft.com/office/2006/metadata/properties" ma:root="true" ma:fieldsID="fab30824adf42336da97ae49bd0a8cca" ns2:_="" ns3:_="">
    <xsd:import namespace="c3fed6a1-161a-40e2-8029-a56ff5784305"/>
    <xsd:import namespace="a44c0d7f-4a78-4b51-b7b2-4685f44aea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ed6a1-161a-40e2-8029-a56ff5784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c0d7f-4a78-4b51-b7b2-4685f44aea4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cba4d08-97b2-47ef-b1eb-9b25a71c33ea}" ma:internalName="TaxCatchAll" ma:showField="CatchAllData" ma:web="a44c0d7f-4a78-4b51-b7b2-4685f44aea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4c0d7f-4a78-4b51-b7b2-4685f44aea4a" xsi:nil="true"/>
    <lcf76f155ced4ddcb4097134ff3c332f xmlns="c3fed6a1-161a-40e2-8029-a56ff57843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9FED51-7F63-4F0F-B362-0A34E7498EF2}"/>
</file>

<file path=customXml/itemProps2.xml><?xml version="1.0" encoding="utf-8"?>
<ds:datastoreItem xmlns:ds="http://schemas.openxmlformats.org/officeDocument/2006/customXml" ds:itemID="{D48BFE14-5F4B-47E1-B7C8-5E7F5003BB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072320-6D32-4AB9-B2C7-3536B3C5D058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d3fc4b62-afde-4d0a-b311-d84c0759faf2"/>
    <ds:schemaRef ds:uri="e15d5529-bdaf-4d9d-a53f-a8864ec6647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Vessels</vt:lpstr>
      <vt:lpstr>engine-power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Hemez, Zoe</cp:lastModifiedBy>
  <cp:revision/>
  <dcterms:created xsi:type="dcterms:W3CDTF">2022-12-09T07:12:34Z</dcterms:created>
  <dcterms:modified xsi:type="dcterms:W3CDTF">2023-04-14T20:27:01Z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0x010100DD052F9F6DEDAF408208614EE6C0588E</vt:lpwstr>
  </property>
  <property fmtid="{D5CDD505-2E9C-101B-9397-08002B2CF9AE}" pid="3" name="MediaServiceImageTags">
    <vt:lpwstr/>
  </property>
  <property fmtid="{D5CDD505-2E9C-101B-9397-08002B2CF9AE}" pid="4" name="Order">
    <vt:r8>15900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