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fan\Desktop\Plot\Matt\"/>
    </mc:Choice>
  </mc:AlternateContent>
  <xr:revisionPtr revIDLastSave="0" documentId="13_ncr:1_{376176D3-0623-45FE-AFD2-B7C732E1D5F4}" xr6:coauthVersionLast="47" xr6:coauthVersionMax="47" xr10:uidLastSave="{00000000-0000-0000-0000-000000000000}"/>
  <bookViews>
    <workbookView xWindow="-108" yWindow="-108" windowWidth="23256" windowHeight="12576" firstSheet="10" activeTab="10" xr2:uid="{00000000-000D-0000-FFFF-FFFF00000000}"/>
  </bookViews>
  <sheets>
    <sheet name="baseline" sheetId="2" r:id="rId1"/>
    <sheet name="baseline (experimental)" sheetId="10" r:id="rId2"/>
    <sheet name="breakdown pie chart" sheetId="5" r:id="rId3"/>
    <sheet name="steel (old)" sheetId="3" r:id="rId4"/>
    <sheet name="steel (new)" sheetId="9" r:id="rId5"/>
    <sheet name="steel (experimental)" sheetId="11" r:id="rId6"/>
    <sheet name="Sheet7" sheetId="7" r:id="rId7"/>
    <sheet name="IRA" sheetId="4" r:id="rId8"/>
    <sheet name="Labor" sheetId="6" r:id="rId9"/>
    <sheet name="domestic_content" sheetId="14" r:id="rId10"/>
    <sheet name="steel_tariff" sheetId="13" r:id="rId11"/>
    <sheet name="py_capex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3" l="1"/>
  <c r="B9" i="13"/>
  <c r="B7" i="14"/>
  <c r="B8" i="14" l="1"/>
  <c r="B9" i="14" s="1"/>
  <c r="B3" i="12"/>
  <c r="B4" i="12" s="1"/>
  <c r="B5" i="12" s="1"/>
  <c r="B6" i="12" s="1"/>
  <c r="B7" i="12" s="1"/>
  <c r="B8" i="12" s="1"/>
  <c r="B9" i="12" s="1"/>
  <c r="C9" i="11"/>
  <c r="C7" i="11"/>
  <c r="G7" i="11" s="1"/>
  <c r="H6" i="11"/>
  <c r="C6" i="11"/>
  <c r="F6" i="11" s="1"/>
  <c r="C4" i="11"/>
  <c r="F4" i="11" s="1"/>
  <c r="H5" i="11"/>
  <c r="C5" i="11"/>
  <c r="F5" i="11" s="1"/>
  <c r="D4" i="11"/>
  <c r="E3" i="11"/>
  <c r="C9" i="6"/>
  <c r="I9" i="6"/>
  <c r="I7" i="6"/>
  <c r="C13" i="6"/>
  <c r="C4" i="6"/>
  <c r="C5" i="6" s="1"/>
  <c r="F9" i="11" l="1"/>
  <c r="D5" i="11"/>
  <c r="D6" i="11" s="1"/>
  <c r="D7" i="11" s="1"/>
  <c r="D8" i="11" s="1"/>
  <c r="D9" i="11" s="1"/>
  <c r="D10" i="11" s="1"/>
  <c r="C6" i="6"/>
  <c r="C7" i="6" s="1"/>
  <c r="C8" i="6" s="1"/>
  <c r="C10" i="6" s="1"/>
  <c r="H24" i="11" l="1"/>
  <c r="H23" i="11"/>
  <c r="C24" i="11"/>
  <c r="F24" i="11" s="1"/>
  <c r="C23" i="11"/>
  <c r="C22" i="11"/>
  <c r="F22" i="11" s="1"/>
  <c r="C45" i="10"/>
  <c r="C43" i="10"/>
  <c r="F43" i="10" s="1"/>
  <c r="C29" i="10"/>
  <c r="C26" i="10"/>
  <c r="C24" i="10"/>
  <c r="F24" i="10" s="1"/>
  <c r="C44" i="11"/>
  <c r="G44" i="11" s="1"/>
  <c r="H43" i="11"/>
  <c r="C43" i="11"/>
  <c r="F43" i="11" s="1"/>
  <c r="H42" i="11"/>
  <c r="C42" i="11"/>
  <c r="F42" i="11" s="1"/>
  <c r="C41" i="11"/>
  <c r="F41" i="11" s="1"/>
  <c r="E40" i="11"/>
  <c r="D41" i="11" s="1"/>
  <c r="D42" i="11" s="1"/>
  <c r="D43" i="11" s="1"/>
  <c r="C27" i="11"/>
  <c r="F27" i="11" s="1"/>
  <c r="C25" i="11"/>
  <c r="G25" i="11" s="1"/>
  <c r="F23" i="11"/>
  <c r="E21" i="11"/>
  <c r="D22" i="11" s="1"/>
  <c r="C52" i="10"/>
  <c r="C48" i="10" s="1"/>
  <c r="C46" i="10"/>
  <c r="G46" i="10" s="1"/>
  <c r="F45" i="10"/>
  <c r="F44" i="10"/>
  <c r="C44" i="10"/>
  <c r="E42" i="10"/>
  <c r="D43" i="10" s="1"/>
  <c r="C33" i="10"/>
  <c r="G29" i="10" s="1"/>
  <c r="C27" i="10"/>
  <c r="G27" i="10" s="1"/>
  <c r="F26" i="10"/>
  <c r="C25" i="10"/>
  <c r="F25" i="10" s="1"/>
  <c r="D24" i="10"/>
  <c r="E23" i="10"/>
  <c r="C14" i="10"/>
  <c r="G10" i="10" s="1"/>
  <c r="G8" i="10"/>
  <c r="C8" i="10"/>
  <c r="C7" i="10"/>
  <c r="F7" i="10" s="1"/>
  <c r="D6" i="10"/>
  <c r="C6" i="10"/>
  <c r="F6" i="10" s="1"/>
  <c r="F5" i="10"/>
  <c r="D5" i="10"/>
  <c r="C5" i="10"/>
  <c r="E4" i="10"/>
  <c r="H26" i="9"/>
  <c r="H25" i="9"/>
  <c r="C29" i="9" s="1"/>
  <c r="F29" i="9" s="1"/>
  <c r="C10" i="9"/>
  <c r="F10" i="9" s="1"/>
  <c r="H7" i="9"/>
  <c r="H6" i="9"/>
  <c r="C6" i="9"/>
  <c r="C5" i="9"/>
  <c r="C27" i="9"/>
  <c r="G27" i="9" s="1"/>
  <c r="C26" i="9"/>
  <c r="F26" i="9" s="1"/>
  <c r="C25" i="9"/>
  <c r="F25" i="9" s="1"/>
  <c r="C24" i="9"/>
  <c r="F24" i="9" s="1"/>
  <c r="E23" i="9"/>
  <c r="D24" i="9" s="1"/>
  <c r="C8" i="9"/>
  <c r="G8" i="9" s="1"/>
  <c r="C7" i="9"/>
  <c r="F7" i="9" s="1"/>
  <c r="F6" i="9"/>
  <c r="F5" i="9"/>
  <c r="E4" i="9"/>
  <c r="D5" i="9" s="1"/>
  <c r="C46" i="2"/>
  <c r="C45" i="2"/>
  <c r="F45" i="2" s="1"/>
  <c r="C44" i="2"/>
  <c r="F44" i="2" s="1"/>
  <c r="C43" i="2"/>
  <c r="C29" i="2"/>
  <c r="C26" i="2"/>
  <c r="C25" i="2"/>
  <c r="F25" i="2" s="1"/>
  <c r="C24" i="2"/>
  <c r="C6" i="2"/>
  <c r="C5" i="2"/>
  <c r="C48" i="2"/>
  <c r="G46" i="2"/>
  <c r="C27" i="2"/>
  <c r="G27" i="2" s="1"/>
  <c r="C8" i="2"/>
  <c r="C7" i="2"/>
  <c r="C52" i="2"/>
  <c r="G48" i="2" s="1"/>
  <c r="F43" i="2"/>
  <c r="E42" i="2"/>
  <c r="D43" i="2" s="1"/>
  <c r="C33" i="2"/>
  <c r="F26" i="2"/>
  <c r="F24" i="2"/>
  <c r="E23" i="2"/>
  <c r="D24" i="2" s="1"/>
  <c r="G9" i="3"/>
  <c r="C9" i="3"/>
  <c r="D44" i="11" l="1"/>
  <c r="D45" i="11" s="1"/>
  <c r="D46" i="11" s="1"/>
  <c r="C46" i="11"/>
  <c r="F46" i="11" s="1"/>
  <c r="D23" i="11"/>
  <c r="D24" i="11" s="1"/>
  <c r="D25" i="11" s="1"/>
  <c r="D26" i="11" s="1"/>
  <c r="D27" i="11" s="1"/>
  <c r="D28" i="11" s="1"/>
  <c r="G48" i="10"/>
  <c r="C10" i="10"/>
  <c r="D7" i="10"/>
  <c r="D8" i="10" s="1"/>
  <c r="D9" i="10" s="1"/>
  <c r="D10" i="10" s="1"/>
  <c r="D11" i="10" s="1"/>
  <c r="D25" i="10"/>
  <c r="D26" i="10" s="1"/>
  <c r="D27" i="10" s="1"/>
  <c r="D28" i="10" s="1"/>
  <c r="D29" i="10" s="1"/>
  <c r="D30" i="10" s="1"/>
  <c r="D44" i="10"/>
  <c r="D45" i="10" s="1"/>
  <c r="D46" i="10" s="1"/>
  <c r="D47" i="10" s="1"/>
  <c r="D25" i="9"/>
  <c r="D26" i="9" s="1"/>
  <c r="D27" i="9" s="1"/>
  <c r="D28" i="9" s="1"/>
  <c r="D29" i="9" s="1"/>
  <c r="D30" i="9" s="1"/>
  <c r="D6" i="9"/>
  <c r="D7" i="9" s="1"/>
  <c r="D8" i="9" s="1"/>
  <c r="D9" i="9" s="1"/>
  <c r="D10" i="9" s="1"/>
  <c r="D11" i="9" s="1"/>
  <c r="G29" i="2"/>
  <c r="D25" i="2"/>
  <c r="D26" i="2" s="1"/>
  <c r="D27" i="2" s="1"/>
  <c r="D28" i="2" s="1"/>
  <c r="D29" i="2" s="1"/>
  <c r="D30" i="2" s="1"/>
  <c r="D44" i="2"/>
  <c r="D45" i="2" s="1"/>
  <c r="D46" i="2" s="1"/>
  <c r="D47" i="2" s="1"/>
  <c r="C18" i="3"/>
  <c r="C15" i="3"/>
  <c r="C7" i="3"/>
  <c r="G7" i="3" s="1"/>
  <c r="C6" i="3"/>
  <c r="F6" i="3" s="1"/>
  <c r="C5" i="3"/>
  <c r="F5" i="3" s="1"/>
  <c r="C4" i="3"/>
  <c r="F4" i="3" s="1"/>
  <c r="E3" i="3"/>
  <c r="D4" i="3" s="1"/>
  <c r="O53" i="7"/>
  <c r="R54" i="7"/>
  <c r="R53" i="7"/>
  <c r="O54" i="7"/>
  <c r="M54" i="7"/>
  <c r="M53" i="7"/>
  <c r="G53" i="7"/>
  <c r="G54" i="7"/>
  <c r="F54" i="7"/>
  <c r="F53" i="7"/>
  <c r="R51" i="7"/>
  <c r="R50" i="7"/>
  <c r="O50" i="7"/>
  <c r="O51" i="7"/>
  <c r="M51" i="7"/>
  <c r="M50" i="7"/>
  <c r="M49" i="7"/>
  <c r="G49" i="7"/>
  <c r="G50" i="7"/>
  <c r="G51" i="7"/>
  <c r="F51" i="7"/>
  <c r="F50" i="7"/>
  <c r="F49" i="7"/>
  <c r="G4" i="5"/>
  <c r="G5" i="5"/>
  <c r="G6" i="5"/>
  <c r="G3" i="5"/>
  <c r="H6" i="4"/>
  <c r="B3" i="4"/>
  <c r="B4" i="4" s="1"/>
  <c r="B5" i="4" s="1"/>
  <c r="G5" i="4"/>
  <c r="D4" i="4"/>
  <c r="C3" i="4"/>
  <c r="B10" i="4"/>
  <c r="C14" i="2"/>
  <c r="B6" i="4" l="1"/>
  <c r="B7" i="4" s="1"/>
  <c r="B8" i="4" s="1"/>
  <c r="D47" i="11"/>
  <c r="D48" i="10"/>
  <c r="D49" i="10" s="1"/>
  <c r="D48" i="2"/>
  <c r="D49" i="2" s="1"/>
  <c r="C10" i="2"/>
  <c r="G10" i="2"/>
  <c r="D5" i="3"/>
  <c r="D6" i="3" s="1"/>
  <c r="G8" i="2"/>
  <c r="E4" i="2"/>
  <c r="D5" i="2" s="1"/>
  <c r="F7" i="2"/>
  <c r="F6" i="2"/>
  <c r="F5" i="2"/>
  <c r="D6" i="2" l="1"/>
  <c r="D7" i="2" s="1"/>
  <c r="D8" i="2" s="1"/>
  <c r="D9" i="2" s="1"/>
  <c r="D10" i="2" s="1"/>
  <c r="D11" i="2" s="1"/>
  <c r="D7" i="3"/>
  <c r="D8" i="3" s="1"/>
  <c r="D9" i="3" s="1"/>
  <c r="D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tc={25B2D50E-9DD9-4819-8B53-1D18B89A9E30}</author>
  </authors>
  <commentList>
    <comment ref="A6" authorId="0" shapeId="0" xr:uid="{25B2D50E-9DD9-4819-8B53-1D18B89A9E30}">
      <text>
        <t>[Threaded comment]
Your version of Excel allows you to read this threaded comment; however, any edits to it will get removed if the file is opened in a newer version of Excel. Learn more: https://go.microsoft.com/fwlink/?linkid=870924
Comment:
    Switched this with A8 for code</t>
      </text>
    </comment>
  </commentList>
</comments>
</file>

<file path=xl/sharedStrings.xml><?xml version="1.0" encoding="utf-8"?>
<sst xmlns="http://schemas.openxmlformats.org/spreadsheetml/2006/main" count="422" uniqueCount="108">
  <si>
    <t>Asia vs US West Coast</t>
  </si>
  <si>
    <t>Heading</t>
  </si>
  <si>
    <t>Value</t>
  </si>
  <si>
    <t>Float</t>
  </si>
  <si>
    <t>CAPEX</t>
  </si>
  <si>
    <t>Increases</t>
  </si>
  <si>
    <t>Decreases</t>
  </si>
  <si>
    <t>Percentage</t>
  </si>
  <si>
    <t>Asia CAPEX</t>
  </si>
  <si>
    <t xml:space="preserve">Labor Cost </t>
  </si>
  <si>
    <t xml:space="preserve">Material Cost </t>
  </si>
  <si>
    <t xml:space="preserve">Factory Cost </t>
  </si>
  <si>
    <t xml:space="preserve">Tranpsortation Cost </t>
  </si>
  <si>
    <t>West Coast CAPEX w/o Bonus</t>
  </si>
  <si>
    <t xml:space="preserve">Bonus - Domestic Content </t>
  </si>
  <si>
    <t xml:space="preserve">West Coast CAPEX </t>
  </si>
  <si>
    <t>CA cost w/o domestic content</t>
  </si>
  <si>
    <t>Domestic content bonus</t>
  </si>
  <si>
    <t>Asia vs CA</t>
  </si>
  <si>
    <t>Tranpsortation Cost</t>
  </si>
  <si>
    <t>CA CAPEX w/o Bonus</t>
  </si>
  <si>
    <t xml:space="preserve">CA CAPEX </t>
  </si>
  <si>
    <t>Asia vs CRB</t>
  </si>
  <si>
    <t>CRB CAPEX w/o Bonus</t>
  </si>
  <si>
    <t>CRB CAPEX</t>
  </si>
  <si>
    <t>SE Asia CAPEX</t>
  </si>
  <si>
    <t>asia</t>
  </si>
  <si>
    <t>US</t>
  </si>
  <si>
    <t>domestic content</t>
  </si>
  <si>
    <t>labor</t>
  </si>
  <si>
    <t>material</t>
  </si>
  <si>
    <t>factory</t>
  </si>
  <si>
    <t>transportation</t>
  </si>
  <si>
    <t>Asia</t>
  </si>
  <si>
    <t>Tranpsortation Cost offset</t>
  </si>
  <si>
    <t>CAPEX unsubsidized w/o tariffs</t>
  </si>
  <si>
    <t>CAPEX subsidized w/o tariffs</t>
  </si>
  <si>
    <t>Steel tariff</t>
  </si>
  <si>
    <t>CAPEX subsidized w/ tariffs</t>
  </si>
  <si>
    <t xml:space="preserve">Looking at two scenarios: 
1) US Steel w/ domestic content
2) Imported steel w/o domestic content benefits </t>
  </si>
  <si>
    <t>CA cost w tariff w/o domestic content</t>
  </si>
  <si>
    <t xml:space="preserve">domestic content bonus </t>
  </si>
  <si>
    <t>Steel Tariff</t>
  </si>
  <si>
    <t>CA CAPEX w/ Tariff</t>
  </si>
  <si>
    <t xml:space="preserve">CRB CAPEX </t>
  </si>
  <si>
    <t>CRB CAPEX w/ Tariff</t>
  </si>
  <si>
    <t>West Coast CAPEX w/ Tariff</t>
  </si>
  <si>
    <t>Component</t>
  </si>
  <si>
    <t>Cost per kW</t>
  </si>
  <si>
    <t>Labor %</t>
  </si>
  <si>
    <t>Material %</t>
  </si>
  <si>
    <t>Labor S.F.</t>
  </si>
  <si>
    <t>Material S.F.</t>
  </si>
  <si>
    <t>Subtotal ($ million)</t>
  </si>
  <si>
    <t>Cost per unit ($ million)</t>
  </si>
  <si>
    <t>Total number</t>
  </si>
  <si>
    <t>Number per trip</t>
  </si>
  <si>
    <t>Number of trips</t>
  </si>
  <si>
    <t>Total Transport Cost</t>
  </si>
  <si>
    <t>Factory amortization premium (%)</t>
  </si>
  <si>
    <t>Factory amortization cost ($ millions)</t>
  </si>
  <si>
    <t>Total</t>
  </si>
  <si>
    <t>Emissions (ton)</t>
  </si>
  <si>
    <t>Blade</t>
  </si>
  <si>
    <t xml:space="preserve"> $-   </t>
  </si>
  <si>
    <t>Nacelle</t>
  </si>
  <si>
    <t>Tower</t>
  </si>
  <si>
    <t>Floating platform subassembly</t>
  </si>
  <si>
    <t>Floating plaform final assembly</t>
  </si>
  <si>
    <t xml:space="preserve">$-   </t>
  </si>
  <si>
    <t>Mooring rope</t>
  </si>
  <si>
    <t>Mooring chain</t>
  </si>
  <si>
    <t>Anchor</t>
  </si>
  <si>
    <t>Substation</t>
  </si>
  <si>
    <t>Dynamic export cable</t>
  </si>
  <si>
    <t>Dynamic array cable</t>
  </si>
  <si>
    <t>Baseline cost</t>
  </si>
  <si>
    <t>CA</t>
  </si>
  <si>
    <t>CA w/ tariff</t>
  </si>
  <si>
    <t xml:space="preserve"> </t>
  </si>
  <si>
    <t>Base</t>
  </si>
  <si>
    <t>Labor</t>
  </si>
  <si>
    <t>Material</t>
  </si>
  <si>
    <t>Factory</t>
  </si>
  <si>
    <t>Transportation</t>
  </si>
  <si>
    <t>Increase</t>
  </si>
  <si>
    <t>Decrease</t>
  </si>
  <si>
    <t xml:space="preserve">Other </t>
  </si>
  <si>
    <t>Material Cost</t>
  </si>
  <si>
    <t>Factory Cost</t>
  </si>
  <si>
    <t>Domestic Content</t>
  </si>
  <si>
    <t>West Coast Capital Cost</t>
  </si>
  <si>
    <t>West Coast CAPEX (w/o bonus)</t>
  </si>
  <si>
    <t>West Coast CAPEX</t>
  </si>
  <si>
    <t>scenario</t>
  </si>
  <si>
    <t>value</t>
  </si>
  <si>
    <t>SE Asia Manufacturing Cost</t>
  </si>
  <si>
    <t xml:space="preserve">Labor Differences </t>
  </si>
  <si>
    <t>Material Differences</t>
  </si>
  <si>
    <t>New US Factory Amortization</t>
  </si>
  <si>
    <t>Trans-Pacific Component Transportation</t>
  </si>
  <si>
    <t>WC CAPEX w/o Bonus</t>
  </si>
  <si>
    <t>Domestic Content Bonus</t>
  </si>
  <si>
    <t>West Coast Manufacturing Cost</t>
  </si>
  <si>
    <t>Steel Tariff (Section 232)</t>
  </si>
  <si>
    <t>Labor Cost</t>
  </si>
  <si>
    <t>Transportation Cost</t>
  </si>
  <si>
    <t>Bonus - Domestic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</si>
</sst>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0" xfId="1" applyFont="1"/>
    <xf numFmtId="164" fontId="0" fillId="0" borderId="0" xfId="1" applyNumberFormat="1" applyFont="1"/>
    <xf numFmtId="44" fontId="0" fillId="0" borderId="0" xfId="0" applyNumberFormat="1"/>
    <xf numFmtId="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9" fontId="0" fillId="0" borderId="0" xfId="2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8" fontId="0" fillId="0" borderId="0" xfId="0" applyNumberFormat="1"/>
    <xf numFmtId="8" fontId="2" fillId="0" borderId="1" xfId="0" applyNumberFormat="1" applyFont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8" fontId="0" fillId="4" borderId="0" xfId="0" applyNumberFormat="1" applyFill="1"/>
    <xf numFmtId="0" fontId="6" fillId="0" borderId="0" xfId="0" applyFont="1"/>
    <xf numFmtId="1" fontId="6" fillId="0" borderId="0" xfId="0" applyNumberFormat="1" applyFont="1"/>
    <xf numFmtId="9" fontId="6" fillId="0" borderId="0" xfId="2" applyFont="1"/>
    <xf numFmtId="0" fontId="5" fillId="0" borderId="0" xfId="0" applyFont="1"/>
    <xf numFmtId="0" fontId="7" fillId="0" borderId="0" xfId="0" applyFont="1"/>
    <xf numFmtId="0" fontId="6" fillId="0" borderId="0" xfId="2" applyNumberFormat="1" applyFont="1"/>
    <xf numFmtId="1" fontId="6" fillId="0" borderId="0" xfId="2" applyNumberFormat="1" applyFont="1"/>
    <xf numFmtId="0" fontId="8" fillId="0" borderId="0" xfId="0" applyFont="1"/>
    <xf numFmtId="0" fontId="0" fillId="5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 - Asia vs West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baseline!$D$3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C3-4A77-9079-4759C2FD3A1C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C3-4A77-9079-4759C2FD3A1C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C3-4A77-9079-4759C2FD3A1C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C3-4A77-9079-4759C2FD3A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C3-4A77-9079-4759C2FD3A1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3-4A77-9079-4759C2FD3A1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3F-4A40-B431-2B0A0B544BF2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C3-4A77-9079-4759C2FD3A1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3F-4A40-B431-2B0A0B544B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baseline!$D$4:$D$11</c:f>
              <c:numCache>
                <c:formatCode>0</c:formatCode>
                <c:ptCount val="8"/>
                <c:pt idx="1">
                  <c:v>2202.08</c:v>
                </c:pt>
                <c:pt idx="2">
                  <c:v>2580.25</c:v>
                </c:pt>
                <c:pt idx="3">
                  <c:v>2817.71</c:v>
                </c:pt>
                <c:pt idx="4">
                  <c:v>2262.39</c:v>
                </c:pt>
                <c:pt idx="5">
                  <c:v>2262.39</c:v>
                </c:pt>
                <c:pt idx="6">
                  <c:v>2040.9429999999998</c:v>
                </c:pt>
                <c:pt idx="7">
                  <c:v>2040.9429999999998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3-4A77-9079-4759C2FD3A1C}"/>
            </c:ext>
          </c:extLst>
        </c:ser>
        <c:ser>
          <c:idx val="1"/>
          <c:order val="1"/>
          <c:tx>
            <c:strRef>
              <c:f>baseline!$E$3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baseline!$E$4:$E$11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3-4A77-9079-4759C2FD3A1C}"/>
            </c:ext>
          </c:extLst>
        </c:ser>
        <c:ser>
          <c:idx val="2"/>
          <c:order val="2"/>
          <c:tx>
            <c:strRef>
              <c:f>baseline!$F$3</c:f>
              <c:strCache>
                <c:ptCount val="1"/>
                <c:pt idx="0">
                  <c:v>Increases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baseline!$F$4:$F$11</c:f>
              <c:numCache>
                <c:formatCode>0</c:formatCode>
                <c:ptCount val="8"/>
                <c:pt idx="1">
                  <c:v>378.17</c:v>
                </c:pt>
                <c:pt idx="2">
                  <c:v>237.46000000000004</c:v>
                </c:pt>
                <c:pt idx="3">
                  <c:v>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3-4A77-9079-4759C2FD3A1C}"/>
            </c:ext>
          </c:extLst>
        </c:ser>
        <c:ser>
          <c:idx val="3"/>
          <c:order val="3"/>
          <c:tx>
            <c:strRef>
              <c:f>baseline!$G$3</c:f>
              <c:strCache>
                <c:ptCount val="1"/>
                <c:pt idx="0">
                  <c:v>Decreases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baseline!$G$4:$G$11</c:f>
              <c:numCache>
                <c:formatCode>0</c:formatCode>
                <c:ptCount val="8"/>
                <c:pt idx="4">
                  <c:v>661</c:v>
                </c:pt>
                <c:pt idx="6">
                  <c:v>221.447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3-4A77-9079-4759C2FD3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6976848"/>
        <c:axId val="1056983408"/>
      </c:barChart>
      <c:catAx>
        <c:axId val="10569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83408"/>
        <c:crosses val="autoZero"/>
        <c:auto val="1"/>
        <c:lblAlgn val="ctr"/>
        <c:lblOffset val="100"/>
        <c:noMultiLvlLbl val="0"/>
      </c:catAx>
      <c:valAx>
        <c:axId val="10569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CAPEX - Asia vs CA (w/</a:t>
            </a:r>
            <a:r>
              <a:rPr lang="en-US" baseline="0">
                <a:solidFill>
                  <a:schemeClr val="tx1"/>
                </a:solidFill>
              </a:rPr>
              <a:t> Steel Tariff)</a:t>
            </a:r>
            <a:r>
              <a:rPr lang="en-US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43-4DEB-8B86-1830010608AB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43-4DEB-8B86-1830010608AB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43-4DEB-8B86-1830010608A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43-4DEB-8B86-1830010608A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43-4DEB-8B86-1830010608AB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43-4DEB-8B86-1830010608A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43-4DEB-8B86-1830010608AB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43-4DEB-8B86-1830010608A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43-4DEB-8B86-1830010608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(new)'!$D$4:$D$11</c:f>
              <c:numCache>
                <c:formatCode>0</c:formatCode>
                <c:ptCount val="8"/>
                <c:pt idx="1">
                  <c:v>2202.08</c:v>
                </c:pt>
                <c:pt idx="2">
                  <c:v>2655.89</c:v>
                </c:pt>
                <c:pt idx="3">
                  <c:v>2893.35</c:v>
                </c:pt>
                <c:pt idx="4">
                  <c:v>2339.69</c:v>
                </c:pt>
                <c:pt idx="5">
                  <c:v>2339.69</c:v>
                </c:pt>
                <c:pt idx="6">
                  <c:v>2339.69</c:v>
                </c:pt>
                <c:pt idx="7">
                  <c:v>2547.34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3-4DEB-8B86-1830010608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(new)'!$E$4:$E$11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3-4DEB-8B86-1830010608A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(new)'!$F$4:$F$11</c:f>
              <c:numCache>
                <c:formatCode>0</c:formatCode>
                <c:ptCount val="8"/>
                <c:pt idx="1">
                  <c:v>453.81</c:v>
                </c:pt>
                <c:pt idx="2">
                  <c:v>237.46000000000004</c:v>
                </c:pt>
                <c:pt idx="3">
                  <c:v>108.76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3-4DEB-8B86-1830010608A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(new)'!$G$4:$G$11</c:f>
              <c:numCache>
                <c:formatCode>0</c:formatCode>
                <c:ptCount val="8"/>
                <c:pt idx="4">
                  <c:v>662.42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3-4DEB-8B86-18300106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992968"/>
        <c:axId val="424000168"/>
      </c:barChart>
      <c:catAx>
        <c:axId val="4239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0168"/>
        <c:crosses val="autoZero"/>
        <c:auto val="1"/>
        <c:lblAlgn val="ctr"/>
        <c:lblOffset val="100"/>
        <c:noMultiLvlLbl val="0"/>
      </c:catAx>
      <c:valAx>
        <c:axId val="4240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9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/>
                </a:solidFill>
                <a:effectLst/>
              </a:rPr>
              <a:t>CAPEX - Asia vs CRB (w/ Steel Tariff) 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42-48FB-8DD9-8000B36B5D47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42-48FB-8DD9-8000B36B5D47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42-48FB-8DD9-8000B36B5D47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42-48FB-8DD9-8000B36B5D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42-48FB-8DD9-8000B36B5D47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42-48FB-8DD9-8000B36B5D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42-48FB-8DD9-8000B36B5D47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42-48FB-8DD9-8000B36B5D47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42-48FB-8DD9-8000B36B5D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(new)'!$D$23:$D$30</c:f>
              <c:numCache>
                <c:formatCode>0</c:formatCode>
                <c:ptCount val="8"/>
                <c:pt idx="1">
                  <c:v>2202.08</c:v>
                </c:pt>
                <c:pt idx="2">
                  <c:v>2504.62</c:v>
                </c:pt>
                <c:pt idx="3">
                  <c:v>2742.08</c:v>
                </c:pt>
                <c:pt idx="4">
                  <c:v>2185.1099999999997</c:v>
                </c:pt>
                <c:pt idx="5">
                  <c:v>2185.1099999999997</c:v>
                </c:pt>
                <c:pt idx="6">
                  <c:v>2185.1099999999997</c:v>
                </c:pt>
                <c:pt idx="7">
                  <c:v>2392.7599999999993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2-48FB-8DD9-8000B36B5D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(new)'!$E$23:$E$30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2-48FB-8DD9-8000B36B5D4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(new)'!$F$23:$F$30</c:f>
              <c:numCache>
                <c:formatCode>0</c:formatCode>
                <c:ptCount val="8"/>
                <c:pt idx="1">
                  <c:v>302.54000000000002</c:v>
                </c:pt>
                <c:pt idx="2">
                  <c:v>237.46000000000004</c:v>
                </c:pt>
                <c:pt idx="3">
                  <c:v>102.6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2-48FB-8DD9-8000B36B5D4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(new)'!$G$23:$G$30</c:f>
              <c:numCache>
                <c:formatCode>0</c:formatCode>
                <c:ptCount val="8"/>
                <c:pt idx="4">
                  <c:v>659.56999999999994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2-48FB-8DD9-8000B36B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07216"/>
        <c:axId val="863010096"/>
      </c:barChart>
      <c:catAx>
        <c:axId val="8630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10096"/>
        <c:crosses val="autoZero"/>
        <c:auto val="1"/>
        <c:lblAlgn val="ctr"/>
        <c:lblOffset val="100"/>
        <c:noMultiLvlLbl val="0"/>
      </c:catAx>
      <c:valAx>
        <c:axId val="8630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/>
                </a:solidFill>
                <a:effectLst/>
              </a:rPr>
              <a:t>CAPEX - Asia vs CRB (w/ Steel Tariff) 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B-46E7-AEE2-A9BAE06B2F3A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B-46E7-AEE2-A9BAE06B2F3A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9B-46E7-AEE2-A9BAE06B2F3A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9B-46E7-AEE2-A9BAE06B2F3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9B-46E7-AEE2-A9BAE06B2F3A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9B-46E7-AEE2-A9BAE06B2F3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9B-46E7-AEE2-A9BAE06B2F3A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9B-46E7-AEE2-A9BAE06B2F3A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9B-46E7-AEE2-A9BAE06B2F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(new)'!$D$23:$D$30</c:f>
              <c:numCache>
                <c:formatCode>0</c:formatCode>
                <c:ptCount val="8"/>
                <c:pt idx="1">
                  <c:v>2202.08</c:v>
                </c:pt>
                <c:pt idx="2">
                  <c:v>2504.62</c:v>
                </c:pt>
                <c:pt idx="3">
                  <c:v>2742.08</c:v>
                </c:pt>
                <c:pt idx="4">
                  <c:v>2185.1099999999997</c:v>
                </c:pt>
                <c:pt idx="5">
                  <c:v>2185.1099999999997</c:v>
                </c:pt>
                <c:pt idx="6">
                  <c:v>2185.1099999999997</c:v>
                </c:pt>
                <c:pt idx="7">
                  <c:v>2392.7599999999993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9B-46E7-AEE2-A9BAE06B2F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(new)'!$E$23:$E$30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9B-46E7-AEE2-A9BAE06B2F3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(new)'!$F$23:$F$30</c:f>
              <c:numCache>
                <c:formatCode>0</c:formatCode>
                <c:ptCount val="8"/>
                <c:pt idx="1">
                  <c:v>302.54000000000002</c:v>
                </c:pt>
                <c:pt idx="2">
                  <c:v>237.46000000000004</c:v>
                </c:pt>
                <c:pt idx="3">
                  <c:v>102.6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9B-46E7-AEE2-A9BAE06B2F3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(new)'!$G$23:$G$30</c:f>
              <c:numCache>
                <c:formatCode>0</c:formatCode>
                <c:ptCount val="8"/>
                <c:pt idx="4">
                  <c:v>659.56999999999994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9B-46E7-AEE2-A9BAE06B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07216"/>
        <c:axId val="863010096"/>
      </c:barChart>
      <c:catAx>
        <c:axId val="8630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10096"/>
        <c:crosses val="autoZero"/>
        <c:auto val="1"/>
        <c:lblAlgn val="ctr"/>
        <c:lblOffset val="100"/>
        <c:noMultiLvlLbl val="0"/>
      </c:catAx>
      <c:valAx>
        <c:axId val="8630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CA (w/ Steel Tariff)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BB-419D-8C4D-21862C1BA2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BB-419D-8C4D-21862C1BA2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BB-419D-8C4D-21862C1BA2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BB-419D-8C4D-21862C1BA2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5BC-419C-8423-874E77ACCAC5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3BB-419D-8C4D-21862C1BA2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BC-419C-8423-874E77ACCAC5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BC-419C-8423-874E77ACCAC5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BC-419C-8423-874E77ACCA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(experimental)'!$B$21:$B$28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(experimental)'!$D$21:$D$28</c:f>
              <c:numCache>
                <c:formatCode>0</c:formatCode>
                <c:ptCount val="8"/>
                <c:pt idx="1">
                  <c:v>2202.08</c:v>
                </c:pt>
                <c:pt idx="2">
                  <c:v>2572.69</c:v>
                </c:pt>
                <c:pt idx="3">
                  <c:v>2810.15</c:v>
                </c:pt>
                <c:pt idx="4">
                  <c:v>2253.1</c:v>
                </c:pt>
                <c:pt idx="5">
                  <c:v>2253.1</c:v>
                </c:pt>
                <c:pt idx="6">
                  <c:v>2253.1</c:v>
                </c:pt>
                <c:pt idx="7">
                  <c:v>2460.75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B-419D-8C4D-21862C1BA2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(experimental)'!$B$21:$B$28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(experimental)'!$E$21:$E$28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B-419D-8C4D-21862C1BA2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(experimental)'!$B$21:$B$28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(experimental)'!$F$21:$F$28</c:f>
              <c:numCache>
                <c:formatCode>0</c:formatCode>
                <c:ptCount val="8"/>
                <c:pt idx="1">
                  <c:v>370.60999999999996</c:v>
                </c:pt>
                <c:pt idx="2">
                  <c:v>237.46000000000004</c:v>
                </c:pt>
                <c:pt idx="3">
                  <c:v>105.37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B-419D-8C4D-21862C1BA2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(experimental)'!$B$21:$B$28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(experimental)'!$G$21:$G$28</c:f>
              <c:numCache>
                <c:formatCode>0</c:formatCode>
                <c:ptCount val="8"/>
                <c:pt idx="4">
                  <c:v>662.42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B-419D-8C4D-21862C1B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254432"/>
        <c:axId val="776262712"/>
      </c:barChart>
      <c:catAx>
        <c:axId val="7762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2712"/>
        <c:crosses val="autoZero"/>
        <c:auto val="1"/>
        <c:lblAlgn val="ctr"/>
        <c:lblOffset val="100"/>
        <c:noMultiLvlLbl val="0"/>
      </c:catAx>
      <c:valAx>
        <c:axId val="77626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CAPEX - SE Asia vs US West Coast (w/ Steel Tariff)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5E-4F54-8287-F703760D407C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5E-4F54-8287-F703760D407C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25E-4F54-8287-F703760D407C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5E-4F54-8287-F703760D407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25E-4F54-8287-F703760D407C}"/>
              </c:ext>
            </c:extLst>
          </c:dPt>
          <c:cat>
            <c:strRef>
              <c:f>'steel (experimental)'!$B$3:$B$10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West Coast CAPEX </c:v>
                </c:pt>
                <c:pt idx="6">
                  <c:v>Steel Tariff</c:v>
                </c:pt>
                <c:pt idx="7">
                  <c:v>West Coast CAPEX w/ Tariff</c:v>
                </c:pt>
              </c:strCache>
            </c:strRef>
          </c:cat>
          <c:val>
            <c:numRef>
              <c:f>'steel (experimental)'!$D$3:$D$10</c:f>
              <c:numCache>
                <c:formatCode>0</c:formatCode>
                <c:ptCount val="8"/>
                <c:pt idx="1">
                  <c:v>2202.08</c:v>
                </c:pt>
                <c:pt idx="2">
                  <c:v>2580.25</c:v>
                </c:pt>
                <c:pt idx="3">
                  <c:v>2817.71</c:v>
                </c:pt>
                <c:pt idx="4">
                  <c:v>2262.39</c:v>
                </c:pt>
                <c:pt idx="5">
                  <c:v>2262.39</c:v>
                </c:pt>
                <c:pt idx="6">
                  <c:v>2262.39</c:v>
                </c:pt>
                <c:pt idx="7">
                  <c:v>2470.04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E-4F54-8287-F703760D40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'steel (experimental)'!$B$3:$B$10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West Coast CAPEX </c:v>
                </c:pt>
                <c:pt idx="6">
                  <c:v>Steel Tariff</c:v>
                </c:pt>
                <c:pt idx="7">
                  <c:v>West Coast CAPEX w/ Tariff</c:v>
                </c:pt>
              </c:strCache>
            </c:strRef>
          </c:cat>
          <c:val>
            <c:numRef>
              <c:f>'steel (experimental)'!$E$3:$E$10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E-4F54-8287-F703760D40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'steel (experimental)'!$B$3:$B$10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West Coast CAPEX </c:v>
                </c:pt>
                <c:pt idx="6">
                  <c:v>Steel Tariff</c:v>
                </c:pt>
                <c:pt idx="7">
                  <c:v>West Coast CAPEX w/ Tariff</c:v>
                </c:pt>
              </c:strCache>
            </c:strRef>
          </c:cat>
          <c:val>
            <c:numRef>
              <c:f>'steel (experimental)'!$F$3:$F$10</c:f>
              <c:numCache>
                <c:formatCode>0</c:formatCode>
                <c:ptCount val="8"/>
                <c:pt idx="1">
                  <c:v>378.17</c:v>
                </c:pt>
                <c:pt idx="2">
                  <c:v>237.46000000000004</c:v>
                </c:pt>
                <c:pt idx="3">
                  <c:v>105.68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E-4F54-8287-F703760D407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'steel (experimental)'!$B$3:$B$10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West Coast CAPEX </c:v>
                </c:pt>
                <c:pt idx="6">
                  <c:v>Steel Tariff</c:v>
                </c:pt>
                <c:pt idx="7">
                  <c:v>West Coast CAPEX w/ Tariff</c:v>
                </c:pt>
              </c:strCache>
            </c:strRef>
          </c:cat>
          <c:val>
            <c:numRef>
              <c:f>'steel (experimental)'!$G$3:$G$10</c:f>
              <c:numCache>
                <c:formatCode>0</c:formatCode>
                <c:ptCount val="8"/>
                <c:pt idx="4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E-4F54-8287-F703760D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001784"/>
        <c:axId val="498005384"/>
      </c:barChart>
      <c:catAx>
        <c:axId val="49800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5384"/>
        <c:crosses val="autoZero"/>
        <c:auto val="1"/>
        <c:lblAlgn val="ctr"/>
        <c:lblOffset val="100"/>
        <c:noMultiLvlLbl val="0"/>
      </c:catAx>
      <c:valAx>
        <c:axId val="4980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</a:t>
            </a:r>
            <a:r>
              <a:rPr lang="en-US" baseline="0"/>
              <a:t> - IRA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740-4633-A1B5-27BE49B61F9D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40-4633-A1B5-27BE49B61F9D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740-4633-A1B5-27BE49B61F9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40-4633-A1B5-27BE49B61F9D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40-4633-A1B5-27BE49B61F9D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40-4633-A1B5-27BE49B61F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40-4633-A1B5-27BE49B61F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40-4633-A1B5-27BE49B61F9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40-4633-A1B5-27BE49B61F9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740-4633-A1B5-27BE49B61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IRA!$B$2:$B$8</c:f>
              <c:numCache>
                <c:formatCode>0</c:formatCode>
                <c:ptCount val="7"/>
                <c:pt idx="0">
                  <c:v>2174.66</c:v>
                </c:pt>
                <c:pt idx="1">
                  <c:v>2174.66</c:v>
                </c:pt>
                <c:pt idx="2">
                  <c:v>2628.66</c:v>
                </c:pt>
                <c:pt idx="3">
                  <c:v>2862.66</c:v>
                </c:pt>
                <c:pt idx="4">
                  <c:v>2311.66</c:v>
                </c:pt>
                <c:pt idx="5">
                  <c:v>2080.66</c:v>
                </c:pt>
                <c:pt idx="6">
                  <c:v>2080.66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0-4633-A1B5-27BE49B61F9D}"/>
            </c:ext>
          </c:extLst>
        </c:ser>
        <c:ser>
          <c:idx val="1"/>
          <c:order val="1"/>
          <c:tx>
            <c:strRef>
              <c:f>IRA!$C$1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IRA!$C$2:$C$8</c:f>
              <c:numCache>
                <c:formatCode>General</c:formatCode>
                <c:ptCount val="7"/>
                <c:pt idx="1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0-4633-A1B5-27BE49B61F9D}"/>
            </c:ext>
          </c:extLst>
        </c:ser>
        <c:ser>
          <c:idx val="2"/>
          <c:order val="2"/>
          <c:tx>
            <c:strRef>
              <c:f>IRA!$D$1</c:f>
              <c:strCache>
                <c:ptCount val="1"/>
                <c:pt idx="0">
                  <c:v>Material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IRA!$D$2:$D$8</c:f>
              <c:numCache>
                <c:formatCode>General</c:formatCode>
                <c:ptCount val="7"/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0-4633-A1B5-27BE49B61F9D}"/>
            </c:ext>
          </c:extLst>
        </c:ser>
        <c:ser>
          <c:idx val="3"/>
          <c:order val="3"/>
          <c:tx>
            <c:strRef>
              <c:f>IRA!$E$1</c:f>
              <c:strCache>
                <c:ptCount val="1"/>
                <c:pt idx="0">
                  <c:v>Factory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IRA!$E$2:$E$8</c:f>
              <c:numCache>
                <c:formatCode>General</c:formatCode>
                <c:ptCount val="7"/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0-4633-A1B5-27BE49B61F9D}"/>
            </c:ext>
          </c:extLst>
        </c:ser>
        <c:ser>
          <c:idx val="4"/>
          <c:order val="4"/>
          <c:tx>
            <c:strRef>
              <c:f>IRA!$F$1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IRA!$F$2:$F$8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2740-4633-A1B5-27BE49B61F9D}"/>
            </c:ext>
          </c:extLst>
        </c:ser>
        <c:ser>
          <c:idx val="5"/>
          <c:order val="5"/>
          <c:tx>
            <c:strRef>
              <c:f>IRA!$G$1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1164021164021942E-3"/>
                  <c:y val="-1.7497812773403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740-4633-A1B5-27BE49B61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IRA!$G$2:$G$8</c:f>
              <c:numCache>
                <c:formatCode>General</c:formatCode>
                <c:ptCount val="7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0-4633-A1B5-27BE49B61F9D}"/>
            </c:ext>
          </c:extLst>
        </c:ser>
        <c:ser>
          <c:idx val="6"/>
          <c:order val="6"/>
          <c:tx>
            <c:strRef>
              <c:f>IRA!$H$1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IRA!$H$2:$H$8</c:f>
              <c:numCache>
                <c:formatCode>General</c:formatCode>
                <c:ptCount val="7"/>
                <c:pt idx="4">
                  <c:v>662</c:v>
                </c:pt>
                <c:pt idx="5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0-4633-A1B5-27BE49B61F9D}"/>
            </c:ext>
          </c:extLst>
        </c:ser>
        <c:ser>
          <c:idx val="7"/>
          <c:order val="7"/>
          <c:tx>
            <c:strRef>
              <c:f>IRA!$I$1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IRA!$I$2:$I$8</c:f>
              <c:numCache>
                <c:formatCode>_("$"* #,##0_);_("$"* \(#,##0\);_("$"*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2740-4633-A1B5-27BE49B6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68711360"/>
        <c:axId val="868706768"/>
      </c:barChart>
      <c:catAx>
        <c:axId val="8687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06768"/>
        <c:crosses val="autoZero"/>
        <c:auto val="1"/>
        <c:lblAlgn val="ctr"/>
        <c:lblOffset val="100"/>
        <c:noMultiLvlLbl val="0"/>
      </c:catAx>
      <c:valAx>
        <c:axId val="86870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Labor</a:t>
            </a:r>
            <a:r>
              <a:rPr lang="en-US" baseline="0"/>
              <a:t>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D-42CA-BDDC-9B9C8074F6C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BAD-42CA-BDDC-9B9C8074F6C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AD-42CA-BDDC-9B9C8074F6C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AD-42CA-BDDC-9B9C8074F6C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AD-42CA-BDDC-9B9C8074F6C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AD-42CA-BDDC-9B9C8074F6C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AD-42CA-BDDC-9B9C8074F6CF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AD-42CA-BDDC-9B9C8074F6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Labor!$C$3:$C$10</c:f>
              <c:numCache>
                <c:formatCode>0</c:formatCode>
                <c:ptCount val="8"/>
                <c:pt idx="0">
                  <c:v>2202.08</c:v>
                </c:pt>
                <c:pt idx="1">
                  <c:v>2202.08</c:v>
                </c:pt>
                <c:pt idx="2">
                  <c:v>2997.5099999999998</c:v>
                </c:pt>
                <c:pt idx="3">
                  <c:v>3234.5099999999998</c:v>
                </c:pt>
                <c:pt idx="4">
                  <c:v>2679.1899999999996</c:v>
                </c:pt>
                <c:pt idx="5">
                  <c:v>2679.1899999999996</c:v>
                </c:pt>
                <c:pt idx="6">
                  <c:v>2411.2899999999995</c:v>
                </c:pt>
                <c:pt idx="7">
                  <c:v>2411.2899999999995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D-42CA-BDDC-9B9C8074F6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Labor!$D$3:$D$10</c:f>
              <c:numCache>
                <c:formatCode>General</c:formatCode>
                <c:ptCount val="8"/>
                <c:pt idx="1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D-42CA-BDDC-9B9C8074F6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Labor!$E$3:$E$10</c:f>
              <c:numCache>
                <c:formatCode>General</c:formatCode>
                <c:ptCount val="8"/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D-42CA-BDDC-9B9C8074F6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Labor!$F$3:$F$10</c:f>
              <c:numCache>
                <c:formatCode>General</c:formatCode>
                <c:ptCount val="8"/>
                <c:pt idx="3" formatCode="0">
                  <c:v>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D-42CA-BDDC-9B9C8074F6C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Labor!$G$3:$G$10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0BAD-42CA-BDDC-9B9C8074F6C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Labor!$H$3:$H$10</c:f>
              <c:numCache>
                <c:formatCode>0</c:formatCode>
                <c:ptCount val="8"/>
                <c:pt idx="1">
                  <c:v>417.43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AD-42CA-BDDC-9B9C8074F6C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Labor!$I$3:$I$10</c:f>
              <c:numCache>
                <c:formatCode>General</c:formatCode>
                <c:ptCount val="8"/>
                <c:pt idx="4">
                  <c:v>661</c:v>
                </c:pt>
                <c:pt idx="6" formatCode="0">
                  <c:v>267.90000000000003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AD-42CA-BDDC-9B9C8074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355480"/>
        <c:axId val="579358000"/>
      </c:barChart>
      <c:catAx>
        <c:axId val="5793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58000"/>
        <c:crosses val="autoZero"/>
        <c:auto val="1"/>
        <c:lblAlgn val="ctr"/>
        <c:lblOffset val="100"/>
        <c:noMultiLvlLbl val="0"/>
      </c:catAx>
      <c:valAx>
        <c:axId val="57935800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5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CA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633-48B4-AA27-6C114162686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33-48B4-AA27-6C114162686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33-48B4-AA27-6C114162686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33-48B4-AA27-6C114162686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633-48B4-AA27-6C114162686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33-48B4-AA27-6C114162686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633-48B4-AA27-6C1141626861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33-48B4-AA27-6C114162686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33-48B4-AA27-6C11416268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baseline!$D$23:$D$30</c:f>
              <c:numCache>
                <c:formatCode>0</c:formatCode>
                <c:ptCount val="8"/>
                <c:pt idx="1">
                  <c:v>2202.08</c:v>
                </c:pt>
                <c:pt idx="2">
                  <c:v>2655.89</c:v>
                </c:pt>
                <c:pt idx="3">
                  <c:v>2893.35</c:v>
                </c:pt>
                <c:pt idx="4">
                  <c:v>2339.69</c:v>
                </c:pt>
                <c:pt idx="5">
                  <c:v>2339.69</c:v>
                </c:pt>
                <c:pt idx="6">
                  <c:v>2105.7220000000002</c:v>
                </c:pt>
                <c:pt idx="7">
                  <c:v>2105.7220000000002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3-48B4-AA27-6C11416268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baseline!$E$23:$E$30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3-48B4-AA27-6C11416268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baseline!$F$23:$F$30</c:f>
              <c:numCache>
                <c:formatCode>0</c:formatCode>
                <c:ptCount val="8"/>
                <c:pt idx="1">
                  <c:v>453.81</c:v>
                </c:pt>
                <c:pt idx="2">
                  <c:v>237.46000000000004</c:v>
                </c:pt>
                <c:pt idx="3">
                  <c:v>108.76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3-48B4-AA27-6C11416268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baseline!$G$23:$G$30</c:f>
              <c:numCache>
                <c:formatCode>0</c:formatCode>
                <c:ptCount val="8"/>
                <c:pt idx="4">
                  <c:v>662.42</c:v>
                </c:pt>
                <c:pt idx="6">
                  <c:v>233.96799999999999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3-48B4-AA27-6C114162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435496"/>
        <c:axId val="508437296"/>
      </c:barChart>
      <c:catAx>
        <c:axId val="5084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7296"/>
        <c:crosses val="autoZero"/>
        <c:auto val="1"/>
        <c:lblAlgn val="ctr"/>
        <c:lblOffset val="100"/>
        <c:noMultiLvlLbl val="0"/>
      </c:catAx>
      <c:valAx>
        <c:axId val="5084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CRB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CA-4FDC-A765-313E558F35B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A-4FDC-A765-313E558F35B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CA-4FDC-A765-313E558F35B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A-4FDC-A765-313E558F35B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ECA-4FDC-A765-313E558F35B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A-4FDC-A765-313E558F35B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ECA-4FDC-A765-313E558F35B1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CA-4FDC-A765-313E558F35B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CA-4FDC-A765-313E558F3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baseline!$D$42:$D$49</c:f>
              <c:numCache>
                <c:formatCode>0</c:formatCode>
                <c:ptCount val="8"/>
                <c:pt idx="1">
                  <c:v>2202.08</c:v>
                </c:pt>
                <c:pt idx="2">
                  <c:v>2504.62</c:v>
                </c:pt>
                <c:pt idx="3">
                  <c:v>2742.08</c:v>
                </c:pt>
                <c:pt idx="4">
                  <c:v>2185.1099999999997</c:v>
                </c:pt>
                <c:pt idx="5">
                  <c:v>2185.1099999999997</c:v>
                </c:pt>
                <c:pt idx="6">
                  <c:v>1966.5989999999997</c:v>
                </c:pt>
                <c:pt idx="7">
                  <c:v>1966.5989999999997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A-4FDC-A765-313E558F35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baseline!$E$42:$E$49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A-4FDC-A765-313E558F35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baseline!$F$42:$F$49</c:f>
              <c:numCache>
                <c:formatCode>0</c:formatCode>
                <c:ptCount val="8"/>
                <c:pt idx="1">
                  <c:v>302.54000000000002</c:v>
                </c:pt>
                <c:pt idx="2">
                  <c:v>237.46000000000004</c:v>
                </c:pt>
                <c:pt idx="3">
                  <c:v>102.6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A-4FDC-A765-313E558F35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baseline!$G$42:$G$49</c:f>
              <c:numCache>
                <c:formatCode>0</c:formatCode>
                <c:ptCount val="8"/>
                <c:pt idx="4">
                  <c:v>659.56999999999994</c:v>
                </c:pt>
                <c:pt idx="6">
                  <c:v>218.51100000000002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A-4FDC-A765-313E558F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790360"/>
        <c:axId val="771790720"/>
      </c:barChart>
      <c:catAx>
        <c:axId val="7717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0720"/>
        <c:crosses val="autoZero"/>
        <c:auto val="1"/>
        <c:lblAlgn val="ctr"/>
        <c:lblOffset val="100"/>
        <c:noMultiLvlLbl val="0"/>
      </c:catAx>
      <c:valAx>
        <c:axId val="771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SE Asia vs West Coast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DC-4363-A9F1-EAC9C09E03E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C-4363-A9F1-EAC9C09E03E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DC-4363-A9F1-EAC9C09E03E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C-4363-A9F1-EAC9C09E03E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C-4363-A9F1-EAC9C09E03E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6DC-4363-A9F1-EAC9C09E03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6DC-4363-A9F1-EAC9C09E03E1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DC-4363-A9F1-EAC9C09E03E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DC-4363-A9F1-EAC9C09E0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(experimental)'!$B$4:$B$11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'baseline (experimental)'!$D$4:$D$11</c:f>
              <c:numCache>
                <c:formatCode>0</c:formatCode>
                <c:ptCount val="8"/>
                <c:pt idx="1">
                  <c:v>2202.08</c:v>
                </c:pt>
                <c:pt idx="2">
                  <c:v>2580.25</c:v>
                </c:pt>
                <c:pt idx="3">
                  <c:v>2817.71</c:v>
                </c:pt>
                <c:pt idx="4">
                  <c:v>2262.39</c:v>
                </c:pt>
                <c:pt idx="5">
                  <c:v>2262.39</c:v>
                </c:pt>
                <c:pt idx="6">
                  <c:v>2036.1499999999999</c:v>
                </c:pt>
                <c:pt idx="7">
                  <c:v>2036.1499999999999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C-4363-A9F1-EAC9C09E03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(experimental)'!$B$4:$B$11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'baseline (experimental)'!$E$4:$E$11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C-4363-A9F1-EAC9C09E03E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(experimental)'!$B$4:$B$11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'baseline (experimental)'!$F$4:$F$11</c:f>
              <c:numCache>
                <c:formatCode>0</c:formatCode>
                <c:ptCount val="8"/>
                <c:pt idx="1">
                  <c:v>378.17</c:v>
                </c:pt>
                <c:pt idx="2">
                  <c:v>237.46000000000004</c:v>
                </c:pt>
                <c:pt idx="3">
                  <c:v>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C-4363-A9F1-EAC9C09E03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(experimental)'!$B$4:$B$11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'baseline (experimental)'!$G$4:$G$11</c:f>
              <c:numCache>
                <c:formatCode>0</c:formatCode>
                <c:ptCount val="8"/>
                <c:pt idx="4">
                  <c:v>661</c:v>
                </c:pt>
                <c:pt idx="6">
                  <c:v>226.24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C-4363-A9F1-EAC9C09E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462208"/>
        <c:axId val="423461848"/>
      </c:barChart>
      <c:catAx>
        <c:axId val="4234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61848"/>
        <c:crosses val="autoZero"/>
        <c:auto val="1"/>
        <c:lblAlgn val="ctr"/>
        <c:lblOffset val="100"/>
        <c:noMultiLvlLbl val="0"/>
      </c:catAx>
      <c:valAx>
        <c:axId val="4234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CA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88-406A-9BA4-7E939BE2619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88-406A-9BA4-7E939BE2619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B88-406A-9BA4-7E939BE2619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88-406A-9BA4-7E939BE261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8-406A-9BA4-7E939BE2619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88-406A-9BA4-7E939BE2619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88-406A-9BA4-7E939BE26191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88-406A-9BA4-7E939BE2619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88-406A-9BA4-7E939BE261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'baseline (experimental)'!$D$23:$D$30</c:f>
              <c:numCache>
                <c:formatCode>0</c:formatCode>
                <c:ptCount val="8"/>
                <c:pt idx="1">
                  <c:v>2202.08</c:v>
                </c:pt>
                <c:pt idx="2">
                  <c:v>2572.69</c:v>
                </c:pt>
                <c:pt idx="3">
                  <c:v>2810.15</c:v>
                </c:pt>
                <c:pt idx="4">
                  <c:v>2253.1</c:v>
                </c:pt>
                <c:pt idx="5">
                  <c:v>2253.1</c:v>
                </c:pt>
                <c:pt idx="6">
                  <c:v>2027.79</c:v>
                </c:pt>
                <c:pt idx="7">
                  <c:v>2027.79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06A-9BA4-7E939BE261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'baseline (experimental)'!$E$23:$E$30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8-406A-9BA4-7E939BE261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'baseline (experimental)'!$F$23:$F$30</c:f>
              <c:numCache>
                <c:formatCode>0</c:formatCode>
                <c:ptCount val="8"/>
                <c:pt idx="1">
                  <c:v>370.60999999999996</c:v>
                </c:pt>
                <c:pt idx="2">
                  <c:v>237.46000000000004</c:v>
                </c:pt>
                <c:pt idx="3">
                  <c:v>105.37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8-406A-9BA4-7E939BE2619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'baseline (experimental)'!$G$23:$G$30</c:f>
              <c:numCache>
                <c:formatCode>0</c:formatCode>
                <c:ptCount val="8"/>
                <c:pt idx="4">
                  <c:v>662.42</c:v>
                </c:pt>
                <c:pt idx="6">
                  <c:v>225.31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8-406A-9BA4-7E939BE2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35480"/>
        <c:axId val="99136560"/>
      </c:barChart>
      <c:catAx>
        <c:axId val="9913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6560"/>
        <c:crosses val="autoZero"/>
        <c:auto val="1"/>
        <c:lblAlgn val="ctr"/>
        <c:lblOffset val="100"/>
        <c:noMultiLvlLbl val="0"/>
      </c:catAx>
      <c:valAx>
        <c:axId val="991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CRB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59-4235-B35A-2E7921847757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59-4235-B35A-2E7921847757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59-4235-B35A-2E7921847757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59-4235-B35A-2E792184775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59-4235-B35A-2E7921847757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59-4235-B35A-2E792184775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159-4235-B35A-2E7921847757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59-4235-B35A-2E7921847757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59-4235-B35A-2E79218477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'baseline (experimental)'!$D$42:$D$49</c:f>
              <c:numCache>
                <c:formatCode>0</c:formatCode>
                <c:ptCount val="8"/>
                <c:pt idx="1">
                  <c:v>2202.08</c:v>
                </c:pt>
                <c:pt idx="2">
                  <c:v>2587.8199999999997</c:v>
                </c:pt>
                <c:pt idx="3">
                  <c:v>2825.2799999999997</c:v>
                </c:pt>
                <c:pt idx="4">
                  <c:v>2271.6999999999998</c:v>
                </c:pt>
                <c:pt idx="5">
                  <c:v>2271.6999999999998</c:v>
                </c:pt>
                <c:pt idx="6">
                  <c:v>2044.5299999999997</c:v>
                </c:pt>
                <c:pt idx="7">
                  <c:v>2044.5299999999997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9-4235-B35A-2E79218477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'baseline (experimental)'!$E$42:$E$49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9-4235-B35A-2E79218477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'baseline (experimental)'!$F$42:$F$49</c:f>
              <c:numCache>
                <c:formatCode>0</c:formatCode>
                <c:ptCount val="8"/>
                <c:pt idx="1">
                  <c:v>385.73999999999995</c:v>
                </c:pt>
                <c:pt idx="2">
                  <c:v>237.46000000000004</c:v>
                </c:pt>
                <c:pt idx="3">
                  <c:v>105.99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9-4235-B35A-2E79218477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'baseline (experimental)'!$G$42:$G$49</c:f>
              <c:numCache>
                <c:formatCode>0</c:formatCode>
                <c:ptCount val="8"/>
                <c:pt idx="4">
                  <c:v>659.56999999999994</c:v>
                </c:pt>
                <c:pt idx="6">
                  <c:v>227.17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9-4235-B35A-2E792184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3446184"/>
        <c:axId val="873446904"/>
      </c:barChart>
      <c:catAx>
        <c:axId val="8734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46904"/>
        <c:crosses val="autoZero"/>
        <c:auto val="1"/>
        <c:lblAlgn val="ctr"/>
        <c:lblOffset val="100"/>
        <c:noMultiLvlLbl val="0"/>
      </c:catAx>
      <c:valAx>
        <c:axId val="8734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CAPEX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80-4481-BCA7-E4930DE5DD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80-4481-BCA7-E4930DE5DD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80-4481-BCA7-E4930DE5DD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80-4481-BCA7-E4930DE5DD7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'breakdown pie chart'!$B$3:$B$6</c:f>
              <c:strCache>
                <c:ptCount val="4"/>
                <c:pt idx="0">
                  <c:v>labor</c:v>
                </c:pt>
                <c:pt idx="1">
                  <c:v>material</c:v>
                </c:pt>
                <c:pt idx="2">
                  <c:v>factory</c:v>
                </c:pt>
                <c:pt idx="3">
                  <c:v>transportation</c:v>
                </c:pt>
              </c:strCache>
            </c:strRef>
          </c:cat>
          <c:val>
            <c:numRef>
              <c:f>'breakdown pie chart'!$C$3:$C$6</c:f>
              <c:numCache>
                <c:formatCode>_("$"* #,##0.00_);_("$"* \(#,##0.00\);_("$"* "-"??_);_(@_)</c:formatCode>
                <c:ptCount val="4"/>
                <c:pt idx="0">
                  <c:v>378.18</c:v>
                </c:pt>
                <c:pt idx="1">
                  <c:v>1087.57</c:v>
                </c:pt>
                <c:pt idx="2">
                  <c:v>0</c:v>
                </c:pt>
                <c:pt idx="3">
                  <c:v>708.92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45BA-97B2-969E6CF8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Coast CAPEX breakdown</a:t>
            </a:r>
          </a:p>
        </c:rich>
      </c:tx>
      <c:layout>
        <c:manualLayout>
          <c:xMode val="edge"/>
          <c:yMode val="edge"/>
          <c:x val="0.186401634826831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02-4E18-8DA3-D5EB92C75A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84-49C7-A20B-8767E55142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02-4E18-8DA3-D5EB92C75A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02-4E18-8DA3-D5EB92C75A49}"/>
              </c:ext>
            </c:extLst>
          </c:dPt>
          <c:dLbls>
            <c:dLbl>
              <c:idx val="0"/>
              <c:layout>
                <c:manualLayout>
                  <c:x val="1.386001386001386E-2"/>
                  <c:y val="8.79629629629629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02-4E18-8DA3-D5EB92C75A49}"/>
                </c:ext>
              </c:extLst>
            </c:dLbl>
            <c:dLbl>
              <c:idx val="2"/>
              <c:layout>
                <c:manualLayout>
                  <c:x val="-0.12474012474012475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02-4E18-8DA3-D5EB92C75A49}"/>
                </c:ext>
              </c:extLst>
            </c:dLbl>
            <c:dLbl>
              <c:idx val="3"/>
              <c:layout>
                <c:manualLayout>
                  <c:x val="0.30492044133776419"/>
                  <c:y val="8.33333333333333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24202094280831"/>
                      <c:h val="0.168083989501312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202-4E18-8DA3-D5EB92C75A4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'breakdown pie chart'!$E$3:$E$6</c:f>
              <c:strCache>
                <c:ptCount val="4"/>
                <c:pt idx="0">
                  <c:v>labor</c:v>
                </c:pt>
                <c:pt idx="1">
                  <c:v>material</c:v>
                </c:pt>
                <c:pt idx="2">
                  <c:v>factory</c:v>
                </c:pt>
                <c:pt idx="3">
                  <c:v>transportation</c:v>
                </c:pt>
              </c:strCache>
            </c:strRef>
          </c:cat>
          <c:val>
            <c:numRef>
              <c:f>'breakdown pie chart'!$G$3:$G$6</c:f>
              <c:numCache>
                <c:formatCode>_("$"* #,##0.00_);_("$"* \(#,##0.00\);_("$"* "-"??_);_(@_)</c:formatCode>
                <c:ptCount val="4"/>
                <c:pt idx="0">
                  <c:v>748.79100000000005</c:v>
                </c:pt>
                <c:pt idx="1">
                  <c:v>1189.7820000000002</c:v>
                </c:pt>
                <c:pt idx="2">
                  <c:v>93.933000000000007</c:v>
                </c:pt>
                <c:pt idx="3">
                  <c:v>41.85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2-4E18-8DA3-D5EB92C7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1C-4870-9830-FE08DA9C4C3B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1C-4870-9830-FE08DA9C4C3B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1C-4870-9830-FE08DA9C4C3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1C-4870-9830-FE08DA9C4C3B}"/>
              </c:ext>
            </c:extLst>
          </c:dPt>
          <c:cat>
            <c:strRef>
              <c:f>'steel (old)'!$B$3:$B$11</c:f>
              <c:strCache>
                <c:ptCount val="9"/>
                <c:pt idx="0">
                  <c:v>Asia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offset</c:v>
                </c:pt>
                <c:pt idx="5">
                  <c:v>CAPEX unsubsidized w/o tariffs</c:v>
                </c:pt>
                <c:pt idx="6">
                  <c:v>Domestic content bonus</c:v>
                </c:pt>
                <c:pt idx="7">
                  <c:v>CAPEX subsidized w/o tariffs</c:v>
                </c:pt>
                <c:pt idx="8">
                  <c:v>Steel tariff</c:v>
                </c:pt>
              </c:strCache>
            </c:strRef>
          </c:cat>
          <c:val>
            <c:numRef>
              <c:f>'steel (old)'!$D$3:$D$11</c:f>
              <c:numCache>
                <c:formatCode>0</c:formatCode>
                <c:ptCount val="9"/>
                <c:pt idx="1">
                  <c:v>2174.66</c:v>
                </c:pt>
                <c:pt idx="2">
                  <c:v>2628.47</c:v>
                </c:pt>
                <c:pt idx="3">
                  <c:v>2862.88</c:v>
                </c:pt>
                <c:pt idx="4">
                  <c:v>2304.83</c:v>
                </c:pt>
                <c:pt idx="5">
                  <c:v>2304.83</c:v>
                </c:pt>
                <c:pt idx="6">
                  <c:v>2074.3959999999997</c:v>
                </c:pt>
                <c:pt idx="7">
                  <c:v>2074.3959999999997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C-4870-9830-FE08DA9C4C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'steel (old)'!$B$3:$B$11</c:f>
              <c:strCache>
                <c:ptCount val="9"/>
                <c:pt idx="0">
                  <c:v>Asia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offset</c:v>
                </c:pt>
                <c:pt idx="5">
                  <c:v>CAPEX unsubsidized w/o tariffs</c:v>
                </c:pt>
                <c:pt idx="6">
                  <c:v>Domestic content bonus</c:v>
                </c:pt>
                <c:pt idx="7">
                  <c:v>CAPEX subsidized w/o tariffs</c:v>
                </c:pt>
                <c:pt idx="8">
                  <c:v>Steel tariff</c:v>
                </c:pt>
              </c:strCache>
            </c:strRef>
          </c:cat>
          <c:val>
            <c:numRef>
              <c:f>'steel (old)'!$E$3:$E$11</c:f>
              <c:numCache>
                <c:formatCode>0</c:formatCode>
                <c:ptCount val="9"/>
                <c:pt idx="0">
                  <c:v>2174.66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C-4870-9830-FE08DA9C4C3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'steel (old)'!$B$3:$B$11</c:f>
              <c:strCache>
                <c:ptCount val="9"/>
                <c:pt idx="0">
                  <c:v>Asia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offset</c:v>
                </c:pt>
                <c:pt idx="5">
                  <c:v>CAPEX unsubsidized w/o tariffs</c:v>
                </c:pt>
                <c:pt idx="6">
                  <c:v>Domestic content bonus</c:v>
                </c:pt>
                <c:pt idx="7">
                  <c:v>CAPEX subsidized w/o tariffs</c:v>
                </c:pt>
                <c:pt idx="8">
                  <c:v>Steel tariff</c:v>
                </c:pt>
              </c:strCache>
            </c:strRef>
          </c:cat>
          <c:val>
            <c:numRef>
              <c:f>'steel (old)'!$F$3:$F$11</c:f>
              <c:numCache>
                <c:formatCode>0</c:formatCode>
                <c:ptCount val="9"/>
                <c:pt idx="1">
                  <c:v>453.81</c:v>
                </c:pt>
                <c:pt idx="2">
                  <c:v>234.41000000000008</c:v>
                </c:pt>
                <c:pt idx="3">
                  <c:v>104.37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C-4870-9830-FE08DA9C4C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'steel (old)'!$B$3:$B$11</c:f>
              <c:strCache>
                <c:ptCount val="9"/>
                <c:pt idx="0">
                  <c:v>Asia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offset</c:v>
                </c:pt>
                <c:pt idx="5">
                  <c:v>CAPEX unsubsidized w/o tariffs</c:v>
                </c:pt>
                <c:pt idx="6">
                  <c:v>Domestic content bonus</c:v>
                </c:pt>
                <c:pt idx="7">
                  <c:v>CAPEX subsidized w/o tariffs</c:v>
                </c:pt>
                <c:pt idx="8">
                  <c:v>Steel tariff</c:v>
                </c:pt>
              </c:strCache>
            </c:strRef>
          </c:cat>
          <c:val>
            <c:numRef>
              <c:f>'steel (old)'!$G$3:$G$11</c:f>
              <c:numCache>
                <c:formatCode>0</c:formatCode>
                <c:ptCount val="9"/>
                <c:pt idx="4">
                  <c:v>662.42</c:v>
                </c:pt>
                <c:pt idx="6">
                  <c:v>230.43400000000003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C-4870-9830-FE08DA9C4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220352"/>
        <c:axId val="862221008"/>
      </c:barChart>
      <c:catAx>
        <c:axId val="8622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21008"/>
        <c:crosses val="autoZero"/>
        <c:auto val="1"/>
        <c:lblAlgn val="ctr"/>
        <c:lblOffset val="100"/>
        <c:noMultiLvlLbl val="0"/>
      </c:catAx>
      <c:valAx>
        <c:axId val="8622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</xdr:row>
      <xdr:rowOff>15240</xdr:rowOff>
    </xdr:from>
    <xdr:to>
      <xdr:col>16</xdr:col>
      <xdr:colOff>586740</xdr:colOff>
      <xdr:row>18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E43EA-ED60-EB61-D6CD-BD989FE5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163830</xdr:rowOff>
    </xdr:from>
    <xdr:to>
      <xdr:col>16</xdr:col>
      <xdr:colOff>594360</xdr:colOff>
      <xdr:row>38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08215-17E5-8249-EED6-B42016A2B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3810</xdr:rowOff>
    </xdr:from>
    <xdr:to>
      <xdr:col>16</xdr:col>
      <xdr:colOff>594360</xdr:colOff>
      <xdr:row>56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744B3-21D4-53C6-3162-7753A03A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605117</xdr:colOff>
      <xdr:row>1</xdr:row>
      <xdr:rowOff>8964</xdr:rowOff>
    </xdr:from>
    <xdr:to>
      <xdr:col>16</xdr:col>
      <xdr:colOff>600635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0B4698-CBB8-E703-89EB-CB02623C0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605117</xdr:colOff>
      <xdr:row>20</xdr:row>
      <xdr:rowOff>8965</xdr:rowOff>
    </xdr:from>
    <xdr:to>
      <xdr:col>16</xdr:col>
      <xdr:colOff>600634</xdr:colOff>
      <xdr:row>36</xdr:row>
      <xdr:rowOff>161364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9B9FDE-3051-8AA8-F084-E01FD048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4482</xdr:colOff>
      <xdr:row>37</xdr:row>
      <xdr:rowOff>35859</xdr:rowOff>
    </xdr:from>
    <xdr:to>
      <xdr:col>17</xdr:col>
      <xdr:colOff>0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A8C23B-23D8-9AB4-FD7D-41962F8A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8</xdr:row>
      <xdr:rowOff>156210</xdr:rowOff>
    </xdr:from>
    <xdr:to>
      <xdr:col>6</xdr:col>
      <xdr:colOff>30480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953AF-9B8B-E53E-73BC-904D518F3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8</xdr:row>
      <xdr:rowOff>156210</xdr:rowOff>
    </xdr:from>
    <xdr:to>
      <xdr:col>13</xdr:col>
      <xdr:colOff>15240</xdr:colOff>
      <xdr:row>23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91FC05-CC96-1954-AE7E-12E29D357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16</xdr:row>
      <xdr:rowOff>99060</xdr:rowOff>
    </xdr:from>
    <xdr:to>
      <xdr:col>9</xdr:col>
      <xdr:colOff>22860</xdr:colOff>
      <xdr:row>31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231162-8647-36D8-2C5B-A0E93C8D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</xdr:colOff>
      <xdr:row>1</xdr:row>
      <xdr:rowOff>188258</xdr:rowOff>
    </xdr:from>
    <xdr:to>
      <xdr:col>16</xdr:col>
      <xdr:colOff>26894</xdr:colOff>
      <xdr:row>20</xdr:row>
      <xdr:rowOff>8964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C05896-7FB7-1A60-2BF3-3B18F429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605118</xdr:colOff>
      <xdr:row>21</xdr:row>
      <xdr:rowOff>17928</xdr:rowOff>
    </xdr:from>
    <xdr:to>
      <xdr:col>16</xdr:col>
      <xdr:colOff>17930</xdr:colOff>
      <xdr:row>37</xdr:row>
      <xdr:rowOff>8963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C507FF-1BE7-8401-CFA8-908385B11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605118</xdr:colOff>
      <xdr:row>38</xdr:row>
      <xdr:rowOff>17928</xdr:rowOff>
    </xdr:from>
    <xdr:to>
      <xdr:col>16</xdr:col>
      <xdr:colOff>17930</xdr:colOff>
      <xdr:row>54</xdr:row>
      <xdr:rowOff>8963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0DA67-2730-4E15-B8F3-57FED5AF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171450</xdr:rowOff>
    </xdr:from>
    <xdr:to>
      <xdr:col>16</xdr:col>
      <xdr:colOff>7620</xdr:colOff>
      <xdr:row>33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4C45A-A790-B877-D277-A1B26C0D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605118</xdr:colOff>
      <xdr:row>0</xdr:row>
      <xdr:rowOff>161365</xdr:rowOff>
    </xdr:from>
    <xdr:to>
      <xdr:col>16</xdr:col>
      <xdr:colOff>44824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50E36-9A75-6B42-9FFA-60A2936C7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9</xdr:row>
      <xdr:rowOff>0</xdr:rowOff>
    </xdr:from>
    <xdr:to>
      <xdr:col>12</xdr:col>
      <xdr:colOff>598170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A826A-1028-8D45-1550-4E1A4A74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76449</xdr:colOff>
      <xdr:row>2</xdr:row>
      <xdr:rowOff>88541</xdr:rowOff>
    </xdr:from>
    <xdr:to>
      <xdr:col>22</xdr:col>
      <xdr:colOff>479398</xdr:colOff>
      <xdr:row>30</xdr:row>
      <xdr:rowOff>20375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9BB1F-4806-58C1-DFCA-1C38A6F5E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n, Kyle" id="{3B86CE30-1328-4EC3-9024-DB1E4BBC959F}" userId="S::cfan@nrel.gov::f618b196-16b2-4d57-90ac-c27414f36e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4-14T05:56:13.59" personId="{3B86CE30-1328-4EC3-9024-DB1E4BBC959F}" id="{25B2D50E-9DD9-4819-8B53-1D18B89A9E30}">
    <text>Switched this with A8 for code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C222-DC1B-4049-A0AA-CB4FFEC92A30}">
  <dimension ref="B2:H52"/>
  <sheetViews>
    <sheetView zoomScale="85" zoomScaleNormal="85" workbookViewId="0">
      <selection activeCell="E36" sqref="E36"/>
    </sheetView>
  </sheetViews>
  <sheetFormatPr defaultRowHeight="14.45"/>
  <cols>
    <col min="2" max="2" width="27.140625" bestFit="1" customWidth="1"/>
    <col min="3" max="3" width="16.140625" customWidth="1"/>
    <col min="4" max="5" width="15.28515625" customWidth="1"/>
    <col min="6" max="6" width="16.28515625" customWidth="1"/>
    <col min="7" max="7" width="14.42578125" customWidth="1"/>
    <col min="8" max="8" width="10.28515625" style="20" bestFit="1" customWidth="1"/>
  </cols>
  <sheetData>
    <row r="2" spans="2:8" ht="15" thickBot="1">
      <c r="B2" s="29" t="s">
        <v>0</v>
      </c>
      <c r="C2" s="29"/>
      <c r="D2" s="29"/>
      <c r="E2" s="29"/>
      <c r="F2" s="29"/>
      <c r="G2" s="29"/>
      <c r="H2" s="29"/>
    </row>
    <row r="3" spans="2:8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4" t="s">
        <v>7</v>
      </c>
    </row>
    <row r="4" spans="2:8">
      <c r="B4" t="s">
        <v>8</v>
      </c>
      <c r="C4" s="7">
        <v>2202.08</v>
      </c>
      <c r="D4" s="7"/>
      <c r="E4" s="7">
        <f>C4</f>
        <v>2202.08</v>
      </c>
      <c r="F4" s="7"/>
      <c r="G4" s="7"/>
      <c r="H4" s="21"/>
    </row>
    <row r="5" spans="2:8">
      <c r="B5" t="s">
        <v>9</v>
      </c>
      <c r="C5" s="7">
        <f>756.35-378.18</f>
        <v>378.17</v>
      </c>
      <c r="D5" s="7">
        <f>E4</f>
        <v>2202.08</v>
      </c>
      <c r="E5" s="7"/>
      <c r="F5" s="7">
        <f>C5</f>
        <v>378.17</v>
      </c>
      <c r="G5" s="7"/>
      <c r="H5" s="22"/>
    </row>
    <row r="6" spans="2:8">
      <c r="B6" t="s">
        <v>10</v>
      </c>
      <c r="C6" s="7">
        <f>1352.44-1114.98</f>
        <v>237.46000000000004</v>
      </c>
      <c r="D6" s="7">
        <f>D5+F5</f>
        <v>2580.25</v>
      </c>
      <c r="E6" s="7"/>
      <c r="F6" s="7">
        <f>C6</f>
        <v>237.46000000000004</v>
      </c>
      <c r="G6" s="7"/>
      <c r="H6" s="22"/>
    </row>
    <row r="7" spans="2:8">
      <c r="B7" t="s">
        <v>11</v>
      </c>
      <c r="C7" s="7">
        <f>105.68-0</f>
        <v>105.68</v>
      </c>
      <c r="D7" s="7">
        <f>D6+F6</f>
        <v>2817.71</v>
      </c>
      <c r="E7" s="7"/>
      <c r="F7" s="7">
        <f>C7</f>
        <v>105.68</v>
      </c>
      <c r="G7" s="7"/>
      <c r="H7" s="22"/>
    </row>
    <row r="8" spans="2:8">
      <c r="B8" t="s">
        <v>12</v>
      </c>
      <c r="C8" s="7">
        <f>708.92-47.92</f>
        <v>661</v>
      </c>
      <c r="D8" s="7">
        <f>D7+F7-G8</f>
        <v>2262.39</v>
      </c>
      <c r="E8" s="7"/>
      <c r="F8" s="7"/>
      <c r="G8" s="7">
        <f>C8</f>
        <v>661</v>
      </c>
      <c r="H8" s="22"/>
    </row>
    <row r="9" spans="2:8">
      <c r="B9" t="s">
        <v>13</v>
      </c>
      <c r="C9" s="8"/>
      <c r="D9" s="7">
        <f>D8</f>
        <v>2262.39</v>
      </c>
      <c r="E9" s="7"/>
      <c r="F9" s="7"/>
      <c r="G9" s="7"/>
      <c r="H9" s="21"/>
    </row>
    <row r="10" spans="2:8">
      <c r="B10" t="s">
        <v>14</v>
      </c>
      <c r="C10" s="8">
        <f>C14</f>
        <v>221.447</v>
      </c>
      <c r="D10" s="7">
        <f>D9-G10</f>
        <v>2040.9429999999998</v>
      </c>
      <c r="E10" s="7"/>
      <c r="F10" s="7"/>
      <c r="G10" s="7">
        <f>C14</f>
        <v>221.447</v>
      </c>
      <c r="H10" s="21"/>
    </row>
    <row r="11" spans="2:8">
      <c r="B11" t="s">
        <v>15</v>
      </c>
      <c r="C11" s="8"/>
      <c r="D11" s="8">
        <f>D10</f>
        <v>2040.9429999999998</v>
      </c>
      <c r="E11" s="8"/>
      <c r="F11" s="8"/>
      <c r="G11" s="8"/>
      <c r="H11" s="21"/>
    </row>
    <row r="12" spans="2:8">
      <c r="C12" s="8"/>
      <c r="D12" s="8"/>
      <c r="E12" s="8"/>
      <c r="F12" s="8"/>
      <c r="G12" s="8"/>
      <c r="H12" s="21"/>
    </row>
    <row r="13" spans="2:8">
      <c r="B13" t="s">
        <v>16</v>
      </c>
      <c r="C13" s="7">
        <v>2214.4699999999998</v>
      </c>
      <c r="D13" s="8"/>
      <c r="E13" s="8"/>
      <c r="F13" s="8"/>
      <c r="G13" s="8"/>
      <c r="H13" s="21"/>
    </row>
    <row r="14" spans="2:8">
      <c r="B14" t="s">
        <v>17</v>
      </c>
      <c r="C14" s="8">
        <f>C13*0.1</f>
        <v>221.447</v>
      </c>
      <c r="D14" s="8"/>
      <c r="E14" s="8"/>
      <c r="F14" s="8"/>
      <c r="G14" s="8"/>
      <c r="H14" s="21"/>
    </row>
    <row r="21" spans="2:8" ht="15" thickBot="1">
      <c r="B21" s="29" t="s">
        <v>18</v>
      </c>
      <c r="C21" s="29"/>
      <c r="D21" s="29"/>
      <c r="E21" s="29"/>
      <c r="F21" s="29"/>
      <c r="G21" s="29"/>
      <c r="H21" s="29"/>
    </row>
    <row r="22" spans="2:8">
      <c r="B22" s="23" t="s">
        <v>1</v>
      </c>
      <c r="C22" s="23" t="s">
        <v>2</v>
      </c>
      <c r="D22" s="23" t="s">
        <v>3</v>
      </c>
      <c r="E22" s="23" t="s">
        <v>4</v>
      </c>
      <c r="F22" s="23" t="s">
        <v>5</v>
      </c>
      <c r="G22" s="23" t="s">
        <v>6</v>
      </c>
      <c r="H22" s="24" t="s">
        <v>7</v>
      </c>
    </row>
    <row r="23" spans="2:8">
      <c r="B23" t="s">
        <v>8</v>
      </c>
      <c r="C23" s="7">
        <v>2202.08</v>
      </c>
      <c r="D23" s="7"/>
      <c r="E23" s="7">
        <f>C23</f>
        <v>2202.08</v>
      </c>
      <c r="F23" s="7"/>
      <c r="G23" s="7"/>
      <c r="H23" s="21"/>
    </row>
    <row r="24" spans="2:8">
      <c r="B24" t="s">
        <v>9</v>
      </c>
      <c r="C24" s="7">
        <f>831.99-378.18</f>
        <v>453.81</v>
      </c>
      <c r="D24" s="7">
        <f>E23</f>
        <v>2202.08</v>
      </c>
      <c r="E24" s="7"/>
      <c r="F24" s="7">
        <f>C24</f>
        <v>453.81</v>
      </c>
      <c r="G24" s="7"/>
      <c r="H24" s="22"/>
    </row>
    <row r="25" spans="2:8">
      <c r="B25" t="s">
        <v>10</v>
      </c>
      <c r="C25" s="7">
        <f>1352.44-1114.98</f>
        <v>237.46000000000004</v>
      </c>
      <c r="D25" s="7">
        <f>D24+F24</f>
        <v>2655.89</v>
      </c>
      <c r="E25" s="7"/>
      <c r="F25" s="7">
        <f>C25</f>
        <v>237.46000000000004</v>
      </c>
      <c r="G25" s="7"/>
      <c r="H25" s="22"/>
    </row>
    <row r="26" spans="2:8">
      <c r="B26" t="s">
        <v>11</v>
      </c>
      <c r="C26" s="7">
        <f>108.76-0</f>
        <v>108.76</v>
      </c>
      <c r="D26" s="7">
        <f>D25+F25</f>
        <v>2893.35</v>
      </c>
      <c r="E26" s="7"/>
      <c r="F26" s="7">
        <f>C26</f>
        <v>108.76</v>
      </c>
      <c r="G26" s="7"/>
      <c r="H26" s="22"/>
    </row>
    <row r="27" spans="2:8">
      <c r="B27" t="s">
        <v>19</v>
      </c>
      <c r="C27" s="7">
        <f>708.92-46.5</f>
        <v>662.42</v>
      </c>
      <c r="D27" s="7">
        <f>D26+F26-G27</f>
        <v>2339.69</v>
      </c>
      <c r="E27" s="7"/>
      <c r="F27" s="7"/>
      <c r="G27" s="7">
        <f>C27</f>
        <v>662.42</v>
      </c>
      <c r="H27" s="22"/>
    </row>
    <row r="28" spans="2:8">
      <c r="B28" t="s">
        <v>20</v>
      </c>
      <c r="C28" s="8"/>
      <c r="D28" s="7">
        <f>D27</f>
        <v>2339.69</v>
      </c>
      <c r="E28" s="7"/>
      <c r="F28" s="7"/>
      <c r="G28" s="7"/>
      <c r="H28" s="21"/>
    </row>
    <row r="29" spans="2:8">
      <c r="B29" t="s">
        <v>14</v>
      </c>
      <c r="C29" s="8">
        <f>C33</f>
        <v>233.96799999999999</v>
      </c>
      <c r="D29" s="7">
        <f>D28-G29</f>
        <v>2105.7220000000002</v>
      </c>
      <c r="E29" s="7"/>
      <c r="F29" s="7"/>
      <c r="G29" s="7">
        <f>C33</f>
        <v>233.96799999999999</v>
      </c>
      <c r="H29" s="21"/>
    </row>
    <row r="30" spans="2:8">
      <c r="B30" t="s">
        <v>21</v>
      </c>
      <c r="C30" s="8"/>
      <c r="D30" s="8">
        <f>D29</f>
        <v>2105.7220000000002</v>
      </c>
      <c r="E30" s="8"/>
      <c r="F30" s="8"/>
      <c r="G30" s="8"/>
      <c r="H30" s="21"/>
    </row>
    <row r="31" spans="2:8">
      <c r="C31" s="8"/>
      <c r="D31" s="8"/>
      <c r="E31" s="8"/>
      <c r="F31" s="8"/>
      <c r="G31" s="8"/>
      <c r="H31" s="21"/>
    </row>
    <row r="32" spans="2:8">
      <c r="B32" t="s">
        <v>16</v>
      </c>
      <c r="C32" s="7">
        <v>2339.6799999999998</v>
      </c>
      <c r="D32" s="8"/>
      <c r="E32" s="8"/>
      <c r="F32" s="8"/>
      <c r="G32" s="8"/>
      <c r="H32" s="21"/>
    </row>
    <row r="33" spans="2:8">
      <c r="B33" t="s">
        <v>17</v>
      </c>
      <c r="C33" s="8">
        <f>C32*0.1</f>
        <v>233.96799999999999</v>
      </c>
      <c r="D33" s="8"/>
      <c r="E33" s="8"/>
      <c r="F33" s="8"/>
      <c r="G33" s="8"/>
      <c r="H33" s="21"/>
    </row>
    <row r="40" spans="2:8" ht="15" thickBot="1">
      <c r="B40" s="29" t="s">
        <v>22</v>
      </c>
      <c r="C40" s="29"/>
      <c r="D40" s="29"/>
      <c r="E40" s="29"/>
      <c r="F40" s="29"/>
      <c r="G40" s="29"/>
      <c r="H40" s="29"/>
    </row>
    <row r="41" spans="2:8">
      <c r="B41" s="23" t="s">
        <v>1</v>
      </c>
      <c r="C41" s="23" t="s">
        <v>2</v>
      </c>
      <c r="D41" s="23" t="s">
        <v>3</v>
      </c>
      <c r="E41" s="23" t="s">
        <v>4</v>
      </c>
      <c r="F41" s="23" t="s">
        <v>5</v>
      </c>
      <c r="G41" s="23" t="s">
        <v>6</v>
      </c>
      <c r="H41" s="24" t="s">
        <v>7</v>
      </c>
    </row>
    <row r="42" spans="2:8">
      <c r="B42" t="s">
        <v>8</v>
      </c>
      <c r="C42" s="7">
        <v>2202.08</v>
      </c>
      <c r="D42" s="7"/>
      <c r="E42" s="7">
        <f>C42</f>
        <v>2202.08</v>
      </c>
      <c r="F42" s="7"/>
      <c r="G42" s="7"/>
      <c r="H42" s="21"/>
    </row>
    <row r="43" spans="2:8">
      <c r="B43" t="s">
        <v>9</v>
      </c>
      <c r="C43" s="7">
        <f>680.72-378.18</f>
        <v>302.54000000000002</v>
      </c>
      <c r="D43" s="7">
        <f>E42</f>
        <v>2202.08</v>
      </c>
      <c r="E43" s="7"/>
      <c r="F43" s="7">
        <f>C43</f>
        <v>302.54000000000002</v>
      </c>
      <c r="G43" s="7"/>
      <c r="H43" s="22"/>
    </row>
    <row r="44" spans="2:8">
      <c r="B44" t="s">
        <v>10</v>
      </c>
      <c r="C44" s="7">
        <f>1352.44-1114.98</f>
        <v>237.46000000000004</v>
      </c>
      <c r="D44" s="7">
        <f>D43+F43</f>
        <v>2504.62</v>
      </c>
      <c r="E44" s="7"/>
      <c r="F44" s="7">
        <f>C44</f>
        <v>237.46000000000004</v>
      </c>
      <c r="G44" s="7"/>
      <c r="H44" s="22"/>
    </row>
    <row r="45" spans="2:8">
      <c r="B45" t="s">
        <v>11</v>
      </c>
      <c r="C45" s="7">
        <f>102.6-0</f>
        <v>102.6</v>
      </c>
      <c r="D45" s="7">
        <f>D44+F44</f>
        <v>2742.08</v>
      </c>
      <c r="E45" s="7"/>
      <c r="F45" s="7">
        <f>C45</f>
        <v>102.6</v>
      </c>
      <c r="G45" s="7"/>
      <c r="H45" s="22"/>
    </row>
    <row r="46" spans="2:8">
      <c r="B46" t="s">
        <v>19</v>
      </c>
      <c r="C46" s="7">
        <f>708.92-49.35</f>
        <v>659.56999999999994</v>
      </c>
      <c r="D46" s="7">
        <f>D45+F45-G46</f>
        <v>2185.1099999999997</v>
      </c>
      <c r="E46" s="7"/>
      <c r="F46" s="7"/>
      <c r="G46" s="7">
        <f>C46</f>
        <v>659.56999999999994</v>
      </c>
      <c r="H46" s="22"/>
    </row>
    <row r="47" spans="2:8">
      <c r="B47" t="s">
        <v>23</v>
      </c>
      <c r="C47" s="8"/>
      <c r="D47" s="7">
        <f>D46</f>
        <v>2185.1099999999997</v>
      </c>
      <c r="E47" s="7"/>
      <c r="F47" s="7"/>
      <c r="G47" s="7"/>
      <c r="H47" s="21"/>
    </row>
    <row r="48" spans="2:8">
      <c r="B48" t="s">
        <v>14</v>
      </c>
      <c r="C48" s="8">
        <f>C52</f>
        <v>218.51100000000002</v>
      </c>
      <c r="D48" s="7">
        <f>D47-G48</f>
        <v>1966.5989999999997</v>
      </c>
      <c r="E48" s="7"/>
      <c r="F48" s="7"/>
      <c r="G48" s="7">
        <f>C52</f>
        <v>218.51100000000002</v>
      </c>
      <c r="H48" s="21"/>
    </row>
    <row r="49" spans="2:8">
      <c r="B49" t="s">
        <v>24</v>
      </c>
      <c r="C49" s="8"/>
      <c r="D49" s="8">
        <f>D48</f>
        <v>1966.5989999999997</v>
      </c>
      <c r="E49" s="8"/>
      <c r="F49" s="8"/>
      <c r="G49" s="8"/>
      <c r="H49" s="21"/>
    </row>
    <row r="50" spans="2:8">
      <c r="C50" s="8"/>
      <c r="D50" s="8"/>
      <c r="E50" s="8"/>
      <c r="F50" s="8"/>
      <c r="G50" s="8"/>
      <c r="H50" s="21"/>
    </row>
    <row r="51" spans="2:8">
      <c r="B51" t="s">
        <v>16</v>
      </c>
      <c r="C51" s="7">
        <v>2185.11</v>
      </c>
      <c r="D51" s="8"/>
      <c r="E51" s="8"/>
      <c r="F51" s="8"/>
      <c r="G51" s="8"/>
      <c r="H51" s="21"/>
    </row>
    <row r="52" spans="2:8">
      <c r="B52" t="s">
        <v>17</v>
      </c>
      <c r="C52" s="8">
        <f>C51*0.1</f>
        <v>218.51100000000002</v>
      </c>
      <c r="D52" s="8"/>
      <c r="E52" s="8"/>
      <c r="F52" s="8"/>
      <c r="G52" s="8"/>
      <c r="H52" s="21"/>
    </row>
  </sheetData>
  <mergeCells count="3">
    <mergeCell ref="B2:H2"/>
    <mergeCell ref="B21:H21"/>
    <mergeCell ref="B40:H4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0C66-AC5C-4361-9AF3-08627913F5D4}">
  <dimension ref="A1:B9"/>
  <sheetViews>
    <sheetView workbookViewId="0">
      <selection activeCell="H6" sqref="H6"/>
    </sheetView>
  </sheetViews>
  <sheetFormatPr defaultRowHeight="14.45"/>
  <cols>
    <col min="1" max="1" width="36.28515625" bestFit="1" customWidth="1"/>
    <col min="2" max="2" width="7.5703125" bestFit="1" customWidth="1"/>
  </cols>
  <sheetData>
    <row r="1" spans="1:2">
      <c r="A1" t="s">
        <v>94</v>
      </c>
      <c r="B1" t="s">
        <v>95</v>
      </c>
    </row>
    <row r="2" spans="1:2">
      <c r="A2" t="s">
        <v>96</v>
      </c>
      <c r="B2" s="4">
        <v>2216.36</v>
      </c>
    </row>
    <row r="3" spans="1:2">
      <c r="A3" t="s">
        <v>97</v>
      </c>
      <c r="B3" s="4">
        <v>378.18</v>
      </c>
    </row>
    <row r="4" spans="1:2">
      <c r="A4" t="s">
        <v>98</v>
      </c>
      <c r="B4" s="4">
        <v>223.18</v>
      </c>
    </row>
    <row r="5" spans="1:2">
      <c r="A5" t="s">
        <v>99</v>
      </c>
      <c r="B5" s="4">
        <v>106</v>
      </c>
    </row>
    <row r="6" spans="1:2">
      <c r="A6" t="s">
        <v>100</v>
      </c>
      <c r="B6" s="4">
        <v>-661</v>
      </c>
    </row>
    <row r="7" spans="1:2">
      <c r="A7" s="27" t="s">
        <v>101</v>
      </c>
      <c r="B7" s="4">
        <f>B2+B3+B4+B5+B6</f>
        <v>2262.7199999999998</v>
      </c>
    </row>
    <row r="8" spans="1:2">
      <c r="A8" t="s">
        <v>102</v>
      </c>
      <c r="B8" s="4">
        <f>-B7*0.1</f>
        <v>-226.27199999999999</v>
      </c>
    </row>
    <row r="9" spans="1:2">
      <c r="A9" t="s">
        <v>103</v>
      </c>
      <c r="B9" s="4">
        <f>B7+B8</f>
        <v>2036.4479999999999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781-4E14-495E-8072-139066F77D75}">
  <dimension ref="A1:B9"/>
  <sheetViews>
    <sheetView tabSelected="1" workbookViewId="0">
      <selection activeCell="K8" sqref="K8"/>
    </sheetView>
  </sheetViews>
  <sheetFormatPr defaultRowHeight="14.45"/>
  <cols>
    <col min="1" max="1" width="35.28515625" customWidth="1"/>
    <col min="2" max="2" width="7.5703125" bestFit="1" customWidth="1"/>
  </cols>
  <sheetData>
    <row r="1" spans="1:2">
      <c r="A1" t="s">
        <v>94</v>
      </c>
      <c r="B1" t="s">
        <v>95</v>
      </c>
    </row>
    <row r="2" spans="1:2">
      <c r="A2" t="s">
        <v>96</v>
      </c>
      <c r="B2" s="4">
        <v>2216.36</v>
      </c>
    </row>
    <row r="3" spans="1:2">
      <c r="A3" t="s">
        <v>97</v>
      </c>
      <c r="B3" s="4">
        <v>378.18</v>
      </c>
    </row>
    <row r="4" spans="1:2">
      <c r="A4" t="s">
        <v>98</v>
      </c>
      <c r="B4" s="4">
        <v>223.18</v>
      </c>
    </row>
    <row r="5" spans="1:2">
      <c r="A5" t="s">
        <v>99</v>
      </c>
      <c r="B5" s="4">
        <v>106</v>
      </c>
    </row>
    <row r="6" spans="1:2">
      <c r="A6" s="28" t="s">
        <v>104</v>
      </c>
      <c r="B6" s="4">
        <v>-661</v>
      </c>
    </row>
    <row r="7" spans="1:2">
      <c r="A7" t="s">
        <v>101</v>
      </c>
      <c r="B7" s="4">
        <f>B2+B3+B4+B5+B6</f>
        <v>2262.7199999999998</v>
      </c>
    </row>
    <row r="8" spans="1:2">
      <c r="A8" s="28" t="s">
        <v>100</v>
      </c>
      <c r="B8" s="4">
        <v>202.89</v>
      </c>
    </row>
    <row r="9" spans="1:2">
      <c r="A9" t="s">
        <v>103</v>
      </c>
      <c r="B9" s="4">
        <f>B7+B8</f>
        <v>2465.6099999999997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F7B4-6B51-4C65-81F6-0DFB4974463C}">
  <dimension ref="A1:B9"/>
  <sheetViews>
    <sheetView workbookViewId="0">
      <selection activeCell="F39" sqref="F39"/>
    </sheetView>
  </sheetViews>
  <sheetFormatPr defaultRowHeight="14.45"/>
  <cols>
    <col min="1" max="1" width="25.7109375" bestFit="1" customWidth="1"/>
    <col min="2" max="2" width="10.140625" bestFit="1" customWidth="1"/>
  </cols>
  <sheetData>
    <row r="1" spans="1:2">
      <c r="A1" t="s">
        <v>94</v>
      </c>
      <c r="B1" t="s">
        <v>95</v>
      </c>
    </row>
    <row r="2" spans="1:2">
      <c r="A2" t="s">
        <v>25</v>
      </c>
      <c r="B2" s="4">
        <v>2202</v>
      </c>
    </row>
    <row r="3" spans="1:2">
      <c r="A3" t="s">
        <v>105</v>
      </c>
      <c r="B3" s="4">
        <f>B2+378</f>
        <v>2580</v>
      </c>
    </row>
    <row r="4" spans="1:2">
      <c r="A4" t="s">
        <v>88</v>
      </c>
      <c r="B4" s="4">
        <f>B3+237</f>
        <v>2817</v>
      </c>
    </row>
    <row r="5" spans="1:2">
      <c r="A5" t="s">
        <v>89</v>
      </c>
      <c r="B5" s="4">
        <f>B4+106</f>
        <v>2923</v>
      </c>
    </row>
    <row r="6" spans="1:2">
      <c r="A6" t="s">
        <v>106</v>
      </c>
      <c r="B6" s="4">
        <f>B5-661</f>
        <v>2262</v>
      </c>
    </row>
    <row r="7" spans="1:2">
      <c r="A7" t="s">
        <v>13</v>
      </c>
      <c r="B7" s="4">
        <f>B6</f>
        <v>2262</v>
      </c>
    </row>
    <row r="8" spans="1:2">
      <c r="A8" t="s">
        <v>107</v>
      </c>
      <c r="B8" s="4">
        <f>B7-226</f>
        <v>2036</v>
      </c>
    </row>
    <row r="9" spans="1:2">
      <c r="A9" t="s">
        <v>15</v>
      </c>
      <c r="B9" s="4">
        <f>B8</f>
        <v>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E10E-155F-46B4-ABDA-189DA8B3F096}">
  <dimension ref="B2:H52"/>
  <sheetViews>
    <sheetView zoomScale="85" zoomScaleNormal="85" workbookViewId="0">
      <selection activeCell="C4" sqref="C4:D10"/>
    </sheetView>
  </sheetViews>
  <sheetFormatPr defaultRowHeight="14.45"/>
  <cols>
    <col min="2" max="2" width="27.140625" bestFit="1" customWidth="1"/>
    <col min="3" max="3" width="16.140625" customWidth="1"/>
    <col min="4" max="5" width="15.28515625" customWidth="1"/>
    <col min="6" max="6" width="16.28515625" customWidth="1"/>
    <col min="7" max="7" width="14.42578125" customWidth="1"/>
    <col min="8" max="8" width="10.28515625" style="20" bestFit="1" customWidth="1"/>
  </cols>
  <sheetData>
    <row r="2" spans="2:8" ht="15" thickBot="1">
      <c r="B2" s="29" t="s">
        <v>0</v>
      </c>
      <c r="C2" s="29"/>
      <c r="D2" s="29"/>
      <c r="E2" s="29"/>
      <c r="F2" s="29"/>
      <c r="G2" s="29"/>
      <c r="H2" s="29"/>
    </row>
    <row r="3" spans="2:8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4" t="s">
        <v>7</v>
      </c>
    </row>
    <row r="4" spans="2:8">
      <c r="B4" t="s">
        <v>25</v>
      </c>
      <c r="C4" s="7">
        <v>2202.08</v>
      </c>
      <c r="D4" s="7"/>
      <c r="E4" s="7">
        <f>C4</f>
        <v>2202.08</v>
      </c>
      <c r="F4" s="7"/>
      <c r="G4" s="7"/>
      <c r="H4" s="21"/>
    </row>
    <row r="5" spans="2:8">
      <c r="B5" t="s">
        <v>9</v>
      </c>
      <c r="C5" s="7">
        <f>756.35-378.18</f>
        <v>378.17</v>
      </c>
      <c r="D5" s="7">
        <f>E4</f>
        <v>2202.08</v>
      </c>
      <c r="E5" s="7"/>
      <c r="F5" s="7">
        <f>C5</f>
        <v>378.17</v>
      </c>
      <c r="G5" s="7"/>
      <c r="H5" s="22"/>
    </row>
    <row r="6" spans="2:8">
      <c r="B6" t="s">
        <v>10</v>
      </c>
      <c r="C6" s="7">
        <f>1352.44-1114.98</f>
        <v>237.46000000000004</v>
      </c>
      <c r="D6" s="7">
        <f>D5+F5</f>
        <v>2580.25</v>
      </c>
      <c r="E6" s="7"/>
      <c r="F6" s="7">
        <f>C6</f>
        <v>237.46000000000004</v>
      </c>
      <c r="G6" s="7"/>
      <c r="H6" s="22"/>
    </row>
    <row r="7" spans="2:8">
      <c r="B7" t="s">
        <v>11</v>
      </c>
      <c r="C7" s="7">
        <f>105.68-0</f>
        <v>105.68</v>
      </c>
      <c r="D7" s="7">
        <f>D6+F6</f>
        <v>2817.71</v>
      </c>
      <c r="E7" s="7"/>
      <c r="F7" s="7">
        <f>C7</f>
        <v>105.68</v>
      </c>
      <c r="G7" s="7"/>
      <c r="H7" s="22"/>
    </row>
    <row r="8" spans="2:8">
      <c r="B8" t="s">
        <v>12</v>
      </c>
      <c r="C8" s="7">
        <f>708.92-47.92</f>
        <v>661</v>
      </c>
      <c r="D8" s="7">
        <f>D7+F7-G8</f>
        <v>2262.39</v>
      </c>
      <c r="E8" s="7"/>
      <c r="F8" s="7"/>
      <c r="G8" s="7">
        <f>C8</f>
        <v>661</v>
      </c>
      <c r="H8" s="22"/>
    </row>
    <row r="9" spans="2:8">
      <c r="B9" t="s">
        <v>13</v>
      </c>
      <c r="C9" s="8"/>
      <c r="D9" s="7">
        <f>D8</f>
        <v>2262.39</v>
      </c>
      <c r="E9" s="7"/>
      <c r="F9" s="7"/>
      <c r="G9" s="7"/>
      <c r="H9" s="21"/>
    </row>
    <row r="10" spans="2:8">
      <c r="B10" t="s">
        <v>14</v>
      </c>
      <c r="C10" s="8">
        <f>C14</f>
        <v>226.24</v>
      </c>
      <c r="D10" s="7">
        <f>D9-G10</f>
        <v>2036.1499999999999</v>
      </c>
      <c r="E10" s="7"/>
      <c r="F10" s="7"/>
      <c r="G10" s="7">
        <f>C14</f>
        <v>226.24</v>
      </c>
      <c r="H10" s="21"/>
    </row>
    <row r="11" spans="2:8">
      <c r="B11" t="s">
        <v>15</v>
      </c>
      <c r="C11" s="8"/>
      <c r="D11" s="8">
        <f>D10</f>
        <v>2036.1499999999999</v>
      </c>
      <c r="E11" s="8"/>
      <c r="F11" s="8"/>
      <c r="G11" s="8"/>
      <c r="H11" s="21"/>
    </row>
    <row r="12" spans="2:8">
      <c r="C12" s="8"/>
      <c r="D12" s="8"/>
      <c r="E12" s="8"/>
      <c r="F12" s="8"/>
      <c r="G12" s="8"/>
      <c r="H12" s="21"/>
    </row>
    <row r="13" spans="2:8">
      <c r="B13" t="s">
        <v>16</v>
      </c>
      <c r="C13" s="7">
        <v>2262.4</v>
      </c>
      <c r="D13" s="8"/>
      <c r="E13" s="8"/>
      <c r="F13" s="8"/>
      <c r="G13" s="8"/>
      <c r="H13" s="21"/>
    </row>
    <row r="14" spans="2:8">
      <c r="B14" t="s">
        <v>17</v>
      </c>
      <c r="C14" s="8">
        <f>C13*0.1</f>
        <v>226.24</v>
      </c>
      <c r="D14" s="8"/>
      <c r="E14" s="8"/>
      <c r="F14" s="8"/>
      <c r="G14" s="8"/>
      <c r="H14" s="21"/>
    </row>
    <row r="21" spans="2:8" ht="15" thickBot="1">
      <c r="B21" s="29" t="s">
        <v>18</v>
      </c>
      <c r="C21" s="29"/>
      <c r="D21" s="29"/>
      <c r="E21" s="29"/>
      <c r="F21" s="29"/>
      <c r="G21" s="29"/>
      <c r="H21" s="29"/>
    </row>
    <row r="22" spans="2:8">
      <c r="B22" s="23" t="s">
        <v>1</v>
      </c>
      <c r="C22" s="23" t="s">
        <v>2</v>
      </c>
      <c r="D22" s="23" t="s">
        <v>3</v>
      </c>
      <c r="E22" s="23" t="s">
        <v>4</v>
      </c>
      <c r="F22" s="23" t="s">
        <v>5</v>
      </c>
      <c r="G22" s="23" t="s">
        <v>6</v>
      </c>
      <c r="H22" s="24" t="s">
        <v>7</v>
      </c>
    </row>
    <row r="23" spans="2:8">
      <c r="B23" t="s">
        <v>8</v>
      </c>
      <c r="C23" s="7">
        <v>2202.08</v>
      </c>
      <c r="D23" s="7"/>
      <c r="E23" s="7">
        <f>C23</f>
        <v>2202.08</v>
      </c>
      <c r="F23" s="7"/>
      <c r="G23" s="7"/>
      <c r="H23" s="21"/>
    </row>
    <row r="24" spans="2:8">
      <c r="B24" t="s">
        <v>9</v>
      </c>
      <c r="C24" s="7">
        <f>748.79-378.18</f>
        <v>370.60999999999996</v>
      </c>
      <c r="D24" s="7">
        <f>E23</f>
        <v>2202.08</v>
      </c>
      <c r="E24" s="7"/>
      <c r="F24" s="7">
        <f>C24</f>
        <v>370.60999999999996</v>
      </c>
      <c r="G24" s="7"/>
      <c r="H24" s="22"/>
    </row>
    <row r="25" spans="2:8">
      <c r="B25" t="s">
        <v>10</v>
      </c>
      <c r="C25" s="7">
        <f>1352.44-1114.98</f>
        <v>237.46000000000004</v>
      </c>
      <c r="D25" s="7">
        <f>D24+F24</f>
        <v>2572.69</v>
      </c>
      <c r="E25" s="7"/>
      <c r="F25" s="7">
        <f>C25</f>
        <v>237.46000000000004</v>
      </c>
      <c r="G25" s="7"/>
      <c r="H25" s="22"/>
    </row>
    <row r="26" spans="2:8">
      <c r="B26" t="s">
        <v>11</v>
      </c>
      <c r="C26" s="7">
        <f>105.37-0</f>
        <v>105.37</v>
      </c>
      <c r="D26" s="7">
        <f>D25+F25</f>
        <v>2810.15</v>
      </c>
      <c r="E26" s="7"/>
      <c r="F26" s="7">
        <f>C26</f>
        <v>105.37</v>
      </c>
      <c r="G26" s="7"/>
      <c r="H26" s="22"/>
    </row>
    <row r="27" spans="2:8">
      <c r="B27" t="s">
        <v>19</v>
      </c>
      <c r="C27" s="7">
        <f>708.92-46.5</f>
        <v>662.42</v>
      </c>
      <c r="D27" s="7">
        <f>D26+F26-G27</f>
        <v>2253.1</v>
      </c>
      <c r="E27" s="7"/>
      <c r="F27" s="7"/>
      <c r="G27" s="7">
        <f>C27</f>
        <v>662.42</v>
      </c>
      <c r="H27" s="22"/>
    </row>
    <row r="28" spans="2:8">
      <c r="B28" t="s">
        <v>20</v>
      </c>
      <c r="C28" s="8"/>
      <c r="D28" s="7">
        <f>D27</f>
        <v>2253.1</v>
      </c>
      <c r="E28" s="7"/>
      <c r="F28" s="7"/>
      <c r="G28" s="7"/>
      <c r="H28" s="21"/>
    </row>
    <row r="29" spans="2:8">
      <c r="B29" t="s">
        <v>14</v>
      </c>
      <c r="C29" s="8">
        <f>C33</f>
        <v>225.31</v>
      </c>
      <c r="D29" s="7">
        <f>D28-G29</f>
        <v>2027.79</v>
      </c>
      <c r="E29" s="7"/>
      <c r="F29" s="7"/>
      <c r="G29" s="7">
        <f>C33</f>
        <v>225.31</v>
      </c>
      <c r="H29" s="21"/>
    </row>
    <row r="30" spans="2:8">
      <c r="B30" t="s">
        <v>21</v>
      </c>
      <c r="C30" s="8"/>
      <c r="D30" s="8">
        <f>D29</f>
        <v>2027.79</v>
      </c>
      <c r="E30" s="8"/>
      <c r="F30" s="8"/>
      <c r="G30" s="8"/>
      <c r="H30" s="21"/>
    </row>
    <row r="31" spans="2:8">
      <c r="C31" s="8"/>
      <c r="D31" s="8"/>
      <c r="E31" s="8"/>
      <c r="F31" s="8"/>
      <c r="G31" s="8"/>
      <c r="H31" s="21"/>
    </row>
    <row r="32" spans="2:8">
      <c r="B32" t="s">
        <v>16</v>
      </c>
      <c r="C32" s="7">
        <v>2253.1</v>
      </c>
      <c r="D32" s="8"/>
      <c r="E32" s="8"/>
      <c r="F32" s="8"/>
      <c r="G32" s="8"/>
      <c r="H32" s="21"/>
    </row>
    <row r="33" spans="2:8">
      <c r="B33" t="s">
        <v>17</v>
      </c>
      <c r="C33" s="8">
        <f>C32*0.1</f>
        <v>225.31</v>
      </c>
      <c r="D33" s="8"/>
      <c r="E33" s="8"/>
      <c r="F33" s="8"/>
      <c r="G33" s="8"/>
      <c r="H33" s="21"/>
    </row>
    <row r="40" spans="2:8" ht="15" thickBot="1">
      <c r="B40" s="29" t="s">
        <v>22</v>
      </c>
      <c r="C40" s="29"/>
      <c r="D40" s="29"/>
      <c r="E40" s="29"/>
      <c r="F40" s="29"/>
      <c r="G40" s="29"/>
      <c r="H40" s="29"/>
    </row>
    <row r="41" spans="2:8">
      <c r="B41" s="23" t="s">
        <v>1</v>
      </c>
      <c r="C41" s="23" t="s">
        <v>2</v>
      </c>
      <c r="D41" s="23" t="s">
        <v>3</v>
      </c>
      <c r="E41" s="23" t="s">
        <v>4</v>
      </c>
      <c r="F41" s="23" t="s">
        <v>5</v>
      </c>
      <c r="G41" s="23" t="s">
        <v>6</v>
      </c>
      <c r="H41" s="24" t="s">
        <v>7</v>
      </c>
    </row>
    <row r="42" spans="2:8">
      <c r="B42" t="s">
        <v>8</v>
      </c>
      <c r="C42" s="7">
        <v>2202.08</v>
      </c>
      <c r="D42" s="7"/>
      <c r="E42" s="7">
        <f>C42</f>
        <v>2202.08</v>
      </c>
      <c r="F42" s="7"/>
      <c r="G42" s="7"/>
      <c r="H42" s="21"/>
    </row>
    <row r="43" spans="2:8">
      <c r="B43" t="s">
        <v>9</v>
      </c>
      <c r="C43" s="7">
        <f>763.92-378.18</f>
        <v>385.73999999999995</v>
      </c>
      <c r="D43" s="7">
        <f>E42</f>
        <v>2202.08</v>
      </c>
      <c r="E43" s="7"/>
      <c r="F43" s="7">
        <f>C43</f>
        <v>385.73999999999995</v>
      </c>
      <c r="G43" s="7"/>
      <c r="H43" s="22"/>
    </row>
    <row r="44" spans="2:8">
      <c r="B44" t="s">
        <v>10</v>
      </c>
      <c r="C44" s="7">
        <f>1352.44-1114.98</f>
        <v>237.46000000000004</v>
      </c>
      <c r="D44" s="7">
        <f>D43+F43</f>
        <v>2587.8199999999997</v>
      </c>
      <c r="E44" s="7"/>
      <c r="F44" s="7">
        <f>C44</f>
        <v>237.46000000000004</v>
      </c>
      <c r="G44" s="7"/>
      <c r="H44" s="22"/>
    </row>
    <row r="45" spans="2:8">
      <c r="B45" t="s">
        <v>11</v>
      </c>
      <c r="C45" s="7">
        <f>105.99-0</f>
        <v>105.99</v>
      </c>
      <c r="D45" s="7">
        <f>D44+F44</f>
        <v>2825.2799999999997</v>
      </c>
      <c r="E45" s="7"/>
      <c r="F45" s="7">
        <f>C45</f>
        <v>105.99</v>
      </c>
      <c r="G45" s="7"/>
      <c r="H45" s="22"/>
    </row>
    <row r="46" spans="2:8">
      <c r="B46" t="s">
        <v>19</v>
      </c>
      <c r="C46" s="7">
        <f>708.92-49.35</f>
        <v>659.56999999999994</v>
      </c>
      <c r="D46" s="7">
        <f>D45+F45-G46</f>
        <v>2271.6999999999998</v>
      </c>
      <c r="E46" s="7"/>
      <c r="F46" s="7"/>
      <c r="G46" s="7">
        <f>C46</f>
        <v>659.56999999999994</v>
      </c>
      <c r="H46" s="22"/>
    </row>
    <row r="47" spans="2:8">
      <c r="B47" t="s">
        <v>23</v>
      </c>
      <c r="C47" s="8"/>
      <c r="D47" s="7">
        <f>D46</f>
        <v>2271.6999999999998</v>
      </c>
      <c r="E47" s="7"/>
      <c r="F47" s="7"/>
      <c r="G47" s="7"/>
      <c r="H47" s="21"/>
    </row>
    <row r="48" spans="2:8">
      <c r="B48" t="s">
        <v>14</v>
      </c>
      <c r="C48" s="8">
        <f>C52</f>
        <v>227.17</v>
      </c>
      <c r="D48" s="7">
        <f>D47-G48</f>
        <v>2044.5299999999997</v>
      </c>
      <c r="E48" s="7"/>
      <c r="F48" s="7"/>
      <c r="G48" s="7">
        <f>C52</f>
        <v>227.17</v>
      </c>
      <c r="H48" s="21"/>
    </row>
    <row r="49" spans="2:8">
      <c r="B49" t="s">
        <v>24</v>
      </c>
      <c r="C49" s="8"/>
      <c r="D49" s="8">
        <f>D48</f>
        <v>2044.5299999999997</v>
      </c>
      <c r="E49" s="8"/>
      <c r="F49" s="8"/>
      <c r="G49" s="8"/>
      <c r="H49" s="21"/>
    </row>
    <row r="50" spans="2:8">
      <c r="C50" s="8"/>
      <c r="D50" s="8"/>
      <c r="E50" s="8"/>
      <c r="F50" s="8"/>
      <c r="G50" s="8"/>
      <c r="H50" s="21"/>
    </row>
    <row r="51" spans="2:8">
      <c r="B51" t="s">
        <v>16</v>
      </c>
      <c r="C51" s="7">
        <v>2271.6999999999998</v>
      </c>
      <c r="D51" s="8"/>
      <c r="E51" s="8"/>
      <c r="F51" s="8"/>
      <c r="G51" s="8"/>
      <c r="H51" s="21"/>
    </row>
    <row r="52" spans="2:8">
      <c r="B52" t="s">
        <v>17</v>
      </c>
      <c r="C52" s="8">
        <f>C51*0.1</f>
        <v>227.17</v>
      </c>
      <c r="D52" s="8"/>
      <c r="E52" s="8"/>
      <c r="F52" s="8"/>
      <c r="G52" s="8"/>
      <c r="H52" s="21"/>
    </row>
  </sheetData>
  <mergeCells count="3">
    <mergeCell ref="B2:H2"/>
    <mergeCell ref="B21:H21"/>
    <mergeCell ref="B40:H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F123-90FB-4513-9D67-48A36B38756E}">
  <dimension ref="B2:G6"/>
  <sheetViews>
    <sheetView workbookViewId="0">
      <selection activeCell="N10" sqref="N10"/>
    </sheetView>
  </sheetViews>
  <sheetFormatPr defaultRowHeight="14.45"/>
  <cols>
    <col min="2" max="2" width="12.7109375" bestFit="1" customWidth="1"/>
    <col min="3" max="3" width="10.140625" bestFit="1" customWidth="1"/>
    <col min="4" max="4" width="10.140625" customWidth="1"/>
    <col min="5" max="5" width="12.7109375" bestFit="1" customWidth="1"/>
    <col min="6" max="6" width="10.140625" bestFit="1" customWidth="1"/>
    <col min="7" max="7" width="15.28515625" bestFit="1" customWidth="1"/>
  </cols>
  <sheetData>
    <row r="2" spans="2:7">
      <c r="B2" t="s">
        <v>26</v>
      </c>
      <c r="E2" t="s">
        <v>27</v>
      </c>
      <c r="G2" t="s">
        <v>28</v>
      </c>
    </row>
    <row r="3" spans="2:7">
      <c r="B3" t="s">
        <v>29</v>
      </c>
      <c r="C3" s="3">
        <v>378.18</v>
      </c>
      <c r="D3" s="3"/>
      <c r="E3" t="s">
        <v>29</v>
      </c>
      <c r="F3" s="3">
        <v>831.99</v>
      </c>
      <c r="G3" s="5">
        <f>F3*0.9</f>
        <v>748.79100000000005</v>
      </c>
    </row>
    <row r="4" spans="2:7">
      <c r="B4" t="s">
        <v>30</v>
      </c>
      <c r="C4" s="3">
        <v>1087.57</v>
      </c>
      <c r="D4" s="3"/>
      <c r="E4" t="s">
        <v>30</v>
      </c>
      <c r="F4" s="3">
        <v>1321.98</v>
      </c>
      <c r="G4" s="5">
        <f t="shared" ref="G4:G6" si="0">F4*0.9</f>
        <v>1189.7820000000002</v>
      </c>
    </row>
    <row r="5" spans="2:7">
      <c r="B5" t="s">
        <v>31</v>
      </c>
      <c r="C5" s="3">
        <v>0</v>
      </c>
      <c r="D5" s="3"/>
      <c r="E5" t="s">
        <v>31</v>
      </c>
      <c r="F5" s="3">
        <v>104.37</v>
      </c>
      <c r="G5" s="5">
        <f t="shared" si="0"/>
        <v>93.933000000000007</v>
      </c>
    </row>
    <row r="6" spans="2:7">
      <c r="B6" t="s">
        <v>32</v>
      </c>
      <c r="C6" s="3">
        <v>708.92</v>
      </c>
      <c r="D6" s="3"/>
      <c r="E6" t="s">
        <v>32</v>
      </c>
      <c r="F6" s="3">
        <v>46.5</v>
      </c>
      <c r="G6" s="5">
        <f t="shared" si="0"/>
        <v>41.85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B902-821E-43A9-BCFB-2FB62D05A124}">
  <dimension ref="B2:O18"/>
  <sheetViews>
    <sheetView zoomScaleNormal="100" workbookViewId="0">
      <selection activeCell="G4" sqref="G4"/>
    </sheetView>
  </sheetViews>
  <sheetFormatPr defaultRowHeight="14.45"/>
  <cols>
    <col min="2" max="2" width="32.28515625" bestFit="1" customWidth="1"/>
    <col min="3" max="3" width="16.140625" customWidth="1"/>
    <col min="4" max="5" width="15.28515625" customWidth="1"/>
    <col min="6" max="6" width="16.28515625" customWidth="1"/>
    <col min="7" max="7" width="14.42578125" customWidth="1"/>
  </cols>
  <sheetData>
    <row r="2" spans="2: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15">
      <c r="B3" t="s">
        <v>33</v>
      </c>
      <c r="C3" s="7">
        <v>2174.66</v>
      </c>
      <c r="D3" s="7"/>
      <c r="E3" s="7">
        <f>C3</f>
        <v>2174.66</v>
      </c>
      <c r="F3" s="7"/>
      <c r="G3" s="7"/>
      <c r="H3" s="8"/>
    </row>
    <row r="4" spans="2:15">
      <c r="B4" t="s">
        <v>9</v>
      </c>
      <c r="C4" s="7">
        <f>831.99-378.18</f>
        <v>453.81</v>
      </c>
      <c r="D4" s="7">
        <f>E3</f>
        <v>2174.66</v>
      </c>
      <c r="E4" s="7"/>
      <c r="F4" s="7">
        <f>C4</f>
        <v>453.81</v>
      </c>
      <c r="G4" s="7"/>
      <c r="H4" s="9"/>
    </row>
    <row r="5" spans="2:15">
      <c r="B5" t="s">
        <v>10</v>
      </c>
      <c r="C5" s="7">
        <f>1321.98-1087.57</f>
        <v>234.41000000000008</v>
      </c>
      <c r="D5" s="7">
        <f>D4+F4</f>
        <v>2628.47</v>
      </c>
      <c r="E5" s="7"/>
      <c r="F5" s="7">
        <f>C5</f>
        <v>234.41000000000008</v>
      </c>
      <c r="G5" s="7"/>
      <c r="H5" s="9"/>
    </row>
    <row r="6" spans="2:15">
      <c r="B6" t="s">
        <v>11</v>
      </c>
      <c r="C6" s="7">
        <f>104.37-0</f>
        <v>104.37</v>
      </c>
      <c r="D6" s="7">
        <f>D5+F5</f>
        <v>2862.88</v>
      </c>
      <c r="E6" s="7"/>
      <c r="F6" s="7">
        <f>C6</f>
        <v>104.37</v>
      </c>
      <c r="G6" s="7"/>
      <c r="H6" s="9"/>
    </row>
    <row r="7" spans="2:15">
      <c r="B7" t="s">
        <v>34</v>
      </c>
      <c r="C7" s="7">
        <f>708.92-46.5</f>
        <v>662.42</v>
      </c>
      <c r="D7" s="7">
        <f>D6+F6-G7</f>
        <v>2304.83</v>
      </c>
      <c r="E7" s="7"/>
      <c r="F7" s="7"/>
      <c r="G7" s="7">
        <f>C7</f>
        <v>662.42</v>
      </c>
      <c r="H7" s="9"/>
    </row>
    <row r="8" spans="2:15">
      <c r="B8" t="s">
        <v>35</v>
      </c>
      <c r="C8" s="8"/>
      <c r="D8" s="7">
        <f>D7+F7-G8</f>
        <v>2304.83</v>
      </c>
      <c r="E8" s="7"/>
      <c r="F8" s="7"/>
      <c r="G8" s="7"/>
      <c r="H8" s="8"/>
    </row>
    <row r="9" spans="2:15">
      <c r="B9" t="s">
        <v>17</v>
      </c>
      <c r="C9" s="8">
        <f>C15</f>
        <v>230.43400000000003</v>
      </c>
      <c r="D9" s="7">
        <f>D8+F8-G9</f>
        <v>2074.3959999999997</v>
      </c>
      <c r="E9" s="7"/>
      <c r="F9" s="7"/>
      <c r="G9" s="7">
        <f>C15</f>
        <v>230.43400000000003</v>
      </c>
      <c r="H9" s="8"/>
    </row>
    <row r="10" spans="2:15">
      <c r="B10" t="s">
        <v>36</v>
      </c>
      <c r="C10" s="8"/>
      <c r="D10" s="7">
        <f>D9</f>
        <v>2074.3959999999997</v>
      </c>
      <c r="E10" s="7"/>
      <c r="F10" s="7"/>
      <c r="G10" s="7"/>
      <c r="H10" s="8"/>
    </row>
    <row r="11" spans="2:15">
      <c r="B11" t="s">
        <v>37</v>
      </c>
      <c r="C11" s="8"/>
      <c r="D11" s="7"/>
      <c r="E11" s="7"/>
      <c r="F11" s="7"/>
      <c r="G11" s="7"/>
      <c r="H11" s="8"/>
    </row>
    <row r="12" spans="2:15">
      <c r="B12" t="s">
        <v>38</v>
      </c>
      <c r="C12" s="8"/>
      <c r="H12" s="8"/>
      <c r="J12" s="30" t="s">
        <v>39</v>
      </c>
      <c r="K12" s="31"/>
      <c r="L12" s="31"/>
      <c r="M12" s="31"/>
      <c r="N12" s="31"/>
      <c r="O12" s="31"/>
    </row>
    <row r="13" spans="2:15">
      <c r="C13" s="8"/>
      <c r="D13" s="8"/>
      <c r="E13" s="8"/>
      <c r="F13" s="8"/>
      <c r="G13" s="8"/>
      <c r="H13" s="8"/>
      <c r="J13" s="31"/>
      <c r="K13" s="31"/>
      <c r="L13" s="31"/>
      <c r="M13" s="31"/>
      <c r="N13" s="31"/>
      <c r="O13" s="31"/>
    </row>
    <row r="14" spans="2:15">
      <c r="B14" t="s">
        <v>16</v>
      </c>
      <c r="C14" s="7">
        <v>2304.34</v>
      </c>
      <c r="D14" s="8"/>
      <c r="E14" s="8"/>
      <c r="F14" s="8"/>
      <c r="G14" s="8"/>
      <c r="H14" s="8"/>
      <c r="J14" s="31"/>
      <c r="K14" s="31"/>
      <c r="L14" s="31"/>
      <c r="M14" s="31"/>
      <c r="N14" s="31"/>
      <c r="O14" s="31"/>
    </row>
    <row r="15" spans="2:15">
      <c r="B15" t="s">
        <v>17</v>
      </c>
      <c r="C15" s="8">
        <f>C14*0.1</f>
        <v>230.43400000000003</v>
      </c>
      <c r="D15" s="8"/>
      <c r="E15" s="8"/>
      <c r="F15" s="8"/>
      <c r="G15" s="8"/>
      <c r="H15" s="8"/>
      <c r="J15" s="31"/>
      <c r="K15" s="31"/>
      <c r="L15" s="31"/>
      <c r="M15" s="31"/>
      <c r="N15" s="31"/>
      <c r="O15" s="31"/>
    </row>
    <row r="16" spans="2:15">
      <c r="J16" s="31"/>
      <c r="K16" s="31"/>
      <c r="L16" s="31"/>
      <c r="M16" s="31"/>
      <c r="N16" s="31"/>
      <c r="O16" s="31"/>
    </row>
    <row r="17" spans="2:3">
      <c r="B17" t="s">
        <v>40</v>
      </c>
      <c r="C17">
        <v>2074</v>
      </c>
    </row>
    <row r="18" spans="2:3">
      <c r="B18" t="s">
        <v>41</v>
      </c>
      <c r="C18" s="8">
        <f>C17*0.1</f>
        <v>207.4</v>
      </c>
    </row>
  </sheetData>
  <mergeCells count="1">
    <mergeCell ref="J12:O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89E2-345D-459F-BD55-52D78E95ECF0}">
  <dimension ref="B2:H31"/>
  <sheetViews>
    <sheetView topLeftCell="A8" zoomScaleNormal="100" workbookViewId="0">
      <selection activeCell="H35" sqref="H35"/>
    </sheetView>
  </sheetViews>
  <sheetFormatPr defaultRowHeight="14.45"/>
  <cols>
    <col min="2" max="2" width="27.140625" bestFit="1" customWidth="1"/>
    <col min="3" max="3" width="16.140625" customWidth="1"/>
    <col min="4" max="5" width="15.28515625" customWidth="1"/>
    <col min="6" max="6" width="16.28515625" customWidth="1"/>
    <col min="7" max="7" width="14.42578125" customWidth="1"/>
    <col min="8" max="8" width="13.140625" style="20" customWidth="1"/>
  </cols>
  <sheetData>
    <row r="2" spans="2:8" ht="15" thickBot="1">
      <c r="B2" s="29" t="s">
        <v>18</v>
      </c>
      <c r="C2" s="29"/>
      <c r="D2" s="29"/>
      <c r="E2" s="29"/>
      <c r="F2" s="29"/>
      <c r="G2" s="29"/>
      <c r="H2" s="29"/>
    </row>
    <row r="3" spans="2:8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4" t="s">
        <v>37</v>
      </c>
    </row>
    <row r="4" spans="2:8">
      <c r="B4" t="s">
        <v>8</v>
      </c>
      <c r="C4" s="7">
        <v>2202.08</v>
      </c>
      <c r="D4" s="7"/>
      <c r="E4" s="7">
        <f>C4</f>
        <v>2202.08</v>
      </c>
      <c r="F4" s="7"/>
      <c r="G4" s="7"/>
    </row>
    <row r="5" spans="2:8">
      <c r="B5" t="s">
        <v>9</v>
      </c>
      <c r="C5" s="7">
        <f>831.99-378.18</f>
        <v>453.81</v>
      </c>
      <c r="D5" s="7">
        <f>E4</f>
        <v>2202.08</v>
      </c>
      <c r="E5" s="7"/>
      <c r="F5" s="7">
        <f>C5</f>
        <v>453.81</v>
      </c>
      <c r="G5" s="7"/>
      <c r="H5" s="25"/>
    </row>
    <row r="6" spans="2:8">
      <c r="B6" t="s">
        <v>10</v>
      </c>
      <c r="C6" s="7">
        <f>1352.44-1114.98</f>
        <v>237.46000000000004</v>
      </c>
      <c r="D6" s="7">
        <f>D5+F5</f>
        <v>2655.89</v>
      </c>
      <c r="E6" s="7"/>
      <c r="F6" s="7">
        <f>C6</f>
        <v>237.46000000000004</v>
      </c>
      <c r="G6" s="7"/>
      <c r="H6" s="26">
        <f>1555.33-1352.44</f>
        <v>202.88999999999987</v>
      </c>
    </row>
    <row r="7" spans="2:8">
      <c r="B7" t="s">
        <v>11</v>
      </c>
      <c r="C7" s="7">
        <f>108.76-0</f>
        <v>108.76</v>
      </c>
      <c r="D7" s="7">
        <f>D6+F6</f>
        <v>2893.35</v>
      </c>
      <c r="E7" s="7"/>
      <c r="F7" s="7">
        <f>C7</f>
        <v>108.76</v>
      </c>
      <c r="G7" s="7"/>
      <c r="H7" s="26">
        <f>113.52-108.76</f>
        <v>4.7599999999999909</v>
      </c>
    </row>
    <row r="8" spans="2:8">
      <c r="B8" t="s">
        <v>19</v>
      </c>
      <c r="C8" s="7">
        <f>708.92-46.5</f>
        <v>662.42</v>
      </c>
      <c r="D8" s="7">
        <f>D7+F7-G8</f>
        <v>2339.69</v>
      </c>
      <c r="E8" s="7"/>
      <c r="F8" s="7"/>
      <c r="G8" s="7">
        <f>C8</f>
        <v>662.42</v>
      </c>
      <c r="H8" s="25"/>
    </row>
    <row r="9" spans="2:8">
      <c r="B9" t="s">
        <v>21</v>
      </c>
      <c r="C9" s="8"/>
      <c r="D9" s="7">
        <f>D8</f>
        <v>2339.69</v>
      </c>
      <c r="E9" s="7"/>
      <c r="F9" s="7"/>
      <c r="G9" s="7"/>
    </row>
    <row r="10" spans="2:8">
      <c r="B10" t="s">
        <v>42</v>
      </c>
      <c r="C10" s="8">
        <f>SUM(H4:H10)</f>
        <v>207.64999999999986</v>
      </c>
      <c r="D10" s="7">
        <f>D9-G10</f>
        <v>2339.69</v>
      </c>
      <c r="E10" s="7"/>
      <c r="F10" s="7">
        <f>C10</f>
        <v>207.64999999999986</v>
      </c>
      <c r="G10" s="7"/>
    </row>
    <row r="11" spans="2:8">
      <c r="B11" t="s">
        <v>43</v>
      </c>
      <c r="C11" s="8"/>
      <c r="D11" s="8">
        <f>D10+F10</f>
        <v>2547.34</v>
      </c>
      <c r="E11" s="8"/>
      <c r="F11" s="8"/>
      <c r="G11" s="8"/>
    </row>
    <row r="12" spans="2:8">
      <c r="C12" s="8"/>
      <c r="D12" s="8"/>
      <c r="E12" s="8"/>
      <c r="F12" s="8"/>
      <c r="G12" s="8"/>
    </row>
    <row r="13" spans="2:8">
      <c r="C13" s="7"/>
      <c r="D13" s="8"/>
      <c r="E13" s="8"/>
      <c r="F13" s="8"/>
      <c r="G13" s="8"/>
    </row>
    <row r="14" spans="2:8">
      <c r="C14" s="8"/>
      <c r="D14" s="8"/>
      <c r="E14" s="8"/>
      <c r="F14" s="8"/>
      <c r="G14" s="8"/>
    </row>
    <row r="21" spans="2:8" ht="15" thickBot="1">
      <c r="B21" s="29" t="s">
        <v>22</v>
      </c>
      <c r="C21" s="29"/>
      <c r="D21" s="29"/>
      <c r="E21" s="29"/>
      <c r="F21" s="29"/>
      <c r="G21" s="29"/>
      <c r="H21" s="29"/>
    </row>
    <row r="22" spans="2:8">
      <c r="B22" s="23" t="s">
        <v>1</v>
      </c>
      <c r="C22" s="23" t="s">
        <v>2</v>
      </c>
      <c r="D22" s="23" t="s">
        <v>3</v>
      </c>
      <c r="E22" s="23" t="s">
        <v>4</v>
      </c>
      <c r="F22" s="23" t="s">
        <v>5</v>
      </c>
      <c r="G22" s="23" t="s">
        <v>6</v>
      </c>
      <c r="H22" s="24" t="s">
        <v>37</v>
      </c>
    </row>
    <row r="23" spans="2:8">
      <c r="B23" t="s">
        <v>8</v>
      </c>
      <c r="C23" s="7">
        <v>2202.08</v>
      </c>
      <c r="D23" s="7"/>
      <c r="E23" s="7">
        <f>C23</f>
        <v>2202.08</v>
      </c>
      <c r="F23" s="7"/>
      <c r="G23" s="7"/>
    </row>
    <row r="24" spans="2:8">
      <c r="B24" t="s">
        <v>9</v>
      </c>
      <c r="C24" s="7">
        <f>680.72-378.18</f>
        <v>302.54000000000002</v>
      </c>
      <c r="D24" s="7">
        <f>E23</f>
        <v>2202.08</v>
      </c>
      <c r="E24" s="7"/>
      <c r="F24" s="7">
        <f>C24</f>
        <v>302.54000000000002</v>
      </c>
      <c r="G24" s="7"/>
      <c r="H24" s="25"/>
    </row>
    <row r="25" spans="2:8">
      <c r="B25" t="s">
        <v>10</v>
      </c>
      <c r="C25" s="7">
        <f>1352.44-1114.98</f>
        <v>237.46000000000004</v>
      </c>
      <c r="D25" s="7">
        <f>D24+F24</f>
        <v>2504.62</v>
      </c>
      <c r="E25" s="7"/>
      <c r="F25" s="7">
        <f>C25</f>
        <v>237.46000000000004</v>
      </c>
      <c r="G25" s="7"/>
      <c r="H25" s="26">
        <f>1555.33-1352.44</f>
        <v>202.88999999999987</v>
      </c>
    </row>
    <row r="26" spans="2:8">
      <c r="B26" t="s">
        <v>11</v>
      </c>
      <c r="C26" s="7">
        <f>102.6-0</f>
        <v>102.6</v>
      </c>
      <c r="D26" s="7">
        <f>D25+F25</f>
        <v>2742.08</v>
      </c>
      <c r="E26" s="7"/>
      <c r="F26" s="7">
        <f>C26</f>
        <v>102.6</v>
      </c>
      <c r="G26" s="7"/>
      <c r="H26" s="26">
        <f>107.36-102.6</f>
        <v>4.7600000000000051</v>
      </c>
    </row>
    <row r="27" spans="2:8">
      <c r="B27" t="s">
        <v>19</v>
      </c>
      <c r="C27" s="7">
        <f>708.92-49.35</f>
        <v>659.56999999999994</v>
      </c>
      <c r="D27" s="7">
        <f>D26+F26-G27</f>
        <v>2185.1099999999997</v>
      </c>
      <c r="E27" s="7"/>
      <c r="F27" s="7"/>
      <c r="G27" s="7">
        <f>C27</f>
        <v>659.56999999999994</v>
      </c>
      <c r="H27" s="25"/>
    </row>
    <row r="28" spans="2:8">
      <c r="B28" t="s">
        <v>44</v>
      </c>
      <c r="C28" s="8"/>
      <c r="D28" s="7">
        <f>D27</f>
        <v>2185.1099999999997</v>
      </c>
      <c r="E28" s="7"/>
      <c r="F28" s="7"/>
      <c r="G28" s="7"/>
    </row>
    <row r="29" spans="2:8">
      <c r="B29" t="s">
        <v>42</v>
      </c>
      <c r="C29" s="8">
        <f>SUM(H23:H29)</f>
        <v>207.64999999999986</v>
      </c>
      <c r="D29" s="7">
        <f>D28</f>
        <v>2185.1099999999997</v>
      </c>
      <c r="E29" s="7"/>
      <c r="F29" s="7">
        <f>C29</f>
        <v>207.64999999999986</v>
      </c>
    </row>
    <row r="30" spans="2:8">
      <c r="B30" t="s">
        <v>45</v>
      </c>
      <c r="C30" s="8"/>
      <c r="D30" s="8">
        <f>D29+F29</f>
        <v>2392.7599999999993</v>
      </c>
      <c r="E30" s="8"/>
      <c r="F30" s="8"/>
      <c r="G30" s="8"/>
    </row>
    <row r="31" spans="2:8">
      <c r="C31" s="8"/>
      <c r="D31" s="8"/>
      <c r="E31" s="8"/>
      <c r="F31" s="8"/>
      <c r="G31" s="8"/>
    </row>
  </sheetData>
  <mergeCells count="2">
    <mergeCell ref="B2:H2"/>
    <mergeCell ref="B21:H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1FEE-D9B8-4C15-BC86-BB1BCCC8E7BC}">
  <dimension ref="B1:H48"/>
  <sheetViews>
    <sheetView topLeftCell="A28" zoomScale="85" zoomScaleNormal="85" workbookViewId="0">
      <selection activeCell="G31" sqref="G31"/>
    </sheetView>
  </sheetViews>
  <sheetFormatPr defaultRowHeight="14.45"/>
  <cols>
    <col min="2" max="2" width="27.140625" bestFit="1" customWidth="1"/>
    <col min="3" max="3" width="16.140625" customWidth="1"/>
    <col min="4" max="5" width="15.28515625" customWidth="1"/>
    <col min="6" max="6" width="16.28515625" customWidth="1"/>
    <col min="7" max="7" width="14.42578125" customWidth="1"/>
    <col min="8" max="8" width="13.140625" style="20" customWidth="1"/>
  </cols>
  <sheetData>
    <row r="1" spans="2:8" ht="15" thickBot="1">
      <c r="B1" s="29" t="s">
        <v>0</v>
      </c>
      <c r="C1" s="29"/>
      <c r="D1" s="29"/>
      <c r="E1" s="29"/>
      <c r="F1" s="29"/>
      <c r="G1" s="29"/>
      <c r="H1" s="29"/>
    </row>
    <row r="2" spans="2:8"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37</v>
      </c>
    </row>
    <row r="3" spans="2:8">
      <c r="B3" t="s">
        <v>25</v>
      </c>
      <c r="C3" s="7">
        <v>2202.08</v>
      </c>
      <c r="D3" s="7"/>
      <c r="E3" s="7">
        <f>C3</f>
        <v>2202.08</v>
      </c>
      <c r="F3" s="7"/>
      <c r="G3" s="7"/>
    </row>
    <row r="4" spans="2:8">
      <c r="B4" t="s">
        <v>9</v>
      </c>
      <c r="C4" s="7">
        <f>756.35-378.18</f>
        <v>378.17</v>
      </c>
      <c r="D4" s="7">
        <f>E3</f>
        <v>2202.08</v>
      </c>
      <c r="E4" s="7"/>
      <c r="F4" s="7">
        <f>C4</f>
        <v>378.17</v>
      </c>
      <c r="G4" s="7"/>
      <c r="H4" s="25"/>
    </row>
    <row r="5" spans="2:8">
      <c r="B5" t="s">
        <v>10</v>
      </c>
      <c r="C5" s="7">
        <f>1352.44-1114.98</f>
        <v>237.46000000000004</v>
      </c>
      <c r="D5" s="7">
        <f>D4+F4</f>
        <v>2580.25</v>
      </c>
      <c r="E5" s="7"/>
      <c r="F5" s="7">
        <f>C5</f>
        <v>237.46000000000004</v>
      </c>
      <c r="G5" s="7"/>
      <c r="H5" s="26">
        <f>1555.33-1352.44</f>
        <v>202.88999999999987</v>
      </c>
    </row>
    <row r="6" spans="2:8">
      <c r="B6" t="s">
        <v>11</v>
      </c>
      <c r="C6" s="7">
        <f>105.68-0</f>
        <v>105.68</v>
      </c>
      <c r="D6" s="7">
        <f>D5+F5</f>
        <v>2817.71</v>
      </c>
      <c r="E6" s="7"/>
      <c r="F6" s="7">
        <f>C6</f>
        <v>105.68</v>
      </c>
      <c r="G6" s="7"/>
      <c r="H6" s="26">
        <f>110.44-105.68</f>
        <v>4.7599999999999909</v>
      </c>
    </row>
    <row r="7" spans="2:8">
      <c r="B7" t="s">
        <v>19</v>
      </c>
      <c r="C7" s="7">
        <f>708.92-47.92</f>
        <v>661</v>
      </c>
      <c r="D7" s="7">
        <f>D6+F6-G7</f>
        <v>2262.39</v>
      </c>
      <c r="E7" s="7"/>
      <c r="F7" s="7"/>
      <c r="G7" s="7">
        <f>C7</f>
        <v>661</v>
      </c>
      <c r="H7" s="25"/>
    </row>
    <row r="8" spans="2:8">
      <c r="B8" t="s">
        <v>15</v>
      </c>
      <c r="C8" s="8"/>
      <c r="D8" s="7">
        <f>D7</f>
        <v>2262.39</v>
      </c>
      <c r="E8" s="7"/>
      <c r="F8" s="7"/>
      <c r="G8" s="7"/>
    </row>
    <row r="9" spans="2:8">
      <c r="B9" t="s">
        <v>42</v>
      </c>
      <c r="C9" s="8">
        <f>SUM(H3:H9)</f>
        <v>207.64999999999986</v>
      </c>
      <c r="D9" s="7">
        <f>D8-G9</f>
        <v>2262.39</v>
      </c>
      <c r="E9" s="7"/>
      <c r="F9" s="7">
        <f>C9</f>
        <v>207.64999999999986</v>
      </c>
      <c r="G9" s="7"/>
    </row>
    <row r="10" spans="2:8">
      <c r="B10" t="s">
        <v>46</v>
      </c>
      <c r="C10" s="8"/>
      <c r="D10" s="8">
        <f>D9+F9</f>
        <v>2470.04</v>
      </c>
      <c r="E10" s="8"/>
      <c r="F10" s="8"/>
      <c r="G10" s="8"/>
    </row>
    <row r="11" spans="2:8">
      <c r="C11" s="8"/>
      <c r="D11" s="8"/>
      <c r="E11" s="8"/>
      <c r="F11" s="8"/>
      <c r="G11" s="8"/>
    </row>
    <row r="12" spans="2:8">
      <c r="C12" s="7"/>
      <c r="D12" s="8"/>
      <c r="E12" s="8"/>
      <c r="F12" s="8"/>
      <c r="G12" s="8"/>
    </row>
    <row r="13" spans="2:8">
      <c r="C13" s="8"/>
      <c r="D13" s="8"/>
      <c r="E13" s="8"/>
      <c r="F13" s="8"/>
      <c r="G13" s="8"/>
    </row>
    <row r="19" spans="2:8" ht="15" thickBot="1">
      <c r="B19" s="29" t="s">
        <v>18</v>
      </c>
      <c r="C19" s="29"/>
      <c r="D19" s="29"/>
      <c r="E19" s="29"/>
      <c r="F19" s="29"/>
      <c r="G19" s="29"/>
      <c r="H19" s="29"/>
    </row>
    <row r="20" spans="2:8">
      <c r="B20" s="23" t="s">
        <v>1</v>
      </c>
      <c r="C20" s="23" t="s">
        <v>2</v>
      </c>
      <c r="D20" s="23" t="s">
        <v>3</v>
      </c>
      <c r="E20" s="23" t="s">
        <v>4</v>
      </c>
      <c r="F20" s="23" t="s">
        <v>5</v>
      </c>
      <c r="G20" s="23" t="s">
        <v>6</v>
      </c>
      <c r="H20" s="24" t="s">
        <v>37</v>
      </c>
    </row>
    <row r="21" spans="2:8">
      <c r="B21" t="s">
        <v>8</v>
      </c>
      <c r="C21" s="7">
        <v>2202.08</v>
      </c>
      <c r="D21" s="7"/>
      <c r="E21" s="7">
        <f>C21</f>
        <v>2202.08</v>
      </c>
      <c r="F21" s="7"/>
      <c r="G21" s="7"/>
    </row>
    <row r="22" spans="2:8">
      <c r="B22" t="s">
        <v>9</v>
      </c>
      <c r="C22" s="7">
        <f>748.79-378.18</f>
        <v>370.60999999999996</v>
      </c>
      <c r="D22" s="7">
        <f>E21</f>
        <v>2202.08</v>
      </c>
      <c r="E22" s="7"/>
      <c r="F22" s="7">
        <f>C22</f>
        <v>370.60999999999996</v>
      </c>
      <c r="G22" s="7"/>
      <c r="H22" s="25"/>
    </row>
    <row r="23" spans="2:8">
      <c r="B23" t="s">
        <v>10</v>
      </c>
      <c r="C23" s="7">
        <f>1352.44-1114.98</f>
        <v>237.46000000000004</v>
      </c>
      <c r="D23" s="7">
        <f>D22+F22</f>
        <v>2572.69</v>
      </c>
      <c r="E23" s="7"/>
      <c r="F23" s="7">
        <f>C23</f>
        <v>237.46000000000004</v>
      </c>
      <c r="G23" s="7"/>
      <c r="H23" s="26">
        <f>1555.33-1352.44</f>
        <v>202.88999999999987</v>
      </c>
    </row>
    <row r="24" spans="2:8">
      <c r="B24" t="s">
        <v>11</v>
      </c>
      <c r="C24" s="7">
        <f>105.37-0</f>
        <v>105.37</v>
      </c>
      <c r="D24" s="7">
        <f>D23+F23</f>
        <v>2810.15</v>
      </c>
      <c r="E24" s="7"/>
      <c r="F24" s="7">
        <f>C24</f>
        <v>105.37</v>
      </c>
      <c r="G24" s="7"/>
      <c r="H24" s="26">
        <f>110.13-105.37</f>
        <v>4.7599999999999909</v>
      </c>
    </row>
    <row r="25" spans="2:8">
      <c r="B25" t="s">
        <v>19</v>
      </c>
      <c r="C25" s="7">
        <f>708.92-46.5</f>
        <v>662.42</v>
      </c>
      <c r="D25" s="7">
        <f>D24+F24-G25</f>
        <v>2253.1</v>
      </c>
      <c r="E25" s="7"/>
      <c r="F25" s="7"/>
      <c r="G25" s="7">
        <f>C25</f>
        <v>662.42</v>
      </c>
      <c r="H25" s="25"/>
    </row>
    <row r="26" spans="2:8">
      <c r="B26" t="s">
        <v>21</v>
      </c>
      <c r="C26" s="8"/>
      <c r="D26" s="7">
        <f>D25</f>
        <v>2253.1</v>
      </c>
      <c r="E26" s="7"/>
      <c r="F26" s="7"/>
      <c r="G26" s="7"/>
    </row>
    <row r="27" spans="2:8">
      <c r="B27" t="s">
        <v>42</v>
      </c>
      <c r="C27" s="8">
        <f>SUM(H21:H27)</f>
        <v>207.64999999999986</v>
      </c>
      <c r="D27" s="7">
        <f>D26-G27</f>
        <v>2253.1</v>
      </c>
      <c r="E27" s="7"/>
      <c r="F27" s="7">
        <f>C27</f>
        <v>207.64999999999986</v>
      </c>
      <c r="G27" s="7"/>
    </row>
    <row r="28" spans="2:8">
      <c r="B28" t="s">
        <v>43</v>
      </c>
      <c r="C28" s="8"/>
      <c r="D28" s="8">
        <f>D27+F27</f>
        <v>2460.75</v>
      </c>
      <c r="E28" s="8"/>
      <c r="F28" s="8"/>
      <c r="G28" s="8"/>
    </row>
    <row r="29" spans="2:8">
      <c r="C29" s="8"/>
      <c r="D29" s="8"/>
      <c r="E29" s="8"/>
      <c r="F29" s="8"/>
      <c r="G29" s="8"/>
    </row>
    <row r="30" spans="2:8">
      <c r="C30" s="7"/>
      <c r="D30" s="8"/>
      <c r="E30" s="8"/>
      <c r="F30" s="8"/>
      <c r="G30" s="8"/>
    </row>
    <row r="31" spans="2:8">
      <c r="C31" s="8"/>
      <c r="D31" s="8"/>
      <c r="E31" s="8"/>
      <c r="F31" s="8"/>
      <c r="G31" s="8"/>
    </row>
    <row r="38" spans="2:8" ht="15" thickBot="1">
      <c r="B38" s="29" t="s">
        <v>22</v>
      </c>
      <c r="C38" s="29"/>
      <c r="D38" s="29"/>
      <c r="E38" s="29"/>
      <c r="F38" s="29"/>
      <c r="G38" s="29"/>
      <c r="H38" s="29"/>
    </row>
    <row r="39" spans="2:8">
      <c r="B39" s="23" t="s">
        <v>1</v>
      </c>
      <c r="C39" s="23" t="s">
        <v>2</v>
      </c>
      <c r="D39" s="23" t="s">
        <v>3</v>
      </c>
      <c r="E39" s="23" t="s">
        <v>4</v>
      </c>
      <c r="F39" s="23" t="s">
        <v>5</v>
      </c>
      <c r="G39" s="23" t="s">
        <v>6</v>
      </c>
      <c r="H39" s="24" t="s">
        <v>37</v>
      </c>
    </row>
    <row r="40" spans="2:8">
      <c r="B40" t="s">
        <v>8</v>
      </c>
      <c r="C40" s="7">
        <v>2202.08</v>
      </c>
      <c r="D40" s="7"/>
      <c r="E40" s="7">
        <f>C40</f>
        <v>2202.08</v>
      </c>
      <c r="F40" s="7"/>
      <c r="G40" s="7"/>
    </row>
    <row r="41" spans="2:8">
      <c r="B41" t="s">
        <v>9</v>
      </c>
      <c r="C41" s="7">
        <f>680.72-378.18</f>
        <v>302.54000000000002</v>
      </c>
      <c r="D41" s="7">
        <f>E40</f>
        <v>2202.08</v>
      </c>
      <c r="E41" s="7"/>
      <c r="F41" s="7">
        <f>C41</f>
        <v>302.54000000000002</v>
      </c>
      <c r="G41" s="7"/>
      <c r="H41" s="25"/>
    </row>
    <row r="42" spans="2:8">
      <c r="B42" t="s">
        <v>10</v>
      </c>
      <c r="C42" s="7">
        <f>1352.44-1114.98</f>
        <v>237.46000000000004</v>
      </c>
      <c r="D42" s="7">
        <f>D41+F41</f>
        <v>2504.62</v>
      </c>
      <c r="E42" s="7"/>
      <c r="F42" s="7">
        <f>C42</f>
        <v>237.46000000000004</v>
      </c>
      <c r="G42" s="7"/>
      <c r="H42" s="26">
        <f>1555.33-1352.44</f>
        <v>202.88999999999987</v>
      </c>
    </row>
    <row r="43" spans="2:8">
      <c r="B43" t="s">
        <v>11</v>
      </c>
      <c r="C43" s="7">
        <f>102.6-0</f>
        <v>102.6</v>
      </c>
      <c r="D43" s="7">
        <f>D42+F42</f>
        <v>2742.08</v>
      </c>
      <c r="E43" s="7"/>
      <c r="F43" s="7">
        <f>C43</f>
        <v>102.6</v>
      </c>
      <c r="G43" s="7"/>
      <c r="H43" s="26">
        <f>107.36-102.6</f>
        <v>4.7600000000000051</v>
      </c>
    </row>
    <row r="44" spans="2:8">
      <c r="B44" t="s">
        <v>19</v>
      </c>
      <c r="C44" s="7">
        <f>708.92-49.35</f>
        <v>659.56999999999994</v>
      </c>
      <c r="D44" s="7">
        <f>D43+F43-G44</f>
        <v>2185.1099999999997</v>
      </c>
      <c r="E44" s="7"/>
      <c r="F44" s="7"/>
      <c r="G44" s="7">
        <f>C44</f>
        <v>659.56999999999994</v>
      </c>
      <c r="H44" s="25"/>
    </row>
    <row r="45" spans="2:8">
      <c r="B45" t="s">
        <v>44</v>
      </c>
      <c r="C45" s="8"/>
      <c r="D45" s="7">
        <f>D44</f>
        <v>2185.1099999999997</v>
      </c>
      <c r="E45" s="7"/>
      <c r="F45" s="7"/>
      <c r="G45" s="7"/>
    </row>
    <row r="46" spans="2:8">
      <c r="B46" t="s">
        <v>42</v>
      </c>
      <c r="C46" s="8">
        <f>SUM(H40:H46)</f>
        <v>207.64999999999986</v>
      </c>
      <c r="D46" s="7">
        <f>D45</f>
        <v>2185.1099999999997</v>
      </c>
      <c r="E46" s="7"/>
      <c r="F46" s="7">
        <f>C46</f>
        <v>207.64999999999986</v>
      </c>
    </row>
    <row r="47" spans="2:8">
      <c r="B47" t="s">
        <v>45</v>
      </c>
      <c r="C47" s="8"/>
      <c r="D47" s="8">
        <f>D46+F46</f>
        <v>2392.7599999999993</v>
      </c>
      <c r="E47" s="8"/>
      <c r="F47" s="8"/>
      <c r="G47" s="8"/>
    </row>
    <row r="48" spans="2:8">
      <c r="C48" s="8"/>
      <c r="D48" s="8"/>
      <c r="E48" s="8"/>
      <c r="F48" s="8"/>
      <c r="G48" s="8"/>
    </row>
  </sheetData>
  <mergeCells count="3">
    <mergeCell ref="B19:H19"/>
    <mergeCell ref="B38:H38"/>
    <mergeCell ref="B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FC53-83A1-434A-AF61-77EDFC1FFEEF}">
  <dimension ref="B3:T54"/>
  <sheetViews>
    <sheetView zoomScale="70" zoomScaleNormal="70" workbookViewId="0">
      <selection activeCell="M1" sqref="M1:M3"/>
    </sheetView>
  </sheetViews>
  <sheetFormatPr defaultRowHeight="14.45"/>
  <cols>
    <col min="2" max="2" width="26.7109375" bestFit="1" customWidth="1"/>
    <col min="7" max="7" width="11.42578125" bestFit="1" customWidth="1"/>
    <col min="8" max="8" width="17.28515625" bestFit="1" customWidth="1"/>
    <col min="13" max="13" width="18.7109375" bestFit="1" customWidth="1"/>
    <col min="16" max="16" width="10.42578125" bestFit="1" customWidth="1"/>
    <col min="17" max="17" width="32.28515625" bestFit="1" customWidth="1"/>
    <col min="19" max="19" width="9.85546875" bestFit="1" customWidth="1"/>
    <col min="20" max="20" width="13.85546875" bestFit="1" customWidth="1"/>
  </cols>
  <sheetData>
    <row r="3" spans="2:20">
      <c r="B3" s="10" t="s">
        <v>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>
      <c r="B4" s="11" t="s">
        <v>47</v>
      </c>
      <c r="C4" s="11" t="s">
        <v>48</v>
      </c>
      <c r="D4" s="11" t="s">
        <v>49</v>
      </c>
      <c r="E4" s="11" t="s">
        <v>50</v>
      </c>
      <c r="F4" s="11" t="s">
        <v>51</v>
      </c>
      <c r="G4" s="11" t="s">
        <v>52</v>
      </c>
      <c r="H4" s="11" t="s">
        <v>53</v>
      </c>
      <c r="I4" s="11" t="s">
        <v>54</v>
      </c>
      <c r="J4" s="11" t="s">
        <v>55</v>
      </c>
      <c r="K4" s="11" t="s">
        <v>56</v>
      </c>
      <c r="L4" s="11" t="s">
        <v>57</v>
      </c>
      <c r="M4" s="11" t="s">
        <v>58</v>
      </c>
      <c r="N4" s="11" t="s">
        <v>59</v>
      </c>
      <c r="O4" s="11" t="s">
        <v>60</v>
      </c>
      <c r="P4" s="11" t="s">
        <v>61</v>
      </c>
      <c r="Q4" s="11" t="s">
        <v>59</v>
      </c>
      <c r="R4" s="11" t="s">
        <v>60</v>
      </c>
      <c r="S4" s="11" t="s">
        <v>61</v>
      </c>
      <c r="T4" s="11" t="s">
        <v>62</v>
      </c>
    </row>
    <row r="5" spans="2:20">
      <c r="B5" s="2" t="s">
        <v>63</v>
      </c>
      <c r="C5" s="2">
        <v>331.5</v>
      </c>
      <c r="D5" s="12">
        <v>0.156</v>
      </c>
      <c r="E5" s="12">
        <v>0.72399999999999998</v>
      </c>
      <c r="F5" s="2">
        <v>0.5</v>
      </c>
      <c r="G5" s="2">
        <v>1</v>
      </c>
      <c r="H5" s="14">
        <v>267.19</v>
      </c>
      <c r="I5" s="14">
        <v>1.33</v>
      </c>
      <c r="J5" s="2">
        <v>201</v>
      </c>
      <c r="K5" s="2">
        <v>12</v>
      </c>
      <c r="L5" s="2">
        <v>17</v>
      </c>
      <c r="M5" s="14">
        <v>113.2</v>
      </c>
      <c r="N5" s="2"/>
      <c r="O5" s="2" t="s">
        <v>64</v>
      </c>
      <c r="P5" s="14">
        <v>380.39</v>
      </c>
      <c r="Q5" s="2"/>
      <c r="R5" s="2" t="s">
        <v>64</v>
      </c>
      <c r="S5" s="2"/>
      <c r="T5" s="2">
        <v>112133.83</v>
      </c>
    </row>
    <row r="6" spans="2:20">
      <c r="B6" s="2" t="s">
        <v>65</v>
      </c>
      <c r="C6" s="2">
        <v>443.8</v>
      </c>
      <c r="D6" s="12">
        <v>0.27600000000000002</v>
      </c>
      <c r="E6" s="12">
        <v>0.61599999999999999</v>
      </c>
      <c r="F6" s="2">
        <v>0.5</v>
      </c>
      <c r="G6" s="2">
        <v>1</v>
      </c>
      <c r="H6" s="14">
        <v>336.3</v>
      </c>
      <c r="I6" s="14">
        <v>5.0199999999999996</v>
      </c>
      <c r="J6" s="2">
        <v>67</v>
      </c>
      <c r="K6" s="2">
        <v>6</v>
      </c>
      <c r="L6" s="2">
        <v>12</v>
      </c>
      <c r="M6" s="14">
        <v>80.2</v>
      </c>
      <c r="N6" s="2"/>
      <c r="O6" s="2" t="s">
        <v>64</v>
      </c>
      <c r="P6" s="14">
        <v>416.5</v>
      </c>
      <c r="Q6" s="2"/>
      <c r="R6" s="2" t="s">
        <v>64</v>
      </c>
      <c r="S6" s="2"/>
      <c r="T6" s="2">
        <v>79153.289999999994</v>
      </c>
    </row>
    <row r="7" spans="2:20">
      <c r="B7" s="2" t="s">
        <v>66</v>
      </c>
      <c r="C7" s="2">
        <v>293</v>
      </c>
      <c r="D7" s="12">
        <v>0.33300000000000002</v>
      </c>
      <c r="E7" s="12">
        <v>0.57399999999999995</v>
      </c>
      <c r="F7" s="2">
        <v>0.5</v>
      </c>
      <c r="G7" s="2">
        <v>0.67</v>
      </c>
      <c r="H7" s="14">
        <v>162.27000000000001</v>
      </c>
      <c r="I7" s="14">
        <v>2.42</v>
      </c>
      <c r="J7" s="2">
        <v>67</v>
      </c>
      <c r="K7" s="2">
        <v>5</v>
      </c>
      <c r="L7" s="2">
        <v>14</v>
      </c>
      <c r="M7" s="14">
        <v>93.4</v>
      </c>
      <c r="N7" s="2"/>
      <c r="O7" s="2" t="s">
        <v>64</v>
      </c>
      <c r="P7" s="14">
        <v>255.67</v>
      </c>
      <c r="Q7" s="2"/>
      <c r="R7" s="2" t="s">
        <v>64</v>
      </c>
      <c r="S7" s="2"/>
      <c r="T7" s="2">
        <v>92345.5</v>
      </c>
    </row>
    <row r="8" spans="2:20">
      <c r="B8" s="2" t="s">
        <v>67</v>
      </c>
      <c r="C8" s="2">
        <v>618.1</v>
      </c>
      <c r="D8" s="12">
        <v>0.32400000000000001</v>
      </c>
      <c r="E8" s="12">
        <v>0.58299999999999996</v>
      </c>
      <c r="F8" s="2">
        <v>0.5</v>
      </c>
      <c r="G8" s="2">
        <v>0.67</v>
      </c>
      <c r="H8" s="14">
        <v>343.28</v>
      </c>
      <c r="I8" s="14">
        <v>5.12</v>
      </c>
      <c r="J8" s="2">
        <v>67</v>
      </c>
      <c r="K8" s="2">
        <v>2</v>
      </c>
      <c r="L8" s="2">
        <v>34</v>
      </c>
      <c r="M8" s="14">
        <v>225.4</v>
      </c>
      <c r="N8" s="2"/>
      <c r="O8" s="2" t="s">
        <v>64</v>
      </c>
      <c r="P8" s="14">
        <v>568.67999999999995</v>
      </c>
      <c r="Q8" s="2"/>
      <c r="R8" s="2" t="s">
        <v>64</v>
      </c>
      <c r="S8" s="2"/>
      <c r="T8" s="2">
        <v>224267.65</v>
      </c>
    </row>
    <row r="9" spans="2:20">
      <c r="B9" s="2" t="s">
        <v>68</v>
      </c>
      <c r="C9" s="2">
        <v>154.5</v>
      </c>
      <c r="D9" s="12">
        <v>1</v>
      </c>
      <c r="E9" s="12">
        <v>0</v>
      </c>
      <c r="F9" s="2">
        <v>0.5</v>
      </c>
      <c r="G9" s="2">
        <v>1</v>
      </c>
      <c r="H9" s="14">
        <v>77.64</v>
      </c>
      <c r="I9" s="14">
        <v>1.1599999999999999</v>
      </c>
      <c r="J9" s="2">
        <v>67</v>
      </c>
      <c r="K9" s="2"/>
      <c r="L9" s="2"/>
      <c r="M9" s="2" t="s">
        <v>69</v>
      </c>
      <c r="N9" s="2"/>
      <c r="O9" s="2" t="s">
        <v>64</v>
      </c>
      <c r="P9" s="14">
        <v>77.64</v>
      </c>
      <c r="Q9" s="2"/>
      <c r="R9" s="2" t="s">
        <v>64</v>
      </c>
      <c r="S9" s="2"/>
      <c r="T9" s="2">
        <v>0</v>
      </c>
    </row>
    <row r="10" spans="2:20">
      <c r="B10" s="2" t="s">
        <v>70</v>
      </c>
      <c r="C10" s="2">
        <v>23.2</v>
      </c>
      <c r="D10" s="12">
        <v>0.17499999999999999</v>
      </c>
      <c r="E10" s="12">
        <v>0.746</v>
      </c>
      <c r="F10" s="2">
        <v>0.5</v>
      </c>
      <c r="G10" s="2">
        <v>1</v>
      </c>
      <c r="H10" s="14">
        <v>19.43</v>
      </c>
      <c r="I10" s="14">
        <v>0.1</v>
      </c>
      <c r="J10" s="2">
        <v>6608.1845800000001</v>
      </c>
      <c r="K10" s="2">
        <v>10000</v>
      </c>
      <c r="L10" s="2">
        <v>1</v>
      </c>
      <c r="M10" s="14">
        <v>7.6</v>
      </c>
      <c r="N10" s="2"/>
      <c r="O10" s="2" t="s">
        <v>64</v>
      </c>
      <c r="P10" s="14">
        <v>27.03</v>
      </c>
      <c r="Q10" s="2"/>
      <c r="R10" s="2" t="s">
        <v>64</v>
      </c>
      <c r="S10" s="2"/>
      <c r="T10" s="2">
        <v>6596.11</v>
      </c>
    </row>
    <row r="11" spans="2:20">
      <c r="B11" s="2" t="s">
        <v>71</v>
      </c>
      <c r="C11" s="2">
        <v>115.9</v>
      </c>
      <c r="D11" s="12">
        <v>0.19400000000000001</v>
      </c>
      <c r="E11" s="12">
        <v>0.69099999999999995</v>
      </c>
      <c r="F11" s="2">
        <v>0.5</v>
      </c>
      <c r="G11" s="2">
        <v>0.67</v>
      </c>
      <c r="H11" s="14">
        <v>65.23</v>
      </c>
      <c r="I11" s="14">
        <v>0.54</v>
      </c>
      <c r="J11" s="2">
        <v>45044.473859999998</v>
      </c>
      <c r="K11" s="2">
        <v>10000</v>
      </c>
      <c r="L11" s="2">
        <v>5</v>
      </c>
      <c r="M11" s="14">
        <v>34</v>
      </c>
      <c r="N11" s="2"/>
      <c r="O11" s="2" t="s">
        <v>64</v>
      </c>
      <c r="P11" s="14">
        <v>99.23</v>
      </c>
      <c r="Q11" s="2"/>
      <c r="R11" s="2" t="s">
        <v>64</v>
      </c>
      <c r="S11" s="2"/>
      <c r="T11" s="2">
        <v>32980.54</v>
      </c>
    </row>
    <row r="12" spans="2:20">
      <c r="B12" s="2" t="s">
        <v>72</v>
      </c>
      <c r="C12" s="2">
        <v>29.7</v>
      </c>
      <c r="D12" s="12">
        <v>0.23400000000000001</v>
      </c>
      <c r="E12" s="12">
        <v>0.66300000000000003</v>
      </c>
      <c r="F12" s="2">
        <v>0.5</v>
      </c>
      <c r="G12" s="2">
        <v>0.67</v>
      </c>
      <c r="H12" s="14">
        <v>16.75</v>
      </c>
      <c r="I12" s="14">
        <v>0.08</v>
      </c>
      <c r="J12" s="2">
        <v>201</v>
      </c>
      <c r="K12" s="2">
        <v>15</v>
      </c>
      <c r="L12" s="2">
        <v>14</v>
      </c>
      <c r="M12" s="14">
        <v>93.4</v>
      </c>
      <c r="N12" s="2"/>
      <c r="O12" s="2" t="s">
        <v>64</v>
      </c>
      <c r="P12" s="14">
        <v>110.15</v>
      </c>
      <c r="Q12" s="2"/>
      <c r="R12" s="2" t="s">
        <v>64</v>
      </c>
      <c r="S12" s="2"/>
      <c r="T12" s="2">
        <v>92345.5</v>
      </c>
    </row>
    <row r="13" spans="2:20">
      <c r="B13" s="2" t="s">
        <v>73</v>
      </c>
      <c r="C13" s="2">
        <v>139</v>
      </c>
      <c r="D13" s="12">
        <v>0.441</v>
      </c>
      <c r="E13" s="12">
        <v>0.32100000000000001</v>
      </c>
      <c r="F13" s="2">
        <v>0.5</v>
      </c>
      <c r="G13" s="2">
        <v>0.67</v>
      </c>
      <c r="H13" s="14">
        <v>60.85</v>
      </c>
      <c r="I13" s="14">
        <v>30.42</v>
      </c>
      <c r="J13" s="2">
        <v>2</v>
      </c>
      <c r="K13" s="2">
        <v>1</v>
      </c>
      <c r="L13" s="2">
        <v>2</v>
      </c>
      <c r="M13" s="14">
        <v>14.2</v>
      </c>
      <c r="N13" s="2"/>
      <c r="O13" s="2" t="s">
        <v>64</v>
      </c>
      <c r="P13" s="14">
        <v>75.05</v>
      </c>
      <c r="Q13" s="2"/>
      <c r="R13" s="2" t="s">
        <v>64</v>
      </c>
      <c r="S13" s="2"/>
      <c r="T13" s="2">
        <v>13192.21</v>
      </c>
    </row>
    <row r="14" spans="2:20">
      <c r="B14" s="2" t="s">
        <v>74</v>
      </c>
      <c r="C14" s="2">
        <v>136</v>
      </c>
      <c r="D14" s="12">
        <v>0.16700000000000001</v>
      </c>
      <c r="E14" s="12">
        <v>0.75900000000000001</v>
      </c>
      <c r="F14" s="2">
        <v>0.5</v>
      </c>
      <c r="G14" s="2">
        <v>0.9</v>
      </c>
      <c r="H14" s="14">
        <v>104.78</v>
      </c>
      <c r="I14" s="14">
        <v>0.52</v>
      </c>
      <c r="J14" s="18">
        <v>18000</v>
      </c>
      <c r="K14" s="2">
        <v>13000</v>
      </c>
      <c r="L14" s="2">
        <v>2</v>
      </c>
      <c r="M14" s="14">
        <v>31.68</v>
      </c>
      <c r="N14" s="2"/>
      <c r="O14" s="2" t="s">
        <v>64</v>
      </c>
      <c r="P14" s="14">
        <v>136.46</v>
      </c>
      <c r="Q14" s="2"/>
      <c r="R14" s="2" t="s">
        <v>64</v>
      </c>
      <c r="S14" s="2"/>
      <c r="T14" s="2">
        <v>13192.21</v>
      </c>
    </row>
    <row r="15" spans="2:20">
      <c r="B15" s="2" t="s">
        <v>75</v>
      </c>
      <c r="C15" s="2">
        <v>51.2</v>
      </c>
      <c r="D15" s="12">
        <v>0.16700000000000001</v>
      </c>
      <c r="E15" s="12">
        <v>0.16700000000000001</v>
      </c>
      <c r="F15" s="2">
        <v>0.5</v>
      </c>
      <c r="G15" s="2">
        <v>0.9</v>
      </c>
      <c r="H15" s="14">
        <v>12.03</v>
      </c>
      <c r="I15" s="14">
        <v>0.11</v>
      </c>
      <c r="J15" s="2">
        <v>4556</v>
      </c>
      <c r="K15" s="2">
        <v>13000</v>
      </c>
      <c r="L15" s="2">
        <v>1</v>
      </c>
      <c r="M15" s="14">
        <v>15.84</v>
      </c>
      <c r="N15" s="2"/>
      <c r="O15" s="2" t="s">
        <v>64</v>
      </c>
      <c r="P15" s="14">
        <v>27.87</v>
      </c>
      <c r="Q15" s="2"/>
      <c r="R15" s="2" t="s">
        <v>64</v>
      </c>
      <c r="S15" s="2"/>
      <c r="T15" s="2">
        <v>6596.11</v>
      </c>
    </row>
    <row r="16" spans="2:20">
      <c r="B16" s="2" t="s">
        <v>76</v>
      </c>
      <c r="C16" s="2">
        <v>2335.9</v>
      </c>
      <c r="D16" s="2"/>
      <c r="E16" s="2"/>
      <c r="F16" s="14">
        <v>378.18</v>
      </c>
      <c r="G16" s="14">
        <v>1087.57</v>
      </c>
      <c r="H16" s="14">
        <v>1465.74</v>
      </c>
      <c r="I16" s="2"/>
      <c r="J16" s="2"/>
      <c r="K16" s="2"/>
      <c r="L16" s="2"/>
      <c r="M16" s="14">
        <v>708.92</v>
      </c>
      <c r="N16" s="2"/>
      <c r="O16" s="2" t="s">
        <v>64</v>
      </c>
      <c r="P16" s="14">
        <v>2174.66</v>
      </c>
      <c r="Q16" s="2"/>
      <c r="R16" s="2" t="s">
        <v>64</v>
      </c>
      <c r="S16" s="2"/>
      <c r="T16" s="2">
        <v>672802.96</v>
      </c>
    </row>
    <row r="18" spans="2:20">
      <c r="B18" s="10" t="s">
        <v>77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11" t="s">
        <v>47</v>
      </c>
      <c r="C19" s="11" t="s">
        <v>48</v>
      </c>
      <c r="D19" s="11" t="s">
        <v>49</v>
      </c>
      <c r="E19" s="11" t="s">
        <v>50</v>
      </c>
      <c r="F19" s="11" t="s">
        <v>51</v>
      </c>
      <c r="G19" s="11" t="s">
        <v>52</v>
      </c>
      <c r="H19" s="11" t="s">
        <v>53</v>
      </c>
      <c r="I19" s="11" t="s">
        <v>54</v>
      </c>
      <c r="J19" s="11" t="s">
        <v>55</v>
      </c>
      <c r="K19" s="11" t="s">
        <v>56</v>
      </c>
      <c r="L19" s="11" t="s">
        <v>57</v>
      </c>
      <c r="M19" s="11" t="s">
        <v>58</v>
      </c>
      <c r="N19" s="11" t="s">
        <v>59</v>
      </c>
      <c r="O19" s="11" t="s">
        <v>60</v>
      </c>
      <c r="P19" s="11" t="s">
        <v>61</v>
      </c>
      <c r="Q19" s="11" t="s">
        <v>59</v>
      </c>
      <c r="R19" s="11" t="s">
        <v>60</v>
      </c>
      <c r="S19" s="11" t="s">
        <v>61</v>
      </c>
      <c r="T19" s="11" t="s">
        <v>62</v>
      </c>
    </row>
    <row r="20" spans="2:20">
      <c r="B20" s="2" t="s">
        <v>63</v>
      </c>
      <c r="C20" s="2">
        <v>331.5</v>
      </c>
      <c r="D20" s="12">
        <v>0.156</v>
      </c>
      <c r="E20" s="12">
        <v>0.72399999999999998</v>
      </c>
      <c r="F20" s="2">
        <v>1.1000000000000001</v>
      </c>
      <c r="G20" s="2">
        <v>1</v>
      </c>
      <c r="H20" s="2">
        <v>298.375857</v>
      </c>
      <c r="I20" s="2">
        <v>1.4844569999999999</v>
      </c>
      <c r="J20" s="2">
        <v>201</v>
      </c>
      <c r="K20" s="2">
        <v>12</v>
      </c>
      <c r="L20" s="2">
        <v>17</v>
      </c>
      <c r="M20" s="14">
        <v>6.1</v>
      </c>
      <c r="N20" s="12">
        <v>9.2999999999999999E-2</v>
      </c>
      <c r="O20" s="14">
        <v>27.75</v>
      </c>
      <c r="P20" s="14">
        <v>326.12</v>
      </c>
      <c r="Q20" s="12">
        <v>0.1</v>
      </c>
      <c r="R20" s="14">
        <v>29.84</v>
      </c>
      <c r="S20" s="14">
        <v>328.21</v>
      </c>
      <c r="T20" s="2">
        <v>5096.99</v>
      </c>
    </row>
    <row r="21" spans="2:20">
      <c r="B21" s="2" t="s">
        <v>65</v>
      </c>
      <c r="C21" s="2">
        <v>443.8</v>
      </c>
      <c r="D21" s="12">
        <v>0.27600000000000002</v>
      </c>
      <c r="E21" s="12">
        <v>0.61599999999999999</v>
      </c>
      <c r="F21" s="2">
        <v>1.1000000000000001</v>
      </c>
      <c r="G21" s="2">
        <v>1</v>
      </c>
      <c r="H21" s="2">
        <v>410.15907240000001</v>
      </c>
      <c r="I21" s="2">
        <v>6.1217772000000004</v>
      </c>
      <c r="J21" s="2">
        <v>67</v>
      </c>
      <c r="K21" s="2">
        <v>6</v>
      </c>
      <c r="L21" s="2">
        <v>12</v>
      </c>
      <c r="M21" s="14">
        <v>4.5999999999999996</v>
      </c>
      <c r="N21" s="12">
        <v>5.3999999999999999E-2</v>
      </c>
      <c r="O21" s="14">
        <v>22.15</v>
      </c>
      <c r="P21" s="14">
        <v>432.31</v>
      </c>
      <c r="Q21" s="12">
        <v>0.06</v>
      </c>
      <c r="R21" s="14">
        <v>24.61</v>
      </c>
      <c r="S21" s="14">
        <v>434.77</v>
      </c>
      <c r="T21" s="2">
        <v>3597.88</v>
      </c>
    </row>
    <row r="22" spans="2:20">
      <c r="B22" s="2" t="s">
        <v>66</v>
      </c>
      <c r="C22" s="2">
        <v>293</v>
      </c>
      <c r="D22" s="12">
        <v>0.33300000000000002</v>
      </c>
      <c r="E22" s="12">
        <v>0.57399999999999995</v>
      </c>
      <c r="F22" s="2">
        <v>1.1000000000000001</v>
      </c>
      <c r="G22" s="2">
        <v>1</v>
      </c>
      <c r="H22" s="2">
        <v>276.88543950000002</v>
      </c>
      <c r="I22" s="2">
        <v>4.1326185000000004</v>
      </c>
      <c r="J22" s="2">
        <v>67</v>
      </c>
      <c r="K22" s="2">
        <v>5</v>
      </c>
      <c r="L22" s="2">
        <v>14</v>
      </c>
      <c r="M22" s="14">
        <v>5.2</v>
      </c>
      <c r="N22" s="12">
        <v>7.0000000000000007E-2</v>
      </c>
      <c r="O22" s="14">
        <v>19.38</v>
      </c>
      <c r="P22" s="14">
        <v>296.27</v>
      </c>
      <c r="Q22" s="12">
        <v>7.6999999999999999E-2</v>
      </c>
      <c r="R22" s="14">
        <v>21.32</v>
      </c>
      <c r="S22" s="14">
        <v>298.20999999999998</v>
      </c>
      <c r="T22" s="2">
        <v>4197.5200000000004</v>
      </c>
    </row>
    <row r="23" spans="2:20">
      <c r="B23" s="2" t="s">
        <v>67</v>
      </c>
      <c r="C23" s="2">
        <v>618.1</v>
      </c>
      <c r="D23" s="12">
        <v>0.32400000000000001</v>
      </c>
      <c r="E23" s="12">
        <v>0.58299999999999996</v>
      </c>
      <c r="F23" s="2">
        <v>1.1000000000000001</v>
      </c>
      <c r="G23" s="2">
        <v>1</v>
      </c>
      <c r="H23" s="2">
        <v>583.54635570000005</v>
      </c>
      <c r="I23" s="2">
        <v>8.7096470999999998</v>
      </c>
      <c r="J23" s="2">
        <v>67</v>
      </c>
      <c r="K23" s="2">
        <v>2</v>
      </c>
      <c r="L23" s="2">
        <v>34</v>
      </c>
      <c r="M23" s="14">
        <v>11.2</v>
      </c>
      <c r="N23" s="2"/>
      <c r="O23" s="2" t="s">
        <v>64</v>
      </c>
      <c r="P23" s="14">
        <v>583.54999999999995</v>
      </c>
      <c r="Q23" s="2"/>
      <c r="R23" s="2" t="s">
        <v>64</v>
      </c>
      <c r="S23" s="14">
        <v>583.54999999999995</v>
      </c>
      <c r="T23" s="2">
        <v>10193.98</v>
      </c>
    </row>
    <row r="24" spans="2:20">
      <c r="B24" s="2" t="s">
        <v>68</v>
      </c>
      <c r="C24" s="2">
        <v>154.5</v>
      </c>
      <c r="D24" s="12">
        <v>1</v>
      </c>
      <c r="E24" s="12">
        <v>0</v>
      </c>
      <c r="F24" s="2">
        <v>1.1000000000000001</v>
      </c>
      <c r="G24" s="2">
        <v>1</v>
      </c>
      <c r="H24" s="2">
        <v>170.79974999999999</v>
      </c>
      <c r="I24" s="2">
        <v>2.5492499999999998</v>
      </c>
      <c r="J24" s="2">
        <v>67</v>
      </c>
      <c r="K24" s="2"/>
      <c r="L24" s="2"/>
      <c r="M24" s="14">
        <v>1</v>
      </c>
      <c r="N24" s="12">
        <v>4.2000000000000003E-2</v>
      </c>
      <c r="O24" s="14">
        <v>7.17</v>
      </c>
      <c r="P24" s="14">
        <v>177.97</v>
      </c>
      <c r="Q24" s="12">
        <v>4.2000000000000003E-2</v>
      </c>
      <c r="R24" s="14">
        <v>7.17</v>
      </c>
      <c r="S24" s="14">
        <v>177.97</v>
      </c>
      <c r="T24" s="2">
        <v>0</v>
      </c>
    </row>
    <row r="25" spans="2:20">
      <c r="B25" s="2" t="s">
        <v>70</v>
      </c>
      <c r="C25" s="2">
        <v>23.2</v>
      </c>
      <c r="D25" s="12">
        <v>0.17499999999999999</v>
      </c>
      <c r="E25" s="12">
        <v>0.746</v>
      </c>
      <c r="F25" s="2">
        <v>1.1000000000000001</v>
      </c>
      <c r="G25" s="2">
        <v>1</v>
      </c>
      <c r="H25" s="2">
        <v>21.882065999999998</v>
      </c>
      <c r="I25" s="2">
        <v>0.108866</v>
      </c>
      <c r="J25" s="2">
        <v>6608.1845800000001</v>
      </c>
      <c r="K25" s="2">
        <v>10000</v>
      </c>
      <c r="L25" s="2">
        <v>1</v>
      </c>
      <c r="M25" s="14">
        <v>1.3</v>
      </c>
      <c r="N25" s="12">
        <v>4.4999999999999998E-2</v>
      </c>
      <c r="O25" s="14">
        <v>0.98</v>
      </c>
      <c r="P25" s="14">
        <v>22.87</v>
      </c>
      <c r="Q25" s="12">
        <v>4.4999999999999998E-2</v>
      </c>
      <c r="R25" s="14">
        <v>0.98</v>
      </c>
      <c r="S25" s="14">
        <v>22.87</v>
      </c>
      <c r="T25" s="2">
        <v>299.82</v>
      </c>
    </row>
    <row r="26" spans="2:20">
      <c r="B26" s="2" t="s">
        <v>71</v>
      </c>
      <c r="C26" s="2">
        <v>115.9</v>
      </c>
      <c r="D26" s="12">
        <v>0.19400000000000001</v>
      </c>
      <c r="E26" s="12">
        <v>0.69099999999999995</v>
      </c>
      <c r="F26" s="2">
        <v>1.1000000000000001</v>
      </c>
      <c r="G26" s="2">
        <v>1</v>
      </c>
      <c r="H26" s="2">
        <v>105.3440598</v>
      </c>
      <c r="I26" s="2">
        <v>0.87349966700000004</v>
      </c>
      <c r="J26" s="2">
        <v>45044.473859999998</v>
      </c>
      <c r="K26" s="2">
        <v>10000</v>
      </c>
      <c r="L26" s="2">
        <v>5</v>
      </c>
      <c r="M26" s="14">
        <v>2.5</v>
      </c>
      <c r="N26" s="12">
        <v>0.05</v>
      </c>
      <c r="O26" s="14">
        <v>5.27</v>
      </c>
      <c r="P26" s="14">
        <v>110.61</v>
      </c>
      <c r="Q26" s="12">
        <v>0.05</v>
      </c>
      <c r="R26" s="14">
        <v>5.27</v>
      </c>
      <c r="S26" s="14">
        <v>110.61</v>
      </c>
      <c r="T26" s="2">
        <v>1499.12</v>
      </c>
    </row>
    <row r="27" spans="2:20">
      <c r="B27" s="2" t="s">
        <v>72</v>
      </c>
      <c r="C27" s="2">
        <v>29.7</v>
      </c>
      <c r="D27" s="12">
        <v>0.23400000000000001</v>
      </c>
      <c r="E27" s="12">
        <v>0.66300000000000003</v>
      </c>
      <c r="F27" s="2">
        <v>1.1000000000000001</v>
      </c>
      <c r="G27" s="2">
        <v>1</v>
      </c>
      <c r="H27" s="2">
        <v>27.472559400000002</v>
      </c>
      <c r="I27" s="2">
        <v>0.13667940000000001</v>
      </c>
      <c r="J27" s="2">
        <v>201</v>
      </c>
      <c r="K27" s="2">
        <v>15</v>
      </c>
      <c r="L27" s="2">
        <v>14</v>
      </c>
      <c r="M27" s="14">
        <v>5.2</v>
      </c>
      <c r="N27" s="12">
        <v>0</v>
      </c>
      <c r="O27" s="2" t="s">
        <v>69</v>
      </c>
      <c r="P27" s="14">
        <v>27.47</v>
      </c>
      <c r="Q27" s="12">
        <v>0</v>
      </c>
      <c r="R27" s="2" t="s">
        <v>69</v>
      </c>
      <c r="S27" s="14">
        <v>27.47</v>
      </c>
      <c r="T27" s="2">
        <v>4197.5200000000004</v>
      </c>
    </row>
    <row r="28" spans="2:20">
      <c r="B28" s="2" t="s">
        <v>73</v>
      </c>
      <c r="C28" s="2">
        <v>139</v>
      </c>
      <c r="D28" s="12">
        <v>0.441</v>
      </c>
      <c r="E28" s="12">
        <v>0.32100000000000001</v>
      </c>
      <c r="F28" s="2">
        <v>1.1000000000000001</v>
      </c>
      <c r="G28" s="2">
        <v>1</v>
      </c>
      <c r="H28" s="2">
        <v>112.60813949999999</v>
      </c>
      <c r="I28" s="2">
        <v>56.304069749999996</v>
      </c>
      <c r="J28" s="2">
        <v>2</v>
      </c>
      <c r="K28" s="2">
        <v>1</v>
      </c>
      <c r="L28" s="2">
        <v>2</v>
      </c>
      <c r="M28" s="14">
        <v>1.6</v>
      </c>
      <c r="N28" s="12">
        <v>0</v>
      </c>
      <c r="O28" s="2" t="s">
        <v>69</v>
      </c>
      <c r="P28" s="14">
        <v>112.61</v>
      </c>
      <c r="Q28" s="12">
        <v>0</v>
      </c>
      <c r="R28" s="2" t="s">
        <v>69</v>
      </c>
      <c r="S28" s="14">
        <v>112.61</v>
      </c>
      <c r="T28" s="2">
        <v>599.65</v>
      </c>
    </row>
    <row r="29" spans="2:20">
      <c r="B29" s="2" t="s">
        <v>74</v>
      </c>
      <c r="C29" s="2">
        <v>136</v>
      </c>
      <c r="D29" s="12">
        <v>0.16700000000000001</v>
      </c>
      <c r="E29" s="12">
        <v>0.75900000000000001</v>
      </c>
      <c r="F29" s="2">
        <v>1.1000000000000001</v>
      </c>
      <c r="G29" s="2">
        <v>1</v>
      </c>
      <c r="H29" s="2">
        <v>128.84823600000001</v>
      </c>
      <c r="I29" s="2">
        <v>0.64424117999999997</v>
      </c>
      <c r="J29" s="2">
        <v>18000</v>
      </c>
      <c r="K29" s="2">
        <v>13000</v>
      </c>
      <c r="L29" s="2">
        <v>2</v>
      </c>
      <c r="M29" s="14">
        <v>1.6</v>
      </c>
      <c r="N29" s="12">
        <v>0.14799999999999999</v>
      </c>
      <c r="O29" s="14">
        <v>19.07</v>
      </c>
      <c r="P29" s="14">
        <v>147.91999999999999</v>
      </c>
      <c r="Q29" s="12">
        <v>0.14799999999999999</v>
      </c>
      <c r="R29" s="14">
        <v>19.07</v>
      </c>
      <c r="S29" s="14">
        <v>147.91999999999999</v>
      </c>
      <c r="T29" s="2">
        <v>599.65</v>
      </c>
    </row>
    <row r="30" spans="2:20">
      <c r="B30" s="2" t="s">
        <v>75</v>
      </c>
      <c r="C30" s="2">
        <v>51.2</v>
      </c>
      <c r="D30" s="12">
        <v>0.16700000000000001</v>
      </c>
      <c r="E30" s="12">
        <v>0.16700000000000001</v>
      </c>
      <c r="F30" s="2">
        <v>1.1000000000000001</v>
      </c>
      <c r="G30" s="2">
        <v>1</v>
      </c>
      <c r="H30" s="2">
        <v>18.045619200000001</v>
      </c>
      <c r="I30" s="2">
        <v>0.16833600000000001</v>
      </c>
      <c r="J30" s="2">
        <v>4556</v>
      </c>
      <c r="K30" s="2">
        <v>13000</v>
      </c>
      <c r="L30" s="2">
        <v>1</v>
      </c>
      <c r="M30" s="14">
        <v>1.3</v>
      </c>
      <c r="N30" s="12">
        <v>0.14399999999999999</v>
      </c>
      <c r="O30" s="14">
        <v>2.6</v>
      </c>
      <c r="P30" s="14">
        <v>20.64</v>
      </c>
      <c r="Q30" s="12">
        <v>0.14399999999999999</v>
      </c>
      <c r="R30" s="14">
        <v>2.6</v>
      </c>
      <c r="S30" s="14">
        <v>20.64</v>
      </c>
      <c r="T30" s="2">
        <v>299.82</v>
      </c>
    </row>
    <row r="31" spans="2:20">
      <c r="B31" s="2" t="s">
        <v>76</v>
      </c>
      <c r="C31" s="2">
        <v>2335.9</v>
      </c>
      <c r="D31" s="2"/>
      <c r="E31" s="2"/>
      <c r="F31" s="14">
        <v>831.99</v>
      </c>
      <c r="G31" s="14">
        <v>1321.98</v>
      </c>
      <c r="H31" s="14">
        <v>2153.9699999999998</v>
      </c>
      <c r="I31" s="2"/>
      <c r="J31" s="2"/>
      <c r="K31" s="2"/>
      <c r="L31" s="2"/>
      <c r="M31" s="14">
        <v>41.6</v>
      </c>
      <c r="N31" s="2"/>
      <c r="O31" s="14">
        <v>104.37</v>
      </c>
      <c r="P31" s="15">
        <v>2304.84</v>
      </c>
      <c r="Q31" s="2"/>
      <c r="R31" s="14">
        <v>110.86</v>
      </c>
      <c r="S31" s="14">
        <v>2311.3200000000002</v>
      </c>
      <c r="T31" s="2">
        <v>30581.95</v>
      </c>
    </row>
    <row r="32" spans="2:20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6">
        <v>46.5</v>
      </c>
      <c r="N32" s="1"/>
      <c r="O32" s="1"/>
      <c r="P32" s="1"/>
      <c r="Q32" s="1"/>
      <c r="R32" s="1"/>
      <c r="S32" s="1"/>
      <c r="T32" s="1">
        <v>35475.07</v>
      </c>
    </row>
    <row r="33" spans="2:20">
      <c r="B33" s="10" t="s">
        <v>77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>
      <c r="B34" s="11" t="s">
        <v>47</v>
      </c>
      <c r="C34" s="11" t="s">
        <v>48</v>
      </c>
      <c r="D34" s="11" t="s">
        <v>49</v>
      </c>
      <c r="E34" s="11" t="s">
        <v>50</v>
      </c>
      <c r="F34" s="11" t="s">
        <v>51</v>
      </c>
      <c r="G34" s="11" t="s">
        <v>52</v>
      </c>
      <c r="H34" s="11" t="s">
        <v>53</v>
      </c>
      <c r="I34" s="11" t="s">
        <v>54</v>
      </c>
      <c r="J34" s="11" t="s">
        <v>55</v>
      </c>
      <c r="K34" s="11" t="s">
        <v>56</v>
      </c>
      <c r="L34" s="11" t="s">
        <v>57</v>
      </c>
      <c r="M34" s="11" t="s">
        <v>58</v>
      </c>
      <c r="N34" s="11" t="s">
        <v>59</v>
      </c>
      <c r="O34" s="11" t="s">
        <v>60</v>
      </c>
      <c r="P34" s="11" t="s">
        <v>61</v>
      </c>
      <c r="Q34" s="11" t="s">
        <v>59</v>
      </c>
      <c r="R34" s="11" t="s">
        <v>60</v>
      </c>
      <c r="S34" s="11" t="s">
        <v>61</v>
      </c>
      <c r="T34" s="11" t="s">
        <v>62</v>
      </c>
    </row>
    <row r="35" spans="2:20">
      <c r="B35" s="2" t="s">
        <v>63</v>
      </c>
      <c r="C35" s="2">
        <v>331.5</v>
      </c>
      <c r="D35" s="12">
        <v>0.156</v>
      </c>
      <c r="E35" s="12">
        <v>0.72399999999999998</v>
      </c>
      <c r="F35" s="2">
        <v>1.1000000000000001</v>
      </c>
      <c r="G35" s="2">
        <v>1</v>
      </c>
      <c r="H35" s="2">
        <v>298.375857</v>
      </c>
      <c r="I35" s="2">
        <v>1.4844569999999999</v>
      </c>
      <c r="J35" s="2">
        <v>201</v>
      </c>
      <c r="K35" s="2">
        <v>12</v>
      </c>
      <c r="L35" s="2">
        <v>17</v>
      </c>
      <c r="M35" s="14">
        <v>6.1</v>
      </c>
      <c r="N35" s="12">
        <v>9.2999999999999999E-2</v>
      </c>
      <c r="O35" s="14">
        <v>27.75</v>
      </c>
      <c r="P35" s="14">
        <v>326.12</v>
      </c>
      <c r="Q35" s="12">
        <v>0.1</v>
      </c>
      <c r="R35" s="14">
        <v>29.84</v>
      </c>
      <c r="S35" s="14">
        <v>328.21</v>
      </c>
      <c r="T35" s="2">
        <v>5096.99</v>
      </c>
    </row>
    <row r="36" spans="2:20">
      <c r="B36" s="2" t="s">
        <v>65</v>
      </c>
      <c r="C36" s="2">
        <v>443.8</v>
      </c>
      <c r="D36" s="12">
        <v>0.27600000000000002</v>
      </c>
      <c r="E36" s="12">
        <v>0.61599999999999999</v>
      </c>
      <c r="F36" s="2">
        <v>1.1000000000000001</v>
      </c>
      <c r="G36" s="2">
        <v>1</v>
      </c>
      <c r="H36" s="2">
        <v>410.15907240000001</v>
      </c>
      <c r="I36" s="2">
        <v>6.1217772000000004</v>
      </c>
      <c r="J36" s="2">
        <v>67</v>
      </c>
      <c r="K36" s="2">
        <v>6</v>
      </c>
      <c r="L36" s="2">
        <v>12</v>
      </c>
      <c r="M36" s="14">
        <v>4.5999999999999996</v>
      </c>
      <c r="N36" s="12">
        <v>5.3999999999999999E-2</v>
      </c>
      <c r="O36" s="14">
        <v>22.15</v>
      </c>
      <c r="P36" s="14">
        <v>432.31</v>
      </c>
      <c r="Q36" s="12">
        <v>0.06</v>
      </c>
      <c r="R36" s="14">
        <v>24.61</v>
      </c>
      <c r="S36" s="14">
        <v>434.77</v>
      </c>
      <c r="T36" s="2">
        <v>3597.88</v>
      </c>
    </row>
    <row r="37" spans="2:20">
      <c r="B37" s="2" t="s">
        <v>66</v>
      </c>
      <c r="C37" s="2">
        <v>293</v>
      </c>
      <c r="D37" s="12">
        <v>0.33300000000000002</v>
      </c>
      <c r="E37" s="12">
        <v>0.57399999999999995</v>
      </c>
      <c r="F37" s="2">
        <v>1.1000000000000001</v>
      </c>
      <c r="G37" s="2">
        <v>1.3</v>
      </c>
      <c r="H37" s="2">
        <v>327.59231249999999</v>
      </c>
      <c r="I37" s="2">
        <v>4.8894374999999997</v>
      </c>
      <c r="J37" s="2">
        <v>67</v>
      </c>
      <c r="K37" s="2">
        <v>5</v>
      </c>
      <c r="L37" s="2">
        <v>14</v>
      </c>
      <c r="M37" s="14">
        <v>5.2</v>
      </c>
      <c r="N37" s="12">
        <v>7.0000000000000007E-2</v>
      </c>
      <c r="O37" s="14">
        <v>22.93</v>
      </c>
      <c r="P37" s="14">
        <v>350.52</v>
      </c>
      <c r="Q37" s="12">
        <v>7.6999999999999999E-2</v>
      </c>
      <c r="R37" s="14">
        <v>25.22</v>
      </c>
      <c r="S37" s="14">
        <v>352.82</v>
      </c>
      <c r="T37" s="2">
        <v>4197.5200000000004</v>
      </c>
    </row>
    <row r="38" spans="2:20">
      <c r="B38" s="2" t="s">
        <v>67</v>
      </c>
      <c r="C38" s="2">
        <v>618.1</v>
      </c>
      <c r="D38" s="12">
        <v>0.32400000000000001</v>
      </c>
      <c r="E38" s="12">
        <v>0.58299999999999996</v>
      </c>
      <c r="F38" s="2">
        <v>1.1000000000000001</v>
      </c>
      <c r="G38" s="2">
        <v>1.3</v>
      </c>
      <c r="H38" s="2">
        <v>692.19257419999997</v>
      </c>
      <c r="I38" s="2">
        <v>10.33123245</v>
      </c>
      <c r="J38" s="2">
        <v>67</v>
      </c>
      <c r="K38" s="2">
        <v>2</v>
      </c>
      <c r="L38" s="2">
        <v>34</v>
      </c>
      <c r="M38" s="14">
        <v>11.2</v>
      </c>
      <c r="N38" s="2"/>
      <c r="O38" s="2" t="s">
        <v>64</v>
      </c>
      <c r="P38" s="14">
        <v>692.19</v>
      </c>
      <c r="Q38" s="2"/>
      <c r="R38" s="2" t="s">
        <v>64</v>
      </c>
      <c r="S38" s="14">
        <v>692.19</v>
      </c>
      <c r="T38" s="2">
        <v>10193.98</v>
      </c>
    </row>
    <row r="39" spans="2:20">
      <c r="B39" s="2" t="s">
        <v>68</v>
      </c>
      <c r="C39" s="2">
        <v>154.5</v>
      </c>
      <c r="D39" s="12">
        <v>1</v>
      </c>
      <c r="E39" s="12">
        <v>0</v>
      </c>
      <c r="F39" s="2">
        <v>1.1000000000000001</v>
      </c>
      <c r="G39" s="2">
        <v>1</v>
      </c>
      <c r="H39" s="2">
        <v>170.79974999999999</v>
      </c>
      <c r="I39" s="2">
        <v>2.5492499999999998</v>
      </c>
      <c r="J39" s="2">
        <v>67</v>
      </c>
      <c r="K39" s="2"/>
      <c r="L39" s="2"/>
      <c r="M39" s="14">
        <v>1</v>
      </c>
      <c r="N39" s="12">
        <v>4.2000000000000003E-2</v>
      </c>
      <c r="O39" s="14">
        <v>7.17</v>
      </c>
      <c r="P39" s="14">
        <v>177.97</v>
      </c>
      <c r="Q39" s="12">
        <v>4.2000000000000003E-2</v>
      </c>
      <c r="R39" s="14">
        <v>7.17</v>
      </c>
      <c r="S39" s="14">
        <v>177.97</v>
      </c>
      <c r="T39" s="2">
        <v>0</v>
      </c>
    </row>
    <row r="40" spans="2:20">
      <c r="B40" s="2" t="s">
        <v>70</v>
      </c>
      <c r="C40" s="2">
        <v>23.2</v>
      </c>
      <c r="D40" s="12">
        <v>0.17499999999999999</v>
      </c>
      <c r="E40" s="12">
        <v>0.746</v>
      </c>
      <c r="F40" s="2">
        <v>1.1000000000000001</v>
      </c>
      <c r="G40" s="2">
        <v>1</v>
      </c>
      <c r="H40" s="2">
        <v>21.882065999999998</v>
      </c>
      <c r="I40" s="2">
        <v>0.108866</v>
      </c>
      <c r="J40" s="2">
        <v>6608.1845800000001</v>
      </c>
      <c r="K40" s="2">
        <v>10000</v>
      </c>
      <c r="L40" s="2">
        <v>1</v>
      </c>
      <c r="M40" s="14">
        <v>1.3</v>
      </c>
      <c r="N40" s="12">
        <v>4.4999999999999998E-2</v>
      </c>
      <c r="O40" s="14">
        <v>0.98</v>
      </c>
      <c r="P40" s="14">
        <v>22.87</v>
      </c>
      <c r="Q40" s="12">
        <v>4.4999999999999998E-2</v>
      </c>
      <c r="R40" s="14">
        <v>0.98</v>
      </c>
      <c r="S40" s="14">
        <v>22.87</v>
      </c>
      <c r="T40" s="2">
        <v>299.82</v>
      </c>
    </row>
    <row r="41" spans="2:20">
      <c r="B41" s="2" t="s">
        <v>71</v>
      </c>
      <c r="C41" s="2">
        <v>115.9</v>
      </c>
      <c r="D41" s="12">
        <v>0.19400000000000001</v>
      </c>
      <c r="E41" s="12">
        <v>0.69099999999999995</v>
      </c>
      <c r="F41" s="2">
        <v>1.1000000000000001</v>
      </c>
      <c r="G41" s="2">
        <v>1.3</v>
      </c>
      <c r="H41" s="2">
        <v>129.49026019999999</v>
      </c>
      <c r="I41" s="2">
        <v>1.073716917</v>
      </c>
      <c r="J41" s="2">
        <v>45044.473859999998</v>
      </c>
      <c r="K41" s="2">
        <v>10000</v>
      </c>
      <c r="L41" s="2">
        <v>5</v>
      </c>
      <c r="M41" s="14">
        <v>2.5</v>
      </c>
      <c r="N41" s="12">
        <v>0.05</v>
      </c>
      <c r="O41" s="14">
        <v>6.47</v>
      </c>
      <c r="P41" s="14">
        <v>135.96</v>
      </c>
      <c r="Q41" s="12">
        <v>0.05</v>
      </c>
      <c r="R41" s="14">
        <v>6.47</v>
      </c>
      <c r="S41" s="14">
        <v>135.96</v>
      </c>
      <c r="T41" s="2">
        <v>1499.12</v>
      </c>
    </row>
    <row r="42" spans="2:20">
      <c r="B42" s="2" t="s">
        <v>72</v>
      </c>
      <c r="C42" s="2">
        <v>29.7</v>
      </c>
      <c r="D42" s="12">
        <v>0.23400000000000001</v>
      </c>
      <c r="E42" s="12">
        <v>0.66300000000000003</v>
      </c>
      <c r="F42" s="2">
        <v>1.1000000000000001</v>
      </c>
      <c r="G42" s="2">
        <v>1.3</v>
      </c>
      <c r="H42" s="2">
        <v>33.40942605</v>
      </c>
      <c r="I42" s="2">
        <v>0.16621605</v>
      </c>
      <c r="J42" s="2">
        <v>201</v>
      </c>
      <c r="K42" s="2">
        <v>15</v>
      </c>
      <c r="L42" s="2">
        <v>14</v>
      </c>
      <c r="M42" s="14">
        <v>5.2</v>
      </c>
      <c r="N42" s="12">
        <v>0</v>
      </c>
      <c r="O42" s="2" t="s">
        <v>69</v>
      </c>
      <c r="P42" s="14">
        <v>33.409999999999997</v>
      </c>
      <c r="Q42" s="12">
        <v>0</v>
      </c>
      <c r="R42" s="2" t="s">
        <v>69</v>
      </c>
      <c r="S42" s="14">
        <v>33.409999999999997</v>
      </c>
      <c r="T42" s="2">
        <v>4197.5200000000004</v>
      </c>
    </row>
    <row r="43" spans="2:20">
      <c r="B43" s="2" t="s">
        <v>73</v>
      </c>
      <c r="C43" s="2">
        <v>139</v>
      </c>
      <c r="D43" s="12">
        <v>0.441</v>
      </c>
      <c r="E43" s="12">
        <v>0.32100000000000001</v>
      </c>
      <c r="F43" s="2">
        <v>1.1000000000000001</v>
      </c>
      <c r="G43" s="2">
        <v>1.3</v>
      </c>
      <c r="H43" s="2">
        <v>126.060768</v>
      </c>
      <c r="I43" s="2">
        <v>63.030383999999998</v>
      </c>
      <c r="J43" s="2">
        <v>2</v>
      </c>
      <c r="K43" s="2">
        <v>1</v>
      </c>
      <c r="L43" s="2">
        <v>2</v>
      </c>
      <c r="M43" s="14">
        <v>1.6</v>
      </c>
      <c r="N43" s="12">
        <v>0</v>
      </c>
      <c r="O43" s="2" t="s">
        <v>69</v>
      </c>
      <c r="P43" s="14">
        <v>126.06</v>
      </c>
      <c r="Q43" s="12">
        <v>0</v>
      </c>
      <c r="R43" s="2" t="s">
        <v>69</v>
      </c>
      <c r="S43" s="14">
        <v>126.06</v>
      </c>
      <c r="T43" s="2">
        <v>599.65</v>
      </c>
    </row>
    <row r="44" spans="2:20">
      <c r="B44" s="2" t="s">
        <v>74</v>
      </c>
      <c r="C44" s="2">
        <v>136</v>
      </c>
      <c r="D44" s="12">
        <v>0.16700000000000001</v>
      </c>
      <c r="E44" s="12">
        <v>0.75900000000000001</v>
      </c>
      <c r="F44" s="2">
        <v>1.1000000000000001</v>
      </c>
      <c r="G44" s="2">
        <v>1</v>
      </c>
      <c r="H44" s="2">
        <v>128.84823600000001</v>
      </c>
      <c r="I44" s="2">
        <v>0.64424117999999997</v>
      </c>
      <c r="J44" s="2">
        <v>18000</v>
      </c>
      <c r="K44" s="2">
        <v>13000</v>
      </c>
      <c r="L44" s="2">
        <v>2</v>
      </c>
      <c r="M44" s="14">
        <v>1.6</v>
      </c>
      <c r="N44" s="12">
        <v>0.14799999999999999</v>
      </c>
      <c r="O44" s="14">
        <v>19.07</v>
      </c>
      <c r="P44" s="14">
        <v>147.91999999999999</v>
      </c>
      <c r="Q44" s="12">
        <v>0.14799999999999999</v>
      </c>
      <c r="R44" s="14">
        <v>19.07</v>
      </c>
      <c r="S44" s="14">
        <v>147.91999999999999</v>
      </c>
      <c r="T44" s="2">
        <v>599.65</v>
      </c>
    </row>
    <row r="45" spans="2:20">
      <c r="B45" s="2" t="s">
        <v>75</v>
      </c>
      <c r="C45" s="2">
        <v>51.2</v>
      </c>
      <c r="D45" s="12">
        <v>0.16700000000000001</v>
      </c>
      <c r="E45" s="12">
        <v>0.16700000000000001</v>
      </c>
      <c r="F45" s="2">
        <v>1.1000000000000001</v>
      </c>
      <c r="G45" s="2">
        <v>1</v>
      </c>
      <c r="H45" s="2">
        <v>18.045619200000001</v>
      </c>
      <c r="I45" s="2">
        <v>0.16833600000000001</v>
      </c>
      <c r="J45" s="2">
        <v>4556</v>
      </c>
      <c r="K45" s="2">
        <v>13000</v>
      </c>
      <c r="L45" s="2">
        <v>1</v>
      </c>
      <c r="M45" s="14">
        <v>1.3</v>
      </c>
      <c r="N45" s="12">
        <v>0.14399999999999999</v>
      </c>
      <c r="O45" s="14">
        <v>2.6</v>
      </c>
      <c r="P45" s="14">
        <v>20.64</v>
      </c>
      <c r="Q45" s="12">
        <v>0.14399999999999999</v>
      </c>
      <c r="R45" s="14">
        <v>2.6</v>
      </c>
      <c r="S45" s="14">
        <v>20.64</v>
      </c>
      <c r="T45" s="2">
        <v>299.82</v>
      </c>
    </row>
    <row r="46" spans="2:20">
      <c r="B46" s="2" t="s">
        <v>76</v>
      </c>
      <c r="C46" s="2">
        <v>2335.9</v>
      </c>
      <c r="D46" s="2"/>
      <c r="E46" s="2"/>
      <c r="F46" s="14">
        <v>831.99</v>
      </c>
      <c r="G46" s="14">
        <v>1524.87</v>
      </c>
      <c r="H46" s="14">
        <v>2356.86</v>
      </c>
      <c r="I46" s="2"/>
      <c r="J46" s="2"/>
      <c r="K46" s="2"/>
      <c r="L46" s="2"/>
      <c r="M46" s="14">
        <v>41.6</v>
      </c>
      <c r="N46" s="2"/>
      <c r="O46" s="14">
        <v>109.13</v>
      </c>
      <c r="P46" s="17">
        <v>2512.48</v>
      </c>
      <c r="Q46" s="2"/>
      <c r="R46" s="14">
        <v>115.97</v>
      </c>
      <c r="S46" s="14">
        <v>2519.3200000000002</v>
      </c>
      <c r="T46" s="2">
        <v>30581.95</v>
      </c>
    </row>
    <row r="47" spans="2:20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6">
        <v>46.5</v>
      </c>
      <c r="N47" s="1"/>
      <c r="O47" s="1"/>
      <c r="P47" s="1"/>
      <c r="Q47" s="1"/>
      <c r="R47" s="1"/>
      <c r="S47" s="1"/>
      <c r="T47" s="1">
        <v>35475.07</v>
      </c>
    </row>
    <row r="48" spans="2:20">
      <c r="F48" s="13"/>
      <c r="G48" s="13"/>
      <c r="H48" s="13"/>
      <c r="O48" s="13"/>
      <c r="R48" s="13"/>
    </row>
    <row r="49" spans="2:18">
      <c r="B49" s="1" t="s">
        <v>33</v>
      </c>
      <c r="F49" s="13">
        <f>F16</f>
        <v>378.18</v>
      </c>
      <c r="G49" s="13">
        <f>G16</f>
        <v>1087.57</v>
      </c>
      <c r="M49" s="13">
        <f>M16</f>
        <v>708.92</v>
      </c>
      <c r="O49">
        <v>0</v>
      </c>
      <c r="R49">
        <v>0</v>
      </c>
    </row>
    <row r="50" spans="2:18">
      <c r="B50" s="1" t="s">
        <v>77</v>
      </c>
      <c r="F50" s="13">
        <f>F31</f>
        <v>831.99</v>
      </c>
      <c r="G50" s="13">
        <f>G31</f>
        <v>1321.98</v>
      </c>
      <c r="M50" s="13">
        <f>M32</f>
        <v>46.5</v>
      </c>
      <c r="O50" s="13">
        <f>O31</f>
        <v>104.37</v>
      </c>
      <c r="R50" s="13">
        <f>R31</f>
        <v>110.86</v>
      </c>
    </row>
    <row r="51" spans="2:18">
      <c r="B51" s="1" t="s">
        <v>78</v>
      </c>
      <c r="F51" s="13">
        <f>F46</f>
        <v>831.99</v>
      </c>
      <c r="G51" s="13">
        <f>G46</f>
        <v>1524.87</v>
      </c>
      <c r="M51" s="13">
        <f>M47</f>
        <v>46.5</v>
      </c>
      <c r="O51" s="13">
        <f>O46</f>
        <v>109.13</v>
      </c>
      <c r="R51" s="13">
        <f>R46</f>
        <v>115.97</v>
      </c>
    </row>
    <row r="53" spans="2:18">
      <c r="F53" s="13">
        <f>F50-F49</f>
        <v>453.81</v>
      </c>
      <c r="G53" s="13">
        <f>G50-G49</f>
        <v>234.41000000000008</v>
      </c>
      <c r="M53" s="13">
        <f>M50-M49</f>
        <v>-662.42</v>
      </c>
      <c r="O53" s="13">
        <f>O50-O49</f>
        <v>104.37</v>
      </c>
      <c r="R53" s="13">
        <f>R50-R49</f>
        <v>110.86</v>
      </c>
    </row>
    <row r="54" spans="2:18">
      <c r="F54" s="13">
        <f>F51-F50</f>
        <v>0</v>
      </c>
      <c r="G54" s="19">
        <f>G51-G50</f>
        <v>202.88999999999987</v>
      </c>
      <c r="M54" s="13">
        <f>M51-M50</f>
        <v>0</v>
      </c>
      <c r="O54" s="19">
        <f>O51-O50</f>
        <v>4.7599999999999909</v>
      </c>
      <c r="R54" s="13">
        <f>R51-R50</f>
        <v>5.1099999999999994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65D3-7478-45D1-901D-E4D9621D97DD}">
  <dimension ref="A1:I19"/>
  <sheetViews>
    <sheetView workbookViewId="0">
      <selection activeCell="A14" sqref="A14"/>
    </sheetView>
  </sheetViews>
  <sheetFormatPr defaultRowHeight="14.45"/>
  <cols>
    <col min="1" max="1" width="23.42578125" bestFit="1" customWidth="1"/>
    <col min="2" max="2" width="17.85546875" customWidth="1"/>
    <col min="3" max="4" width="9" bestFit="1" customWidth="1"/>
    <col min="5" max="5" width="10.28515625" bestFit="1" customWidth="1"/>
    <col min="6" max="6" width="13.7109375" bestFit="1" customWidth="1"/>
    <col min="7" max="8" width="9" bestFit="1" customWidth="1"/>
    <col min="9" max="9" width="10.28515625" bestFit="1" customWidth="1"/>
  </cols>
  <sheetData>
    <row r="1" spans="1:9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9">
      <c r="A2" t="s">
        <v>33</v>
      </c>
      <c r="B2" s="7">
        <v>2174.66</v>
      </c>
      <c r="C2" s="6"/>
      <c r="D2" s="6"/>
      <c r="E2" s="6"/>
      <c r="F2" s="6"/>
      <c r="G2" s="6"/>
      <c r="H2" s="6"/>
      <c r="I2" s="4"/>
    </row>
    <row r="3" spans="1:9">
      <c r="A3" t="s">
        <v>9</v>
      </c>
      <c r="B3" s="7">
        <f>B2</f>
        <v>2174.66</v>
      </c>
      <c r="C3" s="6">
        <f>832-378</f>
        <v>454</v>
      </c>
      <c r="D3" s="6"/>
      <c r="E3" s="6"/>
      <c r="F3" s="6"/>
      <c r="G3" s="6"/>
      <c r="H3" s="6"/>
      <c r="I3" s="4"/>
    </row>
    <row r="4" spans="1:9">
      <c r="A4" t="s">
        <v>88</v>
      </c>
      <c r="B4" s="7">
        <f>B3+C3</f>
        <v>2628.66</v>
      </c>
      <c r="C4" s="6"/>
      <c r="D4" s="6">
        <f>1322-1088</f>
        <v>234</v>
      </c>
      <c r="E4" s="6"/>
      <c r="F4" s="6"/>
      <c r="G4" s="6"/>
      <c r="H4" s="6"/>
      <c r="I4" s="4"/>
    </row>
    <row r="5" spans="1:9">
      <c r="A5" t="s">
        <v>89</v>
      </c>
      <c r="B5" s="7">
        <f>B4+D4</f>
        <v>2862.66</v>
      </c>
      <c r="C5" s="6"/>
      <c r="D5" s="6"/>
      <c r="E5" s="6">
        <v>104</v>
      </c>
      <c r="F5" s="6"/>
      <c r="G5" s="6">
        <f>111-104</f>
        <v>7</v>
      </c>
      <c r="H5" s="6"/>
      <c r="I5" s="4"/>
    </row>
    <row r="6" spans="1:9">
      <c r="A6" t="s">
        <v>84</v>
      </c>
      <c r="B6" s="7">
        <f>B5+E5+G5-H6</f>
        <v>2311.66</v>
      </c>
      <c r="C6" s="6"/>
      <c r="D6" s="6"/>
      <c r="E6" s="6"/>
      <c r="F6" s="6"/>
      <c r="G6" s="6"/>
      <c r="H6" s="6">
        <f>709-47</f>
        <v>662</v>
      </c>
      <c r="I6" s="4"/>
    </row>
    <row r="7" spans="1:9">
      <c r="A7" t="s">
        <v>90</v>
      </c>
      <c r="B7" s="7">
        <f>B6-H7</f>
        <v>2080.66</v>
      </c>
      <c r="C7" s="6"/>
      <c r="D7" s="6"/>
      <c r="E7" s="6"/>
      <c r="F7" s="6"/>
      <c r="G7" s="6"/>
      <c r="H7" s="6">
        <v>231</v>
      </c>
      <c r="I7" s="4"/>
    </row>
    <row r="8" spans="1:9">
      <c r="A8" t="s">
        <v>91</v>
      </c>
      <c r="B8" s="7">
        <f>B7</f>
        <v>2080.66</v>
      </c>
      <c r="C8" s="6"/>
      <c r="D8" s="6"/>
      <c r="E8" s="6"/>
      <c r="F8" s="6"/>
      <c r="G8" s="6"/>
      <c r="H8" s="6"/>
      <c r="I8" s="4"/>
    </row>
    <row r="9" spans="1:9">
      <c r="A9" t="s">
        <v>16</v>
      </c>
      <c r="B9" s="7">
        <v>2311</v>
      </c>
    </row>
    <row r="10" spans="1:9">
      <c r="A10" t="s">
        <v>17</v>
      </c>
      <c r="B10" s="8">
        <f>B9*0.1</f>
        <v>231.10000000000002</v>
      </c>
    </row>
    <row r="11" spans="1:9">
      <c r="C11" s="4"/>
      <c r="D11" s="4"/>
      <c r="E11" s="4"/>
      <c r="F11" s="4"/>
      <c r="G11" s="4"/>
    </row>
    <row r="12" spans="1:9">
      <c r="C12" s="4"/>
      <c r="D12" s="4"/>
      <c r="E12" s="4"/>
      <c r="F12" s="4"/>
      <c r="G12" s="4"/>
    </row>
    <row r="13" spans="1:9">
      <c r="C13" s="4"/>
      <c r="D13" s="4"/>
      <c r="E13" s="4"/>
      <c r="F13" s="4"/>
      <c r="G13" s="4"/>
    </row>
    <row r="14" spans="1:9">
      <c r="C14" s="4"/>
      <c r="D14" s="4"/>
      <c r="E14" s="4"/>
      <c r="F14" s="4"/>
      <c r="G14" s="4"/>
    </row>
    <row r="15" spans="1:9">
      <c r="C15" s="4"/>
      <c r="D15" s="4"/>
      <c r="E15" s="4"/>
      <c r="F15" s="4"/>
      <c r="G15" s="4"/>
    </row>
    <row r="16" spans="1:9">
      <c r="C16" s="4"/>
      <c r="D16" s="4"/>
      <c r="E16" s="4"/>
      <c r="F16" s="4"/>
      <c r="G16" s="4"/>
    </row>
    <row r="17" spans="5:5">
      <c r="E17" s="5"/>
    </row>
    <row r="18" spans="5:5">
      <c r="E18" s="5"/>
    </row>
    <row r="19" spans="5:5">
      <c r="E19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F744-5236-47CD-89AC-B61988F48BFD}">
  <dimension ref="B2:I13"/>
  <sheetViews>
    <sheetView zoomScale="85" zoomScaleNormal="85" workbookViewId="0">
      <selection activeCell="G22" sqref="G22"/>
    </sheetView>
  </sheetViews>
  <sheetFormatPr defaultRowHeight="14.45"/>
  <cols>
    <col min="2" max="2" width="23.42578125" bestFit="1" customWidth="1"/>
    <col min="3" max="3" width="8.28515625" bestFit="1" customWidth="1"/>
    <col min="7" max="7" width="13.7109375" bestFit="1" customWidth="1"/>
    <col min="8" max="8" width="10.42578125" bestFit="1" customWidth="1"/>
  </cols>
  <sheetData>
    <row r="2" spans="2:9"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</row>
    <row r="3" spans="2:9">
      <c r="B3" t="s">
        <v>25</v>
      </c>
      <c r="C3" s="7">
        <v>2202.08</v>
      </c>
      <c r="D3" s="6"/>
      <c r="E3" s="6"/>
      <c r="F3" s="6"/>
      <c r="G3" s="6"/>
      <c r="H3" s="6"/>
      <c r="I3" s="6"/>
    </row>
    <row r="4" spans="2:9">
      <c r="B4" t="s">
        <v>9</v>
      </c>
      <c r="C4" s="7">
        <f>C3</f>
        <v>2202.08</v>
      </c>
      <c r="D4" s="6">
        <v>378</v>
      </c>
      <c r="E4" s="6"/>
      <c r="F4" s="6"/>
      <c r="G4" s="6"/>
      <c r="H4" s="7">
        <v>417.43</v>
      </c>
      <c r="I4" s="6"/>
    </row>
    <row r="5" spans="2:9">
      <c r="B5" t="s">
        <v>88</v>
      </c>
      <c r="C5" s="7">
        <f>C4+D4+H4</f>
        <v>2997.5099999999998</v>
      </c>
      <c r="D5" s="6"/>
      <c r="E5" s="6">
        <v>237</v>
      </c>
      <c r="F5" s="6"/>
      <c r="G5" s="6"/>
      <c r="H5" s="6"/>
      <c r="I5" s="6"/>
    </row>
    <row r="6" spans="2:9">
      <c r="B6" t="s">
        <v>89</v>
      </c>
      <c r="C6" s="7">
        <f>C5+E5</f>
        <v>3234.5099999999998</v>
      </c>
      <c r="D6" s="6"/>
      <c r="E6" s="6"/>
      <c r="F6" s="7">
        <v>105.68</v>
      </c>
      <c r="G6" s="6"/>
      <c r="H6" s="6"/>
      <c r="I6" s="6"/>
    </row>
    <row r="7" spans="2:9">
      <c r="B7" t="s">
        <v>84</v>
      </c>
      <c r="C7" s="7">
        <f>C6+F6+H6-I7</f>
        <v>2679.1899999999996</v>
      </c>
      <c r="D7" s="6"/>
      <c r="E7" s="6"/>
      <c r="F7" s="6"/>
      <c r="G7" s="6"/>
      <c r="H7" s="6"/>
      <c r="I7" s="6">
        <f>708.92-47.92</f>
        <v>661</v>
      </c>
    </row>
    <row r="8" spans="2:9">
      <c r="B8" t="s">
        <v>92</v>
      </c>
      <c r="C8" s="7">
        <f>C7</f>
        <v>2679.1899999999996</v>
      </c>
      <c r="D8" s="6"/>
      <c r="E8" s="6"/>
      <c r="F8" s="6"/>
      <c r="G8" s="6"/>
      <c r="H8" s="6"/>
    </row>
    <row r="9" spans="2:9">
      <c r="B9" t="s">
        <v>17</v>
      </c>
      <c r="C9" s="8">
        <f>C8-I9</f>
        <v>2411.2899999999995</v>
      </c>
      <c r="I9" s="7">
        <f>C13</f>
        <v>267.90000000000003</v>
      </c>
    </row>
    <row r="10" spans="2:9">
      <c r="B10" t="s">
        <v>93</v>
      </c>
      <c r="C10" s="8">
        <f>C9</f>
        <v>2411.2899999999995</v>
      </c>
    </row>
    <row r="12" spans="2:9">
      <c r="B12" t="s">
        <v>16</v>
      </c>
      <c r="C12" s="7">
        <v>2679</v>
      </c>
    </row>
    <row r="13" spans="2:9">
      <c r="B13" t="s">
        <v>17</v>
      </c>
      <c r="C13" s="8">
        <f>C12*0.1</f>
        <v>267.90000000000003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4c0d7f-4a78-4b51-b7b2-4685f44aea4a" xsi:nil="true"/>
    <lcf76f155ced4ddcb4097134ff3c332f xmlns="c3fed6a1-161a-40e2-8029-a56ff578430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52F9F6DEDAF408208614EE6C0588E" ma:contentTypeVersion="12" ma:contentTypeDescription="Create a new document." ma:contentTypeScope="" ma:versionID="78b1a871d3837bbf4b54d4503b17fde3">
  <xsd:schema xmlns:xsd="http://www.w3.org/2001/XMLSchema" xmlns:xs="http://www.w3.org/2001/XMLSchema" xmlns:p="http://schemas.microsoft.com/office/2006/metadata/properties" xmlns:ns2="c3fed6a1-161a-40e2-8029-a56ff5784305" xmlns:ns3="a44c0d7f-4a78-4b51-b7b2-4685f44aea4a" targetNamespace="http://schemas.microsoft.com/office/2006/metadata/properties" ma:root="true" ma:fieldsID="b16f68b41039dbc77ff33c189e465722" ns2:_="" ns3:_="">
    <xsd:import namespace="c3fed6a1-161a-40e2-8029-a56ff5784305"/>
    <xsd:import namespace="a44c0d7f-4a78-4b51-b7b2-4685f44aea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ed6a1-161a-40e2-8029-a56ff5784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c0d7f-4a78-4b51-b7b2-4685f44aea4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cba4d08-97b2-47ef-b1eb-9b25a71c33ea}" ma:internalName="TaxCatchAll" ma:showField="CatchAllData" ma:web="a44c0d7f-4a78-4b51-b7b2-4685f44aea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03034F-2412-4003-859C-DB1AF0725160}"/>
</file>

<file path=customXml/itemProps2.xml><?xml version="1.0" encoding="utf-8"?>
<ds:datastoreItem xmlns:ds="http://schemas.openxmlformats.org/officeDocument/2006/customXml" ds:itemID="{4F5E3DEC-EE97-4492-972F-312F1B5FD0A6}"/>
</file>

<file path=customXml/itemProps3.xml><?xml version="1.0" encoding="utf-8"?>
<ds:datastoreItem xmlns:ds="http://schemas.openxmlformats.org/officeDocument/2006/customXml" ds:itemID="{217181BF-0E2C-4383-A509-B1B8BA24BF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Fan, Kyle</dc:creator>
  <cp:keywords/>
  <dc:description/>
  <cp:lastModifiedBy>Fan, Kyle</cp:lastModifiedBy>
  <cp:revision/>
  <dcterms:created xsi:type="dcterms:W3CDTF">2015-06-05T18:17:20Z</dcterms:created>
  <dcterms:modified xsi:type="dcterms:W3CDTF">2023-05-05T21:10:32Z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0x010100DD052F9F6DEDAF408208614EE6C0588E</vt:lpwstr>
  </property>
  <property fmtid="{D5CDD505-2E9C-101B-9397-08002B2CF9AE}" pid="3" name="MediaServiceImageTags">
    <vt:lpwstr/>
  </property>
</Properties>
</file>