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penpoint.nrel.gov/sites/costmodel/Shared Documents/Model IO Comparison/"/>
    </mc:Choice>
  </mc:AlternateContent>
  <bookViews>
    <workbookView xWindow="780" yWindow="780" windowWidth="20460" windowHeight="10890" tabRatio="732" firstSheet="18" activeTab="14"/>
  </bookViews>
  <sheets>
    <sheet name="Site parameters" sheetId="7" r:id="rId1"/>
    <sheet name="8MW turbine parameters" sheetId="1" r:id="rId2"/>
    <sheet name="Monopile parameters" sheetId="4" r:id="rId3"/>
    <sheet name="Array cable parameters" sheetId="9" r:id="rId4"/>
    <sheet name="Export cable parameters" sheetId="12" r:id="rId5"/>
    <sheet name="Substation parameters" sheetId="15" r:id="rId6"/>
    <sheet name="Scour protection" sheetId="18" r:id="rId7"/>
    <sheet name="Onshore constructin" sheetId="21" r:id="rId8"/>
    <sheet name="WTIV characteristics" sheetId="2" r:id="rId9"/>
    <sheet name="Cable lay vessel characteristic" sheetId="10" r:id="rId10"/>
    <sheet name="OSS heavy lift vessel" sheetId="16" r:id="rId11"/>
    <sheet name="OSS feeder" sheetId="17" r:id="rId12"/>
    <sheet name="Scour vessel" sheetId="19" r:id="rId13"/>
    <sheet name="Project plan - turbine install" sheetId="3" r:id="rId14"/>
    <sheet name="Project plan - monopile install" sheetId="6" r:id="rId15"/>
    <sheet name="Project plan - array cable inst" sheetId="11" r:id="rId16"/>
    <sheet name="Project plan - export cable ins" sheetId="13" r:id="rId17"/>
    <sheet name="Project plan - OSS install" sheetId="14" r:id="rId18"/>
    <sheet name="Project plan - scour protection" sheetId="20" r:id="rId19"/>
    <sheet name="Output comparisons" sheetId="8" r:id="rId20"/>
    <sheet name="Component sizing comparisons" sheetId="22" r:id="rId21"/>
  </sheets>
  <calcPr calcId="1525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1" l="1"/>
  <c r="O15" i="11"/>
  <c r="O16" i="11"/>
  <c r="I8" i="11"/>
  <c r="C14" i="11"/>
  <c r="D14" i="11"/>
  <c r="C15" i="11"/>
  <c r="D15" i="11"/>
  <c r="C16" i="11"/>
  <c r="D16" i="11"/>
  <c r="E11" i="22"/>
  <c r="E5" i="22"/>
  <c r="AF5" i="3"/>
  <c r="AF6" i="3"/>
  <c r="AF9" i="3"/>
  <c r="AF10" i="3"/>
  <c r="AF15" i="3"/>
  <c r="AF16" i="3"/>
  <c r="AF14" i="3"/>
  <c r="AF17" i="3"/>
  <c r="AF19" i="3"/>
  <c r="AF20" i="3"/>
  <c r="AF7" i="3"/>
  <c r="AF8" i="3"/>
  <c r="AF11" i="3"/>
  <c r="AF12" i="3"/>
  <c r="AF13" i="3"/>
  <c r="AD6" i="3"/>
  <c r="AE6" i="3"/>
  <c r="AD9" i="3"/>
  <c r="AE9" i="3"/>
  <c r="AD10" i="3"/>
  <c r="AE10" i="3"/>
  <c r="AD15" i="3"/>
  <c r="AE15" i="3"/>
  <c r="AD16" i="3"/>
  <c r="AE16" i="3"/>
  <c r="AE17" i="3"/>
  <c r="AD1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L54" i="8"/>
  <c r="F54" i="8"/>
  <c r="L45" i="8"/>
  <c r="F45" i="8"/>
  <c r="L36" i="8"/>
  <c r="F36" i="8"/>
  <c r="N27" i="8"/>
  <c r="L18" i="8"/>
  <c r="F18" i="8"/>
  <c r="G73" i="8"/>
  <c r="E73" i="8"/>
  <c r="B55" i="8"/>
  <c r="G46" i="8"/>
  <c r="L37" i="8"/>
  <c r="I37" i="8"/>
  <c r="G37" i="8"/>
  <c r="E37" i="8"/>
  <c r="I28" i="8"/>
  <c r="G28" i="8"/>
  <c r="B19" i="8"/>
  <c r="L19" i="8"/>
  <c r="I19" i="8"/>
  <c r="G19" i="8"/>
  <c r="B13" i="18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G43" i="8"/>
  <c r="I43" i="8"/>
  <c r="G36" i="8"/>
  <c r="G34" i="8"/>
  <c r="I36" i="8"/>
  <c r="I34" i="8"/>
  <c r="F27" i="8"/>
  <c r="G27" i="8"/>
  <c r="G25" i="8"/>
  <c r="I27" i="8"/>
  <c r="I25" i="8"/>
  <c r="G18" i="8"/>
  <c r="G16" i="8"/>
  <c r="I18" i="8"/>
  <c r="I16" i="8"/>
  <c r="O8" i="14"/>
  <c r="O24" i="14"/>
  <c r="L6" i="20"/>
  <c r="L7" i="20"/>
  <c r="I7" i="20"/>
  <c r="C6" i="20"/>
  <c r="D6" i="20"/>
  <c r="C7" i="20"/>
  <c r="D7" i="20"/>
  <c r="C8" i="20"/>
  <c r="D8" i="20"/>
  <c r="C9" i="20"/>
  <c r="D9" i="20"/>
  <c r="C10" i="20"/>
  <c r="D10" i="20"/>
  <c r="C11" i="20"/>
  <c r="D11" i="20"/>
  <c r="O5" i="20"/>
  <c r="O13" i="20"/>
  <c r="O6" i="20"/>
  <c r="O7" i="20"/>
  <c r="O8" i="20"/>
  <c r="O9" i="20"/>
  <c r="O10" i="20"/>
  <c r="O11" i="20"/>
  <c r="I10" i="14"/>
  <c r="L10" i="14"/>
  <c r="O22" i="14"/>
  <c r="O11" i="14"/>
  <c r="O12" i="14"/>
  <c r="O13" i="14"/>
  <c r="O14" i="14"/>
  <c r="O15" i="14"/>
  <c r="O16" i="14"/>
  <c r="O17" i="14"/>
  <c r="O18" i="14"/>
  <c r="O19" i="14"/>
  <c r="O10" i="14"/>
  <c r="O9" i="14"/>
  <c r="O6" i="14"/>
  <c r="O5" i="14"/>
  <c r="I7" i="13"/>
  <c r="L7" i="13"/>
  <c r="C6" i="13"/>
  <c r="D6" i="13"/>
  <c r="C7" i="13"/>
  <c r="D7" i="13"/>
  <c r="C8" i="13"/>
  <c r="D8" i="13"/>
  <c r="C9" i="13"/>
  <c r="D9" i="1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Q35" i="3"/>
  <c r="P5" i="3"/>
  <c r="P35" i="3"/>
  <c r="P17" i="11"/>
  <c r="O17" i="11"/>
  <c r="P13" i="11"/>
  <c r="O13" i="11"/>
  <c r="P12" i="11"/>
  <c r="O12" i="11"/>
  <c r="P11" i="11"/>
  <c r="O11" i="11"/>
  <c r="P10" i="11"/>
  <c r="O10" i="11"/>
  <c r="P9" i="11"/>
  <c r="O9" i="11"/>
  <c r="P8" i="11"/>
  <c r="O8" i="11"/>
  <c r="P7" i="11"/>
  <c r="O7" i="11"/>
  <c r="O5" i="11"/>
  <c r="O19" i="11"/>
  <c r="P6" i="11"/>
  <c r="O6" i="11"/>
  <c r="P5" i="11"/>
  <c r="P19" i="11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O5" i="6"/>
  <c r="O21" i="6"/>
  <c r="P6" i="6"/>
  <c r="O6" i="6"/>
  <c r="P5" i="6"/>
  <c r="P21" i="6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L8" i="11"/>
  <c r="C6" i="6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B103" i="8"/>
  <c r="B95" i="8"/>
  <c r="I9" i="6"/>
  <c r="L9" i="6"/>
  <c r="I6" i="6"/>
  <c r="L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J10" i="3"/>
  <c r="M10" i="3"/>
  <c r="J6" i="3"/>
  <c r="M6" i="3"/>
  <c r="C10" i="13"/>
  <c r="D10" i="13"/>
  <c r="C11" i="13"/>
  <c r="D11" i="13"/>
  <c r="C12" i="13"/>
  <c r="D12" i="13"/>
</calcChain>
</file>

<file path=xl/comments1.xml><?xml version="1.0" encoding="utf-8"?>
<comments xmlns="http://schemas.openxmlformats.org/spreadsheetml/2006/main">
  <authors>
    <author>tc={C73E9140-44B1-47F1-A3C6-F72DD552E539}</author>
    <author>tc={918244A8-3E01-4C8E-B43A-5DC21002E8B6}</author>
    <author>tc={0AC0E4C7-E388-439A-9856-FBB99ABB427C}</author>
    <author>tc={4B43BE98-26BA-40C2-A2B0-CEE0CF48C0BB}</author>
  </authors>
  <commentLis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 WoW</t>
        </r>
      </text>
    </comment>
    <comment ref="H2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 WoW</t>
        </r>
      </text>
    </comment>
    <comment ref="H3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 WoW</t>
        </r>
      </text>
    </comment>
    <comment ref="D4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Offshore cable only</t>
        </r>
      </text>
    </comment>
  </commentList>
</comments>
</file>

<file path=xl/sharedStrings.xml><?xml version="1.0" encoding="utf-8"?>
<sst xmlns="http://schemas.openxmlformats.org/spreadsheetml/2006/main" count="848" uniqueCount="365">
  <si>
    <t>Site and plant parameters</t>
  </si>
  <si>
    <t>Average water depth at site</t>
  </si>
  <si>
    <t>m</t>
  </si>
  <si>
    <t>Distance between port and site</t>
  </si>
  <si>
    <t>km</t>
  </si>
  <si>
    <t>Distance between cable landfall and offshore substation</t>
  </si>
  <si>
    <t>Distance between cable landfall and cabling vessel anchor point</t>
  </si>
  <si>
    <t>Distance between cable landfall and onshore interconnection point</t>
  </si>
  <si>
    <t>Number of turbines</t>
  </si>
  <si>
    <t>turbines</t>
  </si>
  <si>
    <t>Spacing between turbines in a string</t>
  </si>
  <si>
    <t>rotor diameters</t>
  </si>
  <si>
    <t>Spacing between strings</t>
  </si>
  <si>
    <t>Distance from offshore substation to first turbine on each string</t>
  </si>
  <si>
    <t>Total plant capacity</t>
  </si>
  <si>
    <t>MW</t>
  </si>
  <si>
    <t>Number of export cables</t>
  </si>
  <si>
    <t>cables</t>
  </si>
  <si>
    <t>8MW turbine parameters</t>
  </si>
  <si>
    <t>(Developed from NREL's Cost and Scaling model/public data on commercial turbines)</t>
  </si>
  <si>
    <t>Blade length:</t>
  </si>
  <si>
    <t>87 m</t>
  </si>
  <si>
    <t>Blade mass:</t>
  </si>
  <si>
    <t>32 t</t>
  </si>
  <si>
    <t>Blade deck space:</t>
  </si>
  <si>
    <t>256 m^2</t>
  </si>
  <si>
    <t>Nacelle mass:</t>
  </si>
  <si>
    <t>368 t</t>
  </si>
  <si>
    <t>Nacelle deck space:</t>
  </si>
  <si>
    <t>151 m^2</t>
  </si>
  <si>
    <t>Rotor diamter</t>
  </si>
  <si>
    <t>175 m</t>
  </si>
  <si>
    <t>Rotor mass</t>
  </si>
  <si>
    <t xml:space="preserve">192 t </t>
  </si>
  <si>
    <t>(blades + hub)</t>
  </si>
  <si>
    <t>Tower height</t>
  </si>
  <si>
    <t>112 m</t>
  </si>
  <si>
    <t>(same as hub height)</t>
  </si>
  <si>
    <t>Tower mass</t>
  </si>
  <si>
    <t>287 t</t>
  </si>
  <si>
    <t>Number of sections</t>
  </si>
  <si>
    <t>Tower section deck space:</t>
  </si>
  <si>
    <t>50 m^2</t>
  </si>
  <si>
    <t>Monopile parameters</t>
  </si>
  <si>
    <t>Diameter:</t>
  </si>
  <si>
    <t>Length:</t>
  </si>
  <si>
    <t>Deck space:</t>
  </si>
  <si>
    <t>m^2</t>
  </si>
  <si>
    <t>Mass:</t>
  </si>
  <si>
    <t>t</t>
  </si>
  <si>
    <t>Cost:</t>
  </si>
  <si>
    <t>Euro/t</t>
  </si>
  <si>
    <t>Transition piece parameters</t>
  </si>
  <si>
    <t xml:space="preserve">Cost: </t>
  </si>
  <si>
    <t>Array cable parameters</t>
  </si>
  <si>
    <t>Cable voltage:</t>
  </si>
  <si>
    <t>kV</t>
  </si>
  <si>
    <t>Cable current:</t>
  </si>
  <si>
    <t>A</t>
  </si>
  <si>
    <t>(at 2 m burial depth)</t>
  </si>
  <si>
    <t>Cable size:</t>
  </si>
  <si>
    <t>mm^2</t>
  </si>
  <si>
    <t>Cable density</t>
  </si>
  <si>
    <t>kg/m</t>
  </si>
  <si>
    <t>Cable cost:</t>
  </si>
  <si>
    <t>Euro/km</t>
  </si>
  <si>
    <t>Any assumption around vertical cable length?</t>
  </si>
  <si>
    <t xml:space="preserve">Need a site plan? </t>
  </si>
  <si>
    <t>Export cable parameters</t>
  </si>
  <si>
    <t>Offshore substation parameters</t>
  </si>
  <si>
    <t>Calculated from NREL's ORBIT model (parameterized by plant capacity)</t>
  </si>
  <si>
    <t>Assumes two equally sized substations</t>
  </si>
  <si>
    <t>Topside mass</t>
  </si>
  <si>
    <t>Topside cost</t>
  </si>
  <si>
    <t>M Euro</t>
  </si>
  <si>
    <t>Substructure mass</t>
  </si>
  <si>
    <t>Substructure cost</t>
  </si>
  <si>
    <t>Scour protection parameters</t>
  </si>
  <si>
    <t>Calculated from NREL's ORBIT model</t>
  </si>
  <si>
    <t>Euro/tonne</t>
  </si>
  <si>
    <t>Depth</t>
  </si>
  <si>
    <t>m/substructure</t>
  </si>
  <si>
    <t>Mass</t>
  </si>
  <si>
    <t>tonne/substructure</t>
  </si>
  <si>
    <t>Total cost:</t>
  </si>
  <si>
    <t>MN: 50 EUR per tonne * 2,500 tonne per turbine * 50 turbines is 6.25m EUR total?</t>
  </si>
  <si>
    <t>Onshore construction costs</t>
  </si>
  <si>
    <t>Estimate includes costs of:</t>
  </si>
  <si>
    <t>Building switchyard</t>
  </si>
  <si>
    <t>(depends on inteconnection voltage)</t>
  </si>
  <si>
    <t>Building onshore substation</t>
  </si>
  <si>
    <t>(depends on interconnection voltage and plant capacity)</t>
  </si>
  <si>
    <t>Building transmission line to existing grid connection</t>
  </si>
  <si>
    <t>(depends on interconnection voltage and distance)</t>
  </si>
  <si>
    <t>Miscellaneous costs</t>
  </si>
  <si>
    <t>(depends on plant capacity)</t>
  </si>
  <si>
    <t>WTIV specifications</t>
  </si>
  <si>
    <t>Assumed to begin 1st July</t>
  </si>
  <si>
    <t>Max cargo</t>
  </si>
  <si>
    <t>7400 t</t>
  </si>
  <si>
    <t>Max deckspace</t>
  </si>
  <si>
    <t>4000 m^2</t>
  </si>
  <si>
    <t>Max wind speed (crane)</t>
  </si>
  <si>
    <t>15 m/s</t>
  </si>
  <si>
    <t>Max sign. waveheight (crane)</t>
  </si>
  <si>
    <t>2 m</t>
  </si>
  <si>
    <t>Max windspeed (transit)</t>
  </si>
  <si>
    <t>25 m/s</t>
  </si>
  <si>
    <t>Max significant waveheight (transit)</t>
  </si>
  <si>
    <t>3 m</t>
  </si>
  <si>
    <t>Transit speed (outbound)</t>
  </si>
  <si>
    <t>15 km/h</t>
  </si>
  <si>
    <t>Transit speed (inbound)</t>
  </si>
  <si>
    <t>15 km/hr</t>
  </si>
  <si>
    <t>Day rate</t>
  </si>
  <si>
    <t>200K Euro/day</t>
  </si>
  <si>
    <t>Mobilization cost</t>
  </si>
  <si>
    <t>5 days</t>
  </si>
  <si>
    <t>(at standard day rate)</t>
  </si>
  <si>
    <t>Waiting on weather day rate</t>
  </si>
  <si>
    <t>(of standard day rate)</t>
  </si>
  <si>
    <t>Note: Cargo and deck space constraints lead to 4 turbine sets per trip</t>
  </si>
  <si>
    <t>Note: Cargo and deck space constraints lead to 6 monopile+transition piece sets per trip</t>
  </si>
  <si>
    <t>Cable lay vessel characteristics</t>
  </si>
  <si>
    <t xml:space="preserve">Max transport sig. wave height: </t>
  </si>
  <si>
    <t>Max transport wind speed</t>
  </si>
  <si>
    <t>m/s</t>
  </si>
  <si>
    <t>Transit speed</t>
  </si>
  <si>
    <t>km/hr</t>
  </si>
  <si>
    <t xml:space="preserve">Cable lay speed </t>
  </si>
  <si>
    <t>Max cable storage</t>
  </si>
  <si>
    <t xml:space="preserve">*Note: Updated from 2000 to allow all cable to be installed in 1 trip. </t>
  </si>
  <si>
    <t>Euro/day</t>
  </si>
  <si>
    <t>days</t>
  </si>
  <si>
    <t>* Use the same vessel parameters for export cables</t>
  </si>
  <si>
    <t>Heavy lift vessel specifications</t>
  </si>
  <si>
    <t>8 m/s</t>
  </si>
  <si>
    <t>Max lift (crane)</t>
  </si>
  <si>
    <t>5700 t</t>
  </si>
  <si>
    <t>20 m/s</t>
  </si>
  <si>
    <t>2.5 m</t>
  </si>
  <si>
    <t>7 km/hr</t>
  </si>
  <si>
    <t>325K Euro/day</t>
  </si>
  <si>
    <t>Required to lift offshore substation topside</t>
  </si>
  <si>
    <t>Update 3/31: No longer required if there are two substations</t>
  </si>
  <si>
    <t>5000 t</t>
  </si>
  <si>
    <t>Max deck space</t>
  </si>
  <si>
    <t>1000 m^2</t>
  </si>
  <si>
    <t>100K Euro/day</t>
  </si>
  <si>
    <t>Scour protection vessel specifications</t>
  </si>
  <si>
    <t>Max cargo:</t>
  </si>
  <si>
    <t>Max waveheight (transit)</t>
  </si>
  <si>
    <t>Max windspeed</t>
  </si>
  <si>
    <t>km/h</t>
  </si>
  <si>
    <t>At standard rate</t>
  </si>
  <si>
    <t>For 2500 tonne/substructure, this vessel can provide scour protection to 2 substructures per trip</t>
  </si>
  <si>
    <t>Times for individual turbine installation processes</t>
  </si>
  <si>
    <t>*Assumes 4 turbine sets transported per trip</t>
  </si>
  <si>
    <t>Aegir Insights input</t>
  </si>
  <si>
    <t>Aggregated task</t>
  </si>
  <si>
    <t>Relations/predecessors [row]</t>
  </si>
  <si>
    <t>Start time [hours]</t>
  </si>
  <si>
    <t>End time [hours]</t>
  </si>
  <si>
    <t>Duration [hr]</t>
  </si>
  <si>
    <t>Wind speed limit (m/s)</t>
  </si>
  <si>
    <t>Wave height limit (m)</t>
  </si>
  <si>
    <t>Time per turbine</t>
  </si>
  <si>
    <t>Time per trip</t>
  </si>
  <si>
    <t>Total installation time (unweathered)</t>
  </si>
  <si>
    <t>Total installation time; 1-hour time-step (unweathered)</t>
  </si>
  <si>
    <t>Aegir</t>
  </si>
  <si>
    <t>Duration (hours)</t>
  </si>
  <si>
    <t>Start</t>
  </si>
  <si>
    <t>End</t>
  </si>
  <si>
    <t>Time per position</t>
  </si>
  <si>
    <t>Unweatherd installation time</t>
  </si>
  <si>
    <t>Mobilize vessel</t>
  </si>
  <si>
    <t>assume 1 mobilisation for vessel</t>
  </si>
  <si>
    <t>Mobilize</t>
  </si>
  <si>
    <t>Time required to fasten 2 tower sections to the vessel</t>
  </si>
  <si>
    <t>3 m swh</t>
  </si>
  <si>
    <t>Loadout time per turbine</t>
  </si>
  <si>
    <t>hr</t>
  </si>
  <si>
    <t>Total loadout time per trip</t>
  </si>
  <si>
    <t>assume all 50 turbines loaded-out</t>
  </si>
  <si>
    <t>Tower loading</t>
  </si>
  <si>
    <t>Time required to fasten the nacelle to the vessel</t>
  </si>
  <si>
    <t>Nacelle loading</t>
  </si>
  <si>
    <t>Time required to fasten 3 blades to the vessel</t>
  </si>
  <si>
    <t>Blade loading</t>
  </si>
  <si>
    <t>Transit to site</t>
  </si>
  <si>
    <t>Transit time per trip</t>
  </si>
  <si>
    <t>assume 13 trips to site (12 trips * 4 turbines plus 1 trip * 2 turbines)</t>
  </si>
  <si>
    <t>(120 km and vessel speed 15 km/h)</t>
  </si>
  <si>
    <t>Time required to position vessel at site</t>
  </si>
  <si>
    <t>Positioning/jackup/preloading</t>
  </si>
  <si>
    <t>2 m swh</t>
  </si>
  <si>
    <t>Install time per turbine</t>
  </si>
  <si>
    <t>Total install time per trip</t>
  </si>
  <si>
    <t>assume all 50 turbines are installed</t>
  </si>
  <si>
    <t>Postioning / Jackup / Preloading</t>
  </si>
  <si>
    <t>Time for vessel to jackup</t>
  </si>
  <si>
    <t>Tower installation</t>
  </si>
  <si>
    <t>Time required to release the a tower section from the vessel</t>
  </si>
  <si>
    <t>Nacelle installation</t>
  </si>
  <si>
    <t>Time required to lift tower section</t>
  </si>
  <si>
    <t>Blade installation</t>
  </si>
  <si>
    <t>Time required to attach the turbine tower to the transition piece</t>
  </si>
  <si>
    <t>Sums</t>
  </si>
  <si>
    <t>Time required to re-equip crane</t>
  </si>
  <si>
    <t>Time required to release the nacelle from the vessel</t>
  </si>
  <si>
    <t>Unweathered installation days</t>
  </si>
  <si>
    <t>Time required to lift nacelle</t>
  </si>
  <si>
    <t>Unweathered installation days per position</t>
  </si>
  <si>
    <t>Time required to attach the nacelle to the turbine tower</t>
  </si>
  <si>
    <t>Time required to release the turbine blade from the vessel</t>
  </si>
  <si>
    <t>Time required to lift turbine blade</t>
  </si>
  <si>
    <t>Tie required to attache the turbine blade to the nacelle</t>
  </si>
  <si>
    <t>Time required to jackdown</t>
  </si>
  <si>
    <t>Transit to port</t>
  </si>
  <si>
    <t>assume 13 return trips to port (12 trips * 4 turbines plus 1 trip * 2 turbines)</t>
  </si>
  <si>
    <t>Total installation time (days)</t>
  </si>
  <si>
    <t>*Assumes 6 turbine sets transported per trip</t>
  </si>
  <si>
    <t>Time per monopile</t>
  </si>
  <si>
    <t>Fasten monopile to vessel</t>
  </si>
  <si>
    <t>Loadout time per monopile</t>
  </si>
  <si>
    <t>assume all 50 monopiles loaded-out</t>
  </si>
  <si>
    <t>Fasten transition piece to vessel</t>
  </si>
  <si>
    <t>assuming 9 trips: 8*6 MPs + 1*2 MPs</t>
  </si>
  <si>
    <t>Position vessel onsite</t>
  </si>
  <si>
    <t>Install time per monopile/transition piece pair</t>
  </si>
  <si>
    <t>assume all 50 monopiles installed</t>
  </si>
  <si>
    <t>ROV survey of seabed</t>
  </si>
  <si>
    <t>Release monopile from vessel</t>
  </si>
  <si>
    <t>Lower monopile to seabed</t>
  </si>
  <si>
    <t>Re-equip crane with hydraulic hammer</t>
  </si>
  <si>
    <t>Drive monopile into seabed</t>
  </si>
  <si>
    <t xml:space="preserve">Re-equip crane </t>
  </si>
  <si>
    <t>Release transition piece from vessel</t>
  </si>
  <si>
    <t>Lift transition piece</t>
  </si>
  <si>
    <t>Bolt transition piece to monopile</t>
  </si>
  <si>
    <t>assuming 9 return trips</t>
  </si>
  <si>
    <t>Times for array cable installation processes</t>
  </si>
  <si>
    <t>* Assumes all cable carried/laid/buried in a single trip</t>
  </si>
  <si>
    <t>Total project time</t>
  </si>
  <si>
    <t>Load cable at port</t>
  </si>
  <si>
    <t>assume a single load-out of cable</t>
  </si>
  <si>
    <t>assume a single trip to site</t>
  </si>
  <si>
    <t>Position onsite</t>
  </si>
  <si>
    <t>Cable prep and lay per turbine</t>
  </si>
  <si>
    <t>Total time</t>
  </si>
  <si>
    <t>assume all 50 cables installed</t>
  </si>
  <si>
    <t>Prepare cable</t>
  </si>
  <si>
    <t>Pull in cable at turbine</t>
  </si>
  <si>
    <t>Terminate cable</t>
  </si>
  <si>
    <t>Lower cable to seafloor</t>
  </si>
  <si>
    <t>Lay/bury cable to next turbine in string</t>
  </si>
  <si>
    <t>assume a single return trip to port</t>
  </si>
  <si>
    <t>Times for export cable installation processes</t>
  </si>
  <si>
    <t>Total time per cable</t>
  </si>
  <si>
    <t>Position at landfall</t>
  </si>
  <si>
    <r>
      <t xml:space="preserve">Cable prep and lay </t>
    </r>
    <r>
      <rPr>
        <b/>
        <sz val="11"/>
        <color theme="1"/>
        <rFont val="Calibri"/>
        <family val="2"/>
      </rPr>
      <t>total</t>
    </r>
  </si>
  <si>
    <t>Pull in cable</t>
  </si>
  <si>
    <t>Lay/bury cable to offshore substation</t>
  </si>
  <si>
    <t>Times for substation installation process</t>
  </si>
  <si>
    <t>*Assumes two OSS at site</t>
  </si>
  <si>
    <t>*Assume feeder barge transports alongside WTIV</t>
  </si>
  <si>
    <t>Time per substation</t>
  </si>
  <si>
    <t>Assume vessel mobilisation and load out carried out for foundation installation</t>
  </si>
  <si>
    <t>Fasten monopile</t>
  </si>
  <si>
    <t>Fasten topside</t>
  </si>
  <si>
    <t>Install time per substation</t>
  </si>
  <si>
    <t>Lift substation topside</t>
  </si>
  <si>
    <t>Bolt topside to transition piece</t>
  </si>
  <si>
    <t>Times for scour protection installation process</t>
  </si>
  <si>
    <t>Time per substructure</t>
  </si>
  <si>
    <t>Load rocks at port</t>
  </si>
  <si>
    <t>assuming 25 trips</t>
  </si>
  <si>
    <t>Scour protection time per substructure</t>
  </si>
  <si>
    <t>Dump rocks at substructure</t>
  </si>
  <si>
    <t>Transit to next turbine</t>
  </si>
  <si>
    <t>MODEL OUTPUT COMPARISON</t>
  </si>
  <si>
    <t>PROJECT BALANCE-OF-SYSTEM COSTS</t>
  </si>
  <si>
    <t>Model</t>
  </si>
  <si>
    <t>Project CAPEX (M. Euros)</t>
  </si>
  <si>
    <t>Relative error</t>
  </si>
  <si>
    <t>ORBIT</t>
  </si>
  <si>
    <t>OREC</t>
  </si>
  <si>
    <t>DTU</t>
  </si>
  <si>
    <t>Fraunhofer</t>
  </si>
  <si>
    <t>Strathclyde</t>
  </si>
  <si>
    <t>COMPONENT COSTS (Capital + installation)</t>
  </si>
  <si>
    <t>Turbine</t>
  </si>
  <si>
    <t>* Turbine CAPEX only includes installation costs</t>
  </si>
  <si>
    <t>Total (M. Euros)</t>
  </si>
  <si>
    <t>Capital cost (M. Euros)</t>
  </si>
  <si>
    <t>Installation cost (M. Euros)</t>
  </si>
  <si>
    <t>Installation time (days)</t>
  </si>
  <si>
    <t>Waiting on weather time (days)</t>
  </si>
  <si>
    <t>Waiting on weather cost (M. Euros)</t>
  </si>
  <si>
    <t>N/A</t>
  </si>
  <si>
    <t>*Reset transit wave height limits to 2m. INclude mobilization time</t>
  </si>
  <si>
    <t>*using the updated project plan</t>
  </si>
  <si>
    <t>BVG</t>
  </si>
  <si>
    <t>Start of installation early summer / Own assumptions on duration of installation steps / incl Weather Downtime</t>
  </si>
  <si>
    <t>Foundation</t>
  </si>
  <si>
    <t>* Assume monopile/TP are installed simultaneously by same vessel</t>
  </si>
  <si>
    <t>Installation time for MP(days)</t>
  </si>
  <si>
    <t>Installation time for TP(days)</t>
  </si>
  <si>
    <t>Included</t>
  </si>
  <si>
    <t>*Reset transit wave limits to 2 m</t>
  </si>
  <si>
    <t>No additional days</t>
  </si>
  <si>
    <t>7 days transit + 1 downtime; 79 days installation + 12 downtime</t>
  </si>
  <si>
    <t>included</t>
  </si>
  <si>
    <t>Second vessel to install transition pieces /  full cycle around: 92.2 days  / incl. weather downtime, mob, demob etc.</t>
  </si>
  <si>
    <t>Array cables</t>
  </si>
  <si>
    <t>84.5 km of cable</t>
  </si>
  <si>
    <t>Installation cost excluding onshore facilities</t>
  </si>
  <si>
    <t>(negligible weather delays at 25m/s &amp; 2m)</t>
  </si>
  <si>
    <t>Export cables</t>
  </si>
  <si>
    <t>Offshore substation</t>
  </si>
  <si>
    <t>*assumed cost of 300k€ (WTIV: 200k€ + Feeder: 100k€)
* result with OSS heavy lift (325k€) &amp; Feeder (100k€): Inst. Cost = 2.3M€ &amp; WoWCost = 0.05M€</t>
  </si>
  <si>
    <t>Aegir (1)</t>
  </si>
  <si>
    <t>Onshore construction/substation</t>
  </si>
  <si>
    <t>One onshore substation</t>
  </si>
  <si>
    <t>Scour protection</t>
  </si>
  <si>
    <t>Project development</t>
  </si>
  <si>
    <t>COST BREAKDOWNS</t>
  </si>
  <si>
    <t>Cabling</t>
  </si>
  <si>
    <t>Array cable length (km)</t>
  </si>
  <si>
    <t>Export cable length (km)</t>
  </si>
  <si>
    <t>Assume two cables (so 90km each, onshore + offshore)</t>
  </si>
  <si>
    <t>Average turbine install time (days/WTG)</t>
  </si>
  <si>
    <t>Excluding weather</t>
  </si>
  <si>
    <t>see Turbine CAPEX line: based on own duration assumptions</t>
  </si>
  <si>
    <t>Average monopile install time (days/monopile)</t>
  </si>
  <si>
    <t>*monopile &amp; TP with weather and grouting</t>
  </si>
  <si>
    <t>MP + TP install (two vessels simultaneously working: cycle with 92 days)</t>
  </si>
  <si>
    <t>Other budget items outside of budget structure above</t>
  </si>
  <si>
    <t>Travel</t>
  </si>
  <si>
    <t>Construction resources</t>
  </si>
  <si>
    <t>Operations prep</t>
  </si>
  <si>
    <t>Construction Management</t>
  </si>
  <si>
    <t>Insurances</t>
  </si>
  <si>
    <t>Contingency</t>
  </si>
  <si>
    <t>OREC (£m)</t>
  </si>
  <si>
    <t>Comparison of component sizing tools</t>
  </si>
  <si>
    <t>Monopile</t>
  </si>
  <si>
    <t>Mass [t]</t>
  </si>
  <si>
    <t>Length [m]</t>
  </si>
  <si>
    <t>Diameter [m]</t>
  </si>
  <si>
    <t>Cost per monopile[M Euros]</t>
  </si>
  <si>
    <t>Monopile only, excluding TP and secondary steel</t>
  </si>
  <si>
    <t>Transition piece</t>
  </si>
  <si>
    <t>Cost per TP [M Euros]</t>
  </si>
  <si>
    <t>Length [km]</t>
  </si>
  <si>
    <t>Cost [M Euros]</t>
  </si>
  <si>
    <t>5 Strings.  Includes substation connections (not computed separatley).  Assume ring config</t>
  </si>
  <si>
    <t>42km strings + 13km substation connections</t>
  </si>
  <si>
    <t>Number of cables</t>
  </si>
  <si>
    <t>Includes the 3km onshore cables; does not include onshore construction costs (~100M)</t>
  </si>
  <si>
    <t>84km total</t>
  </si>
  <si>
    <t>Plus two 3km onshore cables</t>
  </si>
  <si>
    <t>Monopile mass</t>
  </si>
  <si>
    <t>Overall cost [M Euros]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</si>
</sst>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#,##0.0"/>
    <numFmt numFmtId="165" formatCode="0.0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</patternFill>
    </fill>
    <fill>
      <patternFill patternType="solid">
        <fgColor rgb="FFDBE5F1"/>
      </patternFill>
    </fill>
    <fill>
      <patternFill patternType="solid">
        <fgColor rgb="FFD8D8D8"/>
      </patternFill>
    </fill>
    <fill>
      <patternFill patternType="solid">
        <fgColor rgb="FF92D05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2" fillId="0" borderId="1" xfId="1" applyFill="1" applyBorder="1"/>
    <xf numFmtId="164" fontId="2" fillId="0" borderId="2" xfId="1" applyNumberFormat="1" applyFill="1" applyBorder="1"/>
    <xf numFmtId="164" fontId="2" fillId="0" borderId="2" xfId="1" applyNumberFormat="1" applyFill="1" applyBorder="1" applyAlignment="1">
      <alignment horizontal="center"/>
    </xf>
    <xf numFmtId="0" fontId="2" fillId="0" borderId="4" xfId="1" applyFill="1" applyBorder="1"/>
    <xf numFmtId="0" fontId="2" fillId="0" borderId="0" xfId="1" applyFill="1" applyBorder="1"/>
    <xf numFmtId="164" fontId="2" fillId="0" borderId="0" xfId="1" applyNumberFormat="1" applyFill="1" applyBorder="1"/>
    <xf numFmtId="164" fontId="2" fillId="0" borderId="0" xfId="1" applyNumberFormat="1" applyFill="1" applyBorder="1" applyAlignment="1">
      <alignment horizontal="center"/>
    </xf>
    <xf numFmtId="0" fontId="2" fillId="0" borderId="6" xfId="1" applyFill="1" applyBorder="1"/>
    <xf numFmtId="164" fontId="2" fillId="0" borderId="7" xfId="1" applyNumberFormat="1" applyFill="1" applyBorder="1"/>
    <xf numFmtId="0" fontId="2" fillId="0" borderId="9" xfId="1" applyFill="1" applyBorder="1"/>
    <xf numFmtId="164" fontId="2" fillId="0" borderId="10" xfId="1" applyNumberFormat="1" applyFill="1" applyBorder="1"/>
    <xf numFmtId="164" fontId="2" fillId="0" borderId="10" xfId="1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0" fillId="6" borderId="0" xfId="0" applyFill="1"/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2" fillId="0" borderId="10" xfId="1" applyFill="1" applyBorder="1"/>
    <xf numFmtId="164" fontId="0" fillId="0" borderId="10" xfId="0" applyNumberFormat="1" applyBorder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Fill="1"/>
    <xf numFmtId="0" fontId="0" fillId="2" borderId="10" xfId="0" applyFont="1" applyFill="1" applyBorder="1"/>
    <xf numFmtId="9" fontId="0" fillId="0" borderId="0" xfId="0" applyNumberFormat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2" xfId="0" applyBorder="1"/>
    <xf numFmtId="165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0" fillId="0" borderId="8" xfId="0" applyBorder="1"/>
    <xf numFmtId="0" fontId="0" fillId="0" borderId="10" xfId="0" applyFont="1" applyFill="1" applyBorder="1"/>
    <xf numFmtId="0" fontId="0" fillId="2" borderId="7" xfId="0" applyFill="1" applyBorder="1"/>
    <xf numFmtId="164" fontId="2" fillId="2" borderId="0" xfId="1" applyNumberFormat="1" applyFill="1" applyBorder="1" applyAlignment="1">
      <alignment horizontal="center"/>
    </xf>
    <xf numFmtId="164" fontId="2" fillId="2" borderId="7" xfId="1" applyNumberFormat="1" applyFill="1" applyBorder="1" applyAlignment="1">
      <alignment horizontal="center"/>
    </xf>
    <xf numFmtId="164" fontId="2" fillId="2" borderId="2" xfId="1" applyNumberFormat="1" applyFill="1" applyBorder="1" applyAlignment="1">
      <alignment horizontal="center"/>
    </xf>
    <xf numFmtId="0" fontId="3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0" fillId="2" borderId="10" xfId="0" applyFill="1" applyBorder="1"/>
    <xf numFmtId="0" fontId="0" fillId="2" borderId="4" xfId="0" applyFill="1" applyBorder="1"/>
    <xf numFmtId="0" fontId="0" fillId="0" borderId="7" xfId="0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0" fontId="2" fillId="2" borderId="15" xfId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persons/person.xml><?xml version="1.0" encoding="utf-8"?>
<personList xmlns="http://schemas.microsoft.com/office/spreadsheetml/2018/threadedcomments" xmlns:x="http://schemas.openxmlformats.org/spreadsheetml/2006/main">
  <person displayName="Miriam Noonan" id="{2A52E194-A3E7-426E-A8F3-E417DEC48209}" userId="S::miriam.noonan@ore.catapult.org.uk::b7e1df32-e12c-4002-861b-b65a634ebc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4" dT="2020-04-06T09:34:27.25" personId="{2A52E194-A3E7-426E-A8F3-E417DEC48209}" id="{C73E9140-44B1-47F1-A3C6-F72DD552E539}">
    <text>Incl WoW</text>
  </threadedComment>
  <threadedComment ref="H23" dT="2020-04-06T09:35:01.74" personId="{2A52E194-A3E7-426E-A8F3-E417DEC48209}" id="{918244A8-3E01-4C8E-B43A-5DC21002E8B6}">
    <text>Incl WoW</text>
  </threadedComment>
  <threadedComment ref="H32" dT="2020-04-06T09:37:04.81" personId="{2A52E194-A3E7-426E-A8F3-E417DEC48209}" id="{0AC0E4C7-E388-439A-9856-FBB99ABB427C}">
    <text>Incl WoW</text>
  </threadedComment>
  <threadedComment ref="D41" dT="2020-04-06T09:41:07.87" personId="{2A52E194-A3E7-426E-A8F3-E417DEC48209}" id="{4B43BE98-26BA-40C2-A2B0-CEE0CF48C0BB}">
    <text>Offshore cable only</text>
  </threadedComment>
</ThreadedComment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defaultRowHeight="15"/>
  <cols>
    <col min="1" max="1" width="62.28515625" bestFit="1" customWidth="1"/>
  </cols>
  <sheetData>
    <row r="1" spans="1:3">
      <c r="A1" s="47" t="s">
        <v>0</v>
      </c>
      <c r="B1" s="47"/>
      <c r="C1" s="47"/>
    </row>
    <row r="4" spans="1:3">
      <c r="A4" s="47" t="s">
        <v>1</v>
      </c>
      <c r="B4" s="47">
        <v>22.5</v>
      </c>
      <c r="C4" s="47" t="s">
        <v>2</v>
      </c>
    </row>
    <row r="5" spans="1:3">
      <c r="A5" s="47" t="s">
        <v>3</v>
      </c>
      <c r="B5" s="47">
        <v>124</v>
      </c>
      <c r="C5" s="47" t="s">
        <v>4</v>
      </c>
    </row>
    <row r="6" spans="1:3">
      <c r="A6" s="47" t="s">
        <v>5</v>
      </c>
      <c r="B6" s="47">
        <v>42</v>
      </c>
      <c r="C6" s="47" t="s">
        <v>4</v>
      </c>
    </row>
    <row r="7" spans="1:3">
      <c r="A7" s="47" t="s">
        <v>6</v>
      </c>
      <c r="B7" s="47">
        <v>0</v>
      </c>
      <c r="C7" s="47" t="s">
        <v>4</v>
      </c>
    </row>
    <row r="8" spans="1:3">
      <c r="A8" s="47" t="s">
        <v>7</v>
      </c>
      <c r="B8" s="47">
        <v>3</v>
      </c>
      <c r="C8" s="47" t="s">
        <v>4</v>
      </c>
    </row>
    <row r="10" spans="1:3">
      <c r="A10" s="47" t="s">
        <v>8</v>
      </c>
      <c r="B10" s="47">
        <v>50</v>
      </c>
      <c r="C10" s="47" t="s">
        <v>9</v>
      </c>
    </row>
    <row r="11" spans="1:3">
      <c r="A11" s="47" t="s">
        <v>10</v>
      </c>
      <c r="B11" s="47">
        <v>7</v>
      </c>
      <c r="C11" s="47" t="s">
        <v>11</v>
      </c>
    </row>
    <row r="12" spans="1:3">
      <c r="A12" s="47" t="s">
        <v>12</v>
      </c>
      <c r="B12" s="47">
        <v>9</v>
      </c>
      <c r="C12" s="47" t="s">
        <v>11</v>
      </c>
    </row>
    <row r="13" spans="1:3">
      <c r="A13" s="47" t="s">
        <v>13</v>
      </c>
      <c r="B13" s="47">
        <v>1</v>
      </c>
      <c r="C13" s="47" t="s">
        <v>4</v>
      </c>
    </row>
    <row r="14" spans="1:3">
      <c r="A14" s="47" t="s">
        <v>14</v>
      </c>
      <c r="B14" s="47">
        <v>400</v>
      </c>
      <c r="C14" s="47" t="s">
        <v>15</v>
      </c>
    </row>
    <row r="16" spans="1:3">
      <c r="A16" s="47" t="s">
        <v>16</v>
      </c>
      <c r="B16" s="47">
        <v>2</v>
      </c>
      <c r="C16" s="4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5" sqref="B5"/>
    </sheetView>
  </sheetViews>
  <sheetFormatPr defaultRowHeight="15"/>
  <cols>
    <col min="1" max="1" width="28.42578125" bestFit="1" customWidth="1"/>
  </cols>
  <sheetData>
    <row r="1" spans="1:4">
      <c r="A1" s="47" t="s">
        <v>123</v>
      </c>
      <c r="B1" s="47"/>
      <c r="C1" s="47"/>
      <c r="D1" s="47"/>
    </row>
    <row r="2" spans="1:4">
      <c r="A2" s="47" t="s">
        <v>97</v>
      </c>
      <c r="B2" s="47"/>
      <c r="C2" s="47"/>
      <c r="D2" s="47"/>
    </row>
    <row r="3" spans="1:4">
      <c r="A3" s="47" t="s">
        <v>124</v>
      </c>
      <c r="B3" s="47">
        <v>2</v>
      </c>
      <c r="C3" s="47" t="s">
        <v>2</v>
      </c>
      <c r="D3" s="47"/>
    </row>
    <row r="4" spans="1:4">
      <c r="A4" s="47" t="s">
        <v>125</v>
      </c>
      <c r="B4" s="47">
        <v>25</v>
      </c>
      <c r="C4" s="47" t="s">
        <v>126</v>
      </c>
      <c r="D4" s="47"/>
    </row>
    <row r="5" spans="1:4">
      <c r="A5" s="47" t="s">
        <v>127</v>
      </c>
      <c r="B5" s="47">
        <v>20</v>
      </c>
      <c r="C5" s="47" t="s">
        <v>128</v>
      </c>
      <c r="D5" s="47"/>
    </row>
    <row r="6" spans="1:4">
      <c r="A6" s="47" t="s">
        <v>129</v>
      </c>
      <c r="B6" s="47">
        <v>0.2</v>
      </c>
      <c r="C6" s="47" t="s">
        <v>128</v>
      </c>
      <c r="D6" s="47"/>
    </row>
    <row r="7" spans="1:4">
      <c r="A7" s="47" t="s">
        <v>130</v>
      </c>
      <c r="B7" s="47">
        <v>4000</v>
      </c>
      <c r="C7" s="47" t="s">
        <v>49</v>
      </c>
      <c r="D7" s="47" t="s">
        <v>131</v>
      </c>
    </row>
    <row r="8" spans="1:4">
      <c r="A8" s="47" t="s">
        <v>114</v>
      </c>
      <c r="B8" s="47">
        <v>125000</v>
      </c>
      <c r="C8" s="47" t="s">
        <v>132</v>
      </c>
      <c r="D8" s="47"/>
    </row>
    <row r="9" spans="1:4">
      <c r="A9" s="47" t="s">
        <v>116</v>
      </c>
      <c r="B9" s="47">
        <v>5</v>
      </c>
      <c r="C9" s="47" t="s">
        <v>133</v>
      </c>
      <c r="D9" s="47"/>
    </row>
    <row r="12" spans="1:4">
      <c r="A12" s="47" t="s">
        <v>134</v>
      </c>
      <c r="B12" s="47"/>
      <c r="C12" s="47"/>
      <c r="D12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/>
  <cols>
    <col min="1" max="1" width="33.5703125" bestFit="1" customWidth="1"/>
  </cols>
  <sheetData>
    <row r="1" spans="1:3">
      <c r="A1" s="47" t="s">
        <v>135</v>
      </c>
      <c r="B1" s="47"/>
      <c r="C1" s="47"/>
    </row>
    <row r="2" spans="1:3">
      <c r="A2" s="47" t="s">
        <v>97</v>
      </c>
      <c r="B2" s="47"/>
      <c r="C2" s="47"/>
    </row>
    <row r="3" spans="1:3">
      <c r="A3" s="47" t="s">
        <v>102</v>
      </c>
      <c r="B3" s="47" t="s">
        <v>136</v>
      </c>
      <c r="C3" s="47"/>
    </row>
    <row r="4" spans="1:3">
      <c r="A4" s="47" t="s">
        <v>104</v>
      </c>
      <c r="B4" s="47" t="s">
        <v>105</v>
      </c>
      <c r="C4" s="47"/>
    </row>
    <row r="5" spans="1:3" s="47" customFormat="1">
      <c r="A5" s="47" t="s">
        <v>137</v>
      </c>
      <c r="B5" s="47" t="s">
        <v>138</v>
      </c>
    </row>
    <row r="6" spans="1:3">
      <c r="A6" s="47" t="s">
        <v>106</v>
      </c>
      <c r="B6" s="47" t="s">
        <v>139</v>
      </c>
      <c r="C6" s="47"/>
    </row>
    <row r="7" spans="1:3">
      <c r="A7" s="47" t="s">
        <v>108</v>
      </c>
      <c r="B7" s="47" t="s">
        <v>140</v>
      </c>
      <c r="C7" s="47"/>
    </row>
    <row r="8" spans="1:3">
      <c r="A8" s="47" t="s">
        <v>127</v>
      </c>
      <c r="B8" s="47" t="s">
        <v>141</v>
      </c>
      <c r="C8" s="51"/>
    </row>
    <row r="9" spans="1:3">
      <c r="A9" s="47" t="s">
        <v>114</v>
      </c>
      <c r="B9" s="47" t="s">
        <v>142</v>
      </c>
      <c r="C9" s="47"/>
    </row>
    <row r="10" spans="1:3">
      <c r="A10" s="47" t="s">
        <v>116</v>
      </c>
      <c r="B10" s="47" t="s">
        <v>117</v>
      </c>
      <c r="C10" s="47" t="s">
        <v>118</v>
      </c>
    </row>
    <row r="11" spans="1:3">
      <c r="A11" s="47"/>
      <c r="B11" s="47"/>
      <c r="C11" s="47"/>
    </row>
    <row r="12" spans="1:3">
      <c r="A12" s="47" t="s">
        <v>143</v>
      </c>
      <c r="B12" s="47"/>
      <c r="C12" s="47"/>
    </row>
    <row r="13" spans="1:3">
      <c r="A13" s="3" t="s">
        <v>144</v>
      </c>
      <c r="B13" s="47"/>
      <c r="C13" s="4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/>
  <cols>
    <col min="1" max="1" width="33.5703125" bestFit="1" customWidth="1"/>
  </cols>
  <sheetData>
    <row r="1" spans="1:2">
      <c r="A1" s="47" t="s">
        <v>135</v>
      </c>
      <c r="B1" s="47"/>
    </row>
    <row r="2" spans="1:2">
      <c r="A2" s="47" t="s">
        <v>97</v>
      </c>
      <c r="B2" s="47"/>
    </row>
    <row r="3" spans="1:2">
      <c r="A3" s="47"/>
      <c r="B3" s="47"/>
    </row>
    <row r="4" spans="1:2">
      <c r="A4" s="47" t="s">
        <v>98</v>
      </c>
      <c r="B4" s="47" t="s">
        <v>145</v>
      </c>
    </row>
    <row r="5" spans="1:2" s="47" customFormat="1">
      <c r="A5" s="47" t="s">
        <v>146</v>
      </c>
      <c r="B5" s="47" t="s">
        <v>147</v>
      </c>
    </row>
    <row r="6" spans="1:2">
      <c r="A6" s="47" t="s">
        <v>106</v>
      </c>
      <c r="B6" s="47" t="s">
        <v>107</v>
      </c>
    </row>
    <row r="7" spans="1:2">
      <c r="A7" s="47" t="s">
        <v>108</v>
      </c>
      <c r="B7" s="47" t="s">
        <v>109</v>
      </c>
    </row>
    <row r="8" spans="1:2">
      <c r="A8" s="47" t="s">
        <v>127</v>
      </c>
      <c r="B8" s="47" t="s">
        <v>113</v>
      </c>
    </row>
    <row r="9" spans="1:2">
      <c r="A9" s="47" t="s">
        <v>114</v>
      </c>
      <c r="B9" s="47" t="s">
        <v>148</v>
      </c>
    </row>
    <row r="10" spans="1:2">
      <c r="A10" s="47" t="s">
        <v>116</v>
      </c>
      <c r="B10" s="47" t="s">
        <v>117</v>
      </c>
    </row>
    <row r="11" spans="1:2">
      <c r="A11" s="47"/>
      <c r="B11" s="47"/>
    </row>
    <row r="12" spans="1:2">
      <c r="A12" s="3"/>
      <c r="B12" s="4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cols>
    <col min="1" max="1" width="27" customWidth="1"/>
  </cols>
  <sheetData>
    <row r="1" spans="1:4">
      <c r="A1" s="47" t="s">
        <v>149</v>
      </c>
      <c r="B1" s="47"/>
      <c r="C1" s="47"/>
      <c r="D1" s="47"/>
    </row>
    <row r="3" spans="1:4">
      <c r="A3" s="47" t="s">
        <v>150</v>
      </c>
      <c r="B3" s="47">
        <v>6000</v>
      </c>
      <c r="C3" s="47" t="s">
        <v>49</v>
      </c>
      <c r="D3" s="47"/>
    </row>
    <row r="4" spans="1:4">
      <c r="A4" s="47" t="s">
        <v>151</v>
      </c>
      <c r="B4" s="47">
        <v>2</v>
      </c>
      <c r="C4" s="47" t="s">
        <v>2</v>
      </c>
      <c r="D4" s="47"/>
    </row>
    <row r="5" spans="1:4">
      <c r="A5" s="47" t="s">
        <v>152</v>
      </c>
      <c r="B5" s="47">
        <v>20</v>
      </c>
      <c r="C5" s="47" t="s">
        <v>126</v>
      </c>
      <c r="D5" s="47"/>
    </row>
    <row r="6" spans="1:4">
      <c r="A6" s="47" t="s">
        <v>127</v>
      </c>
      <c r="B6" s="47">
        <v>6</v>
      </c>
      <c r="C6" s="47" t="s">
        <v>153</v>
      </c>
      <c r="D6" s="47"/>
    </row>
    <row r="7" spans="1:4">
      <c r="A7" s="47" t="s">
        <v>114</v>
      </c>
      <c r="B7" s="47">
        <v>130000</v>
      </c>
      <c r="C7" s="47" t="s">
        <v>132</v>
      </c>
      <c r="D7" s="47"/>
    </row>
    <row r="8" spans="1:4">
      <c r="A8" s="47" t="s">
        <v>116</v>
      </c>
      <c r="B8" s="47">
        <v>5</v>
      </c>
      <c r="C8" s="47" t="s">
        <v>133</v>
      </c>
      <c r="D8" s="47" t="s">
        <v>154</v>
      </c>
    </row>
    <row r="10" spans="1:4">
      <c r="A10" s="47" t="s">
        <v>155</v>
      </c>
      <c r="B10" s="47"/>
      <c r="C10" s="47"/>
      <c r="D10" s="4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G1" workbookViewId="0">
      <selection activeCell="I10" sqref="I10:I32"/>
    </sheetView>
  </sheetViews>
  <sheetFormatPr defaultRowHeight="15"/>
  <cols>
    <col min="1" max="1" width="63.5703125" customWidth="1"/>
    <col min="2" max="2" width="63.5703125" style="47" customWidth="1"/>
    <col min="3" max="3" width="30.5703125" customWidth="1"/>
    <col min="4" max="4" width="16.85546875" customWidth="1"/>
    <col min="5" max="5" width="16" customWidth="1"/>
    <col min="6" max="6" width="12.5703125" bestFit="1" customWidth="1"/>
    <col min="7" max="7" width="22.140625" style="47" customWidth="1"/>
    <col min="8" max="8" width="12.5703125" customWidth="1"/>
    <col min="9" max="9" width="23.5703125" bestFit="1" customWidth="1"/>
    <col min="12" max="12" width="24.85546875" bestFit="1" customWidth="1"/>
    <col min="16" max="16" width="24.140625" customWidth="1"/>
    <col min="17" max="17" width="22" customWidth="1"/>
    <col min="18" max="18" width="1" customWidth="1"/>
    <col min="20" max="20" width="7" customWidth="1"/>
    <col min="25" max="25" width="37.140625" customWidth="1"/>
    <col min="26" max="26" width="19.140625" customWidth="1"/>
    <col min="27" max="27" width="23.140625" customWidth="1"/>
    <col min="30" max="30" width="19.42578125" customWidth="1"/>
    <col min="31" max="31" width="22.7109375" customWidth="1"/>
    <col min="32" max="32" width="35.5703125" customWidth="1"/>
  </cols>
  <sheetData>
    <row r="1" spans="1:36">
      <c r="A1" s="48" t="s">
        <v>156</v>
      </c>
      <c r="B1" s="48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</row>
    <row r="2" spans="1:36" ht="15" customHeight="1">
      <c r="A2" s="3" t="s">
        <v>157</v>
      </c>
      <c r="B2" s="3"/>
      <c r="C2" s="47"/>
      <c r="D2" s="47"/>
      <c r="E2" s="47"/>
      <c r="F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80" t="s">
        <v>158</v>
      </c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2"/>
    </row>
    <row r="3" spans="1:36" ht="15" customHeight="1">
      <c r="A3" s="47"/>
      <c r="C3" s="47"/>
      <c r="D3" s="47"/>
      <c r="E3" s="47"/>
      <c r="F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83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5"/>
    </row>
    <row r="4" spans="1:36" ht="77.25" customHeight="1">
      <c r="A4" s="48"/>
      <c r="B4" s="48" t="s">
        <v>159</v>
      </c>
      <c r="C4" s="48" t="s">
        <v>160</v>
      </c>
      <c r="D4" s="48" t="s">
        <v>161</v>
      </c>
      <c r="E4" s="48" t="s">
        <v>162</v>
      </c>
      <c r="F4" s="48" t="s">
        <v>163</v>
      </c>
      <c r="G4" s="48" t="s">
        <v>164</v>
      </c>
      <c r="H4" s="48" t="s">
        <v>165</v>
      </c>
      <c r="I4" s="86" t="s">
        <v>166</v>
      </c>
      <c r="J4" s="86"/>
      <c r="K4" s="86"/>
      <c r="L4" s="86" t="s">
        <v>167</v>
      </c>
      <c r="M4" s="86"/>
      <c r="N4" s="86"/>
      <c r="O4" s="47"/>
      <c r="P4" s="49" t="s">
        <v>168</v>
      </c>
      <c r="Q4" s="49" t="s">
        <v>169</v>
      </c>
      <c r="R4" s="47"/>
      <c r="S4" s="47"/>
      <c r="T4" s="47"/>
      <c r="U4" s="47"/>
      <c r="V4" s="47"/>
      <c r="W4" s="47"/>
      <c r="X4" s="47"/>
      <c r="Y4" s="25" t="s">
        <v>170</v>
      </c>
      <c r="Z4" s="27" t="s">
        <v>171</v>
      </c>
      <c r="AA4" s="27" t="s">
        <v>164</v>
      </c>
      <c r="AB4" s="27" t="s">
        <v>172</v>
      </c>
      <c r="AC4" s="27" t="s">
        <v>173</v>
      </c>
      <c r="AD4" s="27" t="s">
        <v>174</v>
      </c>
      <c r="AE4" s="27" t="s">
        <v>167</v>
      </c>
      <c r="AF4" s="27" t="s">
        <v>175</v>
      </c>
      <c r="AG4" s="27"/>
      <c r="AH4" s="27"/>
      <c r="AI4" s="27"/>
      <c r="AJ4" s="64"/>
    </row>
    <row r="5" spans="1:36" ht="15" customHeight="1">
      <c r="A5" s="36" t="s">
        <v>176</v>
      </c>
      <c r="B5" s="37"/>
      <c r="C5" s="37"/>
      <c r="D5" s="37">
        <v>0</v>
      </c>
      <c r="E5" s="52">
        <v>120</v>
      </c>
      <c r="F5" s="52">
        <v>120</v>
      </c>
      <c r="G5" s="52"/>
      <c r="H5" s="37"/>
      <c r="I5" s="38"/>
      <c r="J5" s="38"/>
      <c r="K5" s="38"/>
      <c r="L5" s="38"/>
      <c r="M5" s="38"/>
      <c r="N5" s="39"/>
      <c r="O5" s="47"/>
      <c r="P5" s="47">
        <f>F5</f>
        <v>120</v>
      </c>
      <c r="Q5" s="47">
        <f>ROUND(F5,0)</f>
        <v>120</v>
      </c>
      <c r="R5" s="47"/>
      <c r="S5" s="47" t="s">
        <v>177</v>
      </c>
      <c r="T5" s="47"/>
      <c r="U5" s="47"/>
      <c r="V5" s="47"/>
      <c r="W5" s="47"/>
      <c r="X5" s="47"/>
      <c r="Y5" s="44" t="s">
        <v>178</v>
      </c>
      <c r="Z5" s="42">
        <v>120</v>
      </c>
      <c r="AA5" s="42">
        <v>25</v>
      </c>
      <c r="AB5" s="42">
        <v>0</v>
      </c>
      <c r="AC5" s="42">
        <v>120</v>
      </c>
      <c r="AD5" s="42"/>
      <c r="AE5" s="42"/>
      <c r="AF5" s="42">
        <f>Z5</f>
        <v>120</v>
      </c>
      <c r="AG5" s="27"/>
      <c r="AH5" s="27"/>
      <c r="AI5" s="27"/>
      <c r="AJ5" s="64"/>
    </row>
    <row r="6" spans="1:36" ht="15.75" customHeight="1">
      <c r="A6" s="7" t="s">
        <v>179</v>
      </c>
      <c r="B6" s="8"/>
      <c r="C6" s="8">
        <v>5</v>
      </c>
      <c r="D6" s="8">
        <f>E5</f>
        <v>120</v>
      </c>
      <c r="E6" s="9">
        <f>D6+F6</f>
        <v>122</v>
      </c>
      <c r="F6" s="70">
        <v>2</v>
      </c>
      <c r="G6" s="10">
        <v>25</v>
      </c>
      <c r="H6" s="10" t="s">
        <v>180</v>
      </c>
      <c r="I6" s="87" t="s">
        <v>181</v>
      </c>
      <c r="J6" s="89">
        <f>SUM(F6:F8)</f>
        <v>8</v>
      </c>
      <c r="K6" s="87" t="s">
        <v>182</v>
      </c>
      <c r="L6" s="87" t="s">
        <v>183</v>
      </c>
      <c r="M6" s="87">
        <f>4*J6:J8</f>
        <v>32</v>
      </c>
      <c r="N6" s="91" t="s">
        <v>182</v>
      </c>
      <c r="O6" s="47"/>
      <c r="P6" s="47">
        <f>F6*50</f>
        <v>100</v>
      </c>
      <c r="Q6" s="47">
        <f>ROUND(F6,0)*50</f>
        <v>100</v>
      </c>
      <c r="R6" s="47"/>
      <c r="S6" s="47" t="s">
        <v>184</v>
      </c>
      <c r="T6" s="47"/>
      <c r="U6" s="47"/>
      <c r="V6" s="47"/>
      <c r="W6" s="47"/>
      <c r="X6" s="47"/>
      <c r="Y6" s="25" t="s">
        <v>185</v>
      </c>
      <c r="Z6" s="27">
        <v>2</v>
      </c>
      <c r="AA6" s="27">
        <v>15</v>
      </c>
      <c r="AB6" s="27">
        <v>120</v>
      </c>
      <c r="AC6" s="27">
        <v>122</v>
      </c>
      <c r="AD6" s="87">
        <f>SUM(Z6:Z8)</f>
        <v>7.5</v>
      </c>
      <c r="AE6" s="93">
        <f>4*AD6:AD8</f>
        <v>30</v>
      </c>
      <c r="AF6" s="27">
        <f>50*Z6</f>
        <v>100</v>
      </c>
      <c r="AG6" s="27"/>
      <c r="AH6" s="27"/>
      <c r="AI6" s="27"/>
      <c r="AJ6" s="64"/>
    </row>
    <row r="7" spans="1:36" ht="15.75" customHeight="1">
      <c r="A7" s="7" t="s">
        <v>186</v>
      </c>
      <c r="B7" s="8"/>
      <c r="C7" s="8">
        <v>6</v>
      </c>
      <c r="D7" s="8">
        <f t="shared" ref="D7:D32" si="0">E6</f>
        <v>122</v>
      </c>
      <c r="E7" s="9">
        <f>D7+F7</f>
        <v>125</v>
      </c>
      <c r="F7" s="70">
        <v>3</v>
      </c>
      <c r="G7" s="10">
        <v>25</v>
      </c>
      <c r="H7" s="10" t="s">
        <v>180</v>
      </c>
      <c r="I7" s="87"/>
      <c r="J7" s="89"/>
      <c r="K7" s="87"/>
      <c r="L7" s="87"/>
      <c r="M7" s="87"/>
      <c r="N7" s="91"/>
      <c r="O7" s="47"/>
      <c r="P7" s="47">
        <f t="shared" ref="P7:P32" si="1">F7*50</f>
        <v>150</v>
      </c>
      <c r="Q7" s="47">
        <f t="shared" ref="Q7:Q32" si="2">ROUND(F7,0)*50</f>
        <v>150</v>
      </c>
      <c r="R7" s="47"/>
      <c r="S7" s="47"/>
      <c r="T7" s="47"/>
      <c r="U7" s="47"/>
      <c r="V7" s="47"/>
      <c r="W7" s="47"/>
      <c r="X7" s="47"/>
      <c r="Y7" s="25" t="s">
        <v>187</v>
      </c>
      <c r="Z7" s="65">
        <v>2.5</v>
      </c>
      <c r="AA7" s="27">
        <v>15</v>
      </c>
      <c r="AB7" s="27">
        <v>122</v>
      </c>
      <c r="AC7" s="27">
        <v>124.5</v>
      </c>
      <c r="AD7" s="87"/>
      <c r="AE7" s="87"/>
      <c r="AF7" s="27">
        <f t="shared" ref="AF7:AF8" si="3">50*Z7</f>
        <v>125</v>
      </c>
      <c r="AG7" s="27"/>
      <c r="AH7" s="27"/>
      <c r="AI7" s="27"/>
      <c r="AJ7" s="64"/>
    </row>
    <row r="8" spans="1:36" ht="15.75" customHeight="1">
      <c r="A8" s="11" t="s">
        <v>188</v>
      </c>
      <c r="B8" s="8"/>
      <c r="C8" s="8">
        <v>7</v>
      </c>
      <c r="D8" s="8">
        <f t="shared" si="0"/>
        <v>125</v>
      </c>
      <c r="E8" s="12">
        <f>D8+F8</f>
        <v>128</v>
      </c>
      <c r="F8" s="71">
        <v>3</v>
      </c>
      <c r="G8" s="10">
        <v>25</v>
      </c>
      <c r="H8" s="10" t="s">
        <v>180</v>
      </c>
      <c r="I8" s="88"/>
      <c r="J8" s="90"/>
      <c r="K8" s="88"/>
      <c r="L8" s="88"/>
      <c r="M8" s="88"/>
      <c r="N8" s="92"/>
      <c r="O8" s="47"/>
      <c r="P8" s="47">
        <f t="shared" si="1"/>
        <v>150</v>
      </c>
      <c r="Q8" s="47">
        <f t="shared" si="2"/>
        <v>150</v>
      </c>
      <c r="R8" s="47"/>
      <c r="S8" s="47"/>
      <c r="T8" s="47"/>
      <c r="U8" s="47"/>
      <c r="V8" s="47"/>
      <c r="W8" s="47"/>
      <c r="X8" s="47"/>
      <c r="Y8" s="25" t="s">
        <v>189</v>
      </c>
      <c r="Z8" s="27">
        <v>3</v>
      </c>
      <c r="AA8" s="27">
        <v>15</v>
      </c>
      <c r="AB8" s="27">
        <f>AC7</f>
        <v>124.5</v>
      </c>
      <c r="AC8" s="27">
        <f>AB8+Z8</f>
        <v>127.5</v>
      </c>
      <c r="AD8" s="87"/>
      <c r="AE8" s="88"/>
      <c r="AF8" s="27">
        <f t="shared" si="3"/>
        <v>150</v>
      </c>
      <c r="AG8" s="27"/>
      <c r="AH8" s="27"/>
      <c r="AI8" s="27"/>
      <c r="AJ8" s="64"/>
    </row>
    <row r="9" spans="1:36" ht="15.75">
      <c r="A9" s="13" t="s">
        <v>190</v>
      </c>
      <c r="B9" s="8"/>
      <c r="C9" s="8">
        <v>8</v>
      </c>
      <c r="D9" s="8">
        <f t="shared" si="0"/>
        <v>128</v>
      </c>
      <c r="E9" s="14">
        <f>D9+F9</f>
        <v>133</v>
      </c>
      <c r="F9" s="15">
        <v>5</v>
      </c>
      <c r="G9" s="15">
        <v>25</v>
      </c>
      <c r="H9" s="15"/>
      <c r="I9" s="16"/>
      <c r="J9" s="17"/>
      <c r="K9" s="16"/>
      <c r="L9" s="16" t="s">
        <v>191</v>
      </c>
      <c r="M9" s="17">
        <v>5</v>
      </c>
      <c r="N9" s="18" t="s">
        <v>182</v>
      </c>
      <c r="O9" s="47"/>
      <c r="P9" s="47">
        <f>F9*13</f>
        <v>65</v>
      </c>
      <c r="Q9" s="47">
        <f>ROUND(F9,0)*13</f>
        <v>65</v>
      </c>
      <c r="R9" s="47"/>
      <c r="S9" s="47" t="s">
        <v>192</v>
      </c>
      <c r="T9" s="47"/>
      <c r="U9" s="47"/>
      <c r="V9" s="47"/>
      <c r="W9" s="47"/>
      <c r="X9" s="47"/>
      <c r="Y9" s="44" t="s">
        <v>190</v>
      </c>
      <c r="Z9" s="42">
        <v>8.27</v>
      </c>
      <c r="AA9" s="42">
        <v>25</v>
      </c>
      <c r="AB9" s="42">
        <f t="shared" ref="AB9:AB16" si="4">AC8</f>
        <v>127.5</v>
      </c>
      <c r="AC9" s="42">
        <f t="shared" ref="AC9:AC16" si="5">AB9+Z9</f>
        <v>135.77000000000001</v>
      </c>
      <c r="AD9" s="59">
        <f>Z9/4</f>
        <v>2.0674999999999999</v>
      </c>
      <c r="AE9" s="16">
        <f>AD9*4</f>
        <v>8.27</v>
      </c>
      <c r="AF9" s="42">
        <f>(50/4)*Z9</f>
        <v>103.375</v>
      </c>
      <c r="AG9" s="27" t="s">
        <v>193</v>
      </c>
      <c r="AH9" s="27"/>
      <c r="AI9" s="27"/>
      <c r="AJ9" s="64"/>
    </row>
    <row r="10" spans="1:36" ht="15.75" customHeight="1">
      <c r="A10" s="4" t="s">
        <v>194</v>
      </c>
      <c r="B10" s="96" t="s">
        <v>195</v>
      </c>
      <c r="C10" s="8">
        <v>9</v>
      </c>
      <c r="D10" s="8">
        <f t="shared" si="0"/>
        <v>133</v>
      </c>
      <c r="E10" s="5">
        <f t="shared" ref="E10:E18" si="6">D10+F10</f>
        <v>138</v>
      </c>
      <c r="F10" s="72">
        <v>5</v>
      </c>
      <c r="G10" s="6">
        <v>25</v>
      </c>
      <c r="H10" s="6" t="s">
        <v>196</v>
      </c>
      <c r="I10" s="93" t="s">
        <v>197</v>
      </c>
      <c r="J10" s="94">
        <f>SUM(F10:F32)</f>
        <v>26</v>
      </c>
      <c r="K10" s="93" t="s">
        <v>182</v>
      </c>
      <c r="L10" s="93" t="s">
        <v>198</v>
      </c>
      <c r="M10" s="93">
        <f>J10:J32*4</f>
        <v>104</v>
      </c>
      <c r="N10" s="95" t="s">
        <v>182</v>
      </c>
      <c r="O10" s="47"/>
      <c r="P10" s="47">
        <f t="shared" si="1"/>
        <v>250</v>
      </c>
      <c r="Q10" s="47">
        <f t="shared" si="2"/>
        <v>250</v>
      </c>
      <c r="R10" s="47"/>
      <c r="S10" s="47" t="s">
        <v>199</v>
      </c>
      <c r="T10" s="47"/>
      <c r="U10" s="47"/>
      <c r="V10" s="47"/>
      <c r="W10" s="47"/>
      <c r="X10" s="47"/>
      <c r="Y10" s="25" t="s">
        <v>200</v>
      </c>
      <c r="Z10" s="27">
        <v>6</v>
      </c>
      <c r="AA10" s="27">
        <v>25</v>
      </c>
      <c r="AB10" s="27">
        <f t="shared" si="4"/>
        <v>135.77000000000001</v>
      </c>
      <c r="AC10" s="27">
        <f t="shared" si="5"/>
        <v>141.77000000000001</v>
      </c>
      <c r="AD10" s="87">
        <f>SUM(Z10:Z14)</f>
        <v>20</v>
      </c>
      <c r="AE10" s="93">
        <f>4*AD10:AD14</f>
        <v>80</v>
      </c>
      <c r="AF10" s="27">
        <f>50*Z10</f>
        <v>300</v>
      </c>
      <c r="AG10" s="27"/>
      <c r="AH10" s="27"/>
      <c r="AI10" s="27"/>
      <c r="AJ10" s="64"/>
    </row>
    <row r="11" spans="1:36" ht="15.75" customHeight="1">
      <c r="A11" s="7" t="s">
        <v>201</v>
      </c>
      <c r="B11" s="97"/>
      <c r="C11" s="8">
        <v>10</v>
      </c>
      <c r="D11" s="8">
        <f t="shared" si="0"/>
        <v>138</v>
      </c>
      <c r="E11" s="9">
        <f t="shared" si="6"/>
        <v>140</v>
      </c>
      <c r="F11" s="10">
        <v>2</v>
      </c>
      <c r="G11" s="10">
        <v>25</v>
      </c>
      <c r="H11" s="6" t="s">
        <v>196</v>
      </c>
      <c r="I11" s="87"/>
      <c r="J11" s="89"/>
      <c r="K11" s="87"/>
      <c r="L11" s="87"/>
      <c r="M11" s="87"/>
      <c r="N11" s="91"/>
      <c r="O11" s="47"/>
      <c r="P11" s="47">
        <f t="shared" si="1"/>
        <v>100</v>
      </c>
      <c r="Q11" s="47">
        <f t="shared" si="2"/>
        <v>100</v>
      </c>
      <c r="R11" s="47"/>
      <c r="S11" s="47"/>
      <c r="T11" s="47"/>
      <c r="U11" s="47"/>
      <c r="V11" s="47"/>
      <c r="W11" s="47"/>
      <c r="X11" s="47"/>
      <c r="Y11" s="25" t="s">
        <v>202</v>
      </c>
      <c r="Z11" s="27">
        <v>2</v>
      </c>
      <c r="AA11" s="27">
        <v>15</v>
      </c>
      <c r="AB11" s="27">
        <f t="shared" si="4"/>
        <v>141.77000000000001</v>
      </c>
      <c r="AC11" s="27">
        <f t="shared" si="5"/>
        <v>143.77000000000001</v>
      </c>
      <c r="AD11" s="87"/>
      <c r="AE11" s="87"/>
      <c r="AF11" s="27">
        <f t="shared" ref="AF11:AF14" si="7">50*Z11</f>
        <v>100</v>
      </c>
      <c r="AG11" s="27"/>
      <c r="AH11" s="27"/>
      <c r="AI11" s="27"/>
      <c r="AJ11" s="64"/>
    </row>
    <row r="12" spans="1:36" ht="15.75" customHeight="1">
      <c r="A12" s="7" t="s">
        <v>203</v>
      </c>
      <c r="B12" s="96" t="s">
        <v>202</v>
      </c>
      <c r="C12" s="8">
        <v>11</v>
      </c>
      <c r="D12" s="8">
        <f t="shared" si="0"/>
        <v>140</v>
      </c>
      <c r="E12" s="9">
        <f t="shared" si="6"/>
        <v>140</v>
      </c>
      <c r="F12" s="70">
        <v>0</v>
      </c>
      <c r="G12" s="70">
        <v>15</v>
      </c>
      <c r="H12" s="6" t="s">
        <v>196</v>
      </c>
      <c r="I12" s="87"/>
      <c r="J12" s="89"/>
      <c r="K12" s="87"/>
      <c r="L12" s="87"/>
      <c r="M12" s="87"/>
      <c r="N12" s="91"/>
      <c r="O12" s="47"/>
      <c r="P12" s="47">
        <f t="shared" si="1"/>
        <v>0</v>
      </c>
      <c r="Q12" s="47">
        <f t="shared" si="2"/>
        <v>0</v>
      </c>
      <c r="R12" s="47"/>
      <c r="S12" s="47"/>
      <c r="T12" s="47"/>
      <c r="U12" s="47"/>
      <c r="V12" s="47"/>
      <c r="W12" s="47"/>
      <c r="X12" s="47"/>
      <c r="Y12" s="25" t="s">
        <v>204</v>
      </c>
      <c r="Z12" s="27">
        <v>3</v>
      </c>
      <c r="AA12" s="27">
        <v>15</v>
      </c>
      <c r="AB12" s="27">
        <f t="shared" si="4"/>
        <v>143.77000000000001</v>
      </c>
      <c r="AC12" s="27">
        <f t="shared" si="5"/>
        <v>146.77000000000001</v>
      </c>
      <c r="AD12" s="87"/>
      <c r="AE12" s="87"/>
      <c r="AF12" s="27">
        <f t="shared" si="7"/>
        <v>150</v>
      </c>
      <c r="AG12" s="27"/>
      <c r="AH12" s="27"/>
      <c r="AI12" s="27"/>
      <c r="AJ12" s="64"/>
    </row>
    <row r="13" spans="1:36" ht="15.75" customHeight="1">
      <c r="A13" s="7" t="s">
        <v>205</v>
      </c>
      <c r="B13" s="98"/>
      <c r="C13" s="8">
        <v>12</v>
      </c>
      <c r="D13" s="8">
        <f t="shared" si="0"/>
        <v>140</v>
      </c>
      <c r="E13" s="9">
        <f t="shared" si="6"/>
        <v>141</v>
      </c>
      <c r="F13" s="70">
        <v>1</v>
      </c>
      <c r="G13" s="70">
        <v>15</v>
      </c>
      <c r="H13" s="6" t="s">
        <v>196</v>
      </c>
      <c r="I13" s="87"/>
      <c r="J13" s="89"/>
      <c r="K13" s="87"/>
      <c r="L13" s="87"/>
      <c r="M13" s="87"/>
      <c r="N13" s="91"/>
      <c r="O13" s="47"/>
      <c r="P13" s="47">
        <f t="shared" si="1"/>
        <v>50</v>
      </c>
      <c r="Q13" s="47">
        <f t="shared" si="2"/>
        <v>50</v>
      </c>
      <c r="R13" s="47"/>
      <c r="S13" s="47"/>
      <c r="T13" s="47"/>
      <c r="U13" s="47"/>
      <c r="V13" s="47"/>
      <c r="W13" s="47"/>
      <c r="X13" s="47"/>
      <c r="Y13" s="25" t="s">
        <v>206</v>
      </c>
      <c r="Z13" s="27">
        <v>9</v>
      </c>
      <c r="AA13" s="27">
        <v>15</v>
      </c>
      <c r="AB13" s="27">
        <f t="shared" si="4"/>
        <v>146.77000000000001</v>
      </c>
      <c r="AC13" s="27">
        <f t="shared" si="5"/>
        <v>155.77000000000001</v>
      </c>
      <c r="AD13" s="87"/>
      <c r="AE13" s="87"/>
      <c r="AF13" s="27">
        <f t="shared" si="7"/>
        <v>450</v>
      </c>
      <c r="AG13" s="27"/>
      <c r="AH13" s="27"/>
      <c r="AI13" s="27"/>
      <c r="AJ13" s="64"/>
    </row>
    <row r="14" spans="1:36" ht="15.75" customHeight="1">
      <c r="A14" s="7" t="s">
        <v>207</v>
      </c>
      <c r="B14" s="98"/>
      <c r="C14" s="8">
        <v>13</v>
      </c>
      <c r="D14" s="8">
        <f t="shared" si="0"/>
        <v>141</v>
      </c>
      <c r="E14" s="9">
        <f t="shared" si="6"/>
        <v>142</v>
      </c>
      <c r="F14" s="70">
        <v>1</v>
      </c>
      <c r="G14" s="70">
        <v>15</v>
      </c>
      <c r="H14" s="6" t="s">
        <v>196</v>
      </c>
      <c r="I14" s="87"/>
      <c r="J14" s="89"/>
      <c r="K14" s="87"/>
      <c r="L14" s="87"/>
      <c r="M14" s="87"/>
      <c r="N14" s="91"/>
      <c r="O14" s="47"/>
      <c r="P14" s="47">
        <f t="shared" si="1"/>
        <v>50</v>
      </c>
      <c r="Q14" s="47">
        <f t="shared" si="2"/>
        <v>50</v>
      </c>
      <c r="R14" s="47"/>
      <c r="S14" s="47"/>
      <c r="T14" s="47"/>
      <c r="U14" s="47"/>
      <c r="V14" s="47"/>
      <c r="W14" s="47"/>
      <c r="X14" s="47"/>
      <c r="Y14" s="25" t="s">
        <v>170</v>
      </c>
      <c r="Z14" s="27" t="s">
        <v>171</v>
      </c>
      <c r="AA14" s="27" t="s">
        <v>164</v>
      </c>
      <c r="AB14" s="27">
        <f t="shared" si="4"/>
        <v>155.77000000000001</v>
      </c>
      <c r="AC14" s="27" t="e">
        <f t="shared" si="5"/>
        <v>#VALUE!</v>
      </c>
      <c r="AD14" s="87"/>
      <c r="AE14" s="88"/>
      <c r="AF14" s="27" t="e">
        <f t="shared" si="7"/>
        <v>#VALUE!</v>
      </c>
      <c r="AG14" s="27"/>
      <c r="AH14" s="27"/>
      <c r="AI14" s="27"/>
      <c r="AJ14" s="64"/>
    </row>
    <row r="15" spans="1:36" ht="15.75" customHeight="1">
      <c r="A15" s="7" t="s">
        <v>203</v>
      </c>
      <c r="B15" s="98"/>
      <c r="C15" s="8">
        <v>14</v>
      </c>
      <c r="D15" s="8">
        <f t="shared" si="0"/>
        <v>142</v>
      </c>
      <c r="E15" s="9">
        <f t="shared" si="6"/>
        <v>142</v>
      </c>
      <c r="F15" s="70">
        <v>0</v>
      </c>
      <c r="G15" s="70">
        <v>15</v>
      </c>
      <c r="H15" s="6" t="s">
        <v>196</v>
      </c>
      <c r="I15" s="87"/>
      <c r="J15" s="89"/>
      <c r="K15" s="87"/>
      <c r="L15" s="87"/>
      <c r="M15" s="87"/>
      <c r="N15" s="91"/>
      <c r="O15" s="47"/>
      <c r="P15" s="47">
        <f t="shared" si="1"/>
        <v>0</v>
      </c>
      <c r="Q15" s="47">
        <f t="shared" si="2"/>
        <v>0</v>
      </c>
      <c r="R15" s="47"/>
      <c r="S15" s="47"/>
      <c r="T15" s="47"/>
      <c r="U15" s="47"/>
      <c r="V15" s="47"/>
      <c r="W15" s="47"/>
      <c r="X15" s="47"/>
      <c r="Y15" s="44" t="s">
        <v>178</v>
      </c>
      <c r="Z15" s="42">
        <v>-19.275555555555599</v>
      </c>
      <c r="AA15" s="42">
        <v>15.8333333333333</v>
      </c>
      <c r="AB15" s="23" t="e">
        <f t="shared" si="4"/>
        <v>#VALUE!</v>
      </c>
      <c r="AC15" s="23" t="e">
        <f t="shared" si="5"/>
        <v>#VALUE!</v>
      </c>
      <c r="AD15" s="59">
        <f>Z15/4</f>
        <v>-4.8188888888888997</v>
      </c>
      <c r="AE15" s="16">
        <f>4*AD15</f>
        <v>-19.275555555555599</v>
      </c>
      <c r="AF15" s="42">
        <f>(50/4)*Z15</f>
        <v>-240.94444444444497</v>
      </c>
      <c r="AG15" s="27"/>
      <c r="AH15" s="27"/>
      <c r="AI15" s="27"/>
      <c r="AJ15" s="64"/>
    </row>
    <row r="16" spans="1:36" ht="15.75" customHeight="1">
      <c r="A16" s="7" t="s">
        <v>205</v>
      </c>
      <c r="B16" s="98"/>
      <c r="C16" s="8">
        <v>15</v>
      </c>
      <c r="D16" s="8">
        <f t="shared" si="0"/>
        <v>142</v>
      </c>
      <c r="E16" s="9">
        <f t="shared" si="6"/>
        <v>143</v>
      </c>
      <c r="F16" s="70">
        <v>1</v>
      </c>
      <c r="G16" s="70">
        <v>15</v>
      </c>
      <c r="H16" s="6" t="s">
        <v>196</v>
      </c>
      <c r="I16" s="87"/>
      <c r="J16" s="89"/>
      <c r="K16" s="87"/>
      <c r="L16" s="87"/>
      <c r="M16" s="87"/>
      <c r="N16" s="91"/>
      <c r="O16" s="47"/>
      <c r="P16" s="47">
        <f t="shared" si="1"/>
        <v>50</v>
      </c>
      <c r="Q16" s="47">
        <f t="shared" si="2"/>
        <v>50</v>
      </c>
      <c r="R16" s="47"/>
      <c r="S16" s="47"/>
      <c r="T16" s="47"/>
      <c r="U16" s="47"/>
      <c r="V16" s="47"/>
      <c r="W16" s="47"/>
      <c r="X16" s="47"/>
      <c r="Y16" s="25" t="s">
        <v>185</v>
      </c>
      <c r="Z16" s="27">
        <v>-26.592222222222201</v>
      </c>
      <c r="AA16" s="27">
        <v>15.3333333333333</v>
      </c>
      <c r="AB16" s="42" t="e">
        <f t="shared" si="4"/>
        <v>#VALUE!</v>
      </c>
      <c r="AC16" s="42" t="e">
        <f t="shared" si="5"/>
        <v>#VALUE!</v>
      </c>
      <c r="AD16" s="60">
        <f>Z16/4</f>
        <v>-6.6480555555555503</v>
      </c>
      <c r="AE16" s="78">
        <f>4*AD16</f>
        <v>-26.592222222222201</v>
      </c>
      <c r="AF16" s="42">
        <f>(50/4)*Z16</f>
        <v>-332.40277777777749</v>
      </c>
      <c r="AG16" s="27"/>
      <c r="AH16" s="27"/>
      <c r="AI16" s="27"/>
      <c r="AJ16" s="64"/>
    </row>
    <row r="17" spans="1:36" ht="15.75" customHeight="1">
      <c r="A17" s="7" t="s">
        <v>207</v>
      </c>
      <c r="B17" s="97"/>
      <c r="C17" s="8">
        <v>16</v>
      </c>
      <c r="D17" s="8">
        <f t="shared" si="0"/>
        <v>143</v>
      </c>
      <c r="E17" s="9">
        <f t="shared" si="6"/>
        <v>144</v>
      </c>
      <c r="F17" s="70">
        <v>1</v>
      </c>
      <c r="G17" s="70">
        <v>15</v>
      </c>
      <c r="H17" s="6" t="s">
        <v>196</v>
      </c>
      <c r="I17" s="87"/>
      <c r="J17" s="89"/>
      <c r="K17" s="87"/>
      <c r="L17" s="87"/>
      <c r="M17" s="87"/>
      <c r="N17" s="91"/>
      <c r="O17" s="47"/>
      <c r="P17" s="47">
        <f t="shared" si="1"/>
        <v>50</v>
      </c>
      <c r="Q17" s="47">
        <f t="shared" si="2"/>
        <v>50</v>
      </c>
      <c r="R17" s="47"/>
      <c r="S17" s="47"/>
      <c r="T17" s="47"/>
      <c r="U17" s="47"/>
      <c r="V17" s="47"/>
      <c r="W17" s="47"/>
      <c r="X17" s="47"/>
      <c r="Y17" s="25" t="s">
        <v>187</v>
      </c>
      <c r="Z17" s="65">
        <v>-33.908888888888903</v>
      </c>
      <c r="AA17" s="27">
        <v>14.8333333333333</v>
      </c>
      <c r="AB17" s="27"/>
      <c r="AC17" s="27" t="s">
        <v>208</v>
      </c>
      <c r="AD17" s="62">
        <f>SUM(AD6:AD16)</f>
        <v>18.100555555555548</v>
      </c>
      <c r="AE17" s="63">
        <f>SUM(AE6:AE16)</f>
        <v>72.402222222222193</v>
      </c>
      <c r="AF17" s="61" t="e">
        <f>SUM(AF5:AF16)</f>
        <v>#VALUE!</v>
      </c>
      <c r="AG17" s="27"/>
      <c r="AH17" s="27"/>
      <c r="AI17" s="27"/>
      <c r="AJ17" s="64"/>
    </row>
    <row r="18" spans="1:36" ht="15.75" customHeight="1">
      <c r="A18" s="7" t="s">
        <v>209</v>
      </c>
      <c r="B18" s="96" t="s">
        <v>204</v>
      </c>
      <c r="C18" s="8">
        <v>17</v>
      </c>
      <c r="D18" s="8">
        <f t="shared" si="0"/>
        <v>144</v>
      </c>
      <c r="E18" s="9">
        <f t="shared" si="6"/>
        <v>145</v>
      </c>
      <c r="F18" s="70">
        <v>1</v>
      </c>
      <c r="G18" s="70">
        <v>15</v>
      </c>
      <c r="H18" s="6" t="s">
        <v>196</v>
      </c>
      <c r="I18" s="87"/>
      <c r="J18" s="89"/>
      <c r="K18" s="87"/>
      <c r="L18" s="87"/>
      <c r="M18" s="87"/>
      <c r="N18" s="91"/>
      <c r="O18" s="47"/>
      <c r="P18" s="47">
        <f t="shared" si="1"/>
        <v>50</v>
      </c>
      <c r="Q18" s="47">
        <f t="shared" si="2"/>
        <v>50</v>
      </c>
      <c r="R18" s="47"/>
      <c r="S18" s="47"/>
      <c r="T18" s="47"/>
      <c r="U18" s="47"/>
      <c r="V18" s="47"/>
      <c r="W18" s="47"/>
      <c r="X18" s="47"/>
      <c r="Y18" s="25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64"/>
    </row>
    <row r="19" spans="1:36" ht="15.75" customHeight="1">
      <c r="A19" s="7" t="s">
        <v>210</v>
      </c>
      <c r="B19" s="98"/>
      <c r="C19" s="8">
        <v>18</v>
      </c>
      <c r="D19" s="8">
        <f t="shared" si="0"/>
        <v>145</v>
      </c>
      <c r="E19" s="9">
        <f>D19+F19</f>
        <v>145</v>
      </c>
      <c r="F19" s="70">
        <v>0</v>
      </c>
      <c r="G19" s="70">
        <v>15</v>
      </c>
      <c r="H19" s="6" t="s">
        <v>196</v>
      </c>
      <c r="I19" s="87"/>
      <c r="J19" s="89"/>
      <c r="K19" s="87"/>
      <c r="L19" s="87"/>
      <c r="M19" s="87"/>
      <c r="N19" s="91"/>
      <c r="O19" s="47"/>
      <c r="P19" s="47">
        <f t="shared" si="1"/>
        <v>0</v>
      </c>
      <c r="Q19" s="47">
        <f t="shared" si="2"/>
        <v>0</v>
      </c>
      <c r="R19" s="47"/>
      <c r="S19" s="47"/>
      <c r="T19" s="47"/>
      <c r="U19" s="47"/>
      <c r="V19" s="47"/>
      <c r="W19" s="47"/>
      <c r="X19" s="47"/>
      <c r="Y19" s="25"/>
      <c r="Z19" s="27"/>
      <c r="AA19" s="27"/>
      <c r="AB19" s="27"/>
      <c r="AC19" s="27" t="s">
        <v>211</v>
      </c>
      <c r="AD19" s="27"/>
      <c r="AE19" s="27"/>
      <c r="AF19" s="66" t="e">
        <f>AF17/24</f>
        <v>#VALUE!</v>
      </c>
      <c r="AG19" s="27"/>
      <c r="AH19" s="27"/>
      <c r="AI19" s="27"/>
      <c r="AJ19" s="64"/>
    </row>
    <row r="20" spans="1:36" ht="15.75" customHeight="1">
      <c r="A20" s="7" t="s">
        <v>212</v>
      </c>
      <c r="B20" s="98"/>
      <c r="C20" s="8">
        <v>19</v>
      </c>
      <c r="D20" s="8">
        <f>E19</f>
        <v>145</v>
      </c>
      <c r="E20" s="9">
        <f>D20+F20</f>
        <v>146</v>
      </c>
      <c r="F20" s="70">
        <v>1</v>
      </c>
      <c r="G20" s="70">
        <v>15</v>
      </c>
      <c r="H20" s="6" t="s">
        <v>196</v>
      </c>
      <c r="I20" s="87"/>
      <c r="J20" s="89"/>
      <c r="K20" s="87"/>
      <c r="L20" s="87"/>
      <c r="M20" s="87"/>
      <c r="N20" s="91"/>
      <c r="O20" s="47"/>
      <c r="P20" s="47">
        <f t="shared" si="1"/>
        <v>50</v>
      </c>
      <c r="Q20" s="47">
        <f t="shared" si="2"/>
        <v>50</v>
      </c>
      <c r="R20" s="47"/>
      <c r="S20" s="47"/>
      <c r="T20" s="47"/>
      <c r="U20" s="47"/>
      <c r="V20" s="47"/>
      <c r="W20" s="47"/>
      <c r="X20" s="47"/>
      <c r="Y20" s="25"/>
      <c r="Z20" s="27"/>
      <c r="AA20" s="27"/>
      <c r="AB20" s="27"/>
      <c r="AC20" s="27" t="s">
        <v>213</v>
      </c>
      <c r="AD20" s="27"/>
      <c r="AE20" s="27"/>
      <c r="AF20" s="66" t="e">
        <f>AF19/50</f>
        <v>#VALUE!</v>
      </c>
      <c r="AG20" s="27"/>
      <c r="AH20" s="27"/>
      <c r="AI20" s="27"/>
      <c r="AJ20" s="64"/>
    </row>
    <row r="21" spans="1:36" ht="15.75" customHeight="1">
      <c r="A21" s="7" t="s">
        <v>214</v>
      </c>
      <c r="B21" s="97"/>
      <c r="C21" s="8">
        <v>20</v>
      </c>
      <c r="D21" s="8">
        <f t="shared" si="0"/>
        <v>146</v>
      </c>
      <c r="E21" s="9">
        <f>D21+F21</f>
        <v>147</v>
      </c>
      <c r="F21" s="70">
        <v>1</v>
      </c>
      <c r="G21" s="70">
        <v>15</v>
      </c>
      <c r="H21" s="6" t="s">
        <v>196</v>
      </c>
      <c r="I21" s="87"/>
      <c r="J21" s="89"/>
      <c r="K21" s="87"/>
      <c r="L21" s="87"/>
      <c r="M21" s="87"/>
      <c r="N21" s="91"/>
      <c r="O21" s="47"/>
      <c r="P21" s="47">
        <f t="shared" si="1"/>
        <v>50</v>
      </c>
      <c r="Q21" s="47">
        <f t="shared" si="2"/>
        <v>50</v>
      </c>
      <c r="R21" s="47"/>
      <c r="S21" s="47"/>
      <c r="T21" s="47"/>
      <c r="U21" s="47"/>
      <c r="V21" s="47"/>
      <c r="W21" s="47"/>
      <c r="X21" s="47"/>
      <c r="Y21" s="19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67"/>
    </row>
    <row r="22" spans="1:36" ht="15.75" customHeight="1">
      <c r="A22" s="7" t="s">
        <v>209</v>
      </c>
      <c r="B22" s="96" t="s">
        <v>206</v>
      </c>
      <c r="C22" s="8">
        <v>21</v>
      </c>
      <c r="D22" s="9">
        <f>E21</f>
        <v>147</v>
      </c>
      <c r="E22" s="9">
        <f>D22+F22</f>
        <v>148</v>
      </c>
      <c r="F22" s="70">
        <v>1</v>
      </c>
      <c r="G22" s="70">
        <v>15</v>
      </c>
      <c r="H22" s="6" t="s">
        <v>196</v>
      </c>
      <c r="I22" s="87"/>
      <c r="J22" s="89"/>
      <c r="K22" s="87"/>
      <c r="L22" s="87"/>
      <c r="M22" s="87"/>
      <c r="N22" s="91"/>
      <c r="O22" s="47"/>
      <c r="P22" s="47">
        <f t="shared" si="1"/>
        <v>50</v>
      </c>
      <c r="Q22" s="47">
        <f t="shared" si="2"/>
        <v>50</v>
      </c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</row>
    <row r="23" spans="1:36" ht="15.75" customHeight="1">
      <c r="A23" s="7" t="s">
        <v>215</v>
      </c>
      <c r="B23" s="98"/>
      <c r="C23" s="8">
        <v>22</v>
      </c>
      <c r="D23" s="8">
        <f t="shared" si="0"/>
        <v>148</v>
      </c>
      <c r="E23" s="9">
        <f>D23+F23</f>
        <v>148</v>
      </c>
      <c r="F23" s="70">
        <v>0</v>
      </c>
      <c r="G23" s="70">
        <v>15</v>
      </c>
      <c r="H23" s="6" t="s">
        <v>196</v>
      </c>
      <c r="I23" s="87"/>
      <c r="J23" s="89"/>
      <c r="K23" s="87"/>
      <c r="L23" s="87"/>
      <c r="M23" s="87"/>
      <c r="N23" s="91"/>
      <c r="O23" s="47"/>
      <c r="P23" s="47">
        <f t="shared" si="1"/>
        <v>0</v>
      </c>
      <c r="Q23" s="47">
        <f t="shared" si="2"/>
        <v>0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</row>
    <row r="24" spans="1:36" ht="15.75" customHeight="1">
      <c r="A24" s="7" t="s">
        <v>216</v>
      </c>
      <c r="B24" s="98"/>
      <c r="C24" s="8">
        <v>23</v>
      </c>
      <c r="D24" s="9">
        <f t="shared" si="0"/>
        <v>148</v>
      </c>
      <c r="E24" s="9">
        <f t="shared" ref="E24:E32" si="8">D24+F24</f>
        <v>149</v>
      </c>
      <c r="F24" s="70">
        <v>1</v>
      </c>
      <c r="G24" s="70">
        <v>15</v>
      </c>
      <c r="H24" s="6" t="s">
        <v>196</v>
      </c>
      <c r="I24" s="87"/>
      <c r="J24" s="89"/>
      <c r="K24" s="87"/>
      <c r="L24" s="87"/>
      <c r="M24" s="87"/>
      <c r="N24" s="91"/>
      <c r="O24" s="47"/>
      <c r="P24" s="47">
        <f t="shared" si="1"/>
        <v>50</v>
      </c>
      <c r="Q24" s="47">
        <f t="shared" si="2"/>
        <v>50</v>
      </c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</row>
    <row r="25" spans="1:36" ht="15.75" customHeight="1">
      <c r="A25" s="7" t="s">
        <v>217</v>
      </c>
      <c r="B25" s="98"/>
      <c r="C25" s="8">
        <v>24</v>
      </c>
      <c r="D25" s="8">
        <f t="shared" si="0"/>
        <v>149</v>
      </c>
      <c r="E25" s="9">
        <f t="shared" si="8"/>
        <v>151</v>
      </c>
      <c r="F25" s="70">
        <v>2</v>
      </c>
      <c r="G25" s="70">
        <v>15</v>
      </c>
      <c r="H25" s="6" t="s">
        <v>196</v>
      </c>
      <c r="I25" s="87"/>
      <c r="J25" s="89"/>
      <c r="K25" s="87"/>
      <c r="L25" s="87"/>
      <c r="M25" s="87"/>
      <c r="N25" s="91"/>
      <c r="O25" s="47"/>
      <c r="P25" s="47">
        <f t="shared" si="1"/>
        <v>100</v>
      </c>
      <c r="Q25" s="47">
        <f t="shared" si="2"/>
        <v>100</v>
      </c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</row>
    <row r="26" spans="1:36" ht="15.75" customHeight="1">
      <c r="A26" s="7" t="s">
        <v>215</v>
      </c>
      <c r="B26" s="98"/>
      <c r="C26" s="8">
        <v>25</v>
      </c>
      <c r="D26" s="9">
        <f t="shared" si="0"/>
        <v>151</v>
      </c>
      <c r="E26" s="9">
        <f t="shared" si="8"/>
        <v>151</v>
      </c>
      <c r="F26" s="70">
        <v>0</v>
      </c>
      <c r="G26" s="70">
        <v>15</v>
      </c>
      <c r="H26" s="6" t="s">
        <v>196</v>
      </c>
      <c r="I26" s="87"/>
      <c r="J26" s="89"/>
      <c r="K26" s="87"/>
      <c r="L26" s="87"/>
      <c r="M26" s="87"/>
      <c r="N26" s="91"/>
      <c r="O26" s="47"/>
      <c r="P26" s="47">
        <f t="shared" si="1"/>
        <v>0</v>
      </c>
      <c r="Q26" s="47">
        <f t="shared" si="2"/>
        <v>0</v>
      </c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</row>
    <row r="27" spans="1:36" ht="15.75" customHeight="1">
      <c r="A27" s="7" t="s">
        <v>216</v>
      </c>
      <c r="B27" s="98"/>
      <c r="C27" s="8">
        <v>26</v>
      </c>
      <c r="D27" s="8">
        <f t="shared" si="0"/>
        <v>151</v>
      </c>
      <c r="E27" s="9">
        <f t="shared" si="8"/>
        <v>152</v>
      </c>
      <c r="F27" s="70">
        <v>1</v>
      </c>
      <c r="G27" s="70">
        <v>15</v>
      </c>
      <c r="H27" s="6" t="s">
        <v>196</v>
      </c>
      <c r="I27" s="87"/>
      <c r="J27" s="89"/>
      <c r="K27" s="87"/>
      <c r="L27" s="87"/>
      <c r="M27" s="87"/>
      <c r="N27" s="91"/>
      <c r="O27" s="47"/>
      <c r="P27" s="47">
        <f t="shared" si="1"/>
        <v>50</v>
      </c>
      <c r="Q27" s="47">
        <f t="shared" si="2"/>
        <v>50</v>
      </c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</row>
    <row r="28" spans="1:36" ht="15.75" customHeight="1">
      <c r="A28" s="7" t="s">
        <v>217</v>
      </c>
      <c r="B28" s="98"/>
      <c r="C28" s="8">
        <v>27</v>
      </c>
      <c r="D28" s="8">
        <f t="shared" si="0"/>
        <v>152</v>
      </c>
      <c r="E28" s="9">
        <f t="shared" si="8"/>
        <v>154</v>
      </c>
      <c r="F28" s="70">
        <v>2</v>
      </c>
      <c r="G28" s="70">
        <v>15</v>
      </c>
      <c r="H28" s="6" t="s">
        <v>196</v>
      </c>
      <c r="I28" s="87"/>
      <c r="J28" s="89"/>
      <c r="K28" s="87"/>
      <c r="L28" s="87"/>
      <c r="M28" s="87"/>
      <c r="N28" s="91"/>
      <c r="O28" s="47"/>
      <c r="P28" s="47">
        <f t="shared" si="1"/>
        <v>100</v>
      </c>
      <c r="Q28" s="47">
        <f t="shared" si="2"/>
        <v>100</v>
      </c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</row>
    <row r="29" spans="1:36" ht="15.75" customHeight="1">
      <c r="A29" s="7" t="s">
        <v>215</v>
      </c>
      <c r="B29" s="98"/>
      <c r="C29" s="8">
        <v>28</v>
      </c>
      <c r="D29" s="8">
        <f t="shared" si="0"/>
        <v>154</v>
      </c>
      <c r="E29" s="9">
        <f t="shared" si="8"/>
        <v>154</v>
      </c>
      <c r="F29" s="70">
        <v>0</v>
      </c>
      <c r="G29" s="70">
        <v>15</v>
      </c>
      <c r="H29" s="6" t="s">
        <v>196</v>
      </c>
      <c r="I29" s="87"/>
      <c r="J29" s="89"/>
      <c r="K29" s="87"/>
      <c r="L29" s="87"/>
      <c r="M29" s="87"/>
      <c r="N29" s="91"/>
      <c r="O29" s="47"/>
      <c r="P29" s="47">
        <f t="shared" si="1"/>
        <v>0</v>
      </c>
      <c r="Q29" s="47">
        <f t="shared" si="2"/>
        <v>0</v>
      </c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</row>
    <row r="30" spans="1:36" ht="15.75" customHeight="1">
      <c r="A30" s="7" t="s">
        <v>216</v>
      </c>
      <c r="B30" s="98"/>
      <c r="C30" s="8">
        <v>29</v>
      </c>
      <c r="D30" s="8">
        <f t="shared" si="0"/>
        <v>154</v>
      </c>
      <c r="E30" s="9">
        <f t="shared" si="8"/>
        <v>155</v>
      </c>
      <c r="F30" s="70">
        <v>1</v>
      </c>
      <c r="G30" s="70">
        <v>15</v>
      </c>
      <c r="H30" s="6" t="s">
        <v>196</v>
      </c>
      <c r="I30" s="87"/>
      <c r="J30" s="89"/>
      <c r="K30" s="87"/>
      <c r="L30" s="87"/>
      <c r="M30" s="87"/>
      <c r="N30" s="91"/>
      <c r="O30" s="47"/>
      <c r="P30" s="47">
        <f t="shared" si="1"/>
        <v>50</v>
      </c>
      <c r="Q30" s="47">
        <f t="shared" si="2"/>
        <v>50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</row>
    <row r="31" spans="1:36" ht="15.75" customHeight="1">
      <c r="A31" s="7" t="s">
        <v>217</v>
      </c>
      <c r="B31" s="97"/>
      <c r="C31" s="8">
        <v>30</v>
      </c>
      <c r="D31" s="8">
        <f t="shared" si="0"/>
        <v>155</v>
      </c>
      <c r="E31" s="9">
        <f t="shared" si="8"/>
        <v>157</v>
      </c>
      <c r="F31" s="70">
        <v>2</v>
      </c>
      <c r="G31" s="70">
        <v>15</v>
      </c>
      <c r="H31" s="6" t="s">
        <v>196</v>
      </c>
      <c r="I31" s="87"/>
      <c r="J31" s="89"/>
      <c r="K31" s="87"/>
      <c r="L31" s="87"/>
      <c r="M31" s="87"/>
      <c r="N31" s="91"/>
      <c r="O31" s="47"/>
      <c r="P31" s="47">
        <f t="shared" si="1"/>
        <v>100</v>
      </c>
      <c r="Q31" s="47">
        <f t="shared" si="2"/>
        <v>100</v>
      </c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</row>
    <row r="32" spans="1:36" ht="15.75" customHeight="1">
      <c r="A32" s="19" t="s">
        <v>218</v>
      </c>
      <c r="B32" s="27"/>
      <c r="C32" s="8">
        <v>31</v>
      </c>
      <c r="D32" s="8">
        <f t="shared" si="0"/>
        <v>157</v>
      </c>
      <c r="E32" s="12">
        <f t="shared" si="8"/>
        <v>159</v>
      </c>
      <c r="F32" s="21">
        <v>2</v>
      </c>
      <c r="G32" s="27">
        <v>25</v>
      </c>
      <c r="H32" s="6" t="s">
        <v>196</v>
      </c>
      <c r="I32" s="88"/>
      <c r="J32" s="90"/>
      <c r="K32" s="88"/>
      <c r="L32" s="88"/>
      <c r="M32" s="88"/>
      <c r="N32" s="92"/>
      <c r="O32" s="47"/>
      <c r="P32" s="47">
        <f t="shared" si="1"/>
        <v>100</v>
      </c>
      <c r="Q32" s="47">
        <f t="shared" si="2"/>
        <v>100</v>
      </c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</row>
    <row r="33" spans="1:36" ht="15.75">
      <c r="A33" s="13" t="s">
        <v>219</v>
      </c>
      <c r="B33" s="8"/>
      <c r="C33" s="8">
        <v>32</v>
      </c>
      <c r="D33" s="8"/>
      <c r="E33" s="14"/>
      <c r="F33" s="15">
        <v>5</v>
      </c>
      <c r="G33" s="10">
        <v>25</v>
      </c>
      <c r="H33" s="10" t="s">
        <v>180</v>
      </c>
      <c r="I33" s="16"/>
      <c r="J33" s="17"/>
      <c r="K33" s="16"/>
      <c r="L33" s="16" t="s">
        <v>191</v>
      </c>
      <c r="M33" s="17">
        <v>5</v>
      </c>
      <c r="N33" s="18" t="s">
        <v>182</v>
      </c>
      <c r="O33" s="47"/>
      <c r="P33" s="47">
        <f>F33*13</f>
        <v>65</v>
      </c>
      <c r="Q33" s="47">
        <f>ROUND(F33,0)*13</f>
        <v>65</v>
      </c>
      <c r="R33" s="47"/>
      <c r="S33" s="47" t="s">
        <v>220</v>
      </c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</row>
    <row r="34" spans="1:36">
      <c r="A34" s="47"/>
      <c r="C34" s="47"/>
      <c r="D34" s="47"/>
      <c r="E34" s="47"/>
      <c r="F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</row>
    <row r="35" spans="1:36">
      <c r="A35" s="47"/>
      <c r="C35" s="47"/>
      <c r="D35" s="47"/>
      <c r="E35" s="47"/>
      <c r="F35" s="47"/>
      <c r="H35" s="47"/>
      <c r="I35" s="47"/>
      <c r="J35" s="47"/>
      <c r="K35" s="47"/>
      <c r="L35" s="47"/>
      <c r="M35" s="48" t="s">
        <v>221</v>
      </c>
      <c r="N35" s="47"/>
      <c r="O35" s="47"/>
      <c r="P35" s="47">
        <f>SUM(P5:P33)/24</f>
        <v>81.25</v>
      </c>
      <c r="Q35" s="47">
        <f>SUM(Q5:Q33)/24</f>
        <v>81.25</v>
      </c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</row>
  </sheetData>
  <mergeCells count="23">
    <mergeCell ref="B10:B11"/>
    <mergeCell ref="B12:B17"/>
    <mergeCell ref="B18:B21"/>
    <mergeCell ref="B22:B31"/>
    <mergeCell ref="AD10:AD14"/>
    <mergeCell ref="AE10:AE14"/>
    <mergeCell ref="I10:I32"/>
    <mergeCell ref="J10:J32"/>
    <mergeCell ref="K10:K32"/>
    <mergeCell ref="L10:L32"/>
    <mergeCell ref="M10:M32"/>
    <mergeCell ref="N10:N32"/>
    <mergeCell ref="Y2:AJ3"/>
    <mergeCell ref="I4:K4"/>
    <mergeCell ref="L4:N4"/>
    <mergeCell ref="I6:I8"/>
    <mergeCell ref="J6:J8"/>
    <mergeCell ref="K6:K8"/>
    <mergeCell ref="L6:L8"/>
    <mergeCell ref="M6:M8"/>
    <mergeCell ref="N6:N8"/>
    <mergeCell ref="AD6:AD8"/>
    <mergeCell ref="AE6:AE8"/>
  </mergeCells>
  <pageMargins left="0.7" right="0.7" top="0.75" bottom="0.75" header="0.3" footer="0.3"/>
  <pageSetup orientation="portrait" horizontalDpi="360" verticalDpi="36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B23" sqref="B23"/>
    </sheetView>
  </sheetViews>
  <sheetFormatPr defaultRowHeight="15"/>
  <cols>
    <col min="1" max="1" width="32.85546875" customWidth="1"/>
    <col min="2" max="2" width="27.85546875" bestFit="1" customWidth="1"/>
    <col min="3" max="3" width="16.85546875" bestFit="1" customWidth="1"/>
    <col min="4" max="4" width="16" bestFit="1" customWidth="1"/>
    <col min="5" max="5" width="12.5703125" bestFit="1" customWidth="1"/>
    <col min="6" max="6" width="22.140625" style="47" customWidth="1"/>
    <col min="7" max="7" width="12.5703125" style="47" customWidth="1"/>
    <col min="8" max="8" width="26.42578125" customWidth="1"/>
    <col min="11" max="11" width="24.85546875" bestFit="1" customWidth="1"/>
    <col min="12" max="12" width="7.42578125" customWidth="1"/>
    <col min="15" max="15" width="21.85546875" customWidth="1"/>
    <col min="16" max="16" width="21.7109375" customWidth="1"/>
  </cols>
  <sheetData>
    <row r="1" spans="1:18">
      <c r="A1" s="48" t="s">
        <v>156</v>
      </c>
      <c r="B1" s="47"/>
      <c r="C1" s="47"/>
      <c r="D1" s="47"/>
      <c r="E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>
      <c r="A2" s="3" t="s">
        <v>222</v>
      </c>
      <c r="B2" s="47"/>
      <c r="C2" s="47"/>
      <c r="D2" s="47"/>
      <c r="E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4" spans="1:18" ht="45">
      <c r="A4" s="48"/>
      <c r="B4" s="48" t="s">
        <v>160</v>
      </c>
      <c r="C4" s="48" t="s">
        <v>161</v>
      </c>
      <c r="D4" s="48" t="s">
        <v>162</v>
      </c>
      <c r="E4" s="48" t="s">
        <v>163</v>
      </c>
      <c r="F4" s="48" t="s">
        <v>164</v>
      </c>
      <c r="G4" s="48" t="s">
        <v>165</v>
      </c>
      <c r="H4" s="86" t="s">
        <v>223</v>
      </c>
      <c r="I4" s="86"/>
      <c r="J4" s="86"/>
      <c r="K4" s="86" t="s">
        <v>167</v>
      </c>
      <c r="L4" s="86"/>
      <c r="M4" s="86"/>
      <c r="N4" s="47"/>
      <c r="O4" s="49" t="s">
        <v>168</v>
      </c>
      <c r="P4" s="49" t="s">
        <v>169</v>
      </c>
      <c r="Q4" s="47"/>
      <c r="R4" s="47"/>
    </row>
    <row r="5" spans="1:18">
      <c r="A5" s="36" t="s">
        <v>176</v>
      </c>
      <c r="B5" s="37"/>
      <c r="C5" s="37">
        <v>0</v>
      </c>
      <c r="D5" s="52">
        <v>120</v>
      </c>
      <c r="E5" s="52">
        <v>120</v>
      </c>
      <c r="F5" s="52"/>
      <c r="G5" s="52"/>
      <c r="H5" s="40"/>
      <c r="I5" s="40"/>
      <c r="J5" s="40"/>
      <c r="K5" s="40"/>
      <c r="L5" s="40"/>
      <c r="M5" s="41"/>
      <c r="N5" s="47"/>
      <c r="O5" s="47">
        <f>E5*1</f>
        <v>120</v>
      </c>
      <c r="P5" s="47">
        <f>ROUND(E5,0)*1</f>
        <v>120</v>
      </c>
      <c r="Q5" s="47"/>
      <c r="R5" s="47" t="s">
        <v>177</v>
      </c>
    </row>
    <row r="6" spans="1:18" ht="15" customHeight="1">
      <c r="A6" s="22" t="s">
        <v>224</v>
      </c>
      <c r="B6" s="23">
        <v>5</v>
      </c>
      <c r="C6" s="23">
        <f>D5</f>
        <v>120</v>
      </c>
      <c r="D6" s="23">
        <f>C6+E6</f>
        <v>132</v>
      </c>
      <c r="E6" s="23">
        <v>12</v>
      </c>
      <c r="F6" s="23">
        <v>25</v>
      </c>
      <c r="G6" s="23">
        <v>3</v>
      </c>
      <c r="H6" s="93" t="s">
        <v>225</v>
      </c>
      <c r="I6" s="93">
        <f>SUM(E6:E7)</f>
        <v>20</v>
      </c>
      <c r="J6" s="93" t="s">
        <v>182</v>
      </c>
      <c r="K6" s="93" t="s">
        <v>183</v>
      </c>
      <c r="L6" s="93">
        <f>I6*6</f>
        <v>120</v>
      </c>
      <c r="M6" s="95" t="s">
        <v>182</v>
      </c>
      <c r="N6" s="47"/>
      <c r="O6" s="47">
        <f t="shared" ref="O6:O18" si="0">E6*50</f>
        <v>600</v>
      </c>
      <c r="P6" s="47">
        <f t="shared" ref="P6:P12" si="1">ROUND(E6,0)*50</f>
        <v>600</v>
      </c>
      <c r="Q6" s="47"/>
      <c r="R6" s="47" t="s">
        <v>226</v>
      </c>
    </row>
    <row r="7" spans="1:18" ht="15" customHeight="1">
      <c r="A7" s="19" t="s">
        <v>227</v>
      </c>
      <c r="B7" s="21">
        <v>6</v>
      </c>
      <c r="C7" s="23">
        <f t="shared" ref="C7:C18" si="2">D6</f>
        <v>132</v>
      </c>
      <c r="D7" s="21">
        <f>C7+E7</f>
        <v>140</v>
      </c>
      <c r="E7" s="21">
        <v>8</v>
      </c>
      <c r="F7" s="21">
        <v>25</v>
      </c>
      <c r="G7" s="21">
        <v>3</v>
      </c>
      <c r="H7" s="88"/>
      <c r="I7" s="88"/>
      <c r="J7" s="88"/>
      <c r="K7" s="88"/>
      <c r="L7" s="88"/>
      <c r="M7" s="92"/>
      <c r="N7" s="47"/>
      <c r="O7" s="47">
        <f t="shared" si="0"/>
        <v>400</v>
      </c>
      <c r="P7" s="47">
        <f t="shared" si="1"/>
        <v>400</v>
      </c>
      <c r="Q7" s="47"/>
      <c r="R7" s="47"/>
    </row>
    <row r="8" spans="1:18" ht="15.75">
      <c r="A8" s="13" t="s">
        <v>190</v>
      </c>
      <c r="B8" s="23">
        <v>7</v>
      </c>
      <c r="C8" s="23">
        <f t="shared" si="2"/>
        <v>140</v>
      </c>
      <c r="D8" s="14">
        <f>C8+E8</f>
        <v>145</v>
      </c>
      <c r="E8" s="15">
        <v>5</v>
      </c>
      <c r="F8" s="15">
        <v>25</v>
      </c>
      <c r="G8" s="15">
        <v>3</v>
      </c>
      <c r="H8" s="16"/>
      <c r="I8" s="17"/>
      <c r="J8" s="16"/>
      <c r="K8" s="16" t="s">
        <v>191</v>
      </c>
      <c r="L8" s="17">
        <v>5</v>
      </c>
      <c r="M8" s="18" t="s">
        <v>182</v>
      </c>
      <c r="N8" s="47"/>
      <c r="O8" s="47">
        <f>E8*9</f>
        <v>45</v>
      </c>
      <c r="P8" s="47">
        <f>ROUND(E8,0)*9</f>
        <v>45</v>
      </c>
      <c r="Q8" s="47"/>
      <c r="R8" s="47" t="s">
        <v>228</v>
      </c>
    </row>
    <row r="9" spans="1:18" ht="15" customHeight="1">
      <c r="A9" s="22" t="s">
        <v>229</v>
      </c>
      <c r="B9" s="21">
        <v>8</v>
      </c>
      <c r="C9" s="23">
        <f t="shared" si="2"/>
        <v>145</v>
      </c>
      <c r="D9" s="24">
        <f>C9+E9</f>
        <v>147</v>
      </c>
      <c r="E9" s="23">
        <v>2</v>
      </c>
      <c r="F9" s="23">
        <v>25</v>
      </c>
      <c r="G9" s="23">
        <v>2</v>
      </c>
      <c r="H9" s="93" t="s">
        <v>230</v>
      </c>
      <c r="I9" s="93">
        <f>SUM(E9:E18)</f>
        <v>18</v>
      </c>
      <c r="J9" s="93" t="s">
        <v>182</v>
      </c>
      <c r="K9" s="93" t="s">
        <v>198</v>
      </c>
      <c r="L9" s="93">
        <f>I9:I18*6</f>
        <v>108</v>
      </c>
      <c r="M9" s="95" t="s">
        <v>182</v>
      </c>
      <c r="N9" s="47"/>
      <c r="O9" s="47">
        <f t="shared" si="0"/>
        <v>100</v>
      </c>
      <c r="P9" s="47">
        <f t="shared" si="1"/>
        <v>100</v>
      </c>
      <c r="Q9" s="47"/>
      <c r="R9" s="47" t="s">
        <v>231</v>
      </c>
    </row>
    <row r="10" spans="1:18" ht="15.75" customHeight="1">
      <c r="A10" s="25" t="s">
        <v>232</v>
      </c>
      <c r="B10" s="23">
        <v>9</v>
      </c>
      <c r="C10" s="23">
        <f t="shared" si="2"/>
        <v>147</v>
      </c>
      <c r="D10" s="26">
        <f t="shared" ref="D10:D18" si="3">C10+E10</f>
        <v>148</v>
      </c>
      <c r="E10" s="27">
        <v>1</v>
      </c>
      <c r="F10" s="27">
        <v>25</v>
      </c>
      <c r="G10" s="27">
        <v>2</v>
      </c>
      <c r="H10" s="87"/>
      <c r="I10" s="87"/>
      <c r="J10" s="87"/>
      <c r="K10" s="87"/>
      <c r="L10" s="87"/>
      <c r="M10" s="91"/>
      <c r="N10" s="47"/>
      <c r="O10" s="47">
        <f t="shared" si="0"/>
        <v>50</v>
      </c>
      <c r="P10" s="47">
        <f t="shared" si="1"/>
        <v>50</v>
      </c>
      <c r="Q10" s="47"/>
      <c r="R10" s="47"/>
    </row>
    <row r="11" spans="1:18" ht="15" customHeight="1">
      <c r="A11" s="25" t="s">
        <v>233</v>
      </c>
      <c r="B11" s="21">
        <v>10</v>
      </c>
      <c r="C11" s="23">
        <f t="shared" si="2"/>
        <v>148</v>
      </c>
      <c r="D11" s="26">
        <f t="shared" si="3"/>
        <v>151</v>
      </c>
      <c r="E11" s="27">
        <v>3</v>
      </c>
      <c r="F11" s="27">
        <v>25</v>
      </c>
      <c r="G11" s="27">
        <v>2</v>
      </c>
      <c r="H11" s="87"/>
      <c r="I11" s="87"/>
      <c r="J11" s="87"/>
      <c r="K11" s="87"/>
      <c r="L11" s="87"/>
      <c r="M11" s="91"/>
      <c r="N11" s="47"/>
      <c r="O11" s="47">
        <f t="shared" si="0"/>
        <v>150</v>
      </c>
      <c r="P11" s="47">
        <f t="shared" si="1"/>
        <v>150</v>
      </c>
      <c r="Q11" s="47"/>
      <c r="R11" s="47"/>
    </row>
    <row r="12" spans="1:18" ht="15.75" customHeight="1">
      <c r="A12" s="25" t="s">
        <v>234</v>
      </c>
      <c r="B12" s="23">
        <v>11</v>
      </c>
      <c r="C12" s="23">
        <f t="shared" si="2"/>
        <v>151</v>
      </c>
      <c r="D12" s="26">
        <f t="shared" si="3"/>
        <v>152</v>
      </c>
      <c r="E12" s="27">
        <v>1</v>
      </c>
      <c r="F12" s="27">
        <v>15</v>
      </c>
      <c r="G12" s="27">
        <v>2</v>
      </c>
      <c r="H12" s="87"/>
      <c r="I12" s="87"/>
      <c r="J12" s="87"/>
      <c r="K12" s="87"/>
      <c r="L12" s="87"/>
      <c r="M12" s="91"/>
      <c r="N12" s="47"/>
      <c r="O12" s="47">
        <f t="shared" si="0"/>
        <v>50</v>
      </c>
      <c r="P12" s="47">
        <f t="shared" si="1"/>
        <v>50</v>
      </c>
      <c r="Q12" s="47"/>
      <c r="R12" s="47"/>
    </row>
    <row r="13" spans="1:18" ht="15" customHeight="1">
      <c r="A13" s="25" t="s">
        <v>235</v>
      </c>
      <c r="B13" s="21">
        <v>12</v>
      </c>
      <c r="C13" s="23">
        <f t="shared" si="2"/>
        <v>152</v>
      </c>
      <c r="D13" s="26">
        <f t="shared" si="3"/>
        <v>153</v>
      </c>
      <c r="E13" s="27">
        <v>1</v>
      </c>
      <c r="F13" s="27">
        <v>15</v>
      </c>
      <c r="G13" s="27">
        <v>2</v>
      </c>
      <c r="H13" s="87"/>
      <c r="I13" s="87"/>
      <c r="J13" s="87"/>
      <c r="K13" s="87"/>
      <c r="L13" s="87"/>
      <c r="M13" s="91"/>
      <c r="N13" s="47"/>
      <c r="O13" s="47">
        <f t="shared" si="0"/>
        <v>50</v>
      </c>
      <c r="P13" s="47">
        <f>ROUND(E13,0)*50</f>
        <v>50</v>
      </c>
      <c r="Q13" s="47"/>
      <c r="R13" s="47"/>
    </row>
    <row r="14" spans="1:18" ht="15.75" customHeight="1">
      <c r="A14" s="25" t="s">
        <v>236</v>
      </c>
      <c r="B14" s="23">
        <v>13</v>
      </c>
      <c r="C14" s="23">
        <f t="shared" si="2"/>
        <v>153</v>
      </c>
      <c r="D14" s="26">
        <f t="shared" si="3"/>
        <v>155</v>
      </c>
      <c r="E14" s="75">
        <v>2</v>
      </c>
      <c r="F14" s="27">
        <v>15</v>
      </c>
      <c r="G14" s="27">
        <v>2</v>
      </c>
      <c r="H14" s="87"/>
      <c r="I14" s="87"/>
      <c r="J14" s="87"/>
      <c r="K14" s="87"/>
      <c r="L14" s="87"/>
      <c r="M14" s="91"/>
      <c r="N14" s="47"/>
      <c r="O14" s="47">
        <f t="shared" si="0"/>
        <v>100</v>
      </c>
      <c r="P14" s="47">
        <f t="shared" ref="P14:P18" si="4">ROUND(E14,0)*50</f>
        <v>100</v>
      </c>
      <c r="Q14" s="47"/>
      <c r="R14" s="47"/>
    </row>
    <row r="15" spans="1:18" ht="15" customHeight="1">
      <c r="A15" s="25" t="s">
        <v>237</v>
      </c>
      <c r="B15" s="21">
        <v>14</v>
      </c>
      <c r="C15" s="23">
        <f t="shared" si="2"/>
        <v>155</v>
      </c>
      <c r="D15" s="26">
        <f t="shared" si="3"/>
        <v>156</v>
      </c>
      <c r="E15" s="27">
        <v>1</v>
      </c>
      <c r="F15" s="27">
        <v>25</v>
      </c>
      <c r="G15" s="27">
        <v>2</v>
      </c>
      <c r="H15" s="87"/>
      <c r="I15" s="87"/>
      <c r="J15" s="87"/>
      <c r="K15" s="87"/>
      <c r="L15" s="87"/>
      <c r="M15" s="91"/>
      <c r="N15" s="47"/>
      <c r="O15" s="47">
        <f t="shared" si="0"/>
        <v>50</v>
      </c>
      <c r="P15" s="47">
        <f t="shared" si="4"/>
        <v>50</v>
      </c>
      <c r="Q15" s="47"/>
      <c r="R15" s="47"/>
    </row>
    <row r="16" spans="1:18" ht="15.75" customHeight="1">
      <c r="A16" s="25" t="s">
        <v>238</v>
      </c>
      <c r="B16" s="23">
        <v>15</v>
      </c>
      <c r="C16" s="23">
        <f t="shared" si="2"/>
        <v>156</v>
      </c>
      <c r="D16" s="26">
        <f t="shared" si="3"/>
        <v>158</v>
      </c>
      <c r="E16" s="27">
        <v>2</v>
      </c>
      <c r="F16" s="27">
        <v>25</v>
      </c>
      <c r="G16" s="27">
        <v>2</v>
      </c>
      <c r="H16" s="87"/>
      <c r="I16" s="87"/>
      <c r="J16" s="87"/>
      <c r="K16" s="87"/>
      <c r="L16" s="87"/>
      <c r="M16" s="91"/>
      <c r="N16" s="47"/>
      <c r="O16" s="47">
        <f t="shared" si="0"/>
        <v>100</v>
      </c>
      <c r="P16" s="47">
        <f t="shared" si="4"/>
        <v>100</v>
      </c>
      <c r="Q16" s="47"/>
      <c r="R16" s="47"/>
    </row>
    <row r="17" spans="1:18" ht="15" customHeight="1">
      <c r="A17" s="25" t="s">
        <v>239</v>
      </c>
      <c r="B17" s="21">
        <v>16</v>
      </c>
      <c r="C17" s="23">
        <f t="shared" si="2"/>
        <v>158</v>
      </c>
      <c r="D17" s="26">
        <f t="shared" si="3"/>
        <v>159</v>
      </c>
      <c r="E17" s="27">
        <v>1</v>
      </c>
      <c r="F17" s="27">
        <v>15</v>
      </c>
      <c r="G17" s="27">
        <v>2</v>
      </c>
      <c r="H17" s="87"/>
      <c r="I17" s="87"/>
      <c r="J17" s="87"/>
      <c r="K17" s="87"/>
      <c r="L17" s="87"/>
      <c r="M17" s="91"/>
      <c r="N17" s="47"/>
      <c r="O17" s="47">
        <f t="shared" si="0"/>
        <v>50</v>
      </c>
      <c r="P17" s="47">
        <f t="shared" si="4"/>
        <v>50</v>
      </c>
      <c r="Q17" s="47"/>
      <c r="R17" s="47"/>
    </row>
    <row r="18" spans="1:18" ht="15.75" customHeight="1">
      <c r="A18" s="19" t="s">
        <v>240</v>
      </c>
      <c r="B18" s="23">
        <v>17</v>
      </c>
      <c r="C18" s="23">
        <f t="shared" si="2"/>
        <v>159</v>
      </c>
      <c r="D18" s="20">
        <f t="shared" si="3"/>
        <v>163</v>
      </c>
      <c r="E18" s="21">
        <v>4</v>
      </c>
      <c r="F18" s="21">
        <v>15</v>
      </c>
      <c r="G18" s="21">
        <v>2</v>
      </c>
      <c r="H18" s="88"/>
      <c r="I18" s="88"/>
      <c r="J18" s="88"/>
      <c r="K18" s="88"/>
      <c r="L18" s="88"/>
      <c r="M18" s="92"/>
      <c r="N18" s="47"/>
      <c r="O18" s="47">
        <f t="shared" si="0"/>
        <v>200</v>
      </c>
      <c r="P18" s="47">
        <f t="shared" si="4"/>
        <v>200</v>
      </c>
      <c r="Q18" s="47"/>
      <c r="R18" s="47"/>
    </row>
    <row r="19" spans="1:18" ht="15.75">
      <c r="A19" s="13" t="s">
        <v>190</v>
      </c>
      <c r="B19" s="21">
        <v>18</v>
      </c>
      <c r="C19" s="23"/>
      <c r="D19" s="14"/>
      <c r="E19" s="15">
        <v>5</v>
      </c>
      <c r="F19" s="15">
        <v>25</v>
      </c>
      <c r="G19" s="15">
        <v>3</v>
      </c>
      <c r="H19" s="16"/>
      <c r="I19" s="17"/>
      <c r="J19" s="16"/>
      <c r="K19" s="16" t="s">
        <v>191</v>
      </c>
      <c r="L19" s="17">
        <v>5</v>
      </c>
      <c r="M19" s="18" t="s">
        <v>182</v>
      </c>
      <c r="N19" s="47"/>
      <c r="O19" s="47">
        <f>E19*9</f>
        <v>45</v>
      </c>
      <c r="P19" s="47">
        <f>ROUND(E19,0)*9</f>
        <v>45</v>
      </c>
      <c r="Q19" s="47"/>
      <c r="R19" s="47" t="s">
        <v>241</v>
      </c>
    </row>
    <row r="21" spans="1:18">
      <c r="A21" s="47"/>
      <c r="B21" s="47"/>
      <c r="C21" s="47"/>
      <c r="D21" s="47"/>
      <c r="E21" s="47"/>
      <c r="H21" s="47"/>
      <c r="I21" s="47"/>
      <c r="J21" s="47"/>
      <c r="K21" s="47"/>
      <c r="L21" s="48" t="s">
        <v>221</v>
      </c>
      <c r="M21" s="47"/>
      <c r="N21" s="47"/>
      <c r="O21" s="47">
        <f>SUM(O5:O19)/24</f>
        <v>87.916666666666671</v>
      </c>
      <c r="P21" s="47">
        <f>SUM(P5:P19)/24</f>
        <v>87.916666666666671</v>
      </c>
      <c r="Q21" s="47"/>
      <c r="R21" s="47"/>
    </row>
  </sheetData>
  <mergeCells count="14">
    <mergeCell ref="H4:J4"/>
    <mergeCell ref="K4:M4"/>
    <mergeCell ref="H6:H7"/>
    <mergeCell ref="K6:K7"/>
    <mergeCell ref="I6:I7"/>
    <mergeCell ref="J6:J7"/>
    <mergeCell ref="L6:L7"/>
    <mergeCell ref="M6:M7"/>
    <mergeCell ref="M9:M18"/>
    <mergeCell ref="H9:H18"/>
    <mergeCell ref="I9:I18"/>
    <mergeCell ref="J9:J18"/>
    <mergeCell ref="K9:K18"/>
    <mergeCell ref="L9:L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G1" workbookViewId="0">
      <selection activeCell="I34" sqref="I34"/>
    </sheetView>
  </sheetViews>
  <sheetFormatPr defaultRowHeight="15"/>
  <cols>
    <col min="1" max="1" width="37.42578125" bestFit="1" customWidth="1"/>
    <col min="2" max="2" width="26.42578125" bestFit="1" customWidth="1"/>
    <col min="3" max="3" width="15.85546875" bestFit="1" customWidth="1"/>
    <col min="4" max="4" width="15.140625" bestFit="1" customWidth="1"/>
    <col min="5" max="5" width="11.85546875" bestFit="1" customWidth="1"/>
    <col min="6" max="7" width="11.85546875" style="47" customWidth="1"/>
    <col min="8" max="8" width="28.42578125" bestFit="1" customWidth="1"/>
    <col min="15" max="15" width="20.7109375" customWidth="1"/>
    <col min="16" max="16" width="21.42578125" customWidth="1"/>
  </cols>
  <sheetData>
    <row r="1" spans="1:18">
      <c r="A1" s="48" t="s">
        <v>242</v>
      </c>
      <c r="B1" s="47"/>
      <c r="C1" s="47"/>
      <c r="D1" s="47"/>
      <c r="E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>
      <c r="A2" s="3" t="s">
        <v>243</v>
      </c>
      <c r="B2" s="47"/>
      <c r="C2" s="47"/>
      <c r="D2" s="47"/>
      <c r="E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4" spans="1:18" ht="44.25" customHeight="1">
      <c r="A4" s="48"/>
      <c r="B4" s="48" t="s">
        <v>160</v>
      </c>
      <c r="C4" s="48" t="s">
        <v>161</v>
      </c>
      <c r="D4" s="48" t="s">
        <v>162</v>
      </c>
      <c r="E4" s="48" t="s">
        <v>163</v>
      </c>
      <c r="F4" s="48" t="s">
        <v>164</v>
      </c>
      <c r="G4" s="48" t="s">
        <v>165</v>
      </c>
      <c r="H4" s="86" t="s">
        <v>166</v>
      </c>
      <c r="I4" s="86"/>
      <c r="J4" s="86"/>
      <c r="K4" s="86" t="s">
        <v>244</v>
      </c>
      <c r="L4" s="86"/>
      <c r="M4" s="86"/>
      <c r="N4" s="47"/>
      <c r="O4" s="49" t="s">
        <v>168</v>
      </c>
      <c r="P4" s="49" t="s">
        <v>169</v>
      </c>
      <c r="Q4" s="47"/>
      <c r="R4" s="47"/>
    </row>
    <row r="5" spans="1:18">
      <c r="A5" s="36" t="s">
        <v>176</v>
      </c>
      <c r="B5" s="37"/>
      <c r="C5" s="37">
        <v>0</v>
      </c>
      <c r="D5" s="68">
        <v>120</v>
      </c>
      <c r="E5" s="68">
        <v>120</v>
      </c>
      <c r="F5" s="68"/>
      <c r="G5" s="68"/>
      <c r="H5" s="42"/>
      <c r="I5" s="42"/>
      <c r="J5" s="42"/>
      <c r="K5" s="42"/>
      <c r="L5" s="42"/>
      <c r="M5" s="43"/>
      <c r="N5" s="47"/>
      <c r="O5" s="47">
        <f>E5*1</f>
        <v>120</v>
      </c>
      <c r="P5" s="47">
        <f>ROUND(E5,0)*1</f>
        <v>120</v>
      </c>
      <c r="Q5" s="47"/>
      <c r="R5" s="47" t="s">
        <v>177</v>
      </c>
    </row>
    <row r="6" spans="1:18">
      <c r="A6" s="44" t="s">
        <v>245</v>
      </c>
      <c r="B6" s="42">
        <v>5</v>
      </c>
      <c r="C6" s="42">
        <f>D5</f>
        <v>120</v>
      </c>
      <c r="D6" s="42">
        <f>C6+E6</f>
        <v>126</v>
      </c>
      <c r="E6" s="76">
        <v>6</v>
      </c>
      <c r="F6" s="42">
        <v>25</v>
      </c>
      <c r="G6" s="42">
        <v>2</v>
      </c>
      <c r="H6" s="42"/>
      <c r="I6" s="42"/>
      <c r="J6" s="42"/>
      <c r="K6" s="42"/>
      <c r="L6" s="42"/>
      <c r="M6" s="43"/>
      <c r="N6" s="47"/>
      <c r="O6" s="47">
        <f>E6*1</f>
        <v>6</v>
      </c>
      <c r="P6" s="47">
        <f>ROUND(E6,0)*1</f>
        <v>6</v>
      </c>
      <c r="Q6" s="47"/>
      <c r="R6" s="47" t="s">
        <v>246</v>
      </c>
    </row>
    <row r="7" spans="1:18">
      <c r="A7" s="44" t="s">
        <v>190</v>
      </c>
      <c r="B7" s="42">
        <v>6</v>
      </c>
      <c r="C7" s="42">
        <f t="shared" ref="C7:C13" si="0">D6</f>
        <v>126</v>
      </c>
      <c r="D7" s="42">
        <f t="shared" ref="D7:D13" si="1">C7+E7</f>
        <v>133</v>
      </c>
      <c r="E7" s="76">
        <v>7</v>
      </c>
      <c r="F7" s="42">
        <v>25</v>
      </c>
      <c r="G7" s="42">
        <v>2</v>
      </c>
      <c r="H7" s="42"/>
      <c r="I7" s="42"/>
      <c r="J7" s="42"/>
      <c r="K7" s="42"/>
      <c r="L7" s="42"/>
      <c r="M7" s="43"/>
      <c r="N7" s="47"/>
      <c r="O7" s="47">
        <f>E7*1</f>
        <v>7</v>
      </c>
      <c r="P7" s="47">
        <f>ROUND(E7,0)*1</f>
        <v>7</v>
      </c>
      <c r="Q7" s="47"/>
      <c r="R7" s="47" t="s">
        <v>247</v>
      </c>
    </row>
    <row r="8" spans="1:18" ht="15.6" customHeight="1">
      <c r="A8" s="4" t="s">
        <v>248</v>
      </c>
      <c r="B8" s="42">
        <v>7</v>
      </c>
      <c r="C8" s="42">
        <f t="shared" si="0"/>
        <v>133</v>
      </c>
      <c r="D8" s="42">
        <f t="shared" si="1"/>
        <v>135</v>
      </c>
      <c r="E8" s="72">
        <v>2</v>
      </c>
      <c r="F8" s="42">
        <v>25</v>
      </c>
      <c r="G8" s="42">
        <v>2</v>
      </c>
      <c r="H8" s="93" t="s">
        <v>249</v>
      </c>
      <c r="I8" s="94">
        <f>SUM(E8:E16)</f>
        <v>36</v>
      </c>
      <c r="J8" s="93" t="s">
        <v>182</v>
      </c>
      <c r="K8" s="93" t="s">
        <v>250</v>
      </c>
      <c r="L8" s="93">
        <f>I8:I13*50</f>
        <v>1800</v>
      </c>
      <c r="M8" s="95" t="s">
        <v>182</v>
      </c>
      <c r="N8" s="47"/>
      <c r="O8" s="47">
        <f>E8*50</f>
        <v>100</v>
      </c>
      <c r="P8" s="47">
        <f>ROUND(E8,0)*50</f>
        <v>100</v>
      </c>
      <c r="Q8" s="47"/>
      <c r="R8" s="47" t="s">
        <v>251</v>
      </c>
    </row>
    <row r="9" spans="1:18" ht="14.45" customHeight="1">
      <c r="A9" s="25" t="s">
        <v>252</v>
      </c>
      <c r="B9" s="42">
        <v>8</v>
      </c>
      <c r="C9" s="42">
        <f t="shared" si="0"/>
        <v>135</v>
      </c>
      <c r="D9" s="42">
        <f t="shared" si="1"/>
        <v>136</v>
      </c>
      <c r="E9" s="75">
        <v>1</v>
      </c>
      <c r="F9" s="42">
        <v>25</v>
      </c>
      <c r="G9" s="42">
        <v>2</v>
      </c>
      <c r="H9" s="87"/>
      <c r="I9" s="89"/>
      <c r="J9" s="87"/>
      <c r="K9" s="87"/>
      <c r="L9" s="87"/>
      <c r="M9" s="91"/>
      <c r="N9" s="47"/>
      <c r="O9" s="47">
        <f t="shared" ref="O9:O16" si="2">E9*50</f>
        <v>50</v>
      </c>
      <c r="P9" s="47">
        <f t="shared" ref="P9:P13" si="3">ROUND(E9,0)*50</f>
        <v>50</v>
      </c>
      <c r="Q9" s="47"/>
      <c r="R9" s="47"/>
    </row>
    <row r="10" spans="1:18" ht="15.6" customHeight="1">
      <c r="A10" s="25" t="s">
        <v>253</v>
      </c>
      <c r="B10" s="42">
        <v>9</v>
      </c>
      <c r="C10" s="42">
        <f t="shared" si="0"/>
        <v>136</v>
      </c>
      <c r="D10" s="42">
        <f t="shared" si="1"/>
        <v>142</v>
      </c>
      <c r="E10" s="75">
        <v>6</v>
      </c>
      <c r="F10" s="42">
        <v>25</v>
      </c>
      <c r="G10" s="42">
        <v>2</v>
      </c>
      <c r="H10" s="87"/>
      <c r="I10" s="89"/>
      <c r="J10" s="87"/>
      <c r="K10" s="87"/>
      <c r="L10" s="87"/>
      <c r="M10" s="91"/>
      <c r="N10" s="47"/>
      <c r="O10" s="47">
        <f t="shared" si="2"/>
        <v>300</v>
      </c>
      <c r="P10" s="47">
        <f t="shared" si="3"/>
        <v>300</v>
      </c>
      <c r="Q10" s="47"/>
      <c r="R10" s="47"/>
    </row>
    <row r="11" spans="1:18" ht="14.45" customHeight="1">
      <c r="A11" s="25" t="s">
        <v>254</v>
      </c>
      <c r="B11" s="42">
        <v>10</v>
      </c>
      <c r="C11" s="42">
        <f t="shared" si="0"/>
        <v>142</v>
      </c>
      <c r="D11" s="42">
        <f t="shared" si="1"/>
        <v>148</v>
      </c>
      <c r="E11" s="75">
        <v>6</v>
      </c>
      <c r="F11" s="42">
        <v>25</v>
      </c>
      <c r="G11" s="42">
        <v>2</v>
      </c>
      <c r="H11" s="87"/>
      <c r="I11" s="89"/>
      <c r="J11" s="87"/>
      <c r="K11" s="87"/>
      <c r="L11" s="87"/>
      <c r="M11" s="91"/>
      <c r="N11" s="47"/>
      <c r="O11" s="47">
        <f t="shared" si="2"/>
        <v>300</v>
      </c>
      <c r="P11" s="47">
        <f t="shared" si="3"/>
        <v>300</v>
      </c>
      <c r="Q11" s="47"/>
      <c r="R11" s="47"/>
    </row>
    <row r="12" spans="1:18" ht="15.6" customHeight="1">
      <c r="A12" s="25" t="s">
        <v>255</v>
      </c>
      <c r="B12" s="42">
        <v>11</v>
      </c>
      <c r="C12" s="42">
        <f t="shared" si="0"/>
        <v>148</v>
      </c>
      <c r="D12" s="42">
        <f t="shared" si="1"/>
        <v>149</v>
      </c>
      <c r="E12" s="75">
        <v>1</v>
      </c>
      <c r="F12" s="42">
        <v>25</v>
      </c>
      <c r="G12" s="42">
        <v>2</v>
      </c>
      <c r="H12" s="87"/>
      <c r="I12" s="89"/>
      <c r="J12" s="87"/>
      <c r="K12" s="87"/>
      <c r="L12" s="87"/>
      <c r="M12" s="91"/>
      <c r="N12" s="47"/>
      <c r="O12" s="47">
        <f t="shared" si="2"/>
        <v>50</v>
      </c>
      <c r="P12" s="47">
        <f t="shared" si="3"/>
        <v>50</v>
      </c>
      <c r="Q12" s="47"/>
      <c r="R12" s="47"/>
    </row>
    <row r="13" spans="1:18" ht="14.45" customHeight="1">
      <c r="A13" s="19" t="s">
        <v>256</v>
      </c>
      <c r="B13" s="42">
        <v>12</v>
      </c>
      <c r="C13" s="42">
        <f t="shared" si="0"/>
        <v>149</v>
      </c>
      <c r="D13" s="42">
        <f t="shared" si="1"/>
        <v>156</v>
      </c>
      <c r="E13" s="69">
        <v>7</v>
      </c>
      <c r="F13" s="42">
        <v>25</v>
      </c>
      <c r="G13" s="42">
        <v>2</v>
      </c>
      <c r="H13" s="87"/>
      <c r="I13" s="89"/>
      <c r="J13" s="87"/>
      <c r="K13" s="87"/>
      <c r="L13" s="87"/>
      <c r="M13" s="91"/>
      <c r="N13" s="47"/>
      <c r="O13" s="47">
        <f t="shared" si="2"/>
        <v>350</v>
      </c>
      <c r="P13" s="47">
        <f t="shared" si="3"/>
        <v>350</v>
      </c>
      <c r="Q13" s="47"/>
      <c r="R13" s="47"/>
    </row>
    <row r="14" spans="1:18" s="47" customFormat="1" ht="14.45" customHeight="1">
      <c r="A14" s="77" t="s">
        <v>252</v>
      </c>
      <c r="B14" s="76">
        <v>8</v>
      </c>
      <c r="C14" s="76">
        <f t="shared" ref="C14:C16" si="4">D13</f>
        <v>156</v>
      </c>
      <c r="D14" s="76">
        <f t="shared" ref="D14:D16" si="5">C14+E14</f>
        <v>157</v>
      </c>
      <c r="E14" s="75">
        <v>1</v>
      </c>
      <c r="F14" s="76">
        <v>25</v>
      </c>
      <c r="G14" s="76">
        <v>2</v>
      </c>
      <c r="H14" s="87"/>
      <c r="I14" s="89"/>
      <c r="J14" s="87"/>
      <c r="K14" s="87"/>
      <c r="L14" s="87"/>
      <c r="M14" s="91"/>
      <c r="O14" s="2">
        <f t="shared" si="2"/>
        <v>50</v>
      </c>
    </row>
    <row r="15" spans="1:18" s="47" customFormat="1" ht="14.45" customHeight="1">
      <c r="A15" s="77" t="s">
        <v>253</v>
      </c>
      <c r="B15" s="76">
        <v>9</v>
      </c>
      <c r="C15" s="76">
        <f t="shared" si="4"/>
        <v>157</v>
      </c>
      <c r="D15" s="76">
        <f t="shared" si="5"/>
        <v>163</v>
      </c>
      <c r="E15" s="75">
        <v>6</v>
      </c>
      <c r="F15" s="76">
        <v>25</v>
      </c>
      <c r="G15" s="76">
        <v>2</v>
      </c>
      <c r="H15" s="87"/>
      <c r="I15" s="89"/>
      <c r="J15" s="87"/>
      <c r="K15" s="87"/>
      <c r="L15" s="87"/>
      <c r="M15" s="91"/>
      <c r="O15" s="2">
        <f t="shared" si="2"/>
        <v>300</v>
      </c>
    </row>
    <row r="16" spans="1:18" s="47" customFormat="1" ht="14.45" customHeight="1">
      <c r="A16" s="77" t="s">
        <v>254</v>
      </c>
      <c r="B16" s="76">
        <v>10</v>
      </c>
      <c r="C16" s="76">
        <f t="shared" si="4"/>
        <v>163</v>
      </c>
      <c r="D16" s="76">
        <f t="shared" si="5"/>
        <v>169</v>
      </c>
      <c r="E16" s="75">
        <v>6</v>
      </c>
      <c r="F16" s="76">
        <v>25</v>
      </c>
      <c r="G16" s="76">
        <v>2</v>
      </c>
      <c r="H16" s="88"/>
      <c r="I16" s="90"/>
      <c r="J16" s="88"/>
      <c r="K16" s="88"/>
      <c r="L16" s="88"/>
      <c r="M16" s="92"/>
      <c r="O16" s="2">
        <f t="shared" si="2"/>
        <v>300</v>
      </c>
    </row>
    <row r="17" spans="1:18" ht="15.75">
      <c r="A17" s="44" t="s">
        <v>219</v>
      </c>
      <c r="B17" s="45"/>
      <c r="C17" s="42"/>
      <c r="D17" s="46"/>
      <c r="E17" s="76">
        <v>7</v>
      </c>
      <c r="F17" s="42">
        <v>25</v>
      </c>
      <c r="G17" s="42">
        <v>2</v>
      </c>
      <c r="H17" s="42"/>
      <c r="I17" s="42"/>
      <c r="J17" s="42"/>
      <c r="K17" s="42"/>
      <c r="L17" s="42"/>
      <c r="M17" s="43"/>
      <c r="N17" s="47"/>
      <c r="O17" s="47">
        <f>E17*1</f>
        <v>7</v>
      </c>
      <c r="P17" s="47">
        <f>ROUND(E17,0)*1</f>
        <v>7</v>
      </c>
      <c r="Q17" s="47"/>
      <c r="R17" s="47" t="s">
        <v>257</v>
      </c>
    </row>
    <row r="18" spans="1:18">
      <c r="A18" s="27"/>
      <c r="B18" s="27"/>
      <c r="C18" s="27"/>
      <c r="D18" s="26"/>
      <c r="E18" s="27"/>
      <c r="F18" s="27"/>
      <c r="G18" s="2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 spans="1:18" ht="15.75">
      <c r="A19" s="27"/>
      <c r="B19" s="8"/>
      <c r="C19" s="27"/>
      <c r="D19" s="26"/>
      <c r="E19" s="27"/>
      <c r="F19" s="27"/>
      <c r="G19" s="27"/>
      <c r="H19" s="47"/>
      <c r="I19" s="47"/>
      <c r="J19" s="47"/>
      <c r="K19" s="47"/>
      <c r="L19" s="48" t="s">
        <v>221</v>
      </c>
      <c r="M19" s="47"/>
      <c r="N19" s="47"/>
      <c r="O19" s="2">
        <f>SUM(O5:O17)/24</f>
        <v>80.833333333333329</v>
      </c>
      <c r="P19" s="47">
        <f>SUM(P5:P17)/24</f>
        <v>53.75</v>
      </c>
      <c r="Q19" s="47"/>
      <c r="R19" s="47"/>
    </row>
    <row r="20" spans="1:18">
      <c r="A20" s="27"/>
      <c r="B20" s="27"/>
      <c r="C20" s="27"/>
      <c r="D20" s="26"/>
      <c r="E20" s="27"/>
      <c r="F20" s="27"/>
      <c r="G20" s="2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spans="1:18" ht="15.75">
      <c r="A21" s="27"/>
      <c r="B21" s="8"/>
      <c r="C21" s="27"/>
      <c r="D21" s="26"/>
      <c r="E21" s="27"/>
      <c r="F21" s="27"/>
      <c r="G21" s="2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spans="1:18" ht="15.75">
      <c r="A22" s="8"/>
      <c r="B22" s="8"/>
      <c r="C22" s="27"/>
      <c r="D22" s="9"/>
      <c r="E22" s="10"/>
      <c r="F22" s="10"/>
      <c r="G22" s="10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 spans="1:18">
      <c r="A23" s="27"/>
      <c r="B23" s="27"/>
      <c r="C23" s="27"/>
      <c r="D23" s="27"/>
      <c r="E23" s="27"/>
      <c r="F23" s="27"/>
      <c r="G23" s="2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</row>
    <row r="24" spans="1:18">
      <c r="A24" s="27"/>
      <c r="B24" s="27"/>
      <c r="C24" s="27"/>
      <c r="D24" s="27"/>
      <c r="E24" s="27"/>
      <c r="F24" s="27"/>
      <c r="G24" s="2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</row>
    <row r="25" spans="1:18">
      <c r="A25" s="27"/>
      <c r="B25" s="27"/>
      <c r="C25" s="27"/>
      <c r="D25" s="27"/>
      <c r="E25" s="27"/>
      <c r="F25" s="27"/>
      <c r="G25" s="2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</row>
  </sheetData>
  <mergeCells count="8">
    <mergeCell ref="H4:J4"/>
    <mergeCell ref="K4:M4"/>
    <mergeCell ref="H8:H16"/>
    <mergeCell ref="I8:I16"/>
    <mergeCell ref="J8:J16"/>
    <mergeCell ref="K8:K16"/>
    <mergeCell ref="L8:L16"/>
    <mergeCell ref="M8:M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E1" workbookViewId="0">
      <selection activeCell="L7" sqref="L7:L12"/>
    </sheetView>
  </sheetViews>
  <sheetFormatPr defaultRowHeight="15"/>
  <cols>
    <col min="1" max="1" width="37.42578125" style="47" bestFit="1" customWidth="1"/>
    <col min="2" max="2" width="26.42578125" style="47" bestFit="1" customWidth="1"/>
    <col min="3" max="3" width="15.85546875" style="47" bestFit="1" customWidth="1"/>
    <col min="4" max="4" width="15.140625" style="47" bestFit="1" customWidth="1"/>
    <col min="5" max="5" width="11.85546875" style="47" bestFit="1" customWidth="1"/>
    <col min="6" max="7" width="11.85546875" style="47" customWidth="1"/>
    <col min="8" max="8" width="28.42578125" style="47" bestFit="1" customWidth="1"/>
    <col min="9" max="14" width="9.140625" style="47"/>
    <col min="15" max="15" width="20.7109375" style="47" customWidth="1"/>
    <col min="16" max="16" width="21.42578125" style="47" customWidth="1"/>
    <col min="17" max="16384" width="9.140625" style="47"/>
  </cols>
  <sheetData>
    <row r="1" spans="1:18">
      <c r="A1" s="48" t="s">
        <v>258</v>
      </c>
    </row>
    <row r="2" spans="1:18">
      <c r="A2" s="3" t="s">
        <v>243</v>
      </c>
    </row>
    <row r="4" spans="1:18" ht="44.25" customHeight="1">
      <c r="A4" s="48"/>
      <c r="B4" s="48" t="s">
        <v>160</v>
      </c>
      <c r="C4" s="48" t="s">
        <v>161</v>
      </c>
      <c r="D4" s="48" t="s">
        <v>162</v>
      </c>
      <c r="E4" s="48" t="s">
        <v>163</v>
      </c>
      <c r="F4" s="48" t="s">
        <v>164</v>
      </c>
      <c r="G4" s="48" t="s">
        <v>165</v>
      </c>
      <c r="H4" s="86" t="s">
        <v>259</v>
      </c>
      <c r="I4" s="86"/>
      <c r="J4" s="86"/>
      <c r="K4" s="86" t="s">
        <v>244</v>
      </c>
      <c r="L4" s="86"/>
      <c r="M4" s="86"/>
      <c r="O4" s="49" t="s">
        <v>168</v>
      </c>
      <c r="P4" s="49" t="s">
        <v>169</v>
      </c>
    </row>
    <row r="5" spans="1:18">
      <c r="A5" s="36" t="s">
        <v>176</v>
      </c>
      <c r="B5" s="37"/>
      <c r="C5" s="37">
        <v>0</v>
      </c>
      <c r="D5" s="37">
        <v>120</v>
      </c>
      <c r="E5" s="37">
        <v>120</v>
      </c>
      <c r="F5" s="37"/>
      <c r="G5" s="37"/>
      <c r="H5" s="42"/>
      <c r="I5" s="42"/>
      <c r="J5" s="42"/>
      <c r="K5" s="42"/>
      <c r="L5" s="42"/>
      <c r="M5" s="43"/>
      <c r="R5" s="47" t="s">
        <v>177</v>
      </c>
    </row>
    <row r="6" spans="1:18">
      <c r="A6" s="44" t="s">
        <v>245</v>
      </c>
      <c r="B6" s="42">
        <v>5</v>
      </c>
      <c r="C6" s="42">
        <f>D5</f>
        <v>120</v>
      </c>
      <c r="D6" s="42">
        <f>C6+E6</f>
        <v>126</v>
      </c>
      <c r="E6" s="76">
        <v>6</v>
      </c>
      <c r="F6" s="42">
        <v>25</v>
      </c>
      <c r="G6" s="42">
        <v>2</v>
      </c>
      <c r="H6" s="42"/>
      <c r="I6" s="42"/>
      <c r="J6" s="42"/>
      <c r="K6" s="42"/>
      <c r="L6" s="42"/>
      <c r="M6" s="43"/>
      <c r="R6" s="47" t="s">
        <v>246</v>
      </c>
    </row>
    <row r="7" spans="1:18" ht="15.6" customHeight="1">
      <c r="A7" s="4" t="s">
        <v>260</v>
      </c>
      <c r="B7" s="42">
        <v>7</v>
      </c>
      <c r="C7" s="42">
        <f>D6</f>
        <v>126</v>
      </c>
      <c r="D7" s="46">
        <f>C7+E7</f>
        <v>128</v>
      </c>
      <c r="E7" s="75">
        <v>2</v>
      </c>
      <c r="F7" s="27">
        <v>25</v>
      </c>
      <c r="G7" s="27">
        <v>2</v>
      </c>
      <c r="H7" s="93" t="s">
        <v>261</v>
      </c>
      <c r="I7" s="94">
        <f>SUM(E7:E12)</f>
        <v>241</v>
      </c>
      <c r="J7" s="93" t="s">
        <v>182</v>
      </c>
      <c r="K7" s="93" t="s">
        <v>250</v>
      </c>
      <c r="L7" s="94">
        <f>I7:I12 * 'Site parameters'!B16</f>
        <v>482</v>
      </c>
      <c r="M7" s="95" t="s">
        <v>182</v>
      </c>
      <c r="R7" s="47" t="s">
        <v>251</v>
      </c>
    </row>
    <row r="8" spans="1:18" ht="14.45" customHeight="1">
      <c r="A8" s="25" t="s">
        <v>252</v>
      </c>
      <c r="B8" s="42">
        <v>8</v>
      </c>
      <c r="C8" s="42">
        <f t="shared" ref="C8:C9" si="0">D7</f>
        <v>128</v>
      </c>
      <c r="D8" s="42">
        <f t="shared" ref="D8:D9" si="1">C8+E8</f>
        <v>129</v>
      </c>
      <c r="E8" s="75">
        <v>1</v>
      </c>
      <c r="F8" s="27">
        <v>25</v>
      </c>
      <c r="G8" s="27">
        <v>2</v>
      </c>
      <c r="H8" s="87"/>
      <c r="I8" s="87"/>
      <c r="J8" s="87"/>
      <c r="K8" s="87"/>
      <c r="L8" s="87"/>
      <c r="M8" s="91"/>
    </row>
    <row r="9" spans="1:18">
      <c r="A9" s="25" t="s">
        <v>262</v>
      </c>
      <c r="B9" s="42">
        <v>9</v>
      </c>
      <c r="C9" s="42">
        <f t="shared" si="0"/>
        <v>129</v>
      </c>
      <c r="D9" s="42">
        <f t="shared" si="1"/>
        <v>135</v>
      </c>
      <c r="E9" s="75">
        <v>6</v>
      </c>
      <c r="F9" s="27">
        <v>25</v>
      </c>
      <c r="G9" s="27">
        <v>2</v>
      </c>
      <c r="H9" s="87"/>
      <c r="I9" s="87"/>
      <c r="J9" s="87"/>
      <c r="K9" s="87"/>
      <c r="L9" s="87"/>
      <c r="M9" s="91"/>
    </row>
    <row r="10" spans="1:18" ht="14.45" customHeight="1">
      <c r="A10" s="25" t="s">
        <v>255</v>
      </c>
      <c r="B10" s="42">
        <v>11</v>
      </c>
      <c r="C10" s="42">
        <f>D9</f>
        <v>135</v>
      </c>
      <c r="D10" s="42">
        <f>C10+E10</f>
        <v>136</v>
      </c>
      <c r="E10" s="75">
        <v>1</v>
      </c>
      <c r="F10" s="27">
        <v>25</v>
      </c>
      <c r="G10" s="27">
        <v>2</v>
      </c>
      <c r="H10" s="87"/>
      <c r="I10" s="87"/>
      <c r="J10" s="87"/>
      <c r="K10" s="87"/>
      <c r="L10" s="87"/>
      <c r="M10" s="91"/>
    </row>
    <row r="11" spans="1:18" ht="15.6" customHeight="1">
      <c r="A11" s="19" t="s">
        <v>263</v>
      </c>
      <c r="B11" s="42">
        <v>12</v>
      </c>
      <c r="C11" s="42">
        <f>D10</f>
        <v>136</v>
      </c>
      <c r="D11" s="42">
        <f>C11+E11</f>
        <v>361</v>
      </c>
      <c r="E11" s="69">
        <v>225</v>
      </c>
      <c r="F11" s="27">
        <v>25</v>
      </c>
      <c r="G11" s="27">
        <v>2</v>
      </c>
      <c r="H11" s="87"/>
      <c r="I11" s="87"/>
      <c r="J11" s="87"/>
      <c r="K11" s="87"/>
      <c r="L11" s="87"/>
      <c r="M11" s="91"/>
    </row>
    <row r="12" spans="1:18" ht="14.45" customHeight="1">
      <c r="A12" s="25" t="s">
        <v>254</v>
      </c>
      <c r="B12" s="42">
        <v>10</v>
      </c>
      <c r="C12" s="42">
        <f>D9</f>
        <v>135</v>
      </c>
      <c r="D12" s="42">
        <f>C12+E12</f>
        <v>141</v>
      </c>
      <c r="E12" s="75">
        <v>6</v>
      </c>
      <c r="F12" s="27">
        <v>25</v>
      </c>
      <c r="G12" s="27">
        <v>2</v>
      </c>
      <c r="H12" s="88"/>
      <c r="I12" s="88"/>
      <c r="J12" s="88"/>
      <c r="K12" s="88"/>
      <c r="L12" s="88"/>
      <c r="M12" s="92"/>
    </row>
    <row r="13" spans="1:18" ht="15.75">
      <c r="A13" s="44" t="s">
        <v>219</v>
      </c>
      <c r="B13" s="45"/>
      <c r="C13" s="42"/>
      <c r="D13" s="46"/>
      <c r="E13" s="76">
        <v>7</v>
      </c>
      <c r="F13" s="42">
        <v>25</v>
      </c>
      <c r="G13" s="42">
        <v>2</v>
      </c>
      <c r="H13" s="42"/>
      <c r="I13" s="42"/>
      <c r="J13" s="42"/>
      <c r="K13" s="42"/>
      <c r="L13" s="42"/>
      <c r="M13" s="43"/>
      <c r="R13" s="47" t="s">
        <v>257</v>
      </c>
    </row>
    <row r="14" spans="1:18">
      <c r="A14" s="27"/>
      <c r="B14" s="27"/>
      <c r="C14" s="27"/>
      <c r="D14" s="26"/>
      <c r="E14" s="27"/>
      <c r="F14" s="27"/>
      <c r="G14" s="27"/>
    </row>
    <row r="15" spans="1:18" ht="15.75">
      <c r="A15" s="27"/>
      <c r="B15" s="8"/>
      <c r="C15" s="27"/>
      <c r="D15" s="26"/>
      <c r="E15" s="27"/>
      <c r="F15" s="27"/>
      <c r="G15" s="27"/>
      <c r="L15" s="48" t="s">
        <v>221</v>
      </c>
    </row>
    <row r="17" spans="1:7" ht="15.75">
      <c r="A17" s="27"/>
      <c r="B17" s="8"/>
      <c r="C17" s="27"/>
      <c r="D17" s="26"/>
      <c r="E17" s="27"/>
      <c r="F17" s="27"/>
      <c r="G17" s="27"/>
    </row>
    <row r="18" spans="1:7" ht="15.75">
      <c r="A18" s="8"/>
      <c r="B18" s="8"/>
      <c r="C18" s="27"/>
      <c r="D18" s="9"/>
      <c r="E18" s="10"/>
      <c r="F18" s="10"/>
      <c r="G18" s="10"/>
    </row>
    <row r="19" spans="1:7">
      <c r="A19" s="27"/>
      <c r="B19" s="27"/>
      <c r="C19" s="27"/>
      <c r="D19" s="27"/>
      <c r="E19" s="27"/>
      <c r="F19" s="27"/>
      <c r="G19" s="27"/>
    </row>
    <row r="20" spans="1:7">
      <c r="A20" s="27"/>
      <c r="B20" s="27"/>
      <c r="C20" s="27"/>
      <c r="D20" s="27"/>
      <c r="E20" s="27"/>
      <c r="F20" s="27"/>
      <c r="G20" s="27"/>
    </row>
    <row r="21" spans="1:7">
      <c r="A21" s="27"/>
      <c r="B21" s="27"/>
      <c r="C21" s="27"/>
      <c r="D21" s="27"/>
      <c r="E21" s="27"/>
      <c r="F21" s="27"/>
      <c r="G21" s="27"/>
    </row>
  </sheetData>
  <mergeCells count="8">
    <mergeCell ref="H4:J4"/>
    <mergeCell ref="K4:M4"/>
    <mergeCell ref="H7:H12"/>
    <mergeCell ref="I7:I12"/>
    <mergeCell ref="J7:J12"/>
    <mergeCell ref="K7:K12"/>
    <mergeCell ref="L7:L12"/>
    <mergeCell ref="M7:M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I1" workbookViewId="0">
      <selection activeCell="L10" sqref="L10:L21"/>
    </sheetView>
  </sheetViews>
  <sheetFormatPr defaultRowHeight="15"/>
  <cols>
    <col min="1" max="1" width="32.85546875" style="47" customWidth="1"/>
    <col min="2" max="2" width="27.85546875" style="47" bestFit="1" customWidth="1"/>
    <col min="3" max="3" width="16.85546875" style="47" bestFit="1" customWidth="1"/>
    <col min="4" max="4" width="16" style="47" bestFit="1" customWidth="1"/>
    <col min="5" max="5" width="12.5703125" style="47" bestFit="1" customWidth="1"/>
    <col min="6" max="7" width="12.5703125" style="47" customWidth="1"/>
    <col min="8" max="8" width="26.42578125" style="47" customWidth="1"/>
    <col min="9" max="10" width="9.140625" style="47"/>
    <col min="11" max="11" width="24.85546875" style="47" bestFit="1" customWidth="1"/>
    <col min="12" max="12" width="7.42578125" style="47" customWidth="1"/>
    <col min="13" max="14" width="9.140625" style="47"/>
    <col min="15" max="15" width="21.85546875" style="47" customWidth="1"/>
    <col min="16" max="16" width="21.7109375" style="47" customWidth="1"/>
    <col min="17" max="16384" width="9.140625" style="47"/>
  </cols>
  <sheetData>
    <row r="1" spans="1:18">
      <c r="A1" s="48" t="s">
        <v>264</v>
      </c>
    </row>
    <row r="2" spans="1:18">
      <c r="A2" s="3" t="s">
        <v>265</v>
      </c>
    </row>
    <row r="3" spans="1:18">
      <c r="A3" s="47" t="s">
        <v>266</v>
      </c>
    </row>
    <row r="4" spans="1:18" ht="30">
      <c r="A4" s="48"/>
      <c r="B4" s="48" t="s">
        <v>160</v>
      </c>
      <c r="C4" s="48" t="s">
        <v>161</v>
      </c>
      <c r="D4" s="48" t="s">
        <v>162</v>
      </c>
      <c r="E4" s="48" t="s">
        <v>163</v>
      </c>
      <c r="F4" s="48" t="s">
        <v>164</v>
      </c>
      <c r="G4" s="48" t="s">
        <v>165</v>
      </c>
      <c r="H4" s="86" t="s">
        <v>267</v>
      </c>
      <c r="I4" s="86"/>
      <c r="J4" s="86"/>
      <c r="K4" s="86" t="s">
        <v>167</v>
      </c>
      <c r="L4" s="86"/>
      <c r="M4" s="86"/>
      <c r="O4" s="49" t="s">
        <v>168</v>
      </c>
    </row>
    <row r="5" spans="1:18">
      <c r="A5" s="36"/>
      <c r="B5" s="37"/>
      <c r="C5" s="37"/>
      <c r="D5" s="37"/>
      <c r="E5" s="37"/>
      <c r="F5" s="37"/>
      <c r="G5" s="37"/>
      <c r="H5" s="40"/>
      <c r="I5" s="40"/>
      <c r="J5" s="40"/>
      <c r="K5" s="40"/>
      <c r="L5" s="40"/>
      <c r="M5" s="41"/>
      <c r="O5" s="47">
        <f>E5*1</f>
        <v>0</v>
      </c>
      <c r="R5" s="47" t="s">
        <v>177</v>
      </c>
    </row>
    <row r="6" spans="1:18" ht="15" customHeight="1">
      <c r="A6" s="22" t="s">
        <v>268</v>
      </c>
      <c r="B6" s="23"/>
      <c r="C6" s="23"/>
      <c r="D6" s="23"/>
      <c r="E6" s="23"/>
      <c r="F6" s="23"/>
      <c r="G6" s="23"/>
      <c r="H6" s="93"/>
      <c r="I6" s="93"/>
      <c r="J6" s="93"/>
      <c r="K6" s="93"/>
      <c r="L6" s="93"/>
      <c r="M6" s="95"/>
      <c r="O6" s="47">
        <f t="shared" ref="O6:O8" si="0">E6*50</f>
        <v>0</v>
      </c>
      <c r="R6" s="47" t="s">
        <v>226</v>
      </c>
    </row>
    <row r="7" spans="1:18" ht="15" customHeight="1">
      <c r="A7" s="25" t="s">
        <v>269</v>
      </c>
      <c r="B7" s="27"/>
      <c r="C7" s="27">
        <v>0</v>
      </c>
      <c r="D7" s="27">
        <f>C7+E7</f>
        <v>12</v>
      </c>
      <c r="E7" s="27">
        <v>12</v>
      </c>
      <c r="F7" s="27">
        <v>25</v>
      </c>
      <c r="G7" s="27">
        <v>3</v>
      </c>
      <c r="H7" s="87"/>
      <c r="I7" s="87"/>
      <c r="J7" s="87"/>
      <c r="K7" s="87"/>
      <c r="L7" s="87"/>
      <c r="M7" s="91"/>
    </row>
    <row r="8" spans="1:18" ht="15" customHeight="1">
      <c r="A8" s="19" t="s">
        <v>270</v>
      </c>
      <c r="B8" s="21">
        <v>8</v>
      </c>
      <c r="C8" s="21">
        <f>D7</f>
        <v>12</v>
      </c>
      <c r="D8" s="27">
        <f>C8+E8</f>
        <v>24</v>
      </c>
      <c r="E8" s="21">
        <v>12</v>
      </c>
      <c r="F8" s="21">
        <v>25</v>
      </c>
      <c r="G8" s="21">
        <v>3</v>
      </c>
      <c r="H8" s="88"/>
      <c r="I8" s="88"/>
      <c r="J8" s="88"/>
      <c r="K8" s="88"/>
      <c r="L8" s="88"/>
      <c r="M8" s="92"/>
      <c r="O8" s="47">
        <f t="shared" si="0"/>
        <v>600</v>
      </c>
    </row>
    <row r="9" spans="1:18" ht="15.75">
      <c r="A9" s="13" t="s">
        <v>190</v>
      </c>
      <c r="B9" s="42">
        <v>7</v>
      </c>
      <c r="C9" s="23">
        <f>D8</f>
        <v>24</v>
      </c>
      <c r="D9" s="14">
        <f>C9+E9</f>
        <v>29</v>
      </c>
      <c r="E9" s="15">
        <v>5</v>
      </c>
      <c r="F9" s="15">
        <v>25</v>
      </c>
      <c r="G9" s="15">
        <v>2</v>
      </c>
      <c r="H9" s="16"/>
      <c r="I9" s="17"/>
      <c r="J9" s="16"/>
      <c r="K9" s="16" t="s">
        <v>191</v>
      </c>
      <c r="L9" s="17">
        <v>5</v>
      </c>
      <c r="M9" s="18" t="s">
        <v>182</v>
      </c>
      <c r="O9" s="50">
        <f>E9</f>
        <v>5</v>
      </c>
      <c r="R9" s="47" t="s">
        <v>228</v>
      </c>
    </row>
    <row r="10" spans="1:18" ht="15" customHeight="1">
      <c r="A10" s="22" t="s">
        <v>229</v>
      </c>
      <c r="B10" s="23">
        <v>8</v>
      </c>
      <c r="C10" s="23">
        <f t="shared" ref="C10:C19" si="1">D9</f>
        <v>29</v>
      </c>
      <c r="D10" s="24">
        <f>C10+E10</f>
        <v>31</v>
      </c>
      <c r="E10" s="23">
        <v>2</v>
      </c>
      <c r="F10" s="23">
        <v>25</v>
      </c>
      <c r="G10" s="23">
        <v>2</v>
      </c>
      <c r="H10" s="93" t="s">
        <v>271</v>
      </c>
      <c r="I10" s="93">
        <f>SUM(E10:E21)</f>
        <v>29.5</v>
      </c>
      <c r="J10" s="93" t="s">
        <v>182</v>
      </c>
      <c r="K10" s="93" t="s">
        <v>198</v>
      </c>
      <c r="L10" s="93">
        <f>I10:I19</f>
        <v>29.5</v>
      </c>
      <c r="M10" s="95" t="s">
        <v>182</v>
      </c>
      <c r="O10" s="47">
        <f>E10</f>
        <v>2</v>
      </c>
      <c r="R10" s="47" t="s">
        <v>231</v>
      </c>
    </row>
    <row r="11" spans="1:18" ht="15.75" customHeight="1">
      <c r="A11" s="25" t="s">
        <v>232</v>
      </c>
      <c r="B11" s="27">
        <v>9</v>
      </c>
      <c r="C11" s="27">
        <f t="shared" si="1"/>
        <v>31</v>
      </c>
      <c r="D11" s="26">
        <f t="shared" ref="D11:D19" si="2">C11+E11</f>
        <v>32</v>
      </c>
      <c r="E11" s="27">
        <v>1</v>
      </c>
      <c r="F11" s="27">
        <v>25</v>
      </c>
      <c r="G11" s="27">
        <v>2</v>
      </c>
      <c r="H11" s="87"/>
      <c r="I11" s="87"/>
      <c r="J11" s="87"/>
      <c r="K11" s="87"/>
      <c r="L11" s="87"/>
      <c r="M11" s="91"/>
      <c r="O11" s="47">
        <f t="shared" ref="O11:O19" si="3">E11</f>
        <v>1</v>
      </c>
    </row>
    <row r="12" spans="1:18" ht="15" customHeight="1">
      <c r="A12" s="25" t="s">
        <v>233</v>
      </c>
      <c r="B12" s="27">
        <v>10</v>
      </c>
      <c r="C12" s="27">
        <f t="shared" si="1"/>
        <v>32</v>
      </c>
      <c r="D12" s="26">
        <f t="shared" si="2"/>
        <v>35</v>
      </c>
      <c r="E12" s="27">
        <v>3</v>
      </c>
      <c r="F12" s="27">
        <v>25</v>
      </c>
      <c r="G12" s="27">
        <v>2</v>
      </c>
      <c r="H12" s="87"/>
      <c r="I12" s="87"/>
      <c r="J12" s="87"/>
      <c r="K12" s="87"/>
      <c r="L12" s="87"/>
      <c r="M12" s="91"/>
      <c r="O12" s="47">
        <f t="shared" si="3"/>
        <v>3</v>
      </c>
    </row>
    <row r="13" spans="1:18" ht="15.75" customHeight="1">
      <c r="A13" s="25" t="s">
        <v>234</v>
      </c>
      <c r="B13" s="27">
        <v>11</v>
      </c>
      <c r="C13" s="27">
        <f t="shared" si="1"/>
        <v>35</v>
      </c>
      <c r="D13" s="26">
        <f t="shared" si="2"/>
        <v>36</v>
      </c>
      <c r="E13" s="27">
        <v>1</v>
      </c>
      <c r="F13" s="27">
        <v>15</v>
      </c>
      <c r="G13" s="27">
        <v>2</v>
      </c>
      <c r="H13" s="87"/>
      <c r="I13" s="87"/>
      <c r="J13" s="87"/>
      <c r="K13" s="87"/>
      <c r="L13" s="87"/>
      <c r="M13" s="91"/>
      <c r="O13" s="47">
        <f t="shared" si="3"/>
        <v>1</v>
      </c>
    </row>
    <row r="14" spans="1:18" ht="15" customHeight="1">
      <c r="A14" s="25" t="s">
        <v>235</v>
      </c>
      <c r="B14" s="27">
        <v>12</v>
      </c>
      <c r="C14" s="27">
        <f t="shared" si="1"/>
        <v>36</v>
      </c>
      <c r="D14" s="26">
        <f t="shared" si="2"/>
        <v>37</v>
      </c>
      <c r="E14" s="27">
        <v>1</v>
      </c>
      <c r="F14" s="27">
        <v>15</v>
      </c>
      <c r="G14" s="27">
        <v>2</v>
      </c>
      <c r="H14" s="87"/>
      <c r="I14" s="87"/>
      <c r="J14" s="87"/>
      <c r="K14" s="87"/>
      <c r="L14" s="87"/>
      <c r="M14" s="91"/>
      <c r="O14" s="47">
        <f t="shared" si="3"/>
        <v>1</v>
      </c>
    </row>
    <row r="15" spans="1:18" ht="15.75" customHeight="1">
      <c r="A15" s="25" t="s">
        <v>236</v>
      </c>
      <c r="B15" s="27">
        <v>13</v>
      </c>
      <c r="C15" s="27">
        <f t="shared" si="1"/>
        <v>37</v>
      </c>
      <c r="D15" s="26">
        <f t="shared" si="2"/>
        <v>38.5</v>
      </c>
      <c r="E15" s="27">
        <v>1.5</v>
      </c>
      <c r="F15" s="27">
        <v>15</v>
      </c>
      <c r="G15" s="27">
        <v>2</v>
      </c>
      <c r="H15" s="87"/>
      <c r="I15" s="87"/>
      <c r="J15" s="87"/>
      <c r="K15" s="87"/>
      <c r="L15" s="87"/>
      <c r="M15" s="91"/>
      <c r="O15" s="47">
        <f t="shared" si="3"/>
        <v>1.5</v>
      </c>
    </row>
    <row r="16" spans="1:18" ht="15" customHeight="1">
      <c r="A16" s="25" t="s">
        <v>237</v>
      </c>
      <c r="B16" s="27">
        <v>14</v>
      </c>
      <c r="C16" s="27">
        <f t="shared" si="1"/>
        <v>38.5</v>
      </c>
      <c r="D16" s="26">
        <f t="shared" si="2"/>
        <v>39.5</v>
      </c>
      <c r="E16" s="27">
        <v>1</v>
      </c>
      <c r="F16" s="27">
        <v>25</v>
      </c>
      <c r="G16" s="27">
        <v>2</v>
      </c>
      <c r="H16" s="87"/>
      <c r="I16" s="87"/>
      <c r="J16" s="87"/>
      <c r="K16" s="87"/>
      <c r="L16" s="87"/>
      <c r="M16" s="91"/>
      <c r="O16" s="47">
        <f t="shared" si="3"/>
        <v>1</v>
      </c>
    </row>
    <row r="17" spans="1:18" ht="15.75" customHeight="1">
      <c r="A17" s="25" t="s">
        <v>238</v>
      </c>
      <c r="B17" s="27">
        <v>15</v>
      </c>
      <c r="C17" s="27">
        <f t="shared" si="1"/>
        <v>39.5</v>
      </c>
      <c r="D17" s="26">
        <f t="shared" si="2"/>
        <v>41.5</v>
      </c>
      <c r="E17" s="27">
        <v>2</v>
      </c>
      <c r="F17" s="27">
        <v>25</v>
      </c>
      <c r="G17" s="27">
        <v>2</v>
      </c>
      <c r="H17" s="87"/>
      <c r="I17" s="87"/>
      <c r="J17" s="87"/>
      <c r="K17" s="87"/>
      <c r="L17" s="87"/>
      <c r="M17" s="91"/>
      <c r="O17" s="47">
        <f t="shared" si="3"/>
        <v>2</v>
      </c>
    </row>
    <row r="18" spans="1:18" ht="15" customHeight="1">
      <c r="A18" s="25" t="s">
        <v>239</v>
      </c>
      <c r="B18" s="27">
        <v>16</v>
      </c>
      <c r="C18" s="27">
        <f t="shared" si="1"/>
        <v>41.5</v>
      </c>
      <c r="D18" s="26">
        <f t="shared" si="2"/>
        <v>42.5</v>
      </c>
      <c r="E18" s="27">
        <v>1</v>
      </c>
      <c r="F18" s="27">
        <v>15</v>
      </c>
      <c r="G18" s="27">
        <v>2</v>
      </c>
      <c r="H18" s="87"/>
      <c r="I18" s="87"/>
      <c r="J18" s="87"/>
      <c r="K18" s="87"/>
      <c r="L18" s="87"/>
      <c r="M18" s="91"/>
      <c r="O18" s="47">
        <f t="shared" si="3"/>
        <v>1</v>
      </c>
    </row>
    <row r="19" spans="1:18" ht="15.75" customHeight="1">
      <c r="A19" s="25" t="s">
        <v>240</v>
      </c>
      <c r="B19" s="27">
        <v>17</v>
      </c>
      <c r="C19" s="27">
        <f t="shared" si="1"/>
        <v>42.5</v>
      </c>
      <c r="D19" s="26">
        <f t="shared" si="2"/>
        <v>46.5</v>
      </c>
      <c r="E19" s="27">
        <v>4</v>
      </c>
      <c r="F19" s="21">
        <v>15</v>
      </c>
      <c r="G19" s="21">
        <v>2</v>
      </c>
      <c r="H19" s="87"/>
      <c r="I19" s="87"/>
      <c r="J19" s="87"/>
      <c r="K19" s="87"/>
      <c r="L19" s="87"/>
      <c r="M19" s="91"/>
      <c r="O19" s="47">
        <f t="shared" si="3"/>
        <v>4</v>
      </c>
    </row>
    <row r="20" spans="1:18" ht="15.75" customHeight="1">
      <c r="A20" s="25" t="s">
        <v>272</v>
      </c>
      <c r="B20" s="27">
        <v>18</v>
      </c>
      <c r="C20" s="27">
        <f t="shared" ref="C20:C21" si="4">D19</f>
        <v>46.5</v>
      </c>
      <c r="D20" s="26">
        <f t="shared" ref="D20:D21" si="5">C20+E20</f>
        <v>54.5</v>
      </c>
      <c r="E20" s="27">
        <v>8</v>
      </c>
      <c r="F20" s="27">
        <v>15</v>
      </c>
      <c r="G20" s="27">
        <v>2</v>
      </c>
      <c r="H20" s="87"/>
      <c r="I20" s="87"/>
      <c r="J20" s="87"/>
      <c r="K20" s="87"/>
      <c r="L20" s="87"/>
      <c r="M20" s="91"/>
    </row>
    <row r="21" spans="1:18" ht="15.75" customHeight="1">
      <c r="A21" s="19" t="s">
        <v>273</v>
      </c>
      <c r="B21" s="21">
        <v>19</v>
      </c>
      <c r="C21" s="21">
        <f t="shared" si="4"/>
        <v>54.5</v>
      </c>
      <c r="D21" s="20">
        <f t="shared" si="5"/>
        <v>58.5</v>
      </c>
      <c r="E21" s="21">
        <v>4</v>
      </c>
      <c r="F21" s="21">
        <v>15</v>
      </c>
      <c r="G21" s="21">
        <v>2</v>
      </c>
      <c r="H21" s="88"/>
      <c r="I21" s="88"/>
      <c r="J21" s="88"/>
      <c r="K21" s="88"/>
      <c r="L21" s="88"/>
      <c r="M21" s="92"/>
    </row>
    <row r="22" spans="1:18" ht="15.75">
      <c r="A22" s="13" t="s">
        <v>190</v>
      </c>
      <c r="B22" s="21">
        <v>18</v>
      </c>
      <c r="C22" s="14"/>
      <c r="D22" s="14"/>
      <c r="E22" s="15">
        <v>5</v>
      </c>
      <c r="F22" s="15">
        <v>25</v>
      </c>
      <c r="G22" s="15">
        <v>2</v>
      </c>
      <c r="H22" s="16"/>
      <c r="I22" s="17"/>
      <c r="J22" s="16"/>
      <c r="K22" s="16" t="s">
        <v>191</v>
      </c>
      <c r="L22" s="17">
        <v>5</v>
      </c>
      <c r="M22" s="18" t="s">
        <v>182</v>
      </c>
      <c r="O22" s="50">
        <f>E22</f>
        <v>5</v>
      </c>
      <c r="R22" s="47" t="s">
        <v>241</v>
      </c>
    </row>
    <row r="24" spans="1:18">
      <c r="L24" s="48" t="s">
        <v>221</v>
      </c>
      <c r="O24" s="47">
        <f>SUM(O5:O22)/24</f>
        <v>26.145833333333332</v>
      </c>
    </row>
  </sheetData>
  <mergeCells count="14">
    <mergeCell ref="M10:M21"/>
    <mergeCell ref="H4:J4"/>
    <mergeCell ref="K4:M4"/>
    <mergeCell ref="H6:H8"/>
    <mergeCell ref="I6:I8"/>
    <mergeCell ref="J6:J8"/>
    <mergeCell ref="K6:K8"/>
    <mergeCell ref="L6:L8"/>
    <mergeCell ref="M6:M8"/>
    <mergeCell ref="L10:L21"/>
    <mergeCell ref="K10:K21"/>
    <mergeCell ref="H10:H21"/>
    <mergeCell ref="I10:I21"/>
    <mergeCell ref="J10:J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/>
  </sheetViews>
  <sheetFormatPr defaultRowHeight="15"/>
  <cols>
    <col min="1" max="1" width="26.5703125" customWidth="1"/>
    <col min="2" max="2" width="27.85546875" bestFit="1" customWidth="1"/>
    <col min="3" max="3" width="16.85546875" bestFit="1" customWidth="1"/>
    <col min="4" max="4" width="16" bestFit="1" customWidth="1"/>
    <col min="5" max="5" width="12.5703125" bestFit="1" customWidth="1"/>
    <col min="6" max="7" width="12.5703125" style="47" customWidth="1"/>
    <col min="8" max="8" width="24.7109375" bestFit="1" customWidth="1"/>
    <col min="9" max="9" width="5.140625" customWidth="1"/>
    <col min="10" max="10" width="3" customWidth="1"/>
    <col min="11" max="11" width="23.42578125" bestFit="1" customWidth="1"/>
    <col min="12" max="12" width="27" bestFit="1" customWidth="1"/>
    <col min="13" max="13" width="3" customWidth="1"/>
    <col min="15" max="15" width="12.140625" bestFit="1" customWidth="1"/>
  </cols>
  <sheetData>
    <row r="1" spans="1:18">
      <c r="A1" s="48" t="s">
        <v>274</v>
      </c>
      <c r="B1" s="47"/>
      <c r="C1" s="47"/>
      <c r="D1" s="47"/>
      <c r="E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>
      <c r="A2" s="3"/>
      <c r="B2" s="47"/>
      <c r="C2" s="47"/>
      <c r="D2" s="47"/>
      <c r="E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>
      <c r="A3" s="47"/>
      <c r="B3" s="47"/>
      <c r="C3" s="47"/>
      <c r="D3" s="47"/>
      <c r="E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75">
      <c r="A4" s="48"/>
      <c r="B4" s="48" t="s">
        <v>160</v>
      </c>
      <c r="C4" s="48" t="s">
        <v>161</v>
      </c>
      <c r="D4" s="48" t="s">
        <v>162</v>
      </c>
      <c r="E4" s="48" t="s">
        <v>163</v>
      </c>
      <c r="F4" s="48" t="s">
        <v>164</v>
      </c>
      <c r="G4" s="48" t="s">
        <v>165</v>
      </c>
      <c r="H4" s="86" t="s">
        <v>275</v>
      </c>
      <c r="I4" s="86"/>
      <c r="J4" s="86"/>
      <c r="K4" s="86" t="s">
        <v>167</v>
      </c>
      <c r="L4" s="86"/>
      <c r="M4" s="86"/>
      <c r="N4" s="47"/>
      <c r="O4" s="49" t="s">
        <v>168</v>
      </c>
      <c r="P4" s="47"/>
      <c r="Q4" s="47"/>
      <c r="R4" s="47"/>
    </row>
    <row r="5" spans="1:18">
      <c r="A5" s="36" t="s">
        <v>176</v>
      </c>
      <c r="B5" s="37"/>
      <c r="C5" s="37">
        <v>0</v>
      </c>
      <c r="D5" s="37">
        <v>168</v>
      </c>
      <c r="E5" s="37">
        <v>168</v>
      </c>
      <c r="F5" s="37"/>
      <c r="G5" s="37"/>
      <c r="H5" s="40"/>
      <c r="I5" s="40"/>
      <c r="J5" s="40"/>
      <c r="K5" s="40"/>
      <c r="L5" s="40"/>
      <c r="M5" s="41"/>
      <c r="N5" s="47"/>
      <c r="O5" s="47">
        <f>E5*1</f>
        <v>168</v>
      </c>
      <c r="P5" s="47"/>
      <c r="Q5" s="47"/>
      <c r="R5" s="47" t="s">
        <v>177</v>
      </c>
    </row>
    <row r="6" spans="1:18" ht="15.75">
      <c r="A6" s="13" t="s">
        <v>276</v>
      </c>
      <c r="B6" s="42">
        <v>5</v>
      </c>
      <c r="C6" s="23">
        <f>D5</f>
        <v>168</v>
      </c>
      <c r="D6" s="14">
        <f>C6+E6</f>
        <v>172</v>
      </c>
      <c r="E6" s="15">
        <v>4</v>
      </c>
      <c r="F6" s="15">
        <v>25</v>
      </c>
      <c r="G6" s="15">
        <v>3</v>
      </c>
      <c r="H6" s="16"/>
      <c r="I6" s="17"/>
      <c r="J6" s="16"/>
      <c r="K6" s="16" t="s">
        <v>191</v>
      </c>
      <c r="L6" s="17">
        <f>E7+E11</f>
        <v>40</v>
      </c>
      <c r="M6" s="18" t="s">
        <v>182</v>
      </c>
      <c r="N6" s="47"/>
      <c r="O6" s="50">
        <f>E6</f>
        <v>4</v>
      </c>
      <c r="P6" s="47"/>
      <c r="Q6" s="47"/>
      <c r="R6" s="47" t="s">
        <v>277</v>
      </c>
    </row>
    <row r="7" spans="1:18" ht="15.75">
      <c r="A7" s="22" t="s">
        <v>190</v>
      </c>
      <c r="B7" s="23">
        <v>6</v>
      </c>
      <c r="C7" s="23">
        <f t="shared" ref="C7:C11" si="0">D6</f>
        <v>172</v>
      </c>
      <c r="D7" s="14">
        <f t="shared" ref="D7:D11" si="1">C7+E7</f>
        <v>192</v>
      </c>
      <c r="E7" s="23">
        <v>20</v>
      </c>
      <c r="F7" s="23">
        <v>20</v>
      </c>
      <c r="G7" s="23">
        <v>2</v>
      </c>
      <c r="H7" s="93" t="s">
        <v>278</v>
      </c>
      <c r="I7" s="93">
        <f>SUM(E8:E9)</f>
        <v>10.25</v>
      </c>
      <c r="J7" s="93" t="s">
        <v>182</v>
      </c>
      <c r="K7" s="93" t="s">
        <v>198</v>
      </c>
      <c r="L7" s="93">
        <f>SUM(E8:E10)</f>
        <v>20.25</v>
      </c>
      <c r="M7" s="95" t="s">
        <v>182</v>
      </c>
      <c r="N7" s="47"/>
      <c r="O7" s="47">
        <f>E7</f>
        <v>20</v>
      </c>
      <c r="P7" s="47"/>
      <c r="Q7" s="47"/>
      <c r="R7" s="47"/>
    </row>
    <row r="8" spans="1:18" ht="15.75">
      <c r="A8" s="25" t="s">
        <v>279</v>
      </c>
      <c r="B8" s="27"/>
      <c r="C8" s="23">
        <f t="shared" si="0"/>
        <v>192</v>
      </c>
      <c r="D8" s="14">
        <f t="shared" si="1"/>
        <v>202</v>
      </c>
      <c r="E8" s="27">
        <v>10</v>
      </c>
      <c r="F8" s="23">
        <v>20</v>
      </c>
      <c r="G8" s="23">
        <v>2</v>
      </c>
      <c r="H8" s="87"/>
      <c r="I8" s="87"/>
      <c r="J8" s="87"/>
      <c r="K8" s="87"/>
      <c r="L8" s="87"/>
      <c r="M8" s="91"/>
      <c r="N8" s="47"/>
      <c r="O8" s="47">
        <f t="shared" ref="O8:O11" si="2">E8</f>
        <v>10</v>
      </c>
      <c r="P8" s="47"/>
      <c r="Q8" s="47"/>
      <c r="R8" s="47"/>
    </row>
    <row r="9" spans="1:18" ht="15.75">
      <c r="A9" s="25" t="s">
        <v>280</v>
      </c>
      <c r="B9" s="27"/>
      <c r="C9" s="23">
        <f t="shared" si="0"/>
        <v>202</v>
      </c>
      <c r="D9" s="14">
        <f t="shared" si="1"/>
        <v>202.25</v>
      </c>
      <c r="E9" s="27">
        <v>0.25</v>
      </c>
      <c r="F9" s="23">
        <v>20</v>
      </c>
      <c r="G9" s="23">
        <v>2</v>
      </c>
      <c r="H9" s="87"/>
      <c r="I9" s="87"/>
      <c r="J9" s="87"/>
      <c r="K9" s="87"/>
      <c r="L9" s="87"/>
      <c r="M9" s="91"/>
      <c r="N9" s="47"/>
      <c r="O9" s="47">
        <f t="shared" si="2"/>
        <v>0.25</v>
      </c>
      <c r="P9" s="47"/>
      <c r="Q9" s="47"/>
      <c r="R9" s="47"/>
    </row>
    <row r="10" spans="1:18" ht="15.75">
      <c r="A10" s="25" t="s">
        <v>279</v>
      </c>
      <c r="B10" s="27"/>
      <c r="C10" s="23">
        <f t="shared" si="0"/>
        <v>202.25</v>
      </c>
      <c r="D10" s="14">
        <f t="shared" si="1"/>
        <v>212.25</v>
      </c>
      <c r="E10" s="27">
        <v>10</v>
      </c>
      <c r="F10" s="23">
        <v>20</v>
      </c>
      <c r="G10" s="23">
        <v>2</v>
      </c>
      <c r="H10" s="87"/>
      <c r="I10" s="87"/>
      <c r="J10" s="87"/>
      <c r="K10" s="87"/>
      <c r="L10" s="87"/>
      <c r="M10" s="91"/>
      <c r="N10" s="47"/>
      <c r="O10" s="47">
        <f t="shared" si="2"/>
        <v>10</v>
      </c>
      <c r="P10" s="47"/>
      <c r="Q10" s="47"/>
      <c r="R10" s="47"/>
    </row>
    <row r="11" spans="1:18" ht="15.75">
      <c r="A11" s="25" t="s">
        <v>219</v>
      </c>
      <c r="B11" s="27"/>
      <c r="C11" s="23">
        <f t="shared" si="0"/>
        <v>212.25</v>
      </c>
      <c r="D11" s="14">
        <f t="shared" si="1"/>
        <v>232.25</v>
      </c>
      <c r="E11" s="27">
        <v>20</v>
      </c>
      <c r="F11" s="23">
        <v>20</v>
      </c>
      <c r="G11" s="23">
        <v>2</v>
      </c>
      <c r="H11" s="87"/>
      <c r="I11" s="87"/>
      <c r="J11" s="87"/>
      <c r="K11" s="87"/>
      <c r="L11" s="87"/>
      <c r="M11" s="91"/>
      <c r="N11" s="47"/>
      <c r="O11" s="47">
        <f t="shared" si="2"/>
        <v>20</v>
      </c>
      <c r="P11" s="47"/>
      <c r="Q11" s="47"/>
      <c r="R11" s="47"/>
    </row>
    <row r="12" spans="1:18">
      <c r="A12" s="47"/>
      <c r="B12" s="47"/>
      <c r="C12" s="47"/>
      <c r="D12" s="47"/>
      <c r="E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1:18">
      <c r="A13" s="47"/>
      <c r="B13" s="47"/>
      <c r="C13" s="47"/>
      <c r="D13" s="47"/>
      <c r="E13" s="47"/>
      <c r="H13" s="47"/>
      <c r="I13" s="47"/>
      <c r="J13" s="47"/>
      <c r="K13" s="47"/>
      <c r="L13" s="48" t="s">
        <v>221</v>
      </c>
      <c r="M13" s="47"/>
      <c r="N13" s="47"/>
      <c r="O13" s="47">
        <f>SUM(O5:O11)/24</f>
        <v>9.6770833333333339</v>
      </c>
      <c r="P13" s="47"/>
      <c r="Q13" s="47"/>
      <c r="R13" s="47"/>
    </row>
    <row r="14" spans="1:18">
      <c r="A14" s="47"/>
      <c r="B14" s="47"/>
      <c r="C14" s="47"/>
      <c r="D14" s="47"/>
      <c r="E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</row>
    <row r="15" spans="1:18">
      <c r="A15" s="47"/>
      <c r="B15" s="47"/>
      <c r="C15" s="47"/>
      <c r="D15" s="47"/>
      <c r="E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</row>
    <row r="16" spans="1:18">
      <c r="A16" s="47"/>
      <c r="B16" s="47"/>
      <c r="C16" s="47"/>
      <c r="D16" s="47"/>
      <c r="E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</row>
    <row r="17" spans="1:18">
      <c r="A17" s="47"/>
      <c r="B17" s="47"/>
      <c r="C17" s="47"/>
      <c r="D17" s="47"/>
      <c r="E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 spans="1:18">
      <c r="A18" s="47"/>
      <c r="B18" s="47"/>
      <c r="C18" s="47"/>
      <c r="D18" s="47"/>
      <c r="E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 spans="1:18">
      <c r="A19" s="47"/>
      <c r="B19" s="47"/>
      <c r="C19" s="47"/>
      <c r="D19" s="47"/>
      <c r="E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 spans="1:18">
      <c r="A20" s="47"/>
      <c r="B20" s="47"/>
      <c r="C20" s="47"/>
      <c r="D20" s="47"/>
      <c r="E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spans="1:18">
      <c r="A21" s="47"/>
      <c r="B21" s="47"/>
      <c r="C21" s="47"/>
      <c r="D21" s="47"/>
      <c r="E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spans="1:18">
      <c r="A22" s="47"/>
      <c r="B22" s="47"/>
      <c r="C22" s="47"/>
      <c r="D22" s="47"/>
      <c r="E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 spans="1:18">
      <c r="A23" s="47"/>
      <c r="B23" s="47"/>
      <c r="C23" s="47"/>
      <c r="D23" s="47"/>
      <c r="E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</row>
  </sheetData>
  <mergeCells count="8">
    <mergeCell ref="M7:M11"/>
    <mergeCell ref="H4:J4"/>
    <mergeCell ref="K4:M4"/>
    <mergeCell ref="H7:H11"/>
    <mergeCell ref="I7:I11"/>
    <mergeCell ref="J7:J11"/>
    <mergeCell ref="K7:K11"/>
    <mergeCell ref="L7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8" sqref="E8"/>
    </sheetView>
  </sheetViews>
  <sheetFormatPr defaultRowHeight="15"/>
  <cols>
    <col min="1" max="1" width="27.42578125" customWidth="1"/>
  </cols>
  <sheetData>
    <row r="1" spans="1:3">
      <c r="A1" s="47" t="s">
        <v>18</v>
      </c>
      <c r="B1" s="47"/>
      <c r="C1" s="47"/>
    </row>
    <row r="2" spans="1:3">
      <c r="A2" s="47" t="s">
        <v>19</v>
      </c>
      <c r="B2" s="47"/>
      <c r="C2" s="47"/>
    </row>
    <row r="4" spans="1:3">
      <c r="A4" s="47" t="s">
        <v>20</v>
      </c>
      <c r="B4" s="58" t="s">
        <v>21</v>
      </c>
      <c r="C4" s="47"/>
    </row>
    <row r="5" spans="1:3">
      <c r="A5" s="47" t="s">
        <v>22</v>
      </c>
      <c r="B5" s="58" t="s">
        <v>23</v>
      </c>
      <c r="C5" s="47"/>
    </row>
    <row r="6" spans="1:3">
      <c r="A6" s="47" t="s">
        <v>24</v>
      </c>
      <c r="B6" s="58" t="s">
        <v>25</v>
      </c>
      <c r="C6" s="47"/>
    </row>
    <row r="7" spans="1:3">
      <c r="A7" s="47" t="s">
        <v>26</v>
      </c>
      <c r="B7" s="58" t="s">
        <v>27</v>
      </c>
      <c r="C7" s="47"/>
    </row>
    <row r="8" spans="1:3">
      <c r="A8" s="47" t="s">
        <v>28</v>
      </c>
      <c r="B8" s="58" t="s">
        <v>29</v>
      </c>
      <c r="C8" s="47"/>
    </row>
    <row r="9" spans="1:3">
      <c r="A9" s="47" t="s">
        <v>30</v>
      </c>
      <c r="B9" s="58" t="s">
        <v>31</v>
      </c>
      <c r="C9" s="47"/>
    </row>
    <row r="10" spans="1:3">
      <c r="A10" s="47" t="s">
        <v>32</v>
      </c>
      <c r="B10" s="58" t="s">
        <v>33</v>
      </c>
      <c r="C10" s="47" t="s">
        <v>34</v>
      </c>
    </row>
    <row r="11" spans="1:3">
      <c r="A11" s="47" t="s">
        <v>35</v>
      </c>
      <c r="B11" s="58" t="s">
        <v>36</v>
      </c>
      <c r="C11" s="47" t="s">
        <v>37</v>
      </c>
    </row>
    <row r="12" spans="1:3">
      <c r="A12" s="47" t="s">
        <v>38</v>
      </c>
      <c r="B12" s="58" t="s">
        <v>39</v>
      </c>
      <c r="C12" s="47"/>
    </row>
    <row r="13" spans="1:3">
      <c r="A13" s="47" t="s">
        <v>40</v>
      </c>
      <c r="B13" s="58">
        <v>2</v>
      </c>
      <c r="C13" s="47"/>
    </row>
    <row r="14" spans="1:3">
      <c r="A14" s="47" t="s">
        <v>41</v>
      </c>
      <c r="B14" s="58" t="s">
        <v>42</v>
      </c>
      <c r="C14" s="4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1"/>
  <sheetViews>
    <sheetView topLeftCell="A34" zoomScale="80" zoomScaleNormal="80" workbookViewId="0">
      <selection activeCell="D41" sqref="D41"/>
    </sheetView>
  </sheetViews>
  <sheetFormatPr defaultColWidth="9.85546875" defaultRowHeight="15"/>
  <cols>
    <col min="1" max="1" width="22.42578125" customWidth="1"/>
    <col min="2" max="2" width="33.5703125" bestFit="1" customWidth="1"/>
    <col min="3" max="3" width="29.42578125" customWidth="1"/>
    <col min="4" max="4" width="28.5703125" bestFit="1" customWidth="1"/>
    <col min="5" max="5" width="30.140625" customWidth="1"/>
    <col min="6" max="6" width="32.5703125" customWidth="1"/>
    <col min="7" max="7" width="12.85546875" bestFit="1" customWidth="1"/>
    <col min="8" max="8" width="29.140625" bestFit="1" customWidth="1"/>
    <col min="9" max="9" width="12.85546875" bestFit="1" customWidth="1"/>
    <col min="10" max="10" width="38" customWidth="1"/>
    <col min="11" max="11" width="13.42578125" bestFit="1" customWidth="1"/>
    <col min="12" max="12" width="32.7109375" bestFit="1" customWidth="1"/>
    <col min="13" max="13" width="25.85546875" customWidth="1"/>
    <col min="14" max="14" width="32.7109375" bestFit="1" customWidth="1"/>
  </cols>
  <sheetData>
    <row r="1" spans="1:17">
      <c r="A1" s="47" t="s">
        <v>281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15.75">
      <c r="A2" s="100" t="s">
        <v>282</v>
      </c>
      <c r="B2" s="100"/>
      <c r="C2" s="100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ht="15.75">
      <c r="A3" s="28" t="s">
        <v>283</v>
      </c>
      <c r="B3" s="29" t="s">
        <v>284</v>
      </c>
      <c r="C3" s="29" t="s">
        <v>285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15.75">
      <c r="A4" s="30" t="s">
        <v>286</v>
      </c>
      <c r="B4" s="47"/>
      <c r="C4" s="47"/>
      <c r="D4" s="30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15.75">
      <c r="A5" s="30" t="s">
        <v>287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ht="15.75">
      <c r="A6" s="30" t="s">
        <v>288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ht="15.75">
      <c r="A7" s="30" t="s">
        <v>289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1:17" ht="15.75">
      <c r="A8" s="30" t="s">
        <v>290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15.75">
      <c r="A9" s="30" t="s">
        <v>170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5.75">
      <c r="A10" s="100" t="s">
        <v>291</v>
      </c>
      <c r="B10" s="100"/>
      <c r="C10" s="100"/>
      <c r="D10" s="100"/>
      <c r="E10" s="100"/>
      <c r="F10" s="100"/>
      <c r="G10" s="100"/>
      <c r="H10" s="100"/>
      <c r="I10" s="100"/>
      <c r="J10" s="54"/>
      <c r="K10" s="54"/>
      <c r="L10" s="54"/>
      <c r="M10" s="54"/>
      <c r="N10" s="47"/>
      <c r="O10" s="47"/>
      <c r="P10" s="47"/>
      <c r="Q10" s="47"/>
    </row>
    <row r="11" spans="1:17" ht="15.75">
      <c r="A11" s="79"/>
      <c r="B11" s="79"/>
      <c r="C11" s="79"/>
      <c r="D11" s="79" t="s">
        <v>292</v>
      </c>
      <c r="E11" s="79"/>
      <c r="F11" s="79"/>
      <c r="G11" s="79"/>
      <c r="H11" s="79"/>
      <c r="I11" s="79"/>
      <c r="J11" s="55" t="s">
        <v>293</v>
      </c>
      <c r="K11" s="55"/>
      <c r="L11" s="55"/>
      <c r="M11" s="55"/>
      <c r="N11" s="47"/>
      <c r="O11" s="47"/>
      <c r="P11" s="47"/>
      <c r="Q11" s="47"/>
    </row>
    <row r="12" spans="1:17" ht="15.75">
      <c r="A12" s="28" t="s">
        <v>283</v>
      </c>
      <c r="B12" s="29" t="s">
        <v>294</v>
      </c>
      <c r="C12" s="29" t="s">
        <v>285</v>
      </c>
      <c r="D12" s="29" t="s">
        <v>295</v>
      </c>
      <c r="E12" s="29" t="s">
        <v>285</v>
      </c>
      <c r="F12" s="29" t="s">
        <v>296</v>
      </c>
      <c r="G12" s="29" t="s">
        <v>285</v>
      </c>
      <c r="H12" s="29" t="s">
        <v>297</v>
      </c>
      <c r="I12" s="29" t="s">
        <v>285</v>
      </c>
      <c r="J12" s="31" t="s">
        <v>298</v>
      </c>
      <c r="K12" s="31" t="s">
        <v>285</v>
      </c>
      <c r="L12" s="31" t="s">
        <v>299</v>
      </c>
      <c r="M12" s="31" t="s">
        <v>285</v>
      </c>
      <c r="N12" s="47"/>
      <c r="O12" s="47"/>
      <c r="P12" s="47"/>
      <c r="Q12" s="47"/>
    </row>
    <row r="13" spans="1:17" ht="15.75">
      <c r="A13" s="30" t="s">
        <v>286</v>
      </c>
      <c r="B13" s="47">
        <v>39.799999999999997</v>
      </c>
      <c r="C13" s="47"/>
      <c r="D13" s="47" t="s">
        <v>300</v>
      </c>
      <c r="E13" s="47"/>
      <c r="F13" s="47">
        <v>20.2</v>
      </c>
      <c r="G13" s="47"/>
      <c r="H13" s="47">
        <v>81.8</v>
      </c>
      <c r="I13" s="47"/>
      <c r="J13" s="47">
        <v>3.9</v>
      </c>
      <c r="K13" s="47"/>
      <c r="L13" s="47"/>
      <c r="M13" s="47"/>
      <c r="N13" s="47" t="s">
        <v>301</v>
      </c>
      <c r="O13" s="47"/>
      <c r="P13" s="47"/>
      <c r="Q13" s="47"/>
    </row>
    <row r="14" spans="1:17" ht="15.75">
      <c r="A14" s="30" t="s">
        <v>287</v>
      </c>
      <c r="B14" s="47">
        <v>498.2</v>
      </c>
      <c r="C14" s="47"/>
      <c r="D14" s="47">
        <v>460</v>
      </c>
      <c r="E14" s="47" t="s">
        <v>300</v>
      </c>
      <c r="F14" s="47">
        <v>18.3</v>
      </c>
      <c r="G14" s="47">
        <v>-4.0201005030000001</v>
      </c>
      <c r="H14" s="47">
        <v>81</v>
      </c>
      <c r="I14" s="47">
        <v>21.47651007</v>
      </c>
      <c r="J14" s="47">
        <v>13</v>
      </c>
      <c r="K14" s="47"/>
      <c r="L14" s="47">
        <v>2.6</v>
      </c>
      <c r="M14" s="47"/>
      <c r="N14" s="47"/>
      <c r="O14" s="47"/>
      <c r="P14" s="47"/>
      <c r="Q14" s="47"/>
    </row>
    <row r="15" spans="1:17" ht="15.75">
      <c r="A15" s="30" t="s">
        <v>288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</row>
    <row r="16" spans="1:17" ht="15.75">
      <c r="A16" s="30" t="s">
        <v>289</v>
      </c>
      <c r="B16" s="47"/>
      <c r="C16" s="47"/>
      <c r="D16" s="47"/>
      <c r="E16" s="47"/>
      <c r="F16" s="47">
        <v>17.07</v>
      </c>
      <c r="G16" s="47">
        <f>100*(F16-$F$13)/$F$13</f>
        <v>-15.49504950495049</v>
      </c>
      <c r="H16" s="47">
        <v>85.37</v>
      </c>
      <c r="I16" s="47">
        <f>100*(H16-$H$13)/$H$13</f>
        <v>4.3643031784841169</v>
      </c>
      <c r="J16" s="47">
        <v>4.12</v>
      </c>
      <c r="K16" s="47"/>
      <c r="L16" s="47">
        <v>0.82</v>
      </c>
      <c r="M16" s="47"/>
      <c r="N16" s="47" t="s">
        <v>302</v>
      </c>
      <c r="O16" s="47"/>
      <c r="P16" s="47"/>
      <c r="Q16" s="47"/>
    </row>
    <row r="17" spans="1:17" ht="15.75">
      <c r="A17" s="30" t="s">
        <v>303</v>
      </c>
      <c r="B17" s="47"/>
      <c r="C17" s="47"/>
      <c r="D17" s="47"/>
      <c r="E17" s="47"/>
      <c r="F17" s="3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</row>
    <row r="18" spans="1:17" ht="15.75">
      <c r="A18" s="30" t="s">
        <v>290</v>
      </c>
      <c r="B18" s="47" t="s">
        <v>300</v>
      </c>
      <c r="C18" s="47" t="s">
        <v>300</v>
      </c>
      <c r="D18" s="47" t="s">
        <v>300</v>
      </c>
      <c r="E18" s="47" t="s">
        <v>300</v>
      </c>
      <c r="F18" s="47">
        <f>H18*200/1000</f>
        <v>35.08</v>
      </c>
      <c r="G18" s="47">
        <f>100*(F18-$F$13)/$F$13</f>
        <v>73.663366336633672</v>
      </c>
      <c r="H18" s="47">
        <v>175.4</v>
      </c>
      <c r="I18" s="47">
        <f>100*(H18-$H$13)/$H$13</f>
        <v>114.42542787286064</v>
      </c>
      <c r="J18" s="47">
        <v>16.516999999999999</v>
      </c>
      <c r="K18" s="47"/>
      <c r="L18" s="47">
        <f>J18*200/1000</f>
        <v>3.3033999999999999</v>
      </c>
      <c r="M18" s="47"/>
      <c r="N18" s="47"/>
      <c r="O18" s="47"/>
      <c r="P18" s="47"/>
      <c r="Q18" s="47"/>
    </row>
    <row r="19" spans="1:17" ht="15.75">
      <c r="A19" s="30" t="s">
        <v>170</v>
      </c>
      <c r="B19" s="47">
        <f>+D19+F19</f>
        <v>399.21999999999997</v>
      </c>
      <c r="C19" s="47"/>
      <c r="D19" s="47">
        <v>365.4</v>
      </c>
      <c r="E19" s="47"/>
      <c r="F19" s="47">
        <v>33.82</v>
      </c>
      <c r="G19" s="47">
        <f>100*(F19-$F$13)/$F$13</f>
        <v>67.425742574257427</v>
      </c>
      <c r="H19" s="47">
        <v>98.49</v>
      </c>
      <c r="I19" s="47">
        <f>100*(H19-$H$13)/$H$13</f>
        <v>20.403422982885083</v>
      </c>
      <c r="J19" s="47">
        <v>6.32</v>
      </c>
      <c r="K19" s="47"/>
      <c r="L19" s="47">
        <f>6.32*200000/10^6</f>
        <v>1.264</v>
      </c>
      <c r="M19" s="47"/>
      <c r="N19" s="47" t="s">
        <v>304</v>
      </c>
      <c r="O19" s="47"/>
      <c r="P19" s="47"/>
      <c r="Q19" s="47"/>
    </row>
    <row r="20" spans="1:17" ht="15.75">
      <c r="A20" s="79"/>
      <c r="B20" s="79"/>
      <c r="C20" s="79"/>
      <c r="D20" s="79" t="s">
        <v>305</v>
      </c>
      <c r="E20" s="79"/>
      <c r="F20" s="79"/>
      <c r="G20" s="79"/>
      <c r="H20" s="79"/>
      <c r="I20" s="79"/>
      <c r="J20" s="79"/>
      <c r="K20" s="79"/>
      <c r="L20" s="55"/>
      <c r="M20" s="55"/>
      <c r="N20" s="55"/>
      <c r="O20" s="55"/>
      <c r="P20" s="55"/>
      <c r="Q20" s="47" t="s">
        <v>306</v>
      </c>
    </row>
    <row r="21" spans="1:17" ht="15.75">
      <c r="A21" s="28" t="s">
        <v>283</v>
      </c>
      <c r="B21" s="29" t="s">
        <v>294</v>
      </c>
      <c r="C21" s="29" t="s">
        <v>285</v>
      </c>
      <c r="D21" s="29" t="s">
        <v>295</v>
      </c>
      <c r="E21" s="29" t="s">
        <v>285</v>
      </c>
      <c r="F21" s="29" t="s">
        <v>296</v>
      </c>
      <c r="G21" s="29" t="s">
        <v>285</v>
      </c>
      <c r="H21" s="29" t="s">
        <v>307</v>
      </c>
      <c r="I21" s="29" t="s">
        <v>285</v>
      </c>
      <c r="J21" s="29" t="s">
        <v>308</v>
      </c>
      <c r="K21" s="29" t="s">
        <v>285</v>
      </c>
      <c r="L21" s="31" t="s">
        <v>298</v>
      </c>
      <c r="M21" s="31" t="s">
        <v>285</v>
      </c>
      <c r="N21" s="31" t="s">
        <v>299</v>
      </c>
      <c r="O21" s="31" t="s">
        <v>285</v>
      </c>
      <c r="P21" s="47"/>
      <c r="Q21" s="47"/>
    </row>
    <row r="22" spans="1:17" ht="15.75">
      <c r="A22" s="30" t="s">
        <v>286</v>
      </c>
      <c r="B22" s="47">
        <v>143.69999999999999</v>
      </c>
      <c r="C22" s="47"/>
      <c r="D22" s="47">
        <v>120</v>
      </c>
      <c r="E22" s="47"/>
      <c r="F22" s="47">
        <v>19.5</v>
      </c>
      <c r="G22" s="47"/>
      <c r="H22" s="47">
        <v>92.7</v>
      </c>
      <c r="I22" s="47"/>
      <c r="J22" s="47" t="s">
        <v>309</v>
      </c>
      <c r="K22" s="47"/>
      <c r="L22" s="47">
        <v>5.0999999999999996</v>
      </c>
      <c r="M22" s="47"/>
      <c r="N22" s="47"/>
      <c r="O22" s="47"/>
      <c r="P22" s="47"/>
      <c r="Q22" s="47" t="s">
        <v>310</v>
      </c>
    </row>
    <row r="23" spans="1:17" ht="15.75">
      <c r="A23" s="30" t="s">
        <v>287</v>
      </c>
      <c r="B23" s="47">
        <v>141.05000000000001</v>
      </c>
      <c r="C23" s="47"/>
      <c r="D23" s="47">
        <v>120</v>
      </c>
      <c r="E23" s="47"/>
      <c r="F23" s="47">
        <v>19.2</v>
      </c>
      <c r="G23" s="47">
        <v>-18.98734177</v>
      </c>
      <c r="H23" s="47">
        <v>86</v>
      </c>
      <c r="I23" s="47">
        <v>-1.601830664</v>
      </c>
      <c r="J23" s="47" t="s">
        <v>311</v>
      </c>
      <c r="K23" s="47"/>
      <c r="L23" s="47">
        <v>9</v>
      </c>
      <c r="M23" s="47"/>
      <c r="N23" s="47">
        <v>0.6</v>
      </c>
      <c r="O23" s="47"/>
      <c r="P23" s="47"/>
      <c r="Q23" s="47" t="s">
        <v>312</v>
      </c>
    </row>
    <row r="24" spans="1:17" ht="15.75">
      <c r="A24" s="30" t="s">
        <v>288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</row>
    <row r="25" spans="1:17" ht="15.75">
      <c r="A25" s="30" t="s">
        <v>289</v>
      </c>
      <c r="B25" s="47"/>
      <c r="C25" s="47"/>
      <c r="D25" s="47"/>
      <c r="E25" s="47"/>
      <c r="F25" s="47">
        <v>18.260000000000002</v>
      </c>
      <c r="G25" s="47">
        <f>100*(F25-$F$22)/$F$22</f>
        <v>-6.3589743589743506</v>
      </c>
      <c r="H25" s="47">
        <v>91.29</v>
      </c>
      <c r="I25" s="47">
        <f>100*(H25-$H$22)/$H$22</f>
        <v>-1.521035598705498</v>
      </c>
      <c r="J25" s="47" t="s">
        <v>313</v>
      </c>
      <c r="K25" s="47"/>
      <c r="L25" s="47">
        <v>3.37</v>
      </c>
      <c r="M25" s="47"/>
      <c r="N25" s="47">
        <v>0.67</v>
      </c>
      <c r="O25" s="47"/>
      <c r="P25" s="47"/>
      <c r="Q25" s="47"/>
    </row>
    <row r="26" spans="1:17" ht="15.75">
      <c r="A26" s="30" t="s">
        <v>303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</row>
    <row r="27" spans="1:17" ht="15.75">
      <c r="A27" s="30" t="s">
        <v>290</v>
      </c>
      <c r="B27" s="47" t="s">
        <v>300</v>
      </c>
      <c r="C27" s="47" t="s">
        <v>300</v>
      </c>
      <c r="D27" s="47" t="s">
        <v>300</v>
      </c>
      <c r="E27" s="47" t="s">
        <v>300</v>
      </c>
      <c r="F27" s="47">
        <f>H27*200/1000</f>
        <v>18.010000000000002</v>
      </c>
      <c r="G27" s="47">
        <f>100*(F27-$F$22)/$F$22</f>
        <v>-7.6410256410256325</v>
      </c>
      <c r="H27" s="47">
        <v>90.05</v>
      </c>
      <c r="I27" s="47">
        <f>100*(H27-$H$22)/$H$22</f>
        <v>-2.8586839266450976</v>
      </c>
      <c r="J27" s="47"/>
      <c r="K27" s="47"/>
      <c r="L27" s="47">
        <v>1.65</v>
      </c>
      <c r="M27" s="47"/>
      <c r="N27" s="47">
        <f>L27*200/1000</f>
        <v>0.33</v>
      </c>
      <c r="O27" s="47"/>
      <c r="P27" s="47"/>
      <c r="Q27" s="47"/>
    </row>
    <row r="28" spans="1:17" ht="15.75">
      <c r="A28" s="30" t="s">
        <v>170</v>
      </c>
      <c r="B28" s="47"/>
      <c r="C28" s="47"/>
      <c r="D28" s="47">
        <v>120</v>
      </c>
      <c r="E28" s="47"/>
      <c r="F28" s="47">
        <v>84.5</v>
      </c>
      <c r="G28" s="47">
        <f>100*(F28-$F$22)/$F$22</f>
        <v>333.33333333333331</v>
      </c>
      <c r="H28" s="47">
        <v>92.2</v>
      </c>
      <c r="I28" s="47">
        <f>100*(H28-$H$22)/$H$22</f>
        <v>-0.53937432578209277</v>
      </c>
      <c r="J28" s="47">
        <v>80.2</v>
      </c>
      <c r="K28" s="47"/>
      <c r="L28" s="47">
        <v>11.7</v>
      </c>
      <c r="M28" s="47"/>
      <c r="N28" s="47" t="s">
        <v>300</v>
      </c>
      <c r="O28" s="47"/>
      <c r="P28" s="47"/>
      <c r="Q28" s="47" t="s">
        <v>314</v>
      </c>
    </row>
    <row r="29" spans="1:17" ht="15.75">
      <c r="A29" s="79"/>
      <c r="B29" s="79"/>
      <c r="C29" s="79"/>
      <c r="D29" s="79" t="s">
        <v>315</v>
      </c>
      <c r="E29" s="79"/>
      <c r="F29" s="79"/>
      <c r="G29" s="79"/>
      <c r="H29" s="79"/>
      <c r="I29" s="79"/>
      <c r="J29" s="55"/>
      <c r="K29" s="55"/>
      <c r="L29" s="55"/>
      <c r="M29" s="55"/>
      <c r="N29" s="51"/>
      <c r="O29" s="47"/>
      <c r="P29" s="47"/>
      <c r="Q29" s="47"/>
    </row>
    <row r="30" spans="1:17" ht="15.75">
      <c r="A30" s="28" t="s">
        <v>283</v>
      </c>
      <c r="B30" s="29" t="s">
        <v>294</v>
      </c>
      <c r="C30" s="29" t="s">
        <v>285</v>
      </c>
      <c r="D30" s="29" t="s">
        <v>295</v>
      </c>
      <c r="E30" s="29" t="s">
        <v>285</v>
      </c>
      <c r="F30" s="29" t="s">
        <v>296</v>
      </c>
      <c r="G30" s="29" t="s">
        <v>285</v>
      </c>
      <c r="H30" s="29" t="s">
        <v>297</v>
      </c>
      <c r="I30" s="29" t="s">
        <v>285</v>
      </c>
      <c r="J30" s="31" t="s">
        <v>298</v>
      </c>
      <c r="K30" s="31" t="s">
        <v>285</v>
      </c>
      <c r="L30" s="31" t="s">
        <v>299</v>
      </c>
      <c r="M30" s="31" t="s">
        <v>285</v>
      </c>
      <c r="N30" s="47"/>
      <c r="O30" s="47"/>
      <c r="P30" s="47"/>
      <c r="Q30" s="47"/>
    </row>
    <row r="31" spans="1:17" ht="15.75">
      <c r="A31" s="30" t="s">
        <v>286</v>
      </c>
      <c r="B31" s="47">
        <v>44.9</v>
      </c>
      <c r="C31" s="47"/>
      <c r="D31" s="47">
        <v>26</v>
      </c>
      <c r="E31" s="47"/>
      <c r="F31" s="47">
        <v>9.9</v>
      </c>
      <c r="G31" s="47"/>
      <c r="H31" s="47">
        <v>74.900000000000006</v>
      </c>
      <c r="I31" s="47"/>
      <c r="J31" s="47">
        <v>2.9</v>
      </c>
      <c r="K31" s="47"/>
      <c r="L31" s="47"/>
      <c r="M31" s="47"/>
      <c r="N31" s="47" t="s">
        <v>316</v>
      </c>
      <c r="O31" s="47"/>
      <c r="P31" s="47"/>
      <c r="Q31" s="47"/>
    </row>
    <row r="32" spans="1:17" ht="15.75">
      <c r="A32" s="30" t="s">
        <v>287</v>
      </c>
      <c r="B32" s="47">
        <v>40.32</v>
      </c>
      <c r="C32" s="47"/>
      <c r="D32" s="47">
        <v>29.65</v>
      </c>
      <c r="E32" s="47"/>
      <c r="F32" s="47">
        <v>11.2</v>
      </c>
      <c r="G32" s="47"/>
      <c r="H32" s="47">
        <v>79.7</v>
      </c>
      <c r="I32" s="47"/>
      <c r="J32" s="47">
        <v>3.9</v>
      </c>
      <c r="K32" s="47"/>
      <c r="L32" s="47">
        <v>0.5</v>
      </c>
      <c r="M32" s="47"/>
      <c r="N32" s="47" t="s">
        <v>317</v>
      </c>
      <c r="O32" s="47"/>
      <c r="P32" s="47"/>
      <c r="Q32" s="47"/>
    </row>
    <row r="33" spans="1:17" ht="15.75">
      <c r="A33" s="30" t="s">
        <v>288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ht="15.75">
      <c r="A34" s="30" t="s">
        <v>289</v>
      </c>
      <c r="B34" s="47"/>
      <c r="C34" s="47"/>
      <c r="D34" s="47"/>
      <c r="E34" s="47"/>
      <c r="F34" s="47">
        <v>6.87</v>
      </c>
      <c r="G34" s="47">
        <f>100*(F34-$F$31)/$F$31</f>
        <v>-30.606060606060606</v>
      </c>
      <c r="H34" s="47">
        <v>54.97</v>
      </c>
      <c r="I34" s="47">
        <f>100*(H34-$H$31)/$H$31</f>
        <v>-26.608811748998672</v>
      </c>
      <c r="J34" s="47">
        <v>1.22</v>
      </c>
      <c r="K34" s="47"/>
      <c r="L34" s="47">
        <v>0.15</v>
      </c>
      <c r="M34" s="47"/>
      <c r="N34" s="47"/>
      <c r="O34" s="47"/>
      <c r="P34" s="47"/>
      <c r="Q34" s="47"/>
    </row>
    <row r="35" spans="1:17" ht="15.75">
      <c r="A35" s="30" t="s">
        <v>303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ht="15.75">
      <c r="A36" s="30" t="s">
        <v>290</v>
      </c>
      <c r="B36" s="47" t="s">
        <v>300</v>
      </c>
      <c r="C36" s="47" t="s">
        <v>300</v>
      </c>
      <c r="D36" s="47" t="s">
        <v>300</v>
      </c>
      <c r="E36" s="47" t="s">
        <v>300</v>
      </c>
      <c r="F36" s="47">
        <f>H36*125/1000</f>
        <v>7.5</v>
      </c>
      <c r="G36" s="47">
        <f>100*(F36-$F$31)/$F$31</f>
        <v>-24.242424242424246</v>
      </c>
      <c r="H36" s="47">
        <v>60</v>
      </c>
      <c r="I36" s="47">
        <f>100*(H36-$H$31)/$H$31</f>
        <v>-19.89319092122831</v>
      </c>
      <c r="J36" s="47">
        <v>0</v>
      </c>
      <c r="K36" s="47"/>
      <c r="L36" s="47">
        <f>J36*125/1000</f>
        <v>0</v>
      </c>
      <c r="M36" s="47"/>
      <c r="N36" s="47" t="s">
        <v>318</v>
      </c>
      <c r="O36" s="47"/>
      <c r="P36" s="47"/>
      <c r="Q36" s="47"/>
    </row>
    <row r="37" spans="1:17" ht="15.75">
      <c r="A37" s="30" t="s">
        <v>170</v>
      </c>
      <c r="B37" s="47"/>
      <c r="C37" s="47"/>
      <c r="D37" s="47">
        <v>44.79</v>
      </c>
      <c r="E37" s="47">
        <f>(D37-D31)/D31*100</f>
        <v>72.269230769230759</v>
      </c>
      <c r="F37" s="47">
        <v>15.63</v>
      </c>
      <c r="G37" s="47">
        <f>100*(F37-$F$31)/$F$31</f>
        <v>57.878787878787875</v>
      </c>
      <c r="H37" s="47">
        <v>83.73</v>
      </c>
      <c r="I37" s="47">
        <f>100*(H37-$H$31)/$H$31</f>
        <v>11.789052069425898</v>
      </c>
      <c r="J37" s="47">
        <v>15.81</v>
      </c>
      <c r="K37" s="47"/>
      <c r="L37" s="47">
        <f>J37*125000/10^6</f>
        <v>1.9762500000000001</v>
      </c>
      <c r="M37" s="47"/>
      <c r="N37" s="47"/>
      <c r="O37" s="47"/>
      <c r="P37" s="47"/>
      <c r="Q37" s="47"/>
    </row>
    <row r="38" spans="1:17" ht="15.75">
      <c r="A38" s="79"/>
      <c r="B38" s="79"/>
      <c r="C38" s="79"/>
      <c r="D38" s="79" t="s">
        <v>319</v>
      </c>
      <c r="E38" s="79"/>
      <c r="F38" s="79"/>
      <c r="G38" s="79"/>
      <c r="H38" s="79"/>
      <c r="I38" s="79"/>
      <c r="J38" s="55"/>
      <c r="K38" s="55"/>
      <c r="L38" s="55"/>
      <c r="M38" s="55"/>
      <c r="N38" s="47"/>
      <c r="O38" s="47"/>
      <c r="P38" s="47"/>
      <c r="Q38" s="47"/>
    </row>
    <row r="39" spans="1:17" ht="15.75">
      <c r="A39" s="28" t="s">
        <v>283</v>
      </c>
      <c r="B39" s="29" t="s">
        <v>294</v>
      </c>
      <c r="C39" s="29" t="s">
        <v>285</v>
      </c>
      <c r="D39" s="29" t="s">
        <v>295</v>
      </c>
      <c r="E39" s="29" t="s">
        <v>285</v>
      </c>
      <c r="F39" s="29" t="s">
        <v>296</v>
      </c>
      <c r="G39" s="29" t="s">
        <v>285</v>
      </c>
      <c r="H39" s="29" t="s">
        <v>297</v>
      </c>
      <c r="I39" s="29" t="s">
        <v>285</v>
      </c>
      <c r="J39" s="31" t="s">
        <v>298</v>
      </c>
      <c r="K39" s="31" t="s">
        <v>285</v>
      </c>
      <c r="L39" s="31" t="s">
        <v>299</v>
      </c>
      <c r="M39" s="31" t="s">
        <v>285</v>
      </c>
      <c r="N39" s="47"/>
      <c r="O39" s="47"/>
      <c r="P39" s="47"/>
      <c r="Q39" s="47"/>
    </row>
    <row r="40" spans="1:17" ht="15.75">
      <c r="A40" s="30" t="s">
        <v>286</v>
      </c>
      <c r="B40" s="47">
        <v>70</v>
      </c>
      <c r="C40" s="47"/>
      <c r="D40" s="47">
        <v>49.5</v>
      </c>
      <c r="E40" s="47"/>
      <c r="F40" s="47">
        <v>3.5</v>
      </c>
      <c r="G40" s="47"/>
      <c r="H40" s="47">
        <v>22.5</v>
      </c>
      <c r="I40" s="47"/>
      <c r="J40" s="47">
        <v>0</v>
      </c>
      <c r="K40" s="47"/>
      <c r="L40" s="47"/>
      <c r="M40" s="47"/>
      <c r="N40" s="47"/>
      <c r="O40" s="47"/>
      <c r="P40" s="47"/>
      <c r="Q40" s="47"/>
    </row>
    <row r="41" spans="1:17" ht="15.75">
      <c r="A41" s="30" t="s">
        <v>287</v>
      </c>
      <c r="B41" s="47">
        <v>50.24</v>
      </c>
      <c r="C41" s="47"/>
      <c r="D41" s="47">
        <v>46.2</v>
      </c>
      <c r="E41" s="47"/>
      <c r="F41" s="57">
        <v>3.9</v>
      </c>
      <c r="G41" s="47">
        <v>-80.292682929999998</v>
      </c>
      <c r="H41" s="47">
        <v>21.2</v>
      </c>
      <c r="I41" s="47"/>
      <c r="J41" s="47">
        <v>0.6</v>
      </c>
      <c r="K41" s="47"/>
      <c r="L41" s="47">
        <v>7.0000000000000007E-2</v>
      </c>
      <c r="M41" s="47"/>
      <c r="N41" s="47"/>
      <c r="O41" s="47"/>
      <c r="P41" s="47"/>
      <c r="Q41" s="47"/>
    </row>
    <row r="42" spans="1:17" ht="15.75">
      <c r="A42" s="30" t="s">
        <v>288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 ht="15.75">
      <c r="A43" s="30" t="s">
        <v>289</v>
      </c>
      <c r="B43" s="47"/>
      <c r="C43" s="47"/>
      <c r="D43" s="47"/>
      <c r="E43" s="47"/>
      <c r="F43" s="47">
        <v>3.27</v>
      </c>
      <c r="G43" s="47">
        <f>100*(F43-$F$40)/$F$40</f>
        <v>-6.5714285714285712</v>
      </c>
      <c r="H43" s="47">
        <v>26.17</v>
      </c>
      <c r="I43" s="47">
        <f>100*(H43-$H$40)/$H$40</f>
        <v>16.311111111111117</v>
      </c>
      <c r="J43" s="47">
        <v>0.55000000000000004</v>
      </c>
      <c r="K43" s="47"/>
      <c r="L43" s="47">
        <v>7.0000000000000007E-2</v>
      </c>
      <c r="M43" s="47"/>
      <c r="N43" s="47"/>
      <c r="O43" s="47"/>
      <c r="P43" s="47"/>
      <c r="Q43" s="47"/>
    </row>
    <row r="44" spans="1:17" ht="15.75">
      <c r="A44" s="30" t="s">
        <v>303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</row>
    <row r="45" spans="1:17" ht="15.75">
      <c r="A45" s="30" t="s">
        <v>290</v>
      </c>
      <c r="B45" s="47"/>
      <c r="C45" s="47"/>
      <c r="D45" s="47"/>
      <c r="E45" s="47"/>
      <c r="F45" s="47">
        <f>H45*125/1000</f>
        <v>3.125</v>
      </c>
      <c r="G45" s="47"/>
      <c r="H45" s="47">
        <v>25</v>
      </c>
      <c r="I45" s="47"/>
      <c r="J45" s="47">
        <v>0</v>
      </c>
      <c r="K45" s="47"/>
      <c r="L45" s="47">
        <f>J45*125/1000</f>
        <v>0</v>
      </c>
      <c r="M45" s="47"/>
      <c r="N45" s="47"/>
      <c r="O45" s="47"/>
      <c r="P45" s="47"/>
      <c r="Q45" s="47"/>
    </row>
    <row r="46" spans="1:17" ht="15.75">
      <c r="A46" s="30" t="s">
        <v>170</v>
      </c>
      <c r="B46" s="47"/>
      <c r="C46" s="47"/>
      <c r="D46" s="47">
        <v>49.5</v>
      </c>
      <c r="E46" s="47"/>
      <c r="F46" s="47">
        <v>22</v>
      </c>
      <c r="G46" s="47">
        <f>100*(F46-$F$40)/$F$40</f>
        <v>528.57142857142856</v>
      </c>
      <c r="H46" s="47" t="s">
        <v>300</v>
      </c>
      <c r="I46" s="47"/>
      <c r="J46" s="47" t="s">
        <v>300</v>
      </c>
      <c r="K46" s="47"/>
      <c r="L46" s="47" t="s">
        <v>300</v>
      </c>
      <c r="M46" s="47"/>
      <c r="N46" s="47"/>
      <c r="O46" s="47"/>
      <c r="P46" s="47"/>
      <c r="Q46" s="47"/>
    </row>
    <row r="47" spans="1:17" ht="15.75">
      <c r="A47" s="79"/>
      <c r="B47" s="79"/>
      <c r="C47" s="79"/>
      <c r="D47" s="79" t="s">
        <v>320</v>
      </c>
      <c r="E47" s="79"/>
      <c r="F47" s="79"/>
      <c r="G47" s="79"/>
      <c r="H47" s="79"/>
      <c r="I47" s="79"/>
      <c r="J47" s="55"/>
      <c r="K47" s="55"/>
      <c r="L47" s="55"/>
      <c r="M47" s="55"/>
      <c r="N47" s="47"/>
      <c r="O47" s="47"/>
      <c r="P47" s="47"/>
      <c r="Q47" s="47"/>
    </row>
    <row r="48" spans="1:17" ht="15.75">
      <c r="A48" s="28" t="s">
        <v>283</v>
      </c>
      <c r="B48" s="29" t="s">
        <v>294</v>
      </c>
      <c r="C48" s="29" t="s">
        <v>285</v>
      </c>
      <c r="D48" s="29" t="s">
        <v>295</v>
      </c>
      <c r="E48" s="29" t="s">
        <v>285</v>
      </c>
      <c r="F48" s="29" t="s">
        <v>296</v>
      </c>
      <c r="G48" s="29" t="s">
        <v>285</v>
      </c>
      <c r="H48" s="29" t="s">
        <v>297</v>
      </c>
      <c r="I48" s="29" t="s">
        <v>285</v>
      </c>
      <c r="J48" s="31" t="s">
        <v>298</v>
      </c>
      <c r="K48" s="31" t="s">
        <v>285</v>
      </c>
      <c r="L48" s="31" t="s">
        <v>299</v>
      </c>
      <c r="M48" s="31" t="s">
        <v>285</v>
      </c>
      <c r="N48" s="47"/>
      <c r="O48" s="47"/>
      <c r="P48" s="47"/>
      <c r="Q48" s="47"/>
    </row>
    <row r="49" spans="1:17" s="47" customFormat="1" ht="15.75">
      <c r="A49" s="30" t="s">
        <v>286</v>
      </c>
      <c r="B49" s="47">
        <v>76.2</v>
      </c>
      <c r="D49" s="47">
        <v>73.900000000000006</v>
      </c>
      <c r="F49" s="47">
        <v>2</v>
      </c>
      <c r="H49" s="47">
        <v>5.0999999999999996</v>
      </c>
      <c r="J49" s="47">
        <v>1.2</v>
      </c>
    </row>
    <row r="50" spans="1:17" s="47" customFormat="1" ht="15.75">
      <c r="A50" s="30" t="s">
        <v>287</v>
      </c>
      <c r="B50" s="47">
        <v>56.3</v>
      </c>
      <c r="D50" s="47">
        <v>54.4</v>
      </c>
      <c r="F50" s="47">
        <v>1.9</v>
      </c>
      <c r="H50" s="47">
        <v>8</v>
      </c>
      <c r="J50" s="47">
        <v>0.1</v>
      </c>
      <c r="L50" s="47">
        <v>0.1</v>
      </c>
    </row>
    <row r="51" spans="1:17" s="47" customFormat="1" ht="15.75">
      <c r="A51" s="30" t="s">
        <v>288</v>
      </c>
    </row>
    <row r="52" spans="1:17" s="47" customFormat="1" ht="75">
      <c r="A52" s="30" t="s">
        <v>289</v>
      </c>
      <c r="F52" s="47">
        <v>1.62</v>
      </c>
      <c r="H52" s="47">
        <v>5.41</v>
      </c>
      <c r="J52" s="47">
        <v>0.12</v>
      </c>
      <c r="L52" s="47">
        <v>0.03</v>
      </c>
      <c r="N52" s="57" t="s">
        <v>321</v>
      </c>
    </row>
    <row r="53" spans="1:17" s="47" customFormat="1" ht="15.75">
      <c r="A53" s="30" t="s">
        <v>303</v>
      </c>
    </row>
    <row r="54" spans="1:17" s="47" customFormat="1" ht="15.75">
      <c r="A54" s="30" t="s">
        <v>290</v>
      </c>
      <c r="F54" s="47">
        <f>H54*325/1000</f>
        <v>1.64775</v>
      </c>
      <c r="H54" s="47">
        <v>5.07</v>
      </c>
      <c r="J54" s="47">
        <v>0.05</v>
      </c>
      <c r="L54" s="47">
        <f>J54*325/1000</f>
        <v>1.6250000000000001E-2</v>
      </c>
    </row>
    <row r="55" spans="1:17" s="47" customFormat="1" ht="15.75">
      <c r="A55" s="30" t="s">
        <v>322</v>
      </c>
      <c r="B55" s="47">
        <f>D55+F55</f>
        <v>60</v>
      </c>
      <c r="D55" s="47">
        <v>50</v>
      </c>
      <c r="F55" s="47">
        <v>10</v>
      </c>
      <c r="H55" s="47" t="s">
        <v>300</v>
      </c>
      <c r="J55" s="47" t="s">
        <v>300</v>
      </c>
      <c r="L55" s="47" t="s">
        <v>300</v>
      </c>
    </row>
    <row r="56" spans="1:17" ht="15.75">
      <c r="A56" s="79"/>
      <c r="B56" s="79"/>
      <c r="C56" s="79"/>
      <c r="D56" s="79" t="s">
        <v>323</v>
      </c>
      <c r="E56" s="79"/>
      <c r="F56" s="79"/>
      <c r="G56" s="79"/>
      <c r="H56" s="79"/>
      <c r="I56" s="79"/>
      <c r="J56" s="55"/>
      <c r="K56" s="55"/>
      <c r="L56" s="55"/>
      <c r="M56" s="55"/>
      <c r="N56" s="47"/>
      <c r="O56" s="47"/>
      <c r="P56" s="47"/>
      <c r="Q56" s="47"/>
    </row>
    <row r="57" spans="1:17" ht="15.75">
      <c r="A57" s="28" t="s">
        <v>283</v>
      </c>
      <c r="B57" s="29" t="s">
        <v>294</v>
      </c>
      <c r="C57" s="29" t="s">
        <v>285</v>
      </c>
      <c r="D57" s="29" t="s">
        <v>295</v>
      </c>
      <c r="E57" s="29" t="s">
        <v>285</v>
      </c>
      <c r="F57" s="29" t="s">
        <v>296</v>
      </c>
      <c r="G57" s="29" t="s">
        <v>285</v>
      </c>
      <c r="H57" s="29" t="s">
        <v>297</v>
      </c>
      <c r="I57" s="29" t="s">
        <v>285</v>
      </c>
      <c r="J57" s="31" t="s">
        <v>298</v>
      </c>
      <c r="K57" s="31" t="s">
        <v>285</v>
      </c>
      <c r="L57" s="31" t="s">
        <v>299</v>
      </c>
      <c r="M57" s="31" t="s">
        <v>285</v>
      </c>
      <c r="N57" s="47"/>
      <c r="O57" s="47"/>
      <c r="P57" s="47"/>
      <c r="Q57" s="47"/>
    </row>
    <row r="58" spans="1:17" s="47" customFormat="1" ht="15.75">
      <c r="A58" s="30" t="s">
        <v>286</v>
      </c>
      <c r="B58" s="47">
        <v>16.899999999999999</v>
      </c>
    </row>
    <row r="59" spans="1:17" s="47" customFormat="1" ht="15.75">
      <c r="A59" s="30" t="s">
        <v>287</v>
      </c>
    </row>
    <row r="60" spans="1:17" s="47" customFormat="1" ht="15.75">
      <c r="A60" s="30" t="s">
        <v>288</v>
      </c>
    </row>
    <row r="61" spans="1:17" s="47" customFormat="1" ht="15.75">
      <c r="A61" s="30" t="s">
        <v>289</v>
      </c>
    </row>
    <row r="62" spans="1:17" s="47" customFormat="1" ht="15.75">
      <c r="A62" s="30" t="s">
        <v>303</v>
      </c>
    </row>
    <row r="63" spans="1:17" s="47" customFormat="1" ht="15.75">
      <c r="A63" s="30" t="s">
        <v>290</v>
      </c>
    </row>
    <row r="64" spans="1:17" s="47" customFormat="1" ht="15.75">
      <c r="A64" s="30" t="s">
        <v>322</v>
      </c>
      <c r="B64" s="47">
        <v>30</v>
      </c>
      <c r="D64" s="47">
        <v>20</v>
      </c>
      <c r="F64" s="47">
        <v>10</v>
      </c>
      <c r="H64" s="47" t="s">
        <v>300</v>
      </c>
      <c r="J64" s="47" t="s">
        <v>300</v>
      </c>
      <c r="L64" s="47" t="s">
        <v>300</v>
      </c>
      <c r="N64" s="47" t="s">
        <v>324</v>
      </c>
    </row>
    <row r="65" spans="1:13" ht="15.75">
      <c r="A65" s="79"/>
      <c r="B65" s="79"/>
      <c r="C65" s="79"/>
      <c r="D65" s="79" t="s">
        <v>325</v>
      </c>
      <c r="E65" s="79"/>
      <c r="F65" s="79"/>
      <c r="G65" s="79"/>
      <c r="H65" s="79"/>
      <c r="I65" s="79"/>
      <c r="J65" s="55"/>
      <c r="K65" s="55"/>
      <c r="L65" s="55"/>
      <c r="M65" s="55"/>
    </row>
    <row r="66" spans="1:13" ht="15.75">
      <c r="A66" s="28" t="s">
        <v>283</v>
      </c>
      <c r="B66" s="29" t="s">
        <v>294</v>
      </c>
      <c r="C66" s="29" t="s">
        <v>285</v>
      </c>
      <c r="D66" s="29" t="s">
        <v>295</v>
      </c>
      <c r="E66" s="29" t="s">
        <v>285</v>
      </c>
      <c r="F66" s="29" t="s">
        <v>296</v>
      </c>
      <c r="G66" s="29" t="s">
        <v>285</v>
      </c>
      <c r="H66" s="29" t="s">
        <v>297</v>
      </c>
      <c r="I66" s="29" t="s">
        <v>285</v>
      </c>
      <c r="J66" s="31" t="s">
        <v>298</v>
      </c>
      <c r="K66" s="31" t="s">
        <v>285</v>
      </c>
      <c r="L66" s="31" t="s">
        <v>299</v>
      </c>
      <c r="M66" s="31" t="s">
        <v>285</v>
      </c>
    </row>
    <row r="67" spans="1:13" s="47" customFormat="1" ht="15.75">
      <c r="A67" s="30" t="s">
        <v>286</v>
      </c>
      <c r="B67" s="47">
        <v>16.5</v>
      </c>
      <c r="D67" s="47">
        <v>4.5</v>
      </c>
      <c r="F67" s="47">
        <v>8</v>
      </c>
      <c r="H67" s="47">
        <v>71.099999999999994</v>
      </c>
      <c r="J67" s="47">
        <v>2.5</v>
      </c>
    </row>
    <row r="68" spans="1:13" s="47" customFormat="1" ht="15.75">
      <c r="A68" s="30" t="s">
        <v>287</v>
      </c>
      <c r="D68" s="47">
        <v>6.25</v>
      </c>
    </row>
    <row r="69" spans="1:13" s="47" customFormat="1" ht="15.75">
      <c r="A69" s="30" t="s">
        <v>288</v>
      </c>
    </row>
    <row r="70" spans="1:13" s="47" customFormat="1" ht="15.75">
      <c r="A70" s="30" t="s">
        <v>289</v>
      </c>
      <c r="F70" s="47">
        <v>9.83</v>
      </c>
      <c r="H70" s="47">
        <v>75.61</v>
      </c>
      <c r="J70" s="47">
        <v>3.68</v>
      </c>
      <c r="L70" s="47">
        <v>0.48</v>
      </c>
    </row>
    <row r="71" spans="1:13" s="47" customFormat="1" ht="15.75">
      <c r="A71" s="30" t="s">
        <v>303</v>
      </c>
    </row>
    <row r="72" spans="1:13" s="47" customFormat="1" ht="15.75">
      <c r="A72" s="30" t="s">
        <v>290</v>
      </c>
    </row>
    <row r="73" spans="1:13" s="47" customFormat="1" ht="15.75">
      <c r="A73" s="30" t="s">
        <v>322</v>
      </c>
      <c r="D73" s="47">
        <v>2.3180000000000001</v>
      </c>
      <c r="E73" s="47">
        <f>(D73-D67)/D67*100</f>
        <v>-48.488888888888887</v>
      </c>
      <c r="F73" s="47">
        <v>5.8920000000000003</v>
      </c>
      <c r="G73" s="47">
        <f>(F73-F67)/F67*100</f>
        <v>-26.349999999999994</v>
      </c>
      <c r="H73" s="47" t="s">
        <v>300</v>
      </c>
      <c r="J73" s="47" t="s">
        <v>300</v>
      </c>
      <c r="L73" s="47" t="s">
        <v>300</v>
      </c>
    </row>
    <row r="74" spans="1:13" ht="15.75">
      <c r="A74" s="79"/>
      <c r="B74" s="79"/>
      <c r="C74" s="79"/>
      <c r="D74" s="79" t="s">
        <v>326</v>
      </c>
      <c r="E74" s="79"/>
      <c r="F74" s="79"/>
      <c r="G74" s="79"/>
      <c r="H74" s="79"/>
      <c r="I74" s="79"/>
      <c r="J74" s="55"/>
      <c r="K74" s="55"/>
      <c r="L74" s="55"/>
      <c r="M74" s="55"/>
    </row>
    <row r="75" spans="1:13" ht="15.75">
      <c r="A75" s="28" t="s">
        <v>283</v>
      </c>
      <c r="B75" s="29" t="s">
        <v>294</v>
      </c>
      <c r="C75" s="29" t="s">
        <v>285</v>
      </c>
      <c r="D75" s="29" t="s">
        <v>295</v>
      </c>
      <c r="E75" s="29" t="s">
        <v>285</v>
      </c>
      <c r="F75" s="29" t="s">
        <v>296</v>
      </c>
      <c r="G75" s="29" t="s">
        <v>285</v>
      </c>
      <c r="H75" s="29" t="s">
        <v>297</v>
      </c>
      <c r="I75" s="29" t="s">
        <v>285</v>
      </c>
      <c r="J75" s="31" t="s">
        <v>298</v>
      </c>
      <c r="K75" s="31" t="s">
        <v>285</v>
      </c>
      <c r="L75" s="31" t="s">
        <v>299</v>
      </c>
      <c r="M75" s="31" t="s">
        <v>285</v>
      </c>
    </row>
    <row r="76" spans="1:13" s="47" customFormat="1" ht="15.75">
      <c r="A76" s="30" t="s">
        <v>286</v>
      </c>
    </row>
    <row r="77" spans="1:13" s="47" customFormat="1" ht="15.75">
      <c r="A77" s="30" t="s">
        <v>287</v>
      </c>
    </row>
    <row r="78" spans="1:13" s="47" customFormat="1" ht="15.75">
      <c r="A78" s="30" t="s">
        <v>288</v>
      </c>
    </row>
    <row r="79" spans="1:13" s="47" customFormat="1" ht="15.75">
      <c r="A79" s="30" t="s">
        <v>289</v>
      </c>
    </row>
    <row r="80" spans="1:13" s="47" customFormat="1" ht="15.75">
      <c r="A80" s="30" t="s">
        <v>303</v>
      </c>
    </row>
    <row r="81" spans="1:13" s="47" customFormat="1" ht="15.75">
      <c r="A81" s="30" t="s">
        <v>290</v>
      </c>
    </row>
    <row r="82" spans="1:13" s="47" customFormat="1" ht="15.75">
      <c r="A82" s="30" t="s">
        <v>322</v>
      </c>
    </row>
    <row r="83" spans="1:13" ht="15.75">
      <c r="A83" s="100" t="s">
        <v>327</v>
      </c>
      <c r="B83" s="100"/>
      <c r="C83" s="100"/>
      <c r="D83" s="47"/>
      <c r="E83" s="47"/>
      <c r="F83" s="47"/>
      <c r="G83" s="47"/>
      <c r="H83" s="47"/>
      <c r="I83" s="47"/>
      <c r="J83" s="47"/>
      <c r="K83" s="47"/>
      <c r="L83" s="47"/>
      <c r="M83" s="47"/>
    </row>
    <row r="84" spans="1:13" ht="15.75">
      <c r="A84" s="99" t="s">
        <v>328</v>
      </c>
      <c r="B84" s="99"/>
      <c r="C84" s="99"/>
      <c r="D84" s="47"/>
      <c r="E84" s="47"/>
      <c r="F84" s="47"/>
      <c r="G84" s="47"/>
      <c r="H84" s="47"/>
      <c r="I84" s="47"/>
      <c r="J84" s="47"/>
      <c r="K84" s="47"/>
      <c r="L84" s="47"/>
      <c r="M84" s="47"/>
    </row>
    <row r="85" spans="1:13" ht="15.75">
      <c r="A85" s="28" t="s">
        <v>283</v>
      </c>
      <c r="B85" s="29" t="s">
        <v>329</v>
      </c>
      <c r="C85" s="29" t="s">
        <v>285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</row>
    <row r="86" spans="1:13" ht="15.75">
      <c r="A86" s="30" t="s">
        <v>286</v>
      </c>
      <c r="B86" s="47">
        <v>104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</row>
    <row r="87" spans="1:13" ht="15.75">
      <c r="A87" s="30" t="s">
        <v>287</v>
      </c>
      <c r="B87" s="47">
        <v>80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</row>
    <row r="88" spans="1:13" ht="15.75">
      <c r="A88" s="30" t="s">
        <v>288</v>
      </c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</row>
    <row r="89" spans="1:13" ht="15.75">
      <c r="A89" s="30" t="s">
        <v>289</v>
      </c>
      <c r="B89" s="47">
        <v>100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</row>
    <row r="90" spans="1:13" ht="15.75">
      <c r="A90" s="30" t="s">
        <v>303</v>
      </c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</row>
    <row r="91" spans="1:13" ht="15.75">
      <c r="A91" s="30" t="s">
        <v>290</v>
      </c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</row>
    <row r="92" spans="1:13" ht="15.75">
      <c r="A92" s="30" t="s">
        <v>170</v>
      </c>
      <c r="B92" s="47">
        <v>79.150000000000006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</row>
    <row r="93" spans="1:13" ht="15.75">
      <c r="A93" s="28" t="s">
        <v>283</v>
      </c>
      <c r="B93" s="29" t="s">
        <v>330</v>
      </c>
      <c r="C93" s="29" t="s">
        <v>285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</row>
    <row r="94" spans="1:13" ht="15.75">
      <c r="A94" s="30" t="s">
        <v>286</v>
      </c>
      <c r="B94" s="47">
        <v>91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</row>
    <row r="95" spans="1:13" ht="15.75">
      <c r="A95" s="30" t="s">
        <v>287</v>
      </c>
      <c r="B95" s="47">
        <f xml:space="preserve"> 84 + 95</f>
        <v>179</v>
      </c>
      <c r="C95" s="47"/>
      <c r="D95" s="47" t="s">
        <v>331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1:13" ht="15.75">
      <c r="A96" s="30" t="s">
        <v>288</v>
      </c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</row>
    <row r="97" spans="1:13" ht="15.75">
      <c r="A97" s="30" t="s">
        <v>289</v>
      </c>
      <c r="B97" s="47">
        <v>90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</row>
    <row r="98" spans="1:13" ht="15.75">
      <c r="A98" s="30" t="s">
        <v>303</v>
      </c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</row>
    <row r="99" spans="1:13" ht="15.75">
      <c r="A99" s="30" t="s">
        <v>290</v>
      </c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</row>
    <row r="100" spans="1:13" ht="15.75">
      <c r="A100" s="30" t="s">
        <v>170</v>
      </c>
      <c r="B100" s="47">
        <v>90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</row>
    <row r="101" spans="1:13" ht="15.75" customHeight="1">
      <c r="A101" s="28" t="s">
        <v>283</v>
      </c>
      <c r="B101" s="29" t="s">
        <v>332</v>
      </c>
      <c r="C101" s="29" t="s">
        <v>285</v>
      </c>
      <c r="D101" s="47"/>
      <c r="E101" s="47"/>
      <c r="F101" s="47"/>
      <c r="G101" s="47"/>
      <c r="H101" s="47"/>
      <c r="I101" s="47"/>
      <c r="J101" s="47"/>
      <c r="K101" s="47"/>
      <c r="L101" s="47"/>
      <c r="M101" s="47"/>
    </row>
    <row r="102" spans="1:13" ht="15.75" customHeight="1">
      <c r="A102" s="30" t="s">
        <v>286</v>
      </c>
      <c r="B102" s="47">
        <v>2.5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</row>
    <row r="103" spans="1:13" ht="15.75" customHeight="1">
      <c r="A103" s="30" t="s">
        <v>287</v>
      </c>
      <c r="B103" s="47">
        <f xml:space="preserve"> 41 / 24</f>
        <v>1.7083333333333333</v>
      </c>
      <c r="C103" s="47"/>
      <c r="D103" s="47" t="s">
        <v>333</v>
      </c>
      <c r="E103" s="47"/>
      <c r="F103" s="47"/>
      <c r="G103" s="47"/>
      <c r="H103" s="47"/>
      <c r="I103" s="47"/>
      <c r="J103" s="47"/>
      <c r="K103" s="47"/>
      <c r="L103" s="47"/>
      <c r="M103" s="47"/>
    </row>
    <row r="104" spans="1:13" ht="15.75" customHeight="1">
      <c r="A104" s="30" t="s">
        <v>288</v>
      </c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</row>
    <row r="105" spans="1:13" ht="15.75" customHeight="1">
      <c r="A105" s="30" t="s">
        <v>289</v>
      </c>
      <c r="B105" s="47">
        <v>2.4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</row>
    <row r="106" spans="1:13" ht="15.75" customHeight="1">
      <c r="A106" s="30" t="s">
        <v>303</v>
      </c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</row>
    <row r="107" spans="1:13" ht="15.6" customHeight="1">
      <c r="A107" s="30" t="s">
        <v>290</v>
      </c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</row>
    <row r="108" spans="1:13" ht="15.6" customHeight="1">
      <c r="A108" s="30" t="s">
        <v>170</v>
      </c>
      <c r="B108" s="47">
        <v>1.97</v>
      </c>
      <c r="C108" s="47"/>
      <c r="D108" s="47" t="s">
        <v>334</v>
      </c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5.6" customHeight="1">
      <c r="A109" s="28" t="s">
        <v>283</v>
      </c>
      <c r="B109" s="29" t="s">
        <v>335</v>
      </c>
      <c r="C109" s="29" t="s">
        <v>285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5.6" customHeight="1">
      <c r="A110" s="30" t="s">
        <v>286</v>
      </c>
      <c r="B110" s="47">
        <v>1.6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</row>
    <row r="111" spans="1:13" ht="15.6" customHeight="1">
      <c r="A111" s="30" t="s">
        <v>287</v>
      </c>
      <c r="B111" s="47">
        <v>1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</row>
    <row r="112" spans="1:13" ht="15.6" customHeight="1">
      <c r="A112" s="30" t="s">
        <v>288</v>
      </c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</row>
    <row r="113" spans="1:13" ht="15.6" customHeight="1">
      <c r="A113" s="30" t="s">
        <v>289</v>
      </c>
      <c r="B113" s="47">
        <v>1.5</v>
      </c>
      <c r="C113" s="47"/>
      <c r="D113" s="47" t="s">
        <v>336</v>
      </c>
      <c r="E113" s="47"/>
      <c r="F113" s="47"/>
      <c r="G113" s="47"/>
      <c r="H113" s="47"/>
      <c r="I113" s="47"/>
      <c r="J113" s="47"/>
      <c r="K113" s="47"/>
      <c r="L113" s="47"/>
      <c r="M113" s="47"/>
    </row>
    <row r="114" spans="1:13" ht="15.6" customHeight="1">
      <c r="A114" s="30" t="s">
        <v>303</v>
      </c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</row>
    <row r="115" spans="1:13" ht="15.6" customHeight="1">
      <c r="A115" s="30" t="s">
        <v>290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</row>
    <row r="116" spans="1:13" ht="15.6" customHeight="1">
      <c r="A116" s="30" t="s">
        <v>170</v>
      </c>
      <c r="B116" s="47">
        <v>3.44</v>
      </c>
      <c r="C116" s="47"/>
      <c r="D116" s="47" t="s">
        <v>337</v>
      </c>
      <c r="E116" s="47"/>
      <c r="F116" s="47"/>
      <c r="G116" s="47"/>
      <c r="H116" s="47"/>
      <c r="I116" s="47"/>
      <c r="J116" s="47"/>
      <c r="K116" s="47"/>
      <c r="L116" s="47"/>
      <c r="M116" s="47"/>
    </row>
    <row r="117" spans="1:13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</row>
    <row r="118" spans="1:13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</row>
    <row r="119" spans="1:13" ht="15.75" customHeight="1">
      <c r="A119" s="99" t="s">
        <v>338</v>
      </c>
      <c r="B119" s="99"/>
      <c r="C119" s="99"/>
      <c r="D119" s="47"/>
      <c r="E119" s="47"/>
      <c r="F119" s="47"/>
      <c r="G119" s="47"/>
      <c r="H119" s="47"/>
      <c r="I119" s="47"/>
      <c r="J119" s="47"/>
      <c r="K119" s="47"/>
      <c r="L119" s="47"/>
      <c r="M119" s="47"/>
    </row>
    <row r="120" spans="1:13" ht="15.75" customHeight="1">
      <c r="A120" s="32" t="s">
        <v>283</v>
      </c>
      <c r="B120" s="33" t="s">
        <v>339</v>
      </c>
      <c r="C120" s="33" t="s">
        <v>340</v>
      </c>
      <c r="D120" s="33" t="s">
        <v>341</v>
      </c>
      <c r="E120" s="33" t="s">
        <v>342</v>
      </c>
      <c r="F120" s="33" t="s">
        <v>343</v>
      </c>
      <c r="G120" s="33" t="s">
        <v>344</v>
      </c>
      <c r="H120" s="47"/>
      <c r="I120" s="47"/>
      <c r="J120" s="47"/>
      <c r="K120" s="47"/>
      <c r="L120" s="47"/>
      <c r="M120" s="47"/>
    </row>
    <row r="121" spans="1:13">
      <c r="A121" s="34" t="s">
        <v>170</v>
      </c>
      <c r="B121" s="35">
        <v>1.728</v>
      </c>
      <c r="C121" s="35">
        <v>34.369999999999997</v>
      </c>
      <c r="D121" s="35">
        <v>10</v>
      </c>
      <c r="E121" s="35">
        <v>13.23</v>
      </c>
      <c r="F121" s="35">
        <v>7.45</v>
      </c>
      <c r="G121" s="35">
        <v>42</v>
      </c>
      <c r="H121" s="47"/>
      <c r="I121" s="47"/>
      <c r="J121" s="47"/>
      <c r="K121" s="47"/>
      <c r="L121" s="47"/>
      <c r="M121" s="47"/>
    </row>
    <row r="122" spans="1:13">
      <c r="A122" s="47" t="s">
        <v>345</v>
      </c>
      <c r="B122" s="47"/>
      <c r="C122" s="47"/>
      <c r="D122" s="47"/>
      <c r="E122" s="47"/>
      <c r="F122" s="47">
        <v>18</v>
      </c>
      <c r="G122" s="47">
        <v>122</v>
      </c>
      <c r="H122" s="47"/>
      <c r="I122" s="47"/>
      <c r="J122" s="47"/>
      <c r="K122" s="47"/>
      <c r="L122" s="47"/>
      <c r="M122" s="47"/>
    </row>
    <row r="123" spans="1:1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</row>
    <row r="124" spans="1:13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</row>
    <row r="125" spans="1:13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</row>
    <row r="126" spans="1:13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</row>
    <row r="127" spans="1:13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</row>
    <row r="129" spans="1:13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</row>
    <row r="130" spans="1:13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</row>
    <row r="131" spans="1:13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</row>
    <row r="132" spans="1:13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</row>
    <row r="133" spans="1:1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</row>
    <row r="134" spans="1:13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</row>
    <row r="135" spans="1:13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</row>
    <row r="136" spans="1:13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</row>
    <row r="137" spans="1:13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</row>
    <row r="138" spans="1:13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</row>
    <row r="139" spans="1:13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</row>
    <row r="140" spans="1:1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</row>
    <row r="141" spans="1:13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</row>
    <row r="142" spans="1:13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</row>
    <row r="143" spans="1:1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</row>
    <row r="144" spans="1:13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</row>
    <row r="145" spans="1:13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</row>
    <row r="146" spans="1:13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</row>
    <row r="147" spans="1:13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</row>
    <row r="148" spans="1:13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</row>
    <row r="149" spans="1:13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</row>
    <row r="150" spans="1:13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</row>
    <row r="151" spans="1:13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</row>
    <row r="152" spans="1:13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</row>
    <row r="153" spans="1:1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</row>
    <row r="154" spans="1:13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</row>
    <row r="155" spans="1:13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</row>
    <row r="156" spans="1:13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</row>
    <row r="157" spans="1:13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</row>
    <row r="158" spans="1:13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</row>
    <row r="159" spans="1:13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</row>
    <row r="160" spans="1:13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</row>
    <row r="161" spans="1:13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</row>
    <row r="162" spans="1:13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</row>
    <row r="163" spans="1:1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</row>
    <row r="164" spans="1:13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</row>
    <row r="165" spans="1:1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</row>
    <row r="166" spans="1:13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</row>
    <row r="167" spans="1:13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</row>
    <row r="168" spans="1:13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</row>
    <row r="169" spans="1:13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</row>
    <row r="170" spans="1:13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</row>
    <row r="171" spans="1:13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</row>
    <row r="172" spans="1:13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</row>
    <row r="173" spans="1:1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</row>
    <row r="174" spans="1:13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</row>
    <row r="175" spans="1:13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</row>
    <row r="176" spans="1:13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</row>
    <row r="177" spans="1:13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</row>
    <row r="178" spans="1:13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</row>
    <row r="179" spans="1:13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</row>
    <row r="180" spans="1:13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</row>
    <row r="181" spans="1:13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</row>
    <row r="182" spans="1:13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</row>
    <row r="183" spans="1:1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</row>
    <row r="184" spans="1:13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</row>
    <row r="185" spans="1:13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</row>
    <row r="186" spans="1:13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</row>
    <row r="187" spans="1:13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</row>
    <row r="188" spans="1:13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</row>
    <row r="189" spans="1:13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</row>
    <row r="190" spans="1:1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</row>
    <row r="191" spans="1:13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</row>
    <row r="192" spans="1:13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</row>
    <row r="193" spans="1:1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</row>
    <row r="194" spans="1:13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</row>
    <row r="195" spans="1:13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</row>
    <row r="196" spans="1:13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</row>
    <row r="197" spans="1:13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</row>
    <row r="200" spans="1:13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</row>
    <row r="201" spans="1:13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</row>
  </sheetData>
  <mergeCells count="5">
    <mergeCell ref="A119:C119"/>
    <mergeCell ref="A2:C2"/>
    <mergeCell ref="A10:I10"/>
    <mergeCell ref="A83:C83"/>
    <mergeCell ref="A84:C84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/>
  <cols>
    <col min="2" max="2" width="12.85546875" customWidth="1"/>
    <col min="3" max="3" width="16.85546875" bestFit="1" customWidth="1"/>
    <col min="4" max="4" width="17" customWidth="1"/>
    <col min="5" max="5" width="26" bestFit="1" customWidth="1"/>
  </cols>
  <sheetData>
    <row r="1" spans="1:6">
      <c r="A1" s="47" t="s">
        <v>346</v>
      </c>
      <c r="B1" s="47"/>
      <c r="C1" s="47"/>
      <c r="D1" s="47"/>
      <c r="E1" s="47"/>
      <c r="F1" s="47"/>
    </row>
    <row r="3" spans="1:6" ht="15" customHeight="1">
      <c r="A3" s="101" t="s">
        <v>347</v>
      </c>
      <c r="B3" s="101"/>
      <c r="C3" s="101"/>
      <c r="D3" s="101"/>
      <c r="E3" s="101"/>
      <c r="F3" s="47"/>
    </row>
    <row r="4" spans="1:6">
      <c r="A4" s="47"/>
      <c r="B4" s="3" t="s">
        <v>348</v>
      </c>
      <c r="C4" s="3" t="s">
        <v>349</v>
      </c>
      <c r="D4" s="3" t="s">
        <v>350</v>
      </c>
      <c r="E4" s="3" t="s">
        <v>351</v>
      </c>
      <c r="F4" s="47"/>
    </row>
    <row r="5" spans="1:6">
      <c r="A5" s="47" t="s">
        <v>286</v>
      </c>
      <c r="B5" s="47">
        <v>689</v>
      </c>
      <c r="C5" s="47">
        <v>64.8</v>
      </c>
      <c r="D5" s="47">
        <v>8.5</v>
      </c>
      <c r="E5" s="47">
        <f>B5*2000 / 1000000</f>
        <v>1.3779999999999999</v>
      </c>
      <c r="F5" s="47"/>
    </row>
    <row r="6" spans="1:6">
      <c r="A6" s="47" t="s">
        <v>287</v>
      </c>
      <c r="B6" s="47">
        <v>962</v>
      </c>
      <c r="C6" s="47"/>
      <c r="D6" s="47"/>
      <c r="E6" s="47">
        <v>1.925</v>
      </c>
      <c r="F6" s="47" t="s">
        <v>352</v>
      </c>
    </row>
    <row r="7" spans="1:6">
      <c r="A7" s="47" t="s">
        <v>288</v>
      </c>
      <c r="B7" s="47"/>
      <c r="C7" s="47"/>
      <c r="D7" s="47"/>
      <c r="E7" s="47"/>
      <c r="F7" s="47"/>
    </row>
    <row r="9" spans="1:6" ht="15" customHeight="1">
      <c r="A9" s="101" t="s">
        <v>353</v>
      </c>
      <c r="B9" s="101"/>
      <c r="C9" s="101"/>
      <c r="D9" s="101"/>
      <c r="E9" s="101"/>
      <c r="F9" s="47"/>
    </row>
    <row r="10" spans="1:6">
      <c r="A10" s="47"/>
      <c r="B10" s="3" t="s">
        <v>348</v>
      </c>
      <c r="C10" s="3" t="s">
        <v>349</v>
      </c>
      <c r="D10" s="3" t="s">
        <v>350</v>
      </c>
      <c r="E10" s="3" t="s">
        <v>354</v>
      </c>
      <c r="F10" s="47"/>
    </row>
    <row r="11" spans="1:6">
      <c r="A11" s="47" t="s">
        <v>286</v>
      </c>
      <c r="B11" s="47">
        <v>324</v>
      </c>
      <c r="C11" s="47">
        <v>25</v>
      </c>
      <c r="D11" s="47">
        <v>8.6999999999999993</v>
      </c>
      <c r="E11" s="47">
        <f>B11*2000/1000000</f>
        <v>0.64800000000000002</v>
      </c>
      <c r="F11" s="47"/>
    </row>
    <row r="12" spans="1:6">
      <c r="A12" s="47" t="s">
        <v>287</v>
      </c>
      <c r="B12" s="47">
        <v>300</v>
      </c>
      <c r="C12" s="47"/>
      <c r="D12" s="47"/>
      <c r="E12" s="47">
        <v>0.8</v>
      </c>
      <c r="F12" s="47"/>
    </row>
    <row r="13" spans="1:6">
      <c r="A13" s="47" t="s">
        <v>288</v>
      </c>
      <c r="B13" s="47"/>
      <c r="C13" s="47"/>
      <c r="D13" s="47"/>
      <c r="E13" s="47"/>
      <c r="F13" s="47"/>
    </row>
    <row r="15" spans="1:6" ht="15" customHeight="1">
      <c r="A15" s="102" t="s">
        <v>315</v>
      </c>
      <c r="B15" s="102"/>
      <c r="C15" s="102"/>
      <c r="D15" s="102"/>
      <c r="E15" s="102"/>
      <c r="F15" s="47"/>
    </row>
    <row r="16" spans="1:6" s="47" customFormat="1">
      <c r="B16" s="3" t="s">
        <v>355</v>
      </c>
      <c r="C16" s="3" t="s">
        <v>356</v>
      </c>
    </row>
    <row r="17" spans="1:6">
      <c r="A17" s="47" t="s">
        <v>286</v>
      </c>
      <c r="B17" s="47">
        <v>62</v>
      </c>
      <c r="C17" s="47">
        <v>23.4</v>
      </c>
      <c r="D17" s="47" t="s">
        <v>357</v>
      </c>
      <c r="E17" s="47"/>
      <c r="F17" s="47"/>
    </row>
    <row r="18" spans="1:6">
      <c r="A18" s="47" t="s">
        <v>287</v>
      </c>
      <c r="B18" s="47">
        <v>55</v>
      </c>
      <c r="C18" s="47">
        <v>19.5</v>
      </c>
      <c r="D18" s="47" t="s">
        <v>358</v>
      </c>
      <c r="E18" s="47"/>
      <c r="F18" s="47"/>
    </row>
    <row r="19" spans="1:6">
      <c r="A19" s="47" t="s">
        <v>288</v>
      </c>
      <c r="B19" s="47"/>
      <c r="C19" s="47"/>
      <c r="D19" s="47"/>
      <c r="E19" s="47"/>
      <c r="F19" s="47"/>
    </row>
    <row r="21" spans="1:6" ht="15" customHeight="1">
      <c r="A21" s="73" t="s">
        <v>319</v>
      </c>
      <c r="B21" s="73"/>
      <c r="C21" s="73"/>
      <c r="D21" s="74"/>
      <c r="E21" s="74"/>
      <c r="F21" s="47"/>
    </row>
    <row r="22" spans="1:6">
      <c r="A22" s="47"/>
      <c r="B22" s="3" t="s">
        <v>355</v>
      </c>
      <c r="C22" s="3" t="s">
        <v>359</v>
      </c>
      <c r="D22" s="3" t="s">
        <v>356</v>
      </c>
      <c r="E22" s="47"/>
      <c r="F22" s="47"/>
    </row>
    <row r="23" spans="1:6">
      <c r="A23" s="47" t="s">
        <v>286</v>
      </c>
      <c r="B23" s="47">
        <v>45</v>
      </c>
      <c r="C23" s="47">
        <v>2</v>
      </c>
      <c r="D23" s="47">
        <v>49.5</v>
      </c>
      <c r="E23" s="47"/>
      <c r="F23" s="47" t="s">
        <v>360</v>
      </c>
    </row>
    <row r="24" spans="1:6">
      <c r="A24" s="47" t="s">
        <v>287</v>
      </c>
      <c r="B24" s="47">
        <v>42</v>
      </c>
      <c r="C24" s="47">
        <v>2</v>
      </c>
      <c r="D24" s="47"/>
      <c r="E24" s="47" t="s">
        <v>361</v>
      </c>
      <c r="F24" s="47" t="s">
        <v>362</v>
      </c>
    </row>
    <row r="25" spans="1:6">
      <c r="A25" s="47" t="s">
        <v>288</v>
      </c>
      <c r="B25" s="47"/>
      <c r="C25" s="47"/>
      <c r="D25" s="47"/>
      <c r="E25" s="47"/>
      <c r="F25" s="47"/>
    </row>
    <row r="27" spans="1:6" ht="15" customHeight="1">
      <c r="A27" s="101" t="s">
        <v>320</v>
      </c>
      <c r="B27" s="101"/>
      <c r="C27" s="101"/>
      <c r="D27" s="101"/>
      <c r="E27" s="47"/>
      <c r="F27" s="47"/>
    </row>
    <row r="28" spans="1:6">
      <c r="A28" s="47"/>
      <c r="B28" s="3" t="s">
        <v>72</v>
      </c>
      <c r="C28" s="3" t="s">
        <v>363</v>
      </c>
      <c r="D28" s="3" t="s">
        <v>364</v>
      </c>
      <c r="E28" s="47"/>
      <c r="F28" s="47"/>
    </row>
    <row r="29" spans="1:6">
      <c r="A29" s="47" t="s">
        <v>286</v>
      </c>
      <c r="B29" s="47">
        <v>1170</v>
      </c>
      <c r="C29" s="47">
        <v>714</v>
      </c>
      <c r="D29" s="47">
        <v>118.4</v>
      </c>
      <c r="E29" s="47"/>
      <c r="F29" s="47"/>
    </row>
    <row r="30" spans="1:6">
      <c r="A30" s="47" t="s">
        <v>287</v>
      </c>
      <c r="B30" s="47"/>
      <c r="C30" s="47"/>
      <c r="D30" s="47"/>
      <c r="E30" s="47" t="s">
        <v>300</v>
      </c>
      <c r="F30" s="47"/>
    </row>
    <row r="31" spans="1:6">
      <c r="A31" s="47" t="s">
        <v>288</v>
      </c>
      <c r="B31" s="47"/>
      <c r="C31" s="47"/>
      <c r="D31" s="47"/>
      <c r="E31" s="47"/>
      <c r="F31" s="47"/>
    </row>
  </sheetData>
  <mergeCells count="4">
    <mergeCell ref="A3:E3"/>
    <mergeCell ref="A9:E9"/>
    <mergeCell ref="A27:D27"/>
    <mergeCell ref="A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22" sqref="I22"/>
    </sheetView>
  </sheetViews>
  <sheetFormatPr defaultRowHeight="15"/>
  <cols>
    <col min="1" max="1" width="20.5703125" bestFit="1" customWidth="1"/>
  </cols>
  <sheetData>
    <row r="1" spans="1:3">
      <c r="A1" s="47" t="s">
        <v>43</v>
      </c>
      <c r="B1" s="47"/>
      <c r="C1" s="47"/>
    </row>
    <row r="3" spans="1:3">
      <c r="A3" s="47" t="s">
        <v>44</v>
      </c>
      <c r="B3" s="47">
        <v>7.2</v>
      </c>
      <c r="C3" s="47" t="s">
        <v>2</v>
      </c>
    </row>
    <row r="4" spans="1:3">
      <c r="A4" s="47" t="s">
        <v>45</v>
      </c>
      <c r="B4" s="47">
        <v>69</v>
      </c>
      <c r="C4" s="47" t="s">
        <v>2</v>
      </c>
    </row>
    <row r="5" spans="1:3">
      <c r="A5" s="47" t="s">
        <v>46</v>
      </c>
      <c r="B5" s="47">
        <v>497</v>
      </c>
      <c r="C5" s="47" t="s">
        <v>47</v>
      </c>
    </row>
    <row r="6" spans="1:3">
      <c r="A6" s="47" t="s">
        <v>48</v>
      </c>
      <c r="B6" s="47">
        <v>800</v>
      </c>
      <c r="C6" s="47" t="s">
        <v>49</v>
      </c>
    </row>
    <row r="7" spans="1:3">
      <c r="A7" s="47" t="s">
        <v>50</v>
      </c>
      <c r="B7" s="47">
        <v>2000</v>
      </c>
      <c r="C7" s="47" t="s">
        <v>51</v>
      </c>
    </row>
    <row r="9" spans="1:3">
      <c r="A9" s="47" t="s">
        <v>52</v>
      </c>
      <c r="B9" s="47"/>
      <c r="C9" s="47"/>
    </row>
    <row r="11" spans="1:3">
      <c r="A11" s="47" t="s">
        <v>46</v>
      </c>
      <c r="B11" s="47">
        <v>100</v>
      </c>
      <c r="C11" s="47" t="s">
        <v>47</v>
      </c>
    </row>
    <row r="12" spans="1:3">
      <c r="A12" s="47" t="s">
        <v>48</v>
      </c>
      <c r="B12" s="47">
        <v>400</v>
      </c>
      <c r="C12" s="47" t="s">
        <v>49</v>
      </c>
    </row>
    <row r="13" spans="1:3">
      <c r="A13" s="47" t="s">
        <v>53</v>
      </c>
      <c r="B13" s="47">
        <v>2000</v>
      </c>
      <c r="C13" s="4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7" sqref="C7"/>
    </sheetView>
  </sheetViews>
  <sheetFormatPr defaultRowHeight="15"/>
  <cols>
    <col min="1" max="1" width="16.5703125" customWidth="1"/>
  </cols>
  <sheetData>
    <row r="1" spans="1:4">
      <c r="A1" s="47" t="s">
        <v>54</v>
      </c>
      <c r="B1" s="47"/>
      <c r="C1" s="47"/>
      <c r="D1" s="47"/>
    </row>
    <row r="3" spans="1:4">
      <c r="A3" s="47" t="s">
        <v>55</v>
      </c>
      <c r="B3" s="47">
        <v>66</v>
      </c>
      <c r="C3" s="47" t="s">
        <v>56</v>
      </c>
      <c r="D3" s="47"/>
    </row>
    <row r="4" spans="1:4">
      <c r="A4" s="47" t="s">
        <v>57</v>
      </c>
      <c r="B4" s="47">
        <v>775</v>
      </c>
      <c r="C4" s="47" t="s">
        <v>58</v>
      </c>
      <c r="D4" s="47" t="s">
        <v>59</v>
      </c>
    </row>
    <row r="5" spans="1:4">
      <c r="A5" s="47" t="s">
        <v>60</v>
      </c>
      <c r="B5" s="47">
        <v>630</v>
      </c>
      <c r="C5" s="47" t="s">
        <v>61</v>
      </c>
      <c r="D5" s="47"/>
    </row>
    <row r="6" spans="1:4">
      <c r="A6" s="47" t="s">
        <v>62</v>
      </c>
      <c r="B6" s="47">
        <v>45</v>
      </c>
      <c r="C6" s="47" t="s">
        <v>63</v>
      </c>
      <c r="D6" s="47"/>
    </row>
    <row r="7" spans="1:4">
      <c r="A7" s="47" t="s">
        <v>64</v>
      </c>
      <c r="B7" s="47">
        <v>375</v>
      </c>
      <c r="C7" s="47" t="s">
        <v>65</v>
      </c>
      <c r="D7" s="47"/>
    </row>
    <row r="9" spans="1:4">
      <c r="A9" s="47" t="s">
        <v>66</v>
      </c>
      <c r="B9" s="47"/>
      <c r="C9" s="47"/>
      <c r="D9" s="47"/>
    </row>
    <row r="11" spans="1:4">
      <c r="A11" s="47" t="s">
        <v>67</v>
      </c>
      <c r="B11" s="47"/>
      <c r="C11" s="47"/>
      <c r="D11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3" sqref="E13"/>
    </sheetView>
  </sheetViews>
  <sheetFormatPr defaultRowHeight="15"/>
  <cols>
    <col min="1" max="1" width="16.5703125" style="47" customWidth="1"/>
    <col min="2" max="16384" width="9.140625" style="47"/>
  </cols>
  <sheetData>
    <row r="1" spans="1:3">
      <c r="A1" s="47" t="s">
        <v>68</v>
      </c>
    </row>
    <row r="3" spans="1:3">
      <c r="A3" s="47" t="s">
        <v>55</v>
      </c>
      <c r="B3" s="47">
        <v>220</v>
      </c>
      <c r="C3" s="47" t="s">
        <v>56</v>
      </c>
    </row>
    <row r="4" spans="1:3">
      <c r="A4" s="47" t="s">
        <v>57</v>
      </c>
      <c r="B4" s="47">
        <v>900</v>
      </c>
      <c r="C4" s="47" t="s">
        <v>58</v>
      </c>
    </row>
    <row r="5" spans="1:3">
      <c r="A5" s="47" t="s">
        <v>60</v>
      </c>
      <c r="B5" s="47">
        <v>1000</v>
      </c>
      <c r="C5" s="47" t="s">
        <v>61</v>
      </c>
    </row>
    <row r="6" spans="1:3">
      <c r="A6" s="47" t="s">
        <v>62</v>
      </c>
      <c r="B6" s="47">
        <v>80</v>
      </c>
      <c r="C6" s="47" t="s">
        <v>63</v>
      </c>
    </row>
    <row r="7" spans="1:3">
      <c r="A7" s="47" t="s">
        <v>64</v>
      </c>
      <c r="B7" s="47">
        <v>550</v>
      </c>
      <c r="C7" s="47" t="s">
        <v>65</v>
      </c>
    </row>
    <row r="9" spans="1:3">
      <c r="A9" s="47" t="s">
        <v>66</v>
      </c>
    </row>
    <row r="11" spans="1:3">
      <c r="A11" s="47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defaultRowHeight="15"/>
  <cols>
    <col min="1" max="1" width="20.42578125" customWidth="1"/>
  </cols>
  <sheetData>
    <row r="1" spans="1:4">
      <c r="A1" s="47" t="s">
        <v>69</v>
      </c>
      <c r="B1" s="47"/>
      <c r="C1" s="47"/>
      <c r="D1" s="47"/>
    </row>
    <row r="2" spans="1:4">
      <c r="A2" s="47" t="s">
        <v>70</v>
      </c>
      <c r="B2" s="47"/>
      <c r="C2" s="47"/>
      <c r="D2" s="47"/>
    </row>
    <row r="3" spans="1:4" s="47" customFormat="1">
      <c r="A3" s="3" t="s">
        <v>71</v>
      </c>
    </row>
    <row r="5" spans="1:4">
      <c r="A5" s="47" t="s">
        <v>72</v>
      </c>
      <c r="B5" s="47">
        <v>1170</v>
      </c>
      <c r="C5" s="47" t="s">
        <v>49</v>
      </c>
      <c r="D5" s="47"/>
    </row>
    <row r="6" spans="1:4">
      <c r="A6" s="47" t="s">
        <v>73</v>
      </c>
      <c r="B6" s="47">
        <v>23.4</v>
      </c>
      <c r="C6" s="47" t="s">
        <v>74</v>
      </c>
      <c r="D6" s="47"/>
    </row>
    <row r="7" spans="1:4">
      <c r="A7" s="47" t="s">
        <v>75</v>
      </c>
      <c r="B7" s="47">
        <v>714</v>
      </c>
      <c r="C7" s="47" t="s">
        <v>49</v>
      </c>
      <c r="D7" s="47"/>
    </row>
    <row r="8" spans="1:4">
      <c r="A8" s="47" t="s">
        <v>76</v>
      </c>
      <c r="B8" s="47">
        <v>3.8</v>
      </c>
      <c r="C8" s="47" t="s">
        <v>74</v>
      </c>
      <c r="D8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2" sqref="B12"/>
    </sheetView>
  </sheetViews>
  <sheetFormatPr defaultRowHeight="15"/>
  <sheetData>
    <row r="1" spans="1:3">
      <c r="A1" s="47" t="s">
        <v>77</v>
      </c>
      <c r="B1" s="47"/>
      <c r="C1" s="47"/>
    </row>
    <row r="2" spans="1:3">
      <c r="A2" s="47" t="s">
        <v>78</v>
      </c>
      <c r="B2" s="47"/>
      <c r="C2" s="47"/>
    </row>
    <row r="4" spans="1:3">
      <c r="A4" s="47" t="s">
        <v>50</v>
      </c>
      <c r="B4" s="47">
        <v>50</v>
      </c>
      <c r="C4" s="47" t="s">
        <v>79</v>
      </c>
    </row>
    <row r="5" spans="1:3">
      <c r="A5" s="47" t="s">
        <v>80</v>
      </c>
      <c r="B5" s="47">
        <v>1</v>
      </c>
      <c r="C5" s="47" t="s">
        <v>81</v>
      </c>
    </row>
    <row r="6" spans="1:3">
      <c r="A6" s="47" t="s">
        <v>82</v>
      </c>
      <c r="B6" s="47">
        <v>2500</v>
      </c>
      <c r="C6" s="47" t="s">
        <v>83</v>
      </c>
    </row>
    <row r="7" spans="1:3" s="47" customFormat="1"/>
    <row r="8" spans="1:3">
      <c r="A8" s="47" t="s">
        <v>84</v>
      </c>
      <c r="B8" s="47">
        <v>4.5</v>
      </c>
      <c r="C8" s="47" t="s">
        <v>74</v>
      </c>
    </row>
    <row r="11" spans="1:3">
      <c r="A11" s="47"/>
      <c r="B11" s="56" t="s">
        <v>85</v>
      </c>
      <c r="C11" s="47"/>
    </row>
    <row r="13" spans="1:3">
      <c r="A13" s="47"/>
      <c r="B13" s="47">
        <f>50 * 2500 * 50</f>
        <v>6250000</v>
      </c>
      <c r="C13" s="4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/>
  <cols>
    <col min="2" max="2" width="49.140625" bestFit="1" customWidth="1"/>
  </cols>
  <sheetData>
    <row r="1" spans="1:3">
      <c r="A1" s="47" t="s">
        <v>86</v>
      </c>
      <c r="B1" s="47"/>
      <c r="C1" s="47"/>
    </row>
    <row r="3" spans="1:3">
      <c r="A3" s="47" t="s">
        <v>87</v>
      </c>
      <c r="B3" s="47"/>
      <c r="C3" s="47"/>
    </row>
    <row r="4" spans="1:3">
      <c r="A4" s="47"/>
      <c r="B4" s="47" t="s">
        <v>88</v>
      </c>
      <c r="C4" s="47" t="s">
        <v>89</v>
      </c>
    </row>
    <row r="5" spans="1:3">
      <c r="A5" s="47"/>
      <c r="B5" s="47" t="s">
        <v>90</v>
      </c>
      <c r="C5" s="47" t="s">
        <v>91</v>
      </c>
    </row>
    <row r="6" spans="1:3">
      <c r="A6" s="47"/>
      <c r="B6" s="47" t="s">
        <v>92</v>
      </c>
      <c r="C6" s="47" t="s">
        <v>93</v>
      </c>
    </row>
    <row r="7" spans="1:3">
      <c r="A7" s="47"/>
      <c r="B7" s="47" t="s">
        <v>94</v>
      </c>
      <c r="C7" s="47" t="s">
        <v>95</v>
      </c>
    </row>
    <row r="9" spans="1:3">
      <c r="A9" s="47" t="s">
        <v>50</v>
      </c>
      <c r="B9" s="47">
        <v>16.899999999999999</v>
      </c>
      <c r="C9" s="47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3" sqref="B3"/>
    </sheetView>
  </sheetViews>
  <sheetFormatPr defaultRowHeight="15"/>
  <cols>
    <col min="1" max="1" width="35.5703125" customWidth="1"/>
    <col min="2" max="2" width="14.28515625" customWidth="1"/>
  </cols>
  <sheetData>
    <row r="1" spans="1:5">
      <c r="A1" s="47" t="s">
        <v>96</v>
      </c>
      <c r="B1" s="47"/>
      <c r="C1" s="47"/>
      <c r="D1" s="47"/>
      <c r="E1" s="47"/>
    </row>
    <row r="2" spans="1:5">
      <c r="A2" s="47" t="s">
        <v>97</v>
      </c>
      <c r="B2" s="47"/>
      <c r="C2" s="47"/>
      <c r="D2" s="47"/>
      <c r="E2" s="47"/>
    </row>
    <row r="3" spans="1:5">
      <c r="A3" s="47" t="s">
        <v>98</v>
      </c>
      <c r="B3" s="47" t="s">
        <v>99</v>
      </c>
      <c r="C3" s="47"/>
      <c r="D3" s="47"/>
      <c r="E3" s="47"/>
    </row>
    <row r="4" spans="1:5">
      <c r="A4" s="47" t="s">
        <v>100</v>
      </c>
      <c r="B4" s="47" t="s">
        <v>101</v>
      </c>
      <c r="C4" s="47"/>
      <c r="D4" s="47"/>
      <c r="E4" s="47"/>
    </row>
    <row r="5" spans="1:5">
      <c r="A5" s="47" t="s">
        <v>102</v>
      </c>
      <c r="B5" s="47" t="s">
        <v>103</v>
      </c>
      <c r="C5" s="47"/>
      <c r="D5" s="47"/>
      <c r="E5" s="47"/>
    </row>
    <row r="6" spans="1:5">
      <c r="A6" s="47" t="s">
        <v>104</v>
      </c>
      <c r="B6" s="47" t="s">
        <v>105</v>
      </c>
      <c r="C6" s="47"/>
      <c r="D6" s="47"/>
      <c r="E6" s="47"/>
    </row>
    <row r="7" spans="1:5">
      <c r="A7" s="47" t="s">
        <v>106</v>
      </c>
      <c r="B7" s="47" t="s">
        <v>107</v>
      </c>
      <c r="C7" s="47"/>
      <c r="D7" s="47"/>
      <c r="E7" s="47"/>
    </row>
    <row r="8" spans="1:5">
      <c r="A8" s="47" t="s">
        <v>108</v>
      </c>
      <c r="B8" s="47" t="s">
        <v>109</v>
      </c>
      <c r="C8" s="51"/>
      <c r="D8" s="47"/>
      <c r="E8" s="47"/>
    </row>
    <row r="9" spans="1:5">
      <c r="A9" s="47" t="s">
        <v>110</v>
      </c>
      <c r="B9" s="47" t="s">
        <v>111</v>
      </c>
      <c r="C9" s="51"/>
      <c r="D9" s="47"/>
      <c r="E9" s="47"/>
    </row>
    <row r="10" spans="1:5" s="47" customFormat="1">
      <c r="A10" s="47" t="s">
        <v>112</v>
      </c>
      <c r="B10" s="47" t="s">
        <v>113</v>
      </c>
      <c r="C10" s="51"/>
    </row>
    <row r="11" spans="1:5">
      <c r="A11" s="47" t="s">
        <v>114</v>
      </c>
      <c r="B11" s="47" t="s">
        <v>115</v>
      </c>
      <c r="C11" s="47"/>
      <c r="D11" s="47"/>
      <c r="E11" s="47"/>
    </row>
    <row r="12" spans="1:5">
      <c r="A12" s="47" t="s">
        <v>116</v>
      </c>
      <c r="B12" s="47" t="s">
        <v>117</v>
      </c>
      <c r="C12" s="47" t="s">
        <v>118</v>
      </c>
      <c r="D12" s="47"/>
      <c r="E12" s="47"/>
    </row>
    <row r="13" spans="1:5" s="47" customFormat="1">
      <c r="A13" s="47" t="s">
        <v>119</v>
      </c>
      <c r="B13" s="53">
        <v>1</v>
      </c>
      <c r="C13" s="47" t="s">
        <v>120</v>
      </c>
    </row>
    <row r="15" spans="1:5">
      <c r="A15" s="1" t="s">
        <v>121</v>
      </c>
      <c r="B15" s="2"/>
      <c r="C15" s="2"/>
      <c r="D15" s="2"/>
      <c r="E15" s="2"/>
    </row>
    <row r="16" spans="1:5">
      <c r="A16" s="1" t="s">
        <v>122</v>
      </c>
      <c r="B16" s="47"/>
      <c r="C16" s="47"/>
      <c r="D16" s="47"/>
      <c r="E16" s="47"/>
    </row>
  </sheetData>
  <pageMargins left="0.7" right="0.7" top="0.75" bottom="0.75" header="0.3" footer="0.3"/>
  <pageSetup orientation="portrait" horizontalDpi="360" verticalDpi="36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A633E81E3C064F9F291374B5ED26D2" ma:contentTypeVersion="0" ma:contentTypeDescription="Create a new document." ma:contentTypeScope="" ma:versionID="50a9617a87c0852a0d9215c3493f56c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613B7F-C802-4C2C-B6D6-38B9D3ADE2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011C9-6B9D-4E82-9117-3E50A79B937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82A4291-9536-45E7-8326-C33C39C68F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miriam.noonan@ore.catapult.org.uk</cp:lastModifiedBy>
  <dcterms:created xsi:type="dcterms:W3CDTF">2020-02-09T18:34:25Z</dcterms:created>
  <dcterms:modified xsi:type="dcterms:W3CDTF">2020-06-02T11:21:36Z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0x01010075A633E81E3C064F9F291374B5ED26D2</vt:lpwstr>
  </property>
</Properties>
</file>