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eiter\Desktop\March flight 2019\Short turnaround request\OSW Supply investments\"/>
    </mc:Choice>
  </mc:AlternateContent>
  <xr:revisionPtr revIDLastSave="0" documentId="8_{D1C931F2-68B9-4EED-A26A-3ADF56BE9D0B}" xr6:coauthVersionLast="46" xr6:coauthVersionMax="46" xr10:uidLastSave="{00000000-0000-0000-0000-000000000000}"/>
  <bookViews>
    <workbookView xWindow="28680" yWindow="-120" windowWidth="29040" windowHeight="15990" xr2:uid="{35406DA3-AC1C-403C-960E-AA7AFC415569}"/>
  </bookViews>
  <sheets>
    <sheet name="Summary" sheetId="4" r:id="rId1"/>
    <sheet name="Production facilities" sheetId="1" r:id="rId2"/>
    <sheet name="Currency exchange" sheetId="2" r:id="rId3"/>
    <sheet name="Extra" sheetId="5" r:id="rId4"/>
  </sheets>
  <definedNames>
    <definedName name="Currency_lookup">'Currency exchange'!$B$22:$C$98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D31" i="1"/>
  <c r="D30" i="1"/>
  <c r="D29" i="1"/>
  <c r="D28" i="1"/>
  <c r="D27" i="1"/>
  <c r="D26" i="1"/>
  <c r="E9" i="4"/>
  <c r="F9" i="4"/>
  <c r="G9" i="4"/>
  <c r="D9" i="4"/>
  <c r="D35" i="4"/>
  <c r="F24" i="1"/>
  <c r="F8" i="4"/>
  <c r="D32" i="4"/>
  <c r="G8" i="4" s="1"/>
  <c r="G19" i="4"/>
  <c r="F10" i="4"/>
  <c r="G10" i="4"/>
  <c r="D10" i="4"/>
  <c r="D38" i="4"/>
  <c r="E10" i="4" s="1"/>
  <c r="D7" i="1"/>
  <c r="D26" i="4"/>
  <c r="E6" i="4" s="1"/>
  <c r="F16" i="1"/>
  <c r="F15" i="1"/>
  <c r="F19" i="4"/>
  <c r="D7" i="4"/>
  <c r="D29" i="4"/>
  <c r="F7" i="4" s="1"/>
  <c r="F6" i="4"/>
  <c r="E19" i="4"/>
  <c r="D19" i="4"/>
  <c r="F13" i="1"/>
  <c r="F14" i="1"/>
  <c r="D19" i="1"/>
  <c r="D18" i="1"/>
  <c r="D14" i="1"/>
  <c r="F5" i="1"/>
  <c r="F6" i="1"/>
  <c r="F7" i="1"/>
  <c r="F8" i="1"/>
  <c r="F9" i="1"/>
  <c r="F10" i="1"/>
  <c r="F11" i="1"/>
  <c r="F12" i="1"/>
  <c r="F4" i="1"/>
  <c r="C89" i="2"/>
  <c r="C90" i="2"/>
  <c r="C91" i="2"/>
  <c r="C92" i="2"/>
  <c r="C93" i="2"/>
  <c r="C94" i="2"/>
  <c r="C95" i="2"/>
  <c r="C96" i="2"/>
  <c r="C97" i="2"/>
  <c r="C98" i="2"/>
  <c r="C88" i="2"/>
  <c r="C78" i="2"/>
  <c r="C79" i="2"/>
  <c r="C80" i="2"/>
  <c r="C81" i="2"/>
  <c r="C82" i="2"/>
  <c r="C83" i="2"/>
  <c r="C84" i="2"/>
  <c r="C85" i="2"/>
  <c r="C86" i="2"/>
  <c r="C87" i="2"/>
  <c r="C77" i="2"/>
  <c r="B89" i="2"/>
  <c r="B90" i="2"/>
  <c r="B91" i="2"/>
  <c r="B92" i="2"/>
  <c r="B93" i="2"/>
  <c r="B94" i="2"/>
  <c r="B95" i="2"/>
  <c r="B96" i="2"/>
  <c r="B97" i="2"/>
  <c r="B98" i="2"/>
  <c r="B88" i="2"/>
  <c r="B78" i="2"/>
  <c r="B79" i="2"/>
  <c r="B80" i="2"/>
  <c r="B81" i="2"/>
  <c r="B82" i="2"/>
  <c r="B83" i="2"/>
  <c r="B84" i="2"/>
  <c r="B85" i="2"/>
  <c r="B86" i="2"/>
  <c r="B87" i="2"/>
  <c r="B77" i="2"/>
  <c r="C67" i="2"/>
  <c r="C68" i="2"/>
  <c r="C69" i="2"/>
  <c r="C70" i="2"/>
  <c r="C71" i="2"/>
  <c r="C72" i="2"/>
  <c r="C73" i="2"/>
  <c r="C74" i="2"/>
  <c r="C75" i="2"/>
  <c r="C76" i="2"/>
  <c r="C66" i="2"/>
  <c r="B67" i="2"/>
  <c r="B68" i="2"/>
  <c r="B69" i="2"/>
  <c r="B70" i="2"/>
  <c r="B71" i="2"/>
  <c r="B72" i="2"/>
  <c r="B73" i="2"/>
  <c r="B74" i="2"/>
  <c r="B75" i="2"/>
  <c r="B76" i="2"/>
  <c r="B66" i="2"/>
  <c r="C56" i="2"/>
  <c r="C57" i="2"/>
  <c r="C58" i="2"/>
  <c r="C59" i="2"/>
  <c r="C60" i="2"/>
  <c r="C61" i="2"/>
  <c r="C62" i="2"/>
  <c r="C63" i="2"/>
  <c r="C64" i="2"/>
  <c r="C65" i="2"/>
  <c r="C55" i="2"/>
  <c r="B56" i="2"/>
  <c r="B57" i="2"/>
  <c r="B58" i="2"/>
  <c r="B59" i="2"/>
  <c r="B60" i="2"/>
  <c r="B61" i="2"/>
  <c r="B62" i="2"/>
  <c r="B63" i="2"/>
  <c r="B64" i="2"/>
  <c r="B65" i="2"/>
  <c r="B55" i="2"/>
  <c r="C45" i="2"/>
  <c r="C46" i="2"/>
  <c r="C47" i="2"/>
  <c r="C48" i="2"/>
  <c r="C49" i="2"/>
  <c r="C50" i="2"/>
  <c r="C51" i="2"/>
  <c r="C52" i="2"/>
  <c r="C53" i="2"/>
  <c r="C54" i="2"/>
  <c r="C44" i="2"/>
  <c r="B45" i="2"/>
  <c r="B46" i="2"/>
  <c r="B47" i="2"/>
  <c r="B48" i="2"/>
  <c r="B49" i="2"/>
  <c r="B50" i="2"/>
  <c r="B51" i="2"/>
  <c r="B52" i="2"/>
  <c r="B53" i="2"/>
  <c r="B54" i="2"/>
  <c r="B44" i="2"/>
  <c r="C34" i="2"/>
  <c r="C35" i="2"/>
  <c r="C36" i="2"/>
  <c r="C37" i="2"/>
  <c r="C38" i="2"/>
  <c r="C39" i="2"/>
  <c r="C40" i="2"/>
  <c r="C41" i="2"/>
  <c r="C42" i="2"/>
  <c r="C43" i="2"/>
  <c r="C33" i="2"/>
  <c r="B34" i="2"/>
  <c r="B35" i="2"/>
  <c r="B36" i="2"/>
  <c r="B37" i="2"/>
  <c r="B38" i="2"/>
  <c r="B39" i="2"/>
  <c r="B40" i="2"/>
  <c r="B41" i="2"/>
  <c r="B42" i="2"/>
  <c r="B43" i="2"/>
  <c r="B33" i="2"/>
  <c r="C23" i="2"/>
  <c r="C24" i="2"/>
  <c r="C25" i="2"/>
  <c r="C26" i="2"/>
  <c r="C27" i="2"/>
  <c r="C28" i="2"/>
  <c r="C29" i="2"/>
  <c r="C30" i="2"/>
  <c r="C31" i="2"/>
  <c r="C32" i="2"/>
  <c r="C22" i="2"/>
  <c r="B32" i="2"/>
  <c r="B23" i="2"/>
  <c r="B24" i="2"/>
  <c r="B25" i="2"/>
  <c r="B26" i="2"/>
  <c r="B27" i="2"/>
  <c r="B28" i="2"/>
  <c r="B29" i="2"/>
  <c r="B30" i="2"/>
  <c r="B31" i="2"/>
  <c r="B22" i="2"/>
  <c r="D12" i="1"/>
  <c r="D11" i="1"/>
  <c r="G5" i="4" l="1"/>
  <c r="E8" i="4"/>
  <c r="G6" i="4"/>
  <c r="D8" i="4"/>
  <c r="D6" i="4"/>
  <c r="E7" i="4"/>
  <c r="F5" i="4"/>
  <c r="E5" i="4"/>
  <c r="G7" i="4"/>
  <c r="D5" i="4"/>
</calcChain>
</file>

<file path=xl/sharedStrings.xml><?xml version="1.0" encoding="utf-8"?>
<sst xmlns="http://schemas.openxmlformats.org/spreadsheetml/2006/main" count="246" uniqueCount="148">
  <si>
    <t>Type</t>
  </si>
  <si>
    <t>Notes</t>
  </si>
  <si>
    <t>Nacelle</t>
  </si>
  <si>
    <t>https://www.ge.com/news/press-releases/ge-renewable-energy-plans-open-new-offshore-wind-blade-manufacturing-plant-teesside-uk</t>
  </si>
  <si>
    <t>Blades</t>
  </si>
  <si>
    <t>Location</t>
  </si>
  <si>
    <t>Jobs - Direct</t>
  </si>
  <si>
    <t>Jobs - Indirect</t>
  </si>
  <si>
    <t>Teesside, UK</t>
  </si>
  <si>
    <t>Source 1</t>
  </si>
  <si>
    <t>Source 2</t>
  </si>
  <si>
    <t>EUR</t>
  </si>
  <si>
    <t>https://www.4coffshore.com/news/sgre-build-offshore-wind-plant-at-cuxhaven-nid7954.html</t>
  </si>
  <si>
    <t>Investment Cost (Local Currency)</t>
  </si>
  <si>
    <t>Cables</t>
  </si>
  <si>
    <t>Monopiles</t>
  </si>
  <si>
    <t>USD</t>
  </si>
  <si>
    <t>https://www.nj.gov/governor/news/news/562020/20201222a.shtml</t>
  </si>
  <si>
    <t>USD2020</t>
  </si>
  <si>
    <t>EUR2018</t>
  </si>
  <si>
    <t>Paulsboro Marine Terminal in Gloucester County, US</t>
  </si>
  <si>
    <t>Paulsboro Marine Terminal</t>
  </si>
  <si>
    <t>Plant name</t>
  </si>
  <si>
    <t>Charleston, South Carolina facility, US</t>
  </si>
  <si>
    <t>https://www.nexans.com/nexans_blog/nexans_blog_posts/Us-regulatory-action-needed-to-build-US-offshore-wind-industry.html</t>
  </si>
  <si>
    <t>Nexans Subsea high voltage export cables</t>
  </si>
  <si>
    <t>GE Blade Teesside</t>
  </si>
  <si>
    <t>SGRE Cuxhaven Nacelle</t>
  </si>
  <si>
    <t>Nacelles/year</t>
  </si>
  <si>
    <t>https://www.offshorewind.biz/2020/11/04/siemens-gamesa-produces-500th-offshore-wind-turbine-nacelle-in-cuxhaven/</t>
  </si>
  <si>
    <t>Local Currency-Year</t>
  </si>
  <si>
    <t>Cuxhaven, Germany</t>
  </si>
  <si>
    <t>Investment Cost (2020 USD)</t>
  </si>
  <si>
    <t xml:space="preserve">Blades </t>
  </si>
  <si>
    <t>SGRE Hull</t>
  </si>
  <si>
    <t>Hull, UK</t>
  </si>
  <si>
    <t>https://www.windpowermonthly.com/article/1286801/siemens-build-eur-190m-uk-blade-plant?_ga=2.92209052.785293947.1615862166-1884996604.1615862166</t>
  </si>
  <si>
    <t>Nr</t>
  </si>
  <si>
    <t>Units</t>
  </si>
  <si>
    <t>Amount</t>
  </si>
  <si>
    <t>Steel mill</t>
  </si>
  <si>
    <t>http://www.steelwind-nordenham.de/imperia/md/content/steelwind/swn_imagebrosch%C3%BCre_en_11_2019.pdf</t>
  </si>
  <si>
    <t>Nordenham, Germany</t>
  </si>
  <si>
    <t>Steel mill only produces monopiles and transition pieces for offshore wind ()</t>
  </si>
  <si>
    <t>Monopiles/year</t>
  </si>
  <si>
    <t>Transition pieces/year</t>
  </si>
  <si>
    <t>Dillinger Nordenham Steel Mill</t>
  </si>
  <si>
    <t>EUR2011</t>
  </si>
  <si>
    <t>https://www.energytrend.com/news/20110926-2079.html</t>
  </si>
  <si>
    <t>Operation start</t>
  </si>
  <si>
    <t>Sources</t>
  </si>
  <si>
    <t>Exchange Rates</t>
  </si>
  <si>
    <t>https://data.oecd.org/conversion/exchange-rates.htm</t>
  </si>
  <si>
    <t>Inflation</t>
  </si>
  <si>
    <t>https://data.oecd.org/price/inflation-cpi.htm</t>
  </si>
  <si>
    <t>Exchange Rate (National currency units/US dollar)</t>
  </si>
  <si>
    <t>Year</t>
  </si>
  <si>
    <t>GBP</t>
  </si>
  <si>
    <t>DKK</t>
  </si>
  <si>
    <t>SEK</t>
  </si>
  <si>
    <t>NOK</t>
  </si>
  <si>
    <t>JPY</t>
  </si>
  <si>
    <t>OECD (2021), Exchange rates (indicator). doi: 10.1787/037ed317-en (Accessed on 26 September, 2019; March 2, 2020; March 19, 2021)</t>
  </si>
  <si>
    <t>OECD (2021), Inflation (CPI) (indicator). doi: 10.1787/eee82e6e-en (Accessed on 26 September, 2019; March 2, 2020; March 19, 2021)</t>
  </si>
  <si>
    <t>GBP2016</t>
  </si>
  <si>
    <t>Steel tons/year</t>
  </si>
  <si>
    <t>Roermond and Rotterdam, Netherlands</t>
  </si>
  <si>
    <t>https://www.offshorewindindustry.com/news/pipes-dont-come-much-bigger</t>
  </si>
  <si>
    <t xml:space="preserve">Steel Tons/1 MW </t>
  </si>
  <si>
    <t>EEW Rostock</t>
  </si>
  <si>
    <t>Rostock, Germany</t>
  </si>
  <si>
    <t>https://www.offshorewind.biz/companies/eew-special-pipe-constructions-gmbh/</t>
  </si>
  <si>
    <t>Steel Tons/Monopile</t>
  </si>
  <si>
    <t>https://www.offshorewind.biz/2019/10/21/eew-spc-to-build-windpark-frysl%C8%83n-monopiles/</t>
  </si>
  <si>
    <t>For monopiles (4.3 MW turbines)</t>
  </si>
  <si>
    <t>For monopiles and transition pieces of 600 MW Gemini offshore wind farm (4 MW turbines)</t>
  </si>
  <si>
    <t>https://eew-group.com/locations/eew-spc/</t>
  </si>
  <si>
    <t>https://energy.maryland.gov/Documents/AnalysisMarylandSteelFacilitiesSufficiency_SupportOffshoreWindEnergyDeployment.pdf</t>
  </si>
  <si>
    <t>Sparrows Point, MD</t>
  </si>
  <si>
    <t>Tradepoint Atlantic / RG Steel</t>
  </si>
  <si>
    <t>https://www.tradepointatlantic.com/</t>
  </si>
  <si>
    <t>"Only fully integrated steel mill located on the US East Coast" (page 88). Ceased operation in 2014 / dismanteled?</t>
  </si>
  <si>
    <t>Retired steel mill</t>
  </si>
  <si>
    <t>https://www.handelsblatt.com/english/companies/offshore-windpower-the-monopile-monopoly/23535042.html?ticket=ST-2136343-V97q5jUPaediAceZstfH-ap2</t>
  </si>
  <si>
    <t xml:space="preserve">Tons/year </t>
  </si>
  <si>
    <t>Europe</t>
  </si>
  <si>
    <t>https://owgp.org.uk/wp-content/uploads/2020/01/UK-OSW-Foundations-Strategic-Capability-Assessment-2019-v04.03-1.pdf</t>
  </si>
  <si>
    <t>OSW monopile demand annually (2019)</t>
  </si>
  <si>
    <t>OSW monopile demand annually (2021-2030)</t>
  </si>
  <si>
    <t>EUR2015</t>
  </si>
  <si>
    <t>Dillinger steel mill</t>
  </si>
  <si>
    <t>https://www.dillinger.de/d/downloads/download/16703</t>
  </si>
  <si>
    <t>25 GW by 2030</t>
  </si>
  <si>
    <t>30 GW by 2030</t>
  </si>
  <si>
    <t>Steel (tonnes)</t>
  </si>
  <si>
    <t>Modeled demand</t>
  </si>
  <si>
    <t>Cabling (km)</t>
  </si>
  <si>
    <t>Production facility</t>
  </si>
  <si>
    <t>Tons/year (avg)</t>
  </si>
  <si>
    <t>Monopile fabrication</t>
  </si>
  <si>
    <t>Monopiles/year (avg)</t>
  </si>
  <si>
    <t>Nacelle fabrication</t>
  </si>
  <si>
    <t>Blade fabrication</t>
  </si>
  <si>
    <t>Tower fabrication</t>
  </si>
  <si>
    <t>Monopile fabrication units</t>
  </si>
  <si>
    <t>Nacelle fabrication units</t>
  </si>
  <si>
    <t>Blade fabrication units</t>
  </si>
  <si>
    <t>Tower fabrication units</t>
  </si>
  <si>
    <t>Start year</t>
  </si>
  <si>
    <t>EUR2016</t>
  </si>
  <si>
    <t>Transition piece</t>
  </si>
  <si>
    <t>https://sif-group.com/en/investor-relations/annual-report-2019/</t>
  </si>
  <si>
    <t>EUR2017</t>
  </si>
  <si>
    <t>Sif Roermond/Rotterdam</t>
  </si>
  <si>
    <t>https://www.nexans.us/eservice/US-en_US/navigatepub_0_-33990/More.html</t>
  </si>
  <si>
    <t>Kilometers/year</t>
  </si>
  <si>
    <t>https://www.globenewswire.com/fr/news-release/2020/06/11/2046696/0/en/Nexans-awarded-turnkey-contract-to-supply-power-export-cables-for-Scotland-s-Seagreen-offshore-windfarm-project.html</t>
  </si>
  <si>
    <t>Source 3</t>
  </si>
  <si>
    <t>Assumes that the order of 65km * 3 export cables from 2020 press release can be manufactured at the Charleston plant within one year; unclear whether this is the max or more can be accomodated</t>
  </si>
  <si>
    <t>Export cable fabrication</t>
  </si>
  <si>
    <t>Towers/year (avg)</t>
  </si>
  <si>
    <t>Cable fabrication units</t>
  </si>
  <si>
    <t>https://renewablesnow.com/news/siemens-gets-hull-city-consent-for-uk-wind-turbine-blade-factory-479133/</t>
  </si>
  <si>
    <t>Blades/year</t>
  </si>
  <si>
    <t>Towers</t>
  </si>
  <si>
    <t>Haizea Wind Bilbao Tower</t>
  </si>
  <si>
    <t>Towers/year</t>
  </si>
  <si>
    <t>https://prosertek.com/blog/offshore-wind-tower-bilbao/#:~:text=The%20plant%20will%20be%20able,is%20measured%20in%20tower%20lengths).</t>
  </si>
  <si>
    <t>Port of Albany, New York</t>
  </si>
  <si>
    <t>https://www.rechargenews.com/wind/equinor-becomes-top-dog-in-us-offshore-wind-with-2-5gw-new-york-round-win/2-1-944340</t>
  </si>
  <si>
    <t>https://globalenergymonitor.org/projects/global-steel-plant-tracker/tracker-map/</t>
  </si>
  <si>
    <t>Nucor Steel Berkeley Plant</t>
  </si>
  <si>
    <t>Nucor Steel Hertford</t>
  </si>
  <si>
    <t>South Carolina</t>
  </si>
  <si>
    <t>North Carolina</t>
  </si>
  <si>
    <t>Steel Dynamics Sinton Plant</t>
  </si>
  <si>
    <t>SSAB America Alabama</t>
  </si>
  <si>
    <t>Alabama</t>
  </si>
  <si>
    <t>Texas</t>
  </si>
  <si>
    <t>Outokumpu Alabama</t>
  </si>
  <si>
    <t>Cleveland-Cliffs Steelton</t>
  </si>
  <si>
    <t>Pennsylvania</t>
  </si>
  <si>
    <t>Modeled demand ("OSW targets analysis")</t>
  </si>
  <si>
    <t>Steel mill fabrication units</t>
  </si>
  <si>
    <t>The  estimated cable fabrication units are estimated from the Nexans subsea cable plant in Charleston, South Carolina and its order of 3 x 65 km for the Scotland Seagreen offshore project in 2020 (assuming the order can be completely filled within a year). It's quite possible the actual fabrication capacity well exceeds the estimated 195 km/year.</t>
  </si>
  <si>
    <t>Turbines/towers/foundations/nacelles (units)</t>
  </si>
  <si>
    <t>Blades (units)</t>
  </si>
  <si>
    <t>Assumes that all turbines installed are mounted on monopiles (i.e., no floating installations); No realiable data for annual throughput for semisubmersible production could be identified in initial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</si>
</sst>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6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0" xfId="0" applyNumberForma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1" fontId="0" fillId="0" borderId="3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/>
    <xf numFmtId="3" fontId="0" fillId="0" borderId="0" xfId="0" applyNumberFormat="1" applyAlignment="1">
      <alignment horizontal="left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4" xfId="0" applyBorder="1"/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76" fontId="0" fillId="0" borderId="4" xfId="0" applyNumberFormat="1" applyBorder="1" applyAlignment="1">
      <alignment horizontal="center" vertical="top"/>
    </xf>
    <xf numFmtId="0" fontId="1" fillId="0" borderId="0" xfId="0" applyFont="1"/>
    <xf numFmtId="3" fontId="0" fillId="0" borderId="2" xfId="0" applyNumberFormat="1" applyBorder="1" applyAlignment="1">
      <alignment horizontal="center" vertical="top"/>
    </xf>
    <xf numFmtId="3" fontId="2" fillId="0" borderId="6" xfId="0" applyNumberFormat="1" applyFont="1" applyBorder="1" applyAlignment="1">
      <alignment horizontal="center" vertical="top"/>
    </xf>
    <xf numFmtId="0" fontId="0" fillId="0" borderId="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</xdr:row>
      <xdr:rowOff>114300</xdr:rowOff>
    </xdr:from>
    <xdr:to>
      <xdr:col>14</xdr:col>
      <xdr:colOff>419100</xdr:colOff>
      <xdr:row>27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E04B48-1587-4EB6-9E10-D6764BAD5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95300"/>
          <a:ext cx="857250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333375</xdr:colOff>
      <xdr:row>45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30DD3-335F-4FF1-B9D9-D35CAEED0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5210175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17</xdr:col>
      <xdr:colOff>333375</xdr:colOff>
      <xdr:row>44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1106B7-5122-4650-843E-D3EFC24E2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86500"/>
          <a:ext cx="521017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energytrend.com/news/20110926-2079.html" TargetMode="External"/><Relationship Id="rId7" Type="http://schemas.openxmlformats.org/officeDocument/2006/relationships/hyperlink" Target="https://www.globenewswire.com/fr/news-release/2020/06/11/2046696/0/en/Nexans-awarded-turnkey-contract-to-supply-power-export-cables-for-Scotland-s-Seagreen-offshore-windfarm-project.html" TargetMode="External"/><Relationship Id="rId2" Type="http://schemas.openxmlformats.org/officeDocument/2006/relationships/hyperlink" Target="https://www.4coffshore.com/news/sgre-build-offshore-wind-plant-at-cuxhaven-nid7954.html" TargetMode="External"/><Relationship Id="rId1" Type="http://schemas.openxmlformats.org/officeDocument/2006/relationships/hyperlink" Target="https://www.ge.com/news/press-releases/ge-renewable-energy-plans-open-new-offshore-wind-blade-manufacturing-plant-teesside-uk" TargetMode="External"/><Relationship Id="rId6" Type="http://schemas.openxmlformats.org/officeDocument/2006/relationships/hyperlink" Target="https://energy.maryland.gov/Documents/AnalysisMarylandSteelFacilitiesSufficiency_SupportOffshoreWindEnergyDeployment.pdf" TargetMode="External"/><Relationship Id="rId5" Type="http://schemas.openxmlformats.org/officeDocument/2006/relationships/hyperlink" Target="https://www.windpowermonthly.com/article/1286801/siemens-build-eur-190m-uk-blade-plant?_ga=2.92209052.785293947.1615862166-1884996604.1615862166" TargetMode="External"/><Relationship Id="rId4" Type="http://schemas.openxmlformats.org/officeDocument/2006/relationships/hyperlink" Target="https://www.energytrend.com/news/20110926-2079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ata.oecd.org/price/inflation-cpi.htm" TargetMode="External"/><Relationship Id="rId1" Type="http://schemas.openxmlformats.org/officeDocument/2006/relationships/hyperlink" Target="https://data.oecd.org/conversion/exchange-rates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D066-E918-44AD-A774-08986F4820E2}">
  <dimension ref="A1:L38"/>
  <sheetViews>
    <sheetView tabSelected="1" workbookViewId="0">
      <selection activeCell="C11" sqref="C11"/>
    </sheetView>
  </sheetViews>
  <sheetFormatPr defaultRowHeight="15" x14ac:dyDescent="0.25"/>
  <cols>
    <col min="3" max="3" width="42.85546875" bestFit="1" customWidth="1"/>
    <col min="4" max="4" width="20.5703125" bestFit="1" customWidth="1"/>
    <col min="5" max="5" width="17.7109375" customWidth="1"/>
    <col min="6" max="6" width="20.140625" customWidth="1"/>
    <col min="7" max="7" width="23" customWidth="1"/>
    <col min="8" max="8" width="1.5703125" customWidth="1"/>
    <col min="9" max="9" width="36.28515625" bestFit="1" customWidth="1"/>
    <col min="10" max="10" width="15.5703125" customWidth="1"/>
    <col min="11" max="11" width="18" customWidth="1"/>
    <col min="12" max="12" width="21.140625" customWidth="1"/>
    <col min="13" max="13" width="24.5703125" customWidth="1"/>
  </cols>
  <sheetData>
    <row r="1" spans="1:12" x14ac:dyDescent="0.25">
      <c r="A1" s="1" t="s">
        <v>108</v>
      </c>
      <c r="B1" s="36">
        <v>2020</v>
      </c>
      <c r="K1" s="4"/>
      <c r="L1" s="4"/>
    </row>
    <row r="2" spans="1:12" x14ac:dyDescent="0.25">
      <c r="D2" s="32" t="s">
        <v>95</v>
      </c>
      <c r="E2" s="32"/>
      <c r="F2" s="32"/>
      <c r="G2" s="32"/>
      <c r="H2" s="43"/>
      <c r="I2" s="2" t="s">
        <v>1</v>
      </c>
      <c r="L2" s="4"/>
    </row>
    <row r="3" spans="1:12" x14ac:dyDescent="0.25">
      <c r="D3" s="33" t="s">
        <v>92</v>
      </c>
      <c r="E3" s="33"/>
      <c r="F3" s="33" t="s">
        <v>93</v>
      </c>
      <c r="G3" s="33"/>
    </row>
    <row r="4" spans="1:12" x14ac:dyDescent="0.25">
      <c r="D4" s="34">
        <v>2030</v>
      </c>
      <c r="E4" s="34">
        <v>2050</v>
      </c>
      <c r="F4" s="34">
        <v>2030</v>
      </c>
      <c r="G4" s="34">
        <v>2050</v>
      </c>
    </row>
    <row r="5" spans="1:12" x14ac:dyDescent="0.25">
      <c r="C5" s="30" t="s">
        <v>143</v>
      </c>
      <c r="D5" s="35">
        <f>D19/($D$23*(D4-$B$1))</f>
        <v>0.2752931978107897</v>
      </c>
      <c r="E5" s="35">
        <f>E19/($D$23*(E4-$B$1))</f>
        <v>0.59484493093562685</v>
      </c>
      <c r="F5" s="35">
        <f>F19/($D$23*(F4-$B$1))</f>
        <v>0.35218921032056294</v>
      </c>
      <c r="G5" s="35">
        <f>G19/($D$23*(G4-$B$1))</f>
        <v>0.64138389366692738</v>
      </c>
    </row>
    <row r="6" spans="1:12" x14ac:dyDescent="0.25">
      <c r="C6" s="30" t="s">
        <v>104</v>
      </c>
      <c r="D6" s="35">
        <f>D16/($D$26*(D4-$B$1))</f>
        <v>1.1458064516129032</v>
      </c>
      <c r="E6" s="35">
        <f>E16/($D$26*(E4-$B$1))</f>
        <v>1.5232258064516129</v>
      </c>
      <c r="F6" s="35">
        <f>F16/($D$26*(F4-$B$1))</f>
        <v>1.3606451612903225</v>
      </c>
      <c r="G6" s="35">
        <f>G16/($D$26*(G4-$B$1))</f>
        <v>1.6006451612903225</v>
      </c>
      <c r="I6" s="40" t="s">
        <v>147</v>
      </c>
    </row>
    <row r="7" spans="1:12" x14ac:dyDescent="0.25">
      <c r="C7" s="31" t="s">
        <v>105</v>
      </c>
      <c r="D7" s="35">
        <f>D16/($D$29*(D4-$B$1))</f>
        <v>0.71040000000000003</v>
      </c>
      <c r="E7" s="35">
        <f>E16/($D$29*(E4-$B$1))</f>
        <v>0.94440000000000002</v>
      </c>
      <c r="F7" s="35">
        <f>F16/($D$29*(F4-$B$1))</f>
        <v>0.84360000000000002</v>
      </c>
      <c r="G7" s="35">
        <f>G16/($D$29*(G4-$B$1))</f>
        <v>0.99239999999999995</v>
      </c>
    </row>
    <row r="8" spans="1:12" x14ac:dyDescent="0.25">
      <c r="C8" s="30" t="s">
        <v>106</v>
      </c>
      <c r="D8" s="35">
        <f>D17/($D$32*(D4-$B$1))</f>
        <v>0.88800000000000001</v>
      </c>
      <c r="E8" s="35">
        <f>E17/($D$32*(E4-$B$1))</f>
        <v>1.1805000000000001</v>
      </c>
      <c r="F8" s="35">
        <f>F17/($D$32*(F4-$B$1))</f>
        <v>1.0545</v>
      </c>
      <c r="G8" s="35">
        <f>G17/($D$32*(G4-$B$1))</f>
        <v>1.2404999999999999</v>
      </c>
    </row>
    <row r="9" spans="1:12" x14ac:dyDescent="0.25">
      <c r="C9" s="30" t="s">
        <v>107</v>
      </c>
      <c r="D9" s="39">
        <f>D16/($D$35*(D4-$B$1))</f>
        <v>1.0763636363636364</v>
      </c>
      <c r="E9" s="39">
        <f t="shared" ref="E9:G9" si="0">E16/($D$35*(E4-$B$1))</f>
        <v>1.4309090909090909</v>
      </c>
      <c r="F9" s="39">
        <f t="shared" si="0"/>
        <v>1.2781818181818181</v>
      </c>
      <c r="G9" s="39">
        <f t="shared" si="0"/>
        <v>1.5036363636363637</v>
      </c>
    </row>
    <row r="10" spans="1:12" x14ac:dyDescent="0.25">
      <c r="C10" s="30" t="s">
        <v>121</v>
      </c>
      <c r="D10" s="35">
        <f>D18/($D$38*(D4-$B$1))</f>
        <v>6.5343589743589741</v>
      </c>
      <c r="E10" s="35">
        <f>E18/($D$38*(E4-$B$1))</f>
        <v>11.375213675213676</v>
      </c>
      <c r="F10" s="35">
        <f>F18/($D$38*(F4-$B$1))</f>
        <v>7.6246153846153844</v>
      </c>
      <c r="G10" s="35">
        <f>G18/($D$38*(G4-$B$1))</f>
        <v>12.701709401709401</v>
      </c>
      <c r="I10" s="40" t="s">
        <v>144</v>
      </c>
    </row>
    <row r="13" spans="1:12" x14ac:dyDescent="0.25">
      <c r="D13" s="32" t="s">
        <v>142</v>
      </c>
      <c r="E13" s="32"/>
      <c r="F13" s="32"/>
      <c r="G13" s="32"/>
      <c r="H13" s="6"/>
    </row>
    <row r="14" spans="1:12" x14ac:dyDescent="0.25">
      <c r="D14" s="33" t="s">
        <v>92</v>
      </c>
      <c r="E14" s="33"/>
      <c r="F14" s="33" t="s">
        <v>93</v>
      </c>
      <c r="G14" s="33"/>
      <c r="H14" s="6"/>
    </row>
    <row r="15" spans="1:12" x14ac:dyDescent="0.25">
      <c r="D15" s="34">
        <v>2030</v>
      </c>
      <c r="E15" s="34">
        <v>2050</v>
      </c>
      <c r="F15" s="34">
        <v>2030</v>
      </c>
      <c r="G15" s="34">
        <v>2050</v>
      </c>
      <c r="H15" s="6"/>
    </row>
    <row r="16" spans="1:12" x14ac:dyDescent="0.25">
      <c r="C16" s="30" t="s">
        <v>145</v>
      </c>
      <c r="D16" s="29">
        <v>1776</v>
      </c>
      <c r="E16" s="29">
        <v>7083</v>
      </c>
      <c r="F16" s="29">
        <v>2109</v>
      </c>
      <c r="G16" s="29">
        <v>7443</v>
      </c>
      <c r="H16" s="6"/>
    </row>
    <row r="17" spans="3:10" x14ac:dyDescent="0.25">
      <c r="C17" s="30" t="s">
        <v>146</v>
      </c>
      <c r="D17" s="29">
        <v>5328</v>
      </c>
      <c r="E17" s="29">
        <v>21249</v>
      </c>
      <c r="F17" s="29">
        <v>6327</v>
      </c>
      <c r="G17" s="29">
        <v>22329</v>
      </c>
      <c r="H17" s="6"/>
    </row>
    <row r="18" spans="3:10" x14ac:dyDescent="0.25">
      <c r="C18" s="31" t="s">
        <v>96</v>
      </c>
      <c r="D18" s="29">
        <v>12742</v>
      </c>
      <c r="E18" s="29">
        <v>66545</v>
      </c>
      <c r="F18" s="29">
        <v>14868</v>
      </c>
      <c r="G18" s="29">
        <v>74305</v>
      </c>
      <c r="H18" s="6"/>
    </row>
    <row r="19" spans="3:10" x14ac:dyDescent="0.25">
      <c r="C19" s="30" t="s">
        <v>94</v>
      </c>
      <c r="D19" s="29">
        <f>5030*1000</f>
        <v>5030000</v>
      </c>
      <c r="E19" s="29">
        <f>32606*1000</f>
        <v>32606000</v>
      </c>
      <c r="F19" s="29">
        <f>6435*1000</f>
        <v>6435000</v>
      </c>
      <c r="G19" s="29">
        <f>35157*1000</f>
        <v>35157000</v>
      </c>
      <c r="H19" s="6"/>
    </row>
    <row r="20" spans="3:10" x14ac:dyDescent="0.25">
      <c r="C20" s="6"/>
      <c r="D20" s="9"/>
      <c r="E20" s="9"/>
      <c r="F20" s="9"/>
      <c r="G20" s="6"/>
      <c r="H20" s="6"/>
    </row>
    <row r="21" spans="3:10" x14ac:dyDescent="0.25">
      <c r="C21" s="6"/>
      <c r="D21" s="9"/>
      <c r="E21" s="9"/>
      <c r="F21" s="9"/>
      <c r="G21" s="6"/>
      <c r="H21" s="6"/>
      <c r="I21" s="6"/>
      <c r="J21" s="6"/>
    </row>
    <row r="22" spans="3:10" x14ac:dyDescent="0.25">
      <c r="C22" s="37" t="s">
        <v>97</v>
      </c>
      <c r="D22" s="42" t="s">
        <v>98</v>
      </c>
      <c r="E22" s="9"/>
      <c r="F22" s="9"/>
      <c r="G22" s="6"/>
      <c r="H22" s="6"/>
      <c r="I22" s="6"/>
      <c r="J22" s="6"/>
    </row>
    <row r="23" spans="3:10" x14ac:dyDescent="0.25">
      <c r="C23" s="38" t="s">
        <v>40</v>
      </c>
      <c r="D23" s="41">
        <f>AVERAGE('Production facilities'!D23,'Production facilities'!D26,'Production facilities'!D27,'Production facilities'!D28,'Production facilities'!D29,'Production facilities'!D30,'Production facilities'!D31)</f>
        <v>1827142.857142857</v>
      </c>
      <c r="E23" s="9"/>
      <c r="F23" s="9"/>
      <c r="G23" s="6"/>
      <c r="H23" s="6"/>
      <c r="I23" s="6"/>
      <c r="J23" s="6"/>
    </row>
    <row r="24" spans="3:10" x14ac:dyDescent="0.25">
      <c r="G24" s="6"/>
      <c r="H24" s="6"/>
      <c r="I24" s="6"/>
      <c r="J24" s="6"/>
    </row>
    <row r="25" spans="3:10" x14ac:dyDescent="0.25">
      <c r="C25" s="37" t="s">
        <v>97</v>
      </c>
      <c r="D25" s="42" t="s">
        <v>100</v>
      </c>
      <c r="E25" s="9"/>
      <c r="F25" s="9"/>
      <c r="G25" s="6"/>
      <c r="H25" s="6"/>
      <c r="I25" s="6"/>
      <c r="J25" s="6"/>
    </row>
    <row r="26" spans="3:10" x14ac:dyDescent="0.25">
      <c r="C26" s="38" t="s">
        <v>99</v>
      </c>
      <c r="D26" s="41">
        <f>AVERAGE('Production facilities'!D9,'Production facilities'!D15)</f>
        <v>155</v>
      </c>
      <c r="E26" s="9"/>
      <c r="F26" s="9"/>
      <c r="G26" s="6"/>
      <c r="H26" s="6"/>
      <c r="I26" s="6"/>
      <c r="J26" s="6"/>
    </row>
    <row r="27" spans="3:10" x14ac:dyDescent="0.25">
      <c r="C27" s="6"/>
      <c r="D27" s="6"/>
      <c r="E27" s="6"/>
      <c r="F27" s="6"/>
      <c r="G27" s="6"/>
      <c r="H27" s="6"/>
      <c r="I27" s="6"/>
      <c r="J27" s="6"/>
    </row>
    <row r="28" spans="3:10" x14ac:dyDescent="0.25">
      <c r="C28" s="37" t="s">
        <v>97</v>
      </c>
      <c r="D28" s="42" t="s">
        <v>28</v>
      </c>
      <c r="E28" s="9"/>
      <c r="F28" s="9"/>
      <c r="G28" s="6"/>
      <c r="H28" s="6"/>
      <c r="I28" s="6"/>
      <c r="J28" s="6"/>
    </row>
    <row r="29" spans="3:10" x14ac:dyDescent="0.25">
      <c r="C29" s="38" t="s">
        <v>101</v>
      </c>
      <c r="D29" s="41">
        <f>'Production facilities'!D6</f>
        <v>250</v>
      </c>
      <c r="E29" s="9"/>
      <c r="F29" s="9"/>
    </row>
    <row r="31" spans="3:10" x14ac:dyDescent="0.25">
      <c r="C31" s="37" t="s">
        <v>97</v>
      </c>
      <c r="D31" s="42" t="s">
        <v>123</v>
      </c>
      <c r="E31" s="9"/>
      <c r="F31" s="9"/>
    </row>
    <row r="32" spans="3:10" x14ac:dyDescent="0.25">
      <c r="C32" s="38" t="s">
        <v>102</v>
      </c>
      <c r="D32" s="41">
        <f>'Production facilities'!D5</f>
        <v>600</v>
      </c>
      <c r="E32" s="9"/>
      <c r="F32" s="9"/>
    </row>
    <row r="34" spans="3:6" x14ac:dyDescent="0.25">
      <c r="C34" s="37" t="s">
        <v>97</v>
      </c>
      <c r="D34" s="42" t="s">
        <v>120</v>
      </c>
      <c r="E34" s="9"/>
      <c r="F34" s="9"/>
    </row>
    <row r="35" spans="3:6" x14ac:dyDescent="0.25">
      <c r="C35" s="38" t="s">
        <v>103</v>
      </c>
      <c r="D35" s="41">
        <f>AVERAGE('Production facilities'!D24,'Production facilities'!D25)</f>
        <v>165</v>
      </c>
      <c r="E35" s="9"/>
      <c r="F35" s="9"/>
    </row>
    <row r="37" spans="3:6" x14ac:dyDescent="0.25">
      <c r="C37" s="37" t="s">
        <v>97</v>
      </c>
      <c r="D37" s="42" t="s">
        <v>115</v>
      </c>
    </row>
    <row r="38" spans="3:6" x14ac:dyDescent="0.25">
      <c r="C38" s="38" t="s">
        <v>119</v>
      </c>
      <c r="D38" s="41">
        <f>'Production facilities'!D7</f>
        <v>195</v>
      </c>
    </row>
  </sheetData>
  <mergeCells count="6">
    <mergeCell ref="D14:E14"/>
    <mergeCell ref="F14:G14"/>
    <mergeCell ref="D13:G13"/>
    <mergeCell ref="D2:G2"/>
    <mergeCell ref="D3:E3"/>
    <mergeCell ref="F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219F-C889-4116-B1D8-E76E6338BA37}">
  <dimension ref="A1:P31"/>
  <sheetViews>
    <sheetView workbookViewId="0">
      <selection activeCell="O7" sqref="O7"/>
    </sheetView>
  </sheetViews>
  <sheetFormatPr defaultRowHeight="15" x14ac:dyDescent="0.25"/>
  <cols>
    <col min="2" max="2" width="41.5703125" bestFit="1" customWidth="1"/>
    <col min="3" max="3" width="38.85546875" bestFit="1" customWidth="1"/>
    <col min="4" max="4" width="30.42578125" style="10" customWidth="1"/>
    <col min="5" max="5" width="30.42578125" customWidth="1"/>
    <col min="6" max="6" width="25.85546875" bestFit="1" customWidth="1"/>
    <col min="7" max="7" width="30.7109375" bestFit="1" customWidth="1"/>
    <col min="8" max="8" width="18.7109375" bestFit="1" customWidth="1"/>
    <col min="9" max="9" width="11.7109375" bestFit="1" customWidth="1"/>
    <col min="10" max="10" width="13.42578125" bestFit="1" customWidth="1"/>
    <col min="11" max="11" width="48.28515625" bestFit="1" customWidth="1"/>
    <col min="12" max="12" width="20" customWidth="1"/>
    <col min="13" max="14" width="13.85546875" customWidth="1"/>
  </cols>
  <sheetData>
    <row r="1" spans="1:16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x14ac:dyDescent="0.25">
      <c r="A3" s="7" t="s">
        <v>37</v>
      </c>
      <c r="B3" s="7" t="s">
        <v>0</v>
      </c>
      <c r="C3" s="7" t="s">
        <v>22</v>
      </c>
      <c r="D3" s="7" t="s">
        <v>39</v>
      </c>
      <c r="E3" s="7" t="s">
        <v>38</v>
      </c>
      <c r="F3" s="7" t="s">
        <v>32</v>
      </c>
      <c r="G3" s="7" t="s">
        <v>13</v>
      </c>
      <c r="H3" s="7" t="s">
        <v>30</v>
      </c>
      <c r="I3" s="7" t="s">
        <v>6</v>
      </c>
      <c r="J3" s="7" t="s">
        <v>7</v>
      </c>
      <c r="K3" s="7" t="s">
        <v>5</v>
      </c>
      <c r="L3" s="7" t="s">
        <v>49</v>
      </c>
      <c r="M3" s="7" t="s">
        <v>9</v>
      </c>
      <c r="N3" s="7" t="s">
        <v>10</v>
      </c>
      <c r="O3" s="7" t="s">
        <v>117</v>
      </c>
      <c r="P3" s="7" t="s">
        <v>1</v>
      </c>
    </row>
    <row r="4" spans="1:16" x14ac:dyDescent="0.25">
      <c r="A4" s="6">
        <v>1</v>
      </c>
      <c r="B4" s="6" t="s">
        <v>4</v>
      </c>
      <c r="C4" s="6" t="s">
        <v>26</v>
      </c>
      <c r="D4" s="9"/>
      <c r="E4" s="6"/>
      <c r="F4" s="9" t="e">
        <f>G4*(1/VLOOKUP(H4,Currency_lookup,2,FALSE))*'Currency exchange'!$M$19/VLOOKUP(VALUE(RIGHT(H4,4)),'Currency exchange'!$L$8:$M$19,2,FALSE)</f>
        <v>#N/A</v>
      </c>
      <c r="G4" s="9"/>
      <c r="H4" s="6"/>
      <c r="I4" s="6">
        <v>750</v>
      </c>
      <c r="J4" s="6">
        <v>1500</v>
      </c>
      <c r="K4" s="6" t="s">
        <v>8</v>
      </c>
      <c r="L4" s="6"/>
      <c r="M4" s="8" t="s">
        <v>3</v>
      </c>
      <c r="N4" s="8"/>
      <c r="P4" s="6"/>
    </row>
    <row r="5" spans="1:16" x14ac:dyDescent="0.25">
      <c r="A5" s="6">
        <v>2</v>
      </c>
      <c r="B5" s="6" t="s">
        <v>33</v>
      </c>
      <c r="C5" s="6" t="s">
        <v>34</v>
      </c>
      <c r="D5" s="9">
        <v>600</v>
      </c>
      <c r="E5" s="6" t="s">
        <v>123</v>
      </c>
      <c r="F5" s="9">
        <f>G5*(1/VLOOKUP(H5,Currency_lookup,2,FALSE))*'Currency exchange'!$M$19/VLOOKUP(VALUE(RIGHT(H5,4)),'Currency exchange'!$L$8:$M$19,2,FALSE)</f>
        <v>232956643.54454109</v>
      </c>
      <c r="G5" s="9">
        <v>160000000</v>
      </c>
      <c r="H5" s="6" t="s">
        <v>64</v>
      </c>
      <c r="I5" s="6">
        <v>1063</v>
      </c>
      <c r="J5" s="6">
        <v>1282</v>
      </c>
      <c r="K5" s="6" t="s">
        <v>35</v>
      </c>
      <c r="L5" s="6"/>
      <c r="M5" s="8" t="s">
        <v>36</v>
      </c>
      <c r="N5" s="8" t="s">
        <v>122</v>
      </c>
      <c r="P5" s="6"/>
    </row>
    <row r="6" spans="1:16" x14ac:dyDescent="0.25">
      <c r="A6" s="6">
        <v>3</v>
      </c>
      <c r="B6" s="6" t="s">
        <v>2</v>
      </c>
      <c r="C6" s="6" t="s">
        <v>27</v>
      </c>
      <c r="D6" s="9">
        <v>250</v>
      </c>
      <c r="E6" t="s">
        <v>28</v>
      </c>
      <c r="F6" s="9">
        <f>G6*(1/VLOOKUP(H6,Currency_lookup,2,FALSE))*'Currency exchange'!$M$19/VLOOKUP(VALUE(RIGHT(H6,4)),'Currency exchange'!$L$8:$M$19,2,FALSE)</f>
        <v>243318957.92919978</v>
      </c>
      <c r="G6" s="9">
        <v>200000000</v>
      </c>
      <c r="H6" s="6" t="s">
        <v>19</v>
      </c>
      <c r="I6" s="6"/>
      <c r="J6" s="6"/>
      <c r="K6" s="6" t="s">
        <v>31</v>
      </c>
      <c r="L6" s="6"/>
      <c r="M6" s="8" t="s">
        <v>12</v>
      </c>
      <c r="N6" s="6" t="s">
        <v>29</v>
      </c>
      <c r="P6" s="6"/>
    </row>
    <row r="7" spans="1:16" x14ac:dyDescent="0.25">
      <c r="A7" s="6">
        <v>4</v>
      </c>
      <c r="B7" s="6" t="s">
        <v>14</v>
      </c>
      <c r="C7" s="6" t="s">
        <v>25</v>
      </c>
      <c r="D7" s="9">
        <f>3*65</f>
        <v>195</v>
      </c>
      <c r="E7" s="6" t="s">
        <v>115</v>
      </c>
      <c r="F7" s="9">
        <f>G7*(1/VLOOKUP(H7,Currency_lookup,2,FALSE))*'Currency exchange'!$M$19/VLOOKUP(VALUE(RIGHT(H7,4)),'Currency exchange'!$L$8:$M$19,2,FALSE)</f>
        <v>200000000</v>
      </c>
      <c r="G7" s="9">
        <v>200000000</v>
      </c>
      <c r="H7" s="6" t="s">
        <v>18</v>
      </c>
      <c r="I7" s="6">
        <v>200</v>
      </c>
      <c r="J7" s="6"/>
      <c r="K7" s="6" t="s">
        <v>23</v>
      </c>
      <c r="L7" s="6"/>
      <c r="M7" s="6" t="s">
        <v>24</v>
      </c>
      <c r="N7" s="6" t="s">
        <v>114</v>
      </c>
      <c r="O7" s="8" t="s">
        <v>116</v>
      </c>
      <c r="P7" s="6" t="s">
        <v>118</v>
      </c>
    </row>
    <row r="8" spans="1:16" x14ac:dyDescent="0.25">
      <c r="A8" s="6">
        <v>5</v>
      </c>
      <c r="B8" s="6" t="s">
        <v>15</v>
      </c>
      <c r="C8" s="6" t="s">
        <v>21</v>
      </c>
      <c r="D8" s="9"/>
      <c r="E8" s="6"/>
      <c r="F8" s="9">
        <f>G8*(1/VLOOKUP(H8,Currency_lookup,2,FALSE))*'Currency exchange'!$M$19/VLOOKUP(VALUE(RIGHT(H8,4)),'Currency exchange'!$L$8:$M$19,2,FALSE)</f>
        <v>250000000</v>
      </c>
      <c r="G8" s="9">
        <v>250000000</v>
      </c>
      <c r="H8" s="6" t="s">
        <v>18</v>
      </c>
      <c r="I8" s="6"/>
      <c r="J8" s="6"/>
      <c r="K8" s="6" t="s">
        <v>20</v>
      </c>
      <c r="L8" s="6"/>
      <c r="M8" s="6" t="s">
        <v>17</v>
      </c>
      <c r="N8" s="6"/>
      <c r="P8" s="6"/>
    </row>
    <row r="9" spans="1:16" x14ac:dyDescent="0.25">
      <c r="A9" s="6">
        <v>6</v>
      </c>
      <c r="B9" s="6" t="s">
        <v>15</v>
      </c>
      <c r="C9" s="6" t="s">
        <v>46</v>
      </c>
      <c r="D9" s="9">
        <v>120</v>
      </c>
      <c r="E9" s="6" t="s">
        <v>44</v>
      </c>
      <c r="F9" s="9">
        <f>G9*(1/VLOOKUP(H9,Currency_lookup,2,FALSE))*'Currency exchange'!$M$19/VLOOKUP(VALUE(RIGHT(H9,4)),'Currency exchange'!$L$8:$M$19,2,FALSE)</f>
        <v>215927737.54684907</v>
      </c>
      <c r="G9" s="9">
        <v>135000000</v>
      </c>
      <c r="H9" s="6" t="s">
        <v>47</v>
      </c>
      <c r="I9" s="6">
        <v>300</v>
      </c>
      <c r="J9" s="6"/>
      <c r="K9" s="6" t="s">
        <v>42</v>
      </c>
      <c r="L9" s="6">
        <v>2014</v>
      </c>
      <c r="M9" s="6" t="s">
        <v>41</v>
      </c>
      <c r="N9" s="8" t="s">
        <v>48</v>
      </c>
      <c r="P9" s="6" t="s">
        <v>43</v>
      </c>
    </row>
    <row r="10" spans="1:16" x14ac:dyDescent="0.25">
      <c r="A10" s="6">
        <v>7</v>
      </c>
      <c r="B10" s="6" t="s">
        <v>110</v>
      </c>
      <c r="C10" s="6" t="s">
        <v>46</v>
      </c>
      <c r="D10" s="9">
        <v>120</v>
      </c>
      <c r="E10" s="6" t="s">
        <v>45</v>
      </c>
      <c r="F10" s="9">
        <f>G10*(1/VLOOKUP(H10,Currency_lookup,2,FALSE))*'Currency exchange'!$M$19/VLOOKUP(VALUE(RIGHT(H10,4)),'Currency exchange'!$L$8:$M$19,2,FALSE)</f>
        <v>215927737.54684907</v>
      </c>
      <c r="G10" s="9">
        <v>135000000</v>
      </c>
      <c r="H10" s="6" t="s">
        <v>47</v>
      </c>
      <c r="I10" s="6">
        <v>300</v>
      </c>
      <c r="J10" s="6"/>
      <c r="K10" s="6" t="s">
        <v>42</v>
      </c>
      <c r="L10" s="6">
        <v>2014</v>
      </c>
      <c r="M10" s="6" t="s">
        <v>41</v>
      </c>
      <c r="N10" s="8" t="s">
        <v>48</v>
      </c>
      <c r="P10" s="6" t="s">
        <v>43</v>
      </c>
    </row>
    <row r="11" spans="1:16" x14ac:dyDescent="0.25">
      <c r="A11" s="6">
        <v>8</v>
      </c>
      <c r="B11" s="6" t="s">
        <v>15</v>
      </c>
      <c r="C11" s="6" t="s">
        <v>46</v>
      </c>
      <c r="D11" s="9">
        <f>2400*D9</f>
        <v>288000</v>
      </c>
      <c r="E11" s="6" t="s">
        <v>65</v>
      </c>
      <c r="F11" s="9">
        <f>G11*(1/VLOOKUP(H11,Currency_lookup,2,FALSE))*'Currency exchange'!$M$19/VLOOKUP(VALUE(RIGHT(H11,4)),'Currency exchange'!$L$8:$M$19,2,FALSE)</f>
        <v>215927737.54684907</v>
      </c>
      <c r="G11" s="9">
        <v>135000000</v>
      </c>
      <c r="H11" s="6" t="s">
        <v>47</v>
      </c>
      <c r="I11" s="6">
        <v>300</v>
      </c>
      <c r="J11" s="6"/>
      <c r="K11" s="6" t="s">
        <v>42</v>
      </c>
      <c r="L11" s="6">
        <v>2014</v>
      </c>
      <c r="M11" s="6" t="s">
        <v>41</v>
      </c>
      <c r="N11" s="8" t="s">
        <v>48</v>
      </c>
      <c r="P11" s="6" t="s">
        <v>43</v>
      </c>
    </row>
    <row r="12" spans="1:16" x14ac:dyDescent="0.25">
      <c r="A12" s="6">
        <v>9</v>
      </c>
      <c r="B12" s="6" t="s">
        <v>15</v>
      </c>
      <c r="C12" s="6" t="s">
        <v>46</v>
      </c>
      <c r="D12" s="9">
        <f>500*D10</f>
        <v>60000</v>
      </c>
      <c r="E12" s="6" t="s">
        <v>65</v>
      </c>
      <c r="F12" s="9">
        <f>G12*(1/VLOOKUP(H12,Currency_lookup,2,FALSE))*'Currency exchange'!$M$19/VLOOKUP(VALUE(RIGHT(H12,4)),'Currency exchange'!$L$8:$M$19,2,FALSE)</f>
        <v>215927737.54684907</v>
      </c>
      <c r="G12" s="9">
        <v>135000000</v>
      </c>
      <c r="H12" s="6" t="s">
        <v>47</v>
      </c>
      <c r="I12" s="6">
        <v>300</v>
      </c>
      <c r="J12" s="6"/>
      <c r="K12" s="6" t="s">
        <v>42</v>
      </c>
      <c r="L12" s="6">
        <v>2014</v>
      </c>
      <c r="M12" s="6" t="s">
        <v>41</v>
      </c>
      <c r="N12" s="8" t="s">
        <v>48</v>
      </c>
      <c r="P12" s="6" t="s">
        <v>43</v>
      </c>
    </row>
    <row r="13" spans="1:16" x14ac:dyDescent="0.25">
      <c r="A13" s="6">
        <v>10</v>
      </c>
      <c r="B13" s="6" t="s">
        <v>15</v>
      </c>
      <c r="C13" s="6" t="s">
        <v>113</v>
      </c>
      <c r="D13" s="9">
        <v>300000</v>
      </c>
      <c r="E13" s="6" t="s">
        <v>65</v>
      </c>
      <c r="F13" s="9">
        <f>G13*(1/VLOOKUP(H13,Currency_lookup,2,FALSE))*'Currency exchange'!$M$19/VLOOKUP(VALUE(RIGHT(H13,4)),'Currency exchange'!$L$8:$M$19,2,FALSE)</f>
        <v>72662858.131510913</v>
      </c>
      <c r="G13" s="9">
        <v>60000000</v>
      </c>
      <c r="H13" s="6" t="s">
        <v>89</v>
      </c>
      <c r="I13" s="6">
        <v>450</v>
      </c>
      <c r="J13" s="6"/>
      <c r="K13" s="6" t="s">
        <v>66</v>
      </c>
      <c r="L13" s="6"/>
      <c r="M13" s="6" t="s">
        <v>67</v>
      </c>
      <c r="N13" s="6"/>
      <c r="P13" s="6" t="s">
        <v>75</v>
      </c>
    </row>
    <row r="14" spans="1:16" x14ac:dyDescent="0.25">
      <c r="A14" s="6">
        <v>11</v>
      </c>
      <c r="B14" s="6" t="s">
        <v>15</v>
      </c>
      <c r="C14" s="6" t="s">
        <v>113</v>
      </c>
      <c r="D14" s="9">
        <f>94500/600</f>
        <v>157.5</v>
      </c>
      <c r="E14" s="6" t="s">
        <v>68</v>
      </c>
      <c r="F14" s="9">
        <f>G14*(1/VLOOKUP(H14,Currency_lookup,2,FALSE))*'Currency exchange'!$M$19/VLOOKUP(VALUE(RIGHT(H14,4)),'Currency exchange'!$L$8:$M$19,2,FALSE)</f>
        <v>72662858.131510913</v>
      </c>
      <c r="G14" s="9">
        <v>60000000</v>
      </c>
      <c r="H14" s="6" t="s">
        <v>89</v>
      </c>
      <c r="I14" s="6">
        <v>450</v>
      </c>
      <c r="J14" s="6"/>
      <c r="K14" s="6" t="s">
        <v>66</v>
      </c>
      <c r="L14" s="6"/>
      <c r="M14" s="6" t="s">
        <v>67</v>
      </c>
      <c r="N14" s="6"/>
      <c r="P14" s="6" t="s">
        <v>75</v>
      </c>
    </row>
    <row r="15" spans="1:16" x14ac:dyDescent="0.25">
      <c r="A15" s="6">
        <v>12</v>
      </c>
      <c r="B15" s="6" t="s">
        <v>15</v>
      </c>
      <c r="C15" s="6" t="s">
        <v>113</v>
      </c>
      <c r="D15" s="9">
        <v>190</v>
      </c>
      <c r="E15" s="6" t="s">
        <v>44</v>
      </c>
      <c r="F15" s="9">
        <f>G15*(1/VLOOKUP(H15,Currency_lookup,2,FALSE))*'Currency exchange'!$M$19/VLOOKUP(VALUE(RIGHT(H15,4)),'Currency exchange'!$L$8:$M$19,2,FALSE)</f>
        <v>71568971.449070483</v>
      </c>
      <c r="G15" s="9">
        <v>60000001</v>
      </c>
      <c r="H15" s="6" t="s">
        <v>109</v>
      </c>
      <c r="I15" s="6">
        <v>451</v>
      </c>
      <c r="J15" s="6"/>
      <c r="K15" s="6" t="s">
        <v>66</v>
      </c>
      <c r="L15" s="6"/>
      <c r="M15" s="6" t="s">
        <v>111</v>
      </c>
      <c r="N15" s="6"/>
      <c r="P15" s="6"/>
    </row>
    <row r="16" spans="1:16" x14ac:dyDescent="0.25">
      <c r="A16" s="6">
        <v>13</v>
      </c>
      <c r="B16" s="6" t="s">
        <v>110</v>
      </c>
      <c r="C16" s="6" t="s">
        <v>113</v>
      </c>
      <c r="D16" s="9">
        <v>130</v>
      </c>
      <c r="E16" s="6" t="s">
        <v>45</v>
      </c>
      <c r="F16" s="9">
        <f>G16*(1/VLOOKUP(H16,Currency_lookup,2,FALSE))*'Currency exchange'!$M$19/VLOOKUP(VALUE(RIGHT(H16,4)),'Currency exchange'!$L$8:$M$19,2,FALSE)</f>
        <v>71390134.870434999</v>
      </c>
      <c r="G16" s="9">
        <v>60000002</v>
      </c>
      <c r="H16" s="6" t="s">
        <v>112</v>
      </c>
      <c r="I16" s="6">
        <v>452</v>
      </c>
      <c r="J16" s="6"/>
      <c r="K16" s="6" t="s">
        <v>66</v>
      </c>
      <c r="L16" s="6"/>
      <c r="M16" s="6" t="s">
        <v>111</v>
      </c>
      <c r="N16" s="6"/>
      <c r="P16" s="6"/>
    </row>
    <row r="17" spans="1:16" x14ac:dyDescent="0.25">
      <c r="A17" s="6">
        <v>14</v>
      </c>
      <c r="B17" s="6" t="s">
        <v>15</v>
      </c>
      <c r="C17" s="6" t="s">
        <v>69</v>
      </c>
      <c r="D17" s="9">
        <v>250000</v>
      </c>
      <c r="E17" s="6" t="s">
        <v>65</v>
      </c>
      <c r="F17" s="9"/>
      <c r="G17" s="9"/>
      <c r="H17" s="6"/>
      <c r="I17" s="6">
        <v>500</v>
      </c>
      <c r="J17" s="6"/>
      <c r="K17" s="6" t="s">
        <v>70</v>
      </c>
      <c r="L17" s="6"/>
      <c r="M17" s="6" t="s">
        <v>71</v>
      </c>
      <c r="N17" s="6" t="s">
        <v>76</v>
      </c>
      <c r="P17" s="6" t="s">
        <v>74</v>
      </c>
    </row>
    <row r="18" spans="1:16" x14ac:dyDescent="0.25">
      <c r="A18" s="6">
        <v>15</v>
      </c>
      <c r="B18" s="6" t="s">
        <v>15</v>
      </c>
      <c r="C18" s="6" t="s">
        <v>69</v>
      </c>
      <c r="D18" s="9">
        <f>19000/89</f>
        <v>213.48314606741573</v>
      </c>
      <c r="E18" s="6" t="s">
        <v>72</v>
      </c>
      <c r="F18" s="9"/>
      <c r="G18" s="9"/>
      <c r="H18" s="6"/>
      <c r="I18" s="6">
        <v>500</v>
      </c>
      <c r="J18" s="6"/>
      <c r="K18" s="6" t="s">
        <v>70</v>
      </c>
      <c r="L18" s="6"/>
      <c r="M18" s="6" t="s">
        <v>73</v>
      </c>
      <c r="N18" s="6" t="s">
        <v>76</v>
      </c>
      <c r="P18" s="6" t="s">
        <v>74</v>
      </c>
    </row>
    <row r="19" spans="1:16" x14ac:dyDescent="0.25">
      <c r="A19" s="6">
        <v>16</v>
      </c>
      <c r="B19" s="6" t="s">
        <v>15</v>
      </c>
      <c r="C19" s="6" t="s">
        <v>69</v>
      </c>
      <c r="D19" s="9">
        <f>19000/382.7</f>
        <v>49.64724327149203</v>
      </c>
      <c r="E19" s="6" t="s">
        <v>68</v>
      </c>
      <c r="F19" s="9"/>
      <c r="G19" s="9"/>
      <c r="H19" s="6"/>
      <c r="I19" s="6">
        <v>500</v>
      </c>
      <c r="J19" s="6"/>
      <c r="K19" s="6" t="s">
        <v>70</v>
      </c>
      <c r="L19" s="6"/>
      <c r="M19" s="6" t="s">
        <v>73</v>
      </c>
      <c r="N19" s="6" t="s">
        <v>76</v>
      </c>
      <c r="P19" s="6" t="s">
        <v>74</v>
      </c>
    </row>
    <row r="20" spans="1:16" x14ac:dyDescent="0.25">
      <c r="A20" s="6">
        <v>17</v>
      </c>
      <c r="B20" s="6" t="s">
        <v>82</v>
      </c>
      <c r="C20" s="6" t="s">
        <v>79</v>
      </c>
      <c r="D20" s="9">
        <v>3400000</v>
      </c>
      <c r="E20" s="6" t="s">
        <v>65</v>
      </c>
      <c r="F20" s="9"/>
      <c r="G20" s="9"/>
      <c r="H20" s="6"/>
      <c r="I20" s="6"/>
      <c r="J20" s="6"/>
      <c r="K20" s="6" t="s">
        <v>78</v>
      </c>
      <c r="L20" s="6"/>
      <c r="M20" s="8" t="s">
        <v>77</v>
      </c>
      <c r="N20" s="6" t="s">
        <v>80</v>
      </c>
      <c r="P20" s="6" t="s">
        <v>81</v>
      </c>
    </row>
    <row r="21" spans="1:16" x14ac:dyDescent="0.25">
      <c r="A21" s="6">
        <v>18</v>
      </c>
      <c r="B21" s="6" t="s">
        <v>87</v>
      </c>
      <c r="C21" s="6" t="s">
        <v>85</v>
      </c>
      <c r="D21" s="9">
        <v>514000</v>
      </c>
      <c r="E21" s="6" t="s">
        <v>84</v>
      </c>
      <c r="F21" s="9"/>
      <c r="G21" s="9"/>
      <c r="H21" s="6"/>
      <c r="I21" s="6"/>
      <c r="J21" s="6"/>
      <c r="K21" s="6"/>
      <c r="L21" s="6"/>
      <c r="M21" s="6" t="s">
        <v>86</v>
      </c>
      <c r="N21" s="6"/>
      <c r="P21" s="6"/>
    </row>
    <row r="22" spans="1:16" x14ac:dyDescent="0.25">
      <c r="A22" s="6">
        <v>19</v>
      </c>
      <c r="B22" s="6" t="s">
        <v>88</v>
      </c>
      <c r="C22" s="6" t="s">
        <v>85</v>
      </c>
      <c r="D22" s="9">
        <v>1400000</v>
      </c>
      <c r="E22" s="6" t="s">
        <v>84</v>
      </c>
      <c r="F22" s="10"/>
      <c r="G22" s="10"/>
      <c r="M22" s="6" t="s">
        <v>86</v>
      </c>
    </row>
    <row r="23" spans="1:16" x14ac:dyDescent="0.25">
      <c r="A23" s="6">
        <v>20</v>
      </c>
      <c r="B23" s="6" t="s">
        <v>40</v>
      </c>
      <c r="C23" s="6" t="s">
        <v>90</v>
      </c>
      <c r="D23" s="9">
        <v>2300000</v>
      </c>
      <c r="E23" s="6" t="s">
        <v>84</v>
      </c>
      <c r="F23" s="10"/>
      <c r="G23" s="10"/>
      <c r="M23" t="s">
        <v>91</v>
      </c>
    </row>
    <row r="24" spans="1:16" x14ac:dyDescent="0.25">
      <c r="A24" s="6">
        <v>21</v>
      </c>
      <c r="B24" s="6" t="s">
        <v>124</v>
      </c>
      <c r="C24" s="6" t="s">
        <v>125</v>
      </c>
      <c r="D24" s="9">
        <v>180</v>
      </c>
      <c r="E24" s="6" t="s">
        <v>126</v>
      </c>
      <c r="F24" s="9">
        <f>G24*(1/VLOOKUP(H24,Currency_lookup,2,FALSE))*'Currency exchange'!$M$19/VLOOKUP(VALUE(RIGHT(H24,4)),'Currency exchange'!$L$8:$M$19,2,FALSE)</f>
        <v>65440954.783200249</v>
      </c>
      <c r="G24" s="9">
        <v>55000000</v>
      </c>
      <c r="H24" t="s">
        <v>112</v>
      </c>
      <c r="I24" s="4">
        <v>300</v>
      </c>
      <c r="L24" s="4">
        <v>2018</v>
      </c>
      <c r="M24" t="s">
        <v>127</v>
      </c>
    </row>
    <row r="25" spans="1:16" x14ac:dyDescent="0.25">
      <c r="A25" s="6">
        <v>22</v>
      </c>
      <c r="B25" s="6" t="s">
        <v>124</v>
      </c>
      <c r="C25" s="6" t="s">
        <v>128</v>
      </c>
      <c r="D25" s="9">
        <v>150</v>
      </c>
      <c r="E25" s="6" t="s">
        <v>126</v>
      </c>
      <c r="F25" s="10"/>
      <c r="G25" s="10"/>
      <c r="I25" s="4">
        <v>300</v>
      </c>
      <c r="L25" s="4">
        <v>2023</v>
      </c>
      <c r="M25" t="s">
        <v>129</v>
      </c>
    </row>
    <row r="26" spans="1:16" x14ac:dyDescent="0.25">
      <c r="A26" s="6">
        <v>23</v>
      </c>
      <c r="B26" s="6" t="s">
        <v>40</v>
      </c>
      <c r="C26" s="6" t="s">
        <v>131</v>
      </c>
      <c r="D26" s="9">
        <f>2956*1000</f>
        <v>2956000</v>
      </c>
      <c r="E26" s="6" t="s">
        <v>84</v>
      </c>
      <c r="F26" s="10"/>
      <c r="G26" s="10"/>
      <c r="K26" t="s">
        <v>134</v>
      </c>
      <c r="M26" t="s">
        <v>130</v>
      </c>
    </row>
    <row r="27" spans="1:16" x14ac:dyDescent="0.25">
      <c r="A27" s="6">
        <v>24</v>
      </c>
      <c r="B27" s="6" t="s">
        <v>40</v>
      </c>
      <c r="C27" s="6" t="s">
        <v>132</v>
      </c>
      <c r="D27" s="9">
        <f>1542*1000</f>
        <v>1542000</v>
      </c>
      <c r="E27" s="6" t="s">
        <v>84</v>
      </c>
      <c r="F27" s="10"/>
      <c r="G27" s="10"/>
      <c r="K27" t="s">
        <v>133</v>
      </c>
    </row>
    <row r="28" spans="1:16" x14ac:dyDescent="0.25">
      <c r="A28" s="6">
        <v>25</v>
      </c>
      <c r="B28" s="6" t="s">
        <v>40</v>
      </c>
      <c r="C28" s="6" t="s">
        <v>135</v>
      </c>
      <c r="D28" s="9">
        <f>2722*1000</f>
        <v>2722000</v>
      </c>
      <c r="E28" s="6" t="s">
        <v>84</v>
      </c>
      <c r="F28" s="10"/>
      <c r="G28" s="10"/>
      <c r="K28" t="s">
        <v>138</v>
      </c>
    </row>
    <row r="29" spans="1:16" x14ac:dyDescent="0.25">
      <c r="A29" s="6">
        <v>26</v>
      </c>
      <c r="B29" s="6" t="s">
        <v>40</v>
      </c>
      <c r="C29" s="6" t="s">
        <v>136</v>
      </c>
      <c r="D29" s="9">
        <f>1270*1000</f>
        <v>1270000</v>
      </c>
      <c r="E29" s="6" t="s">
        <v>84</v>
      </c>
      <c r="F29" s="10"/>
      <c r="G29" s="10"/>
      <c r="K29" t="s">
        <v>137</v>
      </c>
    </row>
    <row r="30" spans="1:16" x14ac:dyDescent="0.25">
      <c r="A30" s="6">
        <v>27</v>
      </c>
      <c r="B30" s="6" t="s">
        <v>40</v>
      </c>
      <c r="C30" s="6" t="s">
        <v>139</v>
      </c>
      <c r="D30" s="28">
        <f>1000*1000</f>
        <v>1000000</v>
      </c>
      <c r="E30" s="6" t="s">
        <v>84</v>
      </c>
      <c r="F30" s="10"/>
      <c r="G30" s="10"/>
      <c r="K30" t="s">
        <v>137</v>
      </c>
    </row>
    <row r="31" spans="1:16" x14ac:dyDescent="0.25">
      <c r="A31" s="6">
        <v>28</v>
      </c>
      <c r="B31" s="6" t="s">
        <v>40</v>
      </c>
      <c r="C31" s="6" t="s">
        <v>140</v>
      </c>
      <c r="D31" s="28">
        <f>1000*1000</f>
        <v>1000000</v>
      </c>
      <c r="E31" s="6" t="s">
        <v>84</v>
      </c>
      <c r="F31" s="10"/>
      <c r="G31" s="10"/>
      <c r="K31" t="s">
        <v>141</v>
      </c>
    </row>
  </sheetData>
  <phoneticPr fontId="4" type="noConversion"/>
  <hyperlinks>
    <hyperlink ref="M4" r:id="rId1" xr:uid="{A0BA486C-D204-4588-ACBB-30C57A9798A8}"/>
    <hyperlink ref="M6" r:id="rId2" xr:uid="{9F09236B-4273-405A-B63B-FC51F8DED106}"/>
    <hyperlink ref="N9" r:id="rId3" xr:uid="{86E6AE59-108D-42D5-AFD7-70F8783D73F3}"/>
    <hyperlink ref="N10:N12" r:id="rId4" display="https://www.energytrend.com/news/20110926-2079.html" xr:uid="{A9619115-D007-4229-BC04-BD4822CD28B1}"/>
    <hyperlink ref="M5" r:id="rId5" xr:uid="{A4246AAC-EA44-4878-8681-AD235D9AF468}"/>
    <hyperlink ref="M20" r:id="rId6" xr:uid="{DA53CBBF-6203-41E5-BE13-2D8FD1C99645}"/>
    <hyperlink ref="O7" r:id="rId7" xr:uid="{47427D55-853B-42AD-ABDE-FED4177C1EDC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A91E-7617-4B33-9F38-959BD2050DB3}">
  <dimension ref="B2:S98"/>
  <sheetViews>
    <sheetView topLeftCell="A6" workbookViewId="0">
      <selection activeCell="G21" sqref="G21"/>
    </sheetView>
  </sheetViews>
  <sheetFormatPr defaultRowHeight="15" x14ac:dyDescent="0.25"/>
  <cols>
    <col min="7" max="7" width="12" bestFit="1" customWidth="1"/>
  </cols>
  <sheetData>
    <row r="2" spans="2:19" x14ac:dyDescent="0.25">
      <c r="B2" s="11" t="s">
        <v>50</v>
      </c>
    </row>
    <row r="3" spans="2:19" x14ac:dyDescent="0.25">
      <c r="B3" t="s">
        <v>51</v>
      </c>
      <c r="C3" s="3" t="s">
        <v>52</v>
      </c>
      <c r="D3" t="s">
        <v>62</v>
      </c>
    </row>
    <row r="4" spans="2:19" x14ac:dyDescent="0.25">
      <c r="B4" s="12" t="s">
        <v>53</v>
      </c>
      <c r="C4" s="3" t="s">
        <v>54</v>
      </c>
      <c r="D4" s="12" t="s">
        <v>63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2"/>
      <c r="R4" s="13"/>
      <c r="S4" s="13"/>
    </row>
    <row r="5" spans="2:19" x14ac:dyDescent="0.25">
      <c r="B5" s="12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2"/>
      <c r="P5" s="12"/>
      <c r="Q5" s="12"/>
      <c r="R5" s="14"/>
      <c r="S5" s="14"/>
    </row>
    <row r="6" spans="2:19" x14ac:dyDescent="0.25">
      <c r="M6" s="12"/>
      <c r="N6" s="12"/>
      <c r="O6" s="12"/>
      <c r="P6" s="12"/>
      <c r="Q6" s="12"/>
      <c r="R6" s="12"/>
      <c r="S6" s="12"/>
    </row>
    <row r="7" spans="2:19" x14ac:dyDescent="0.25">
      <c r="B7" s="15"/>
      <c r="C7" s="1" t="s">
        <v>55</v>
      </c>
      <c r="I7" s="12"/>
      <c r="J7" s="12"/>
      <c r="L7" s="12"/>
      <c r="M7" s="16" t="s">
        <v>53</v>
      </c>
      <c r="O7" s="12"/>
      <c r="P7" s="12"/>
      <c r="Q7" s="12"/>
      <c r="R7" s="12"/>
      <c r="S7" s="12"/>
    </row>
    <row r="8" spans="2:19" x14ac:dyDescent="0.25">
      <c r="B8" s="17" t="s">
        <v>56</v>
      </c>
      <c r="C8" s="18" t="s">
        <v>16</v>
      </c>
      <c r="D8" s="18" t="s">
        <v>11</v>
      </c>
      <c r="E8" s="18" t="s">
        <v>57</v>
      </c>
      <c r="F8" s="5" t="s">
        <v>58</v>
      </c>
      <c r="G8" s="5" t="s">
        <v>59</v>
      </c>
      <c r="H8" s="5" t="s">
        <v>60</v>
      </c>
      <c r="I8" s="5" t="s">
        <v>61</v>
      </c>
      <c r="J8" s="19" t="s">
        <v>1</v>
      </c>
      <c r="L8" s="17" t="s">
        <v>56</v>
      </c>
      <c r="M8" s="5" t="s">
        <v>16</v>
      </c>
      <c r="N8" s="18" t="s">
        <v>11</v>
      </c>
      <c r="O8" s="18" t="s">
        <v>57</v>
      </c>
      <c r="P8" s="5" t="s">
        <v>58</v>
      </c>
      <c r="Q8" s="5" t="s">
        <v>59</v>
      </c>
      <c r="R8" s="5" t="s">
        <v>60</v>
      </c>
      <c r="S8" s="5" t="s">
        <v>61</v>
      </c>
    </row>
    <row r="9" spans="2:19" x14ac:dyDescent="0.25">
      <c r="B9" s="20">
        <v>2010</v>
      </c>
      <c r="C9" s="21">
        <v>1</v>
      </c>
      <c r="D9" s="21">
        <v>0.75504499999999997</v>
      </c>
      <c r="E9" s="21">
        <v>0.64717899999999995</v>
      </c>
      <c r="F9" s="21">
        <v>5.6240750000000004</v>
      </c>
      <c r="G9" s="21">
        <v>7.2075240000000003</v>
      </c>
      <c r="H9" s="21">
        <v>6.0441669999999998</v>
      </c>
      <c r="I9" s="21">
        <v>87.779875000000004</v>
      </c>
      <c r="J9" s="12"/>
      <c r="L9" s="20">
        <v>2010</v>
      </c>
      <c r="M9" s="22">
        <v>91.999939999999995</v>
      </c>
      <c r="N9" s="22">
        <v>93.13</v>
      </c>
      <c r="O9" s="22">
        <v>90.1</v>
      </c>
      <c r="P9" s="22">
        <v>93.341669999999993</v>
      </c>
      <c r="Q9" s="22">
        <v>96.529920000000004</v>
      </c>
      <c r="R9" s="22">
        <v>92.091669999999993</v>
      </c>
      <c r="S9" s="22">
        <v>96.525000000000006</v>
      </c>
    </row>
    <row r="10" spans="2:19" x14ac:dyDescent="0.25">
      <c r="B10" s="20">
        <v>2011</v>
      </c>
      <c r="C10" s="21">
        <v>1</v>
      </c>
      <c r="D10" s="21">
        <v>0.71935499999999997</v>
      </c>
      <c r="E10" s="21">
        <v>0.62414099999999995</v>
      </c>
      <c r="F10" s="21">
        <v>5.3687120000000004</v>
      </c>
      <c r="G10" s="21">
        <v>6.4935429999999998</v>
      </c>
      <c r="H10" s="21">
        <v>5.6046069999999997</v>
      </c>
      <c r="I10" s="21">
        <v>79.807019999999994</v>
      </c>
      <c r="J10" s="12"/>
      <c r="L10" s="20">
        <v>2011</v>
      </c>
      <c r="M10" s="22">
        <v>94.904240000000001</v>
      </c>
      <c r="N10" s="22">
        <v>95.67</v>
      </c>
      <c r="O10" s="22">
        <v>93.6</v>
      </c>
      <c r="P10" s="22">
        <v>95.916659999999993</v>
      </c>
      <c r="Q10" s="22">
        <v>99.388319999999993</v>
      </c>
      <c r="R10" s="22">
        <v>93.275000000000006</v>
      </c>
      <c r="S10" s="22">
        <v>96.266670000000005</v>
      </c>
    </row>
    <row r="11" spans="2:19" x14ac:dyDescent="0.25">
      <c r="B11" s="20">
        <v>2012</v>
      </c>
      <c r="C11" s="21">
        <v>1</v>
      </c>
      <c r="D11" s="21">
        <v>0.77829400000000004</v>
      </c>
      <c r="E11" s="21">
        <v>0.63304700000000003</v>
      </c>
      <c r="F11" s="21">
        <v>5.7924759999999997</v>
      </c>
      <c r="G11" s="21">
        <v>6.7750159999999999</v>
      </c>
      <c r="H11" s="21">
        <v>5.8174999999999999</v>
      </c>
      <c r="I11" s="21">
        <v>79.790454999999994</v>
      </c>
      <c r="J11" s="12"/>
      <c r="L11" s="20">
        <v>2012</v>
      </c>
      <c r="M11" s="22">
        <v>96.868120000000005</v>
      </c>
      <c r="N11" s="22">
        <v>98.06</v>
      </c>
      <c r="O11" s="22">
        <v>96</v>
      </c>
      <c r="P11" s="22">
        <v>98.216669999999993</v>
      </c>
      <c r="Q11" s="22">
        <v>100.2713</v>
      </c>
      <c r="R11" s="22">
        <v>93.924999999999997</v>
      </c>
      <c r="S11" s="22">
        <v>96.216669999999993</v>
      </c>
    </row>
    <row r="12" spans="2:19" x14ac:dyDescent="0.25">
      <c r="B12" s="20">
        <v>2013</v>
      </c>
      <c r="C12" s="21">
        <v>1</v>
      </c>
      <c r="D12" s="21">
        <v>0.75315900000000002</v>
      </c>
      <c r="E12" s="21">
        <v>0.63966100000000004</v>
      </c>
      <c r="F12" s="21">
        <v>5.6163119999999997</v>
      </c>
      <c r="G12" s="21">
        <v>6.5139719999999999</v>
      </c>
      <c r="H12" s="21">
        <v>5.875</v>
      </c>
      <c r="I12" s="21">
        <v>97.595658</v>
      </c>
      <c r="J12" s="12"/>
      <c r="L12" s="20">
        <v>2013</v>
      </c>
      <c r="M12" s="22">
        <v>98.287080000000003</v>
      </c>
      <c r="N12" s="22">
        <v>99.38</v>
      </c>
      <c r="O12" s="22">
        <v>98.2</v>
      </c>
      <c r="P12" s="22">
        <v>98.991669999999999</v>
      </c>
      <c r="Q12" s="22">
        <v>100.2269</v>
      </c>
      <c r="R12" s="22">
        <v>95.916659999999993</v>
      </c>
      <c r="S12" s="22">
        <v>96.55</v>
      </c>
    </row>
    <row r="13" spans="2:19" x14ac:dyDescent="0.25">
      <c r="B13" s="20">
        <v>2014</v>
      </c>
      <c r="C13" s="21">
        <v>1</v>
      </c>
      <c r="D13" s="21">
        <v>0.75373100000000004</v>
      </c>
      <c r="E13" s="21">
        <v>0.60772999999999999</v>
      </c>
      <c r="F13" s="21">
        <v>5.6124669999999997</v>
      </c>
      <c r="G13" s="21">
        <v>6.8607849999999999</v>
      </c>
      <c r="H13" s="21">
        <v>6.3016670000000001</v>
      </c>
      <c r="I13" s="21">
        <v>105.94478100000001</v>
      </c>
      <c r="J13" s="12"/>
      <c r="L13" s="20">
        <v>2014</v>
      </c>
      <c r="M13" s="22">
        <v>99.881519999999995</v>
      </c>
      <c r="N13" s="22">
        <v>99.81</v>
      </c>
      <c r="O13" s="22">
        <v>99.6</v>
      </c>
      <c r="P13" s="22">
        <v>99.55</v>
      </c>
      <c r="Q13" s="22">
        <v>100.0468</v>
      </c>
      <c r="R13" s="22">
        <v>97.875</v>
      </c>
      <c r="S13" s="22">
        <v>99.216669999999993</v>
      </c>
    </row>
    <row r="14" spans="2:19" x14ac:dyDescent="0.25">
      <c r="B14" s="20">
        <v>2015</v>
      </c>
      <c r="C14" s="21">
        <v>1</v>
      </c>
      <c r="D14" s="21">
        <v>0.90165899999999999</v>
      </c>
      <c r="E14" s="21">
        <v>0.65454500000000004</v>
      </c>
      <c r="F14" s="21">
        <v>6.7279070000000001</v>
      </c>
      <c r="G14" s="21">
        <v>8.4348410000000005</v>
      </c>
      <c r="H14" s="21">
        <v>8.0641669999999994</v>
      </c>
      <c r="I14" s="21">
        <v>121.044026</v>
      </c>
      <c r="J14" s="12"/>
      <c r="L14" s="20">
        <v>2015</v>
      </c>
      <c r="M14" s="22">
        <v>100</v>
      </c>
      <c r="N14" s="22">
        <v>100</v>
      </c>
      <c r="O14" s="22">
        <v>100</v>
      </c>
      <c r="P14" s="22">
        <v>100</v>
      </c>
      <c r="Q14" s="22">
        <v>100</v>
      </c>
      <c r="R14" s="22">
        <v>100</v>
      </c>
      <c r="S14" s="22">
        <v>100</v>
      </c>
    </row>
    <row r="15" spans="2:19" x14ac:dyDescent="0.25">
      <c r="B15" s="20">
        <v>2016</v>
      </c>
      <c r="C15" s="21">
        <v>1</v>
      </c>
      <c r="D15" s="21">
        <v>0.90403500000000003</v>
      </c>
      <c r="E15" s="21">
        <v>0.74063400000000001</v>
      </c>
      <c r="F15" s="21">
        <v>6.7317179999999999</v>
      </c>
      <c r="G15" s="21">
        <v>8.561992</v>
      </c>
      <c r="H15" s="21">
        <v>8.4</v>
      </c>
      <c r="I15" s="21">
        <v>108.7929</v>
      </c>
      <c r="J15" s="4"/>
      <c r="L15" s="20">
        <v>2016</v>
      </c>
      <c r="M15" s="22">
        <v>101.2616</v>
      </c>
      <c r="N15" s="21">
        <v>100.23</v>
      </c>
      <c r="O15" s="21">
        <v>101</v>
      </c>
      <c r="P15" s="21">
        <v>100.25</v>
      </c>
      <c r="Q15" s="21">
        <v>100.9843</v>
      </c>
      <c r="R15" s="21">
        <v>103.55</v>
      </c>
      <c r="S15" s="21">
        <v>99.883330000000001</v>
      </c>
    </row>
    <row r="16" spans="2:19" x14ac:dyDescent="0.25">
      <c r="B16" s="20">
        <v>2017</v>
      </c>
      <c r="C16" s="21">
        <v>1</v>
      </c>
      <c r="D16" s="21">
        <v>0.88739699999999999</v>
      </c>
      <c r="E16" s="21">
        <v>0.777003</v>
      </c>
      <c r="F16" s="21">
        <v>6.6028929999999999</v>
      </c>
      <c r="G16" s="21">
        <v>8.5488610000000005</v>
      </c>
      <c r="H16" s="21">
        <v>8.2716670000000008</v>
      </c>
      <c r="I16" s="21">
        <v>112.166141</v>
      </c>
      <c r="J16" s="4"/>
      <c r="L16" s="20">
        <v>2017</v>
      </c>
      <c r="M16" s="22">
        <v>103.4186</v>
      </c>
      <c r="N16" s="21">
        <v>101.78</v>
      </c>
      <c r="O16" s="21">
        <v>103.6</v>
      </c>
      <c r="P16" s="21">
        <v>101.4</v>
      </c>
      <c r="Q16" s="21">
        <v>102.79640000000001</v>
      </c>
      <c r="R16" s="21">
        <v>105.49169999999999</v>
      </c>
      <c r="S16" s="21">
        <v>100.35</v>
      </c>
    </row>
    <row r="17" spans="2:19" x14ac:dyDescent="0.25">
      <c r="B17" s="20">
        <v>2018</v>
      </c>
      <c r="C17" s="21">
        <v>1</v>
      </c>
      <c r="D17" s="21">
        <v>0.84718599999999999</v>
      </c>
      <c r="E17" s="21">
        <v>0.74958199999999997</v>
      </c>
      <c r="F17" s="21">
        <v>6.3146190000000004</v>
      </c>
      <c r="G17" s="21">
        <v>8.6925179999999997</v>
      </c>
      <c r="H17" s="21">
        <v>8.1325000000000003</v>
      </c>
      <c r="I17" s="21">
        <v>110.423179</v>
      </c>
      <c r="J17" s="4"/>
      <c r="L17" s="20">
        <v>2018</v>
      </c>
      <c r="M17" s="22">
        <v>105.94459999999999</v>
      </c>
      <c r="N17" s="22">
        <v>103.56</v>
      </c>
      <c r="O17" s="22">
        <v>106</v>
      </c>
      <c r="P17" s="22">
        <v>102.22499999999999</v>
      </c>
      <c r="Q17" s="22">
        <v>104.80459999999999</v>
      </c>
      <c r="R17" s="22">
        <v>108.4083</v>
      </c>
      <c r="S17" s="22">
        <v>101.33329999999999</v>
      </c>
    </row>
    <row r="18" spans="2:19" x14ac:dyDescent="0.25">
      <c r="B18" s="20">
        <v>2019</v>
      </c>
      <c r="C18" s="24">
        <v>1</v>
      </c>
      <c r="D18" s="24">
        <v>0.89327599999999996</v>
      </c>
      <c r="E18" s="24">
        <v>0.78344499999999995</v>
      </c>
      <c r="F18" s="24">
        <v>6.6694469999999999</v>
      </c>
      <c r="G18" s="24">
        <v>9.4583490000000001</v>
      </c>
      <c r="H18" s="24">
        <v>8.8000000000000007</v>
      </c>
      <c r="I18" s="24">
        <v>109.009666</v>
      </c>
      <c r="J18" s="25"/>
      <c r="K18" s="26"/>
      <c r="L18" s="23">
        <v>2019</v>
      </c>
      <c r="M18" s="22">
        <v>107.8646</v>
      </c>
      <c r="N18" s="22">
        <v>104.8</v>
      </c>
      <c r="O18" s="22">
        <v>107.8</v>
      </c>
      <c r="P18" s="22">
        <v>103</v>
      </c>
      <c r="Q18" s="22">
        <v>106.67449999999999</v>
      </c>
      <c r="R18" s="22">
        <v>110.75830000000001</v>
      </c>
      <c r="S18" s="22">
        <v>101.8167</v>
      </c>
    </row>
    <row r="19" spans="2:19" x14ac:dyDescent="0.25">
      <c r="B19" s="23">
        <v>2020</v>
      </c>
      <c r="C19" s="24">
        <v>1</v>
      </c>
      <c r="D19" s="24">
        <v>0.87550600000000001</v>
      </c>
      <c r="E19" s="24">
        <v>0.78</v>
      </c>
      <c r="F19" s="24">
        <v>6.5421519999999997</v>
      </c>
      <c r="G19" s="24">
        <v>9.2103090000000005</v>
      </c>
      <c r="H19" s="24">
        <v>9.4194929999999992</v>
      </c>
      <c r="I19" s="24">
        <v>106.774582</v>
      </c>
      <c r="L19" s="20">
        <v>2020</v>
      </c>
      <c r="M19" s="22">
        <v>109.1952</v>
      </c>
      <c r="N19" s="22">
        <v>105.06</v>
      </c>
      <c r="O19" s="22">
        <v>108.9</v>
      </c>
      <c r="P19" s="22">
        <v>103.4333</v>
      </c>
      <c r="Q19" s="22">
        <v>107.205</v>
      </c>
      <c r="R19" s="22">
        <v>112.1833</v>
      </c>
      <c r="S19" s="22">
        <v>101.8</v>
      </c>
    </row>
    <row r="21" spans="2:19" x14ac:dyDescent="0.25">
      <c r="G21" s="10"/>
    </row>
    <row r="22" spans="2:19" x14ac:dyDescent="0.25">
      <c r="B22" t="str">
        <f>$C$8&amp;B9</f>
        <v>USD2010</v>
      </c>
      <c r="C22" s="27">
        <f>C9</f>
        <v>1</v>
      </c>
    </row>
    <row r="23" spans="2:19" x14ac:dyDescent="0.25">
      <c r="B23" t="str">
        <f t="shared" ref="B23:B31" si="0">$C$8&amp;B10</f>
        <v>USD2011</v>
      </c>
      <c r="C23" s="27">
        <f t="shared" ref="C23:C32" si="1">C10</f>
        <v>1</v>
      </c>
    </row>
    <row r="24" spans="2:19" x14ac:dyDescent="0.25">
      <c r="B24" t="str">
        <f t="shared" si="0"/>
        <v>USD2012</v>
      </c>
      <c r="C24" s="27">
        <f t="shared" si="1"/>
        <v>1</v>
      </c>
    </row>
    <row r="25" spans="2:19" x14ac:dyDescent="0.25">
      <c r="B25" t="str">
        <f t="shared" si="0"/>
        <v>USD2013</v>
      </c>
      <c r="C25" s="27">
        <f t="shared" si="1"/>
        <v>1</v>
      </c>
    </row>
    <row r="26" spans="2:19" x14ac:dyDescent="0.25">
      <c r="B26" t="str">
        <f t="shared" si="0"/>
        <v>USD2014</v>
      </c>
      <c r="C26" s="27">
        <f t="shared" si="1"/>
        <v>1</v>
      </c>
    </row>
    <row r="27" spans="2:19" x14ac:dyDescent="0.25">
      <c r="B27" t="str">
        <f t="shared" si="0"/>
        <v>USD2015</v>
      </c>
      <c r="C27" s="27">
        <f t="shared" si="1"/>
        <v>1</v>
      </c>
    </row>
    <row r="28" spans="2:19" x14ac:dyDescent="0.25">
      <c r="B28" t="str">
        <f t="shared" si="0"/>
        <v>USD2016</v>
      </c>
      <c r="C28" s="27">
        <f t="shared" si="1"/>
        <v>1</v>
      </c>
    </row>
    <row r="29" spans="2:19" x14ac:dyDescent="0.25">
      <c r="B29" t="str">
        <f t="shared" si="0"/>
        <v>USD2017</v>
      </c>
      <c r="C29" s="27">
        <f t="shared" si="1"/>
        <v>1</v>
      </c>
    </row>
    <row r="30" spans="2:19" x14ac:dyDescent="0.25">
      <c r="B30" t="str">
        <f t="shared" si="0"/>
        <v>USD2018</v>
      </c>
      <c r="C30" s="27">
        <f t="shared" si="1"/>
        <v>1</v>
      </c>
    </row>
    <row r="31" spans="2:19" x14ac:dyDescent="0.25">
      <c r="B31" t="str">
        <f t="shared" si="0"/>
        <v>USD2019</v>
      </c>
      <c r="C31" s="27">
        <f t="shared" si="1"/>
        <v>1</v>
      </c>
    </row>
    <row r="32" spans="2:19" x14ac:dyDescent="0.25">
      <c r="B32" t="str">
        <f>$C$8&amp;B19</f>
        <v>USD2020</v>
      </c>
      <c r="C32" s="27">
        <f t="shared" si="1"/>
        <v>1</v>
      </c>
    </row>
    <row r="33" spans="2:3" x14ac:dyDescent="0.25">
      <c r="B33" t="str">
        <f>$D$8&amp;B9</f>
        <v>EUR2010</v>
      </c>
      <c r="C33" s="27">
        <f>D9</f>
        <v>0.75504499999999997</v>
      </c>
    </row>
    <row r="34" spans="2:3" x14ac:dyDescent="0.25">
      <c r="B34" t="str">
        <f t="shared" ref="B34:B44" si="2">$D$8&amp;B10</f>
        <v>EUR2011</v>
      </c>
      <c r="C34" s="27">
        <f t="shared" ref="C34:C43" si="3">D10</f>
        <v>0.71935499999999997</v>
      </c>
    </row>
    <row r="35" spans="2:3" x14ac:dyDescent="0.25">
      <c r="B35" t="str">
        <f t="shared" si="2"/>
        <v>EUR2012</v>
      </c>
      <c r="C35" s="27">
        <f t="shared" si="3"/>
        <v>0.77829400000000004</v>
      </c>
    </row>
    <row r="36" spans="2:3" x14ac:dyDescent="0.25">
      <c r="B36" t="str">
        <f t="shared" si="2"/>
        <v>EUR2013</v>
      </c>
      <c r="C36" s="27">
        <f t="shared" si="3"/>
        <v>0.75315900000000002</v>
      </c>
    </row>
    <row r="37" spans="2:3" x14ac:dyDescent="0.25">
      <c r="B37" t="str">
        <f t="shared" si="2"/>
        <v>EUR2014</v>
      </c>
      <c r="C37" s="27">
        <f t="shared" si="3"/>
        <v>0.75373100000000004</v>
      </c>
    </row>
    <row r="38" spans="2:3" x14ac:dyDescent="0.25">
      <c r="B38" t="str">
        <f t="shared" si="2"/>
        <v>EUR2015</v>
      </c>
      <c r="C38" s="27">
        <f t="shared" si="3"/>
        <v>0.90165899999999999</v>
      </c>
    </row>
    <row r="39" spans="2:3" x14ac:dyDescent="0.25">
      <c r="B39" t="str">
        <f t="shared" si="2"/>
        <v>EUR2016</v>
      </c>
      <c r="C39" s="27">
        <f t="shared" si="3"/>
        <v>0.90403500000000003</v>
      </c>
    </row>
    <row r="40" spans="2:3" x14ac:dyDescent="0.25">
      <c r="B40" t="str">
        <f t="shared" si="2"/>
        <v>EUR2017</v>
      </c>
      <c r="C40" s="27">
        <f t="shared" si="3"/>
        <v>0.88739699999999999</v>
      </c>
    </row>
    <row r="41" spans="2:3" x14ac:dyDescent="0.25">
      <c r="B41" t="str">
        <f t="shared" si="2"/>
        <v>EUR2018</v>
      </c>
      <c r="C41" s="27">
        <f t="shared" si="3"/>
        <v>0.84718599999999999</v>
      </c>
    </row>
    <row r="42" spans="2:3" x14ac:dyDescent="0.25">
      <c r="B42" t="str">
        <f t="shared" si="2"/>
        <v>EUR2019</v>
      </c>
      <c r="C42" s="27">
        <f t="shared" si="3"/>
        <v>0.89327599999999996</v>
      </c>
    </row>
    <row r="43" spans="2:3" x14ac:dyDescent="0.25">
      <c r="B43" t="str">
        <f t="shared" si="2"/>
        <v>EUR2020</v>
      </c>
      <c r="C43" s="27">
        <f t="shared" si="3"/>
        <v>0.87550600000000001</v>
      </c>
    </row>
    <row r="44" spans="2:3" x14ac:dyDescent="0.25">
      <c r="B44" t="str">
        <f>$E$8&amp;B9</f>
        <v>GBP2010</v>
      </c>
      <c r="C44" s="27">
        <f>E9</f>
        <v>0.64717899999999995</v>
      </c>
    </row>
    <row r="45" spans="2:3" x14ac:dyDescent="0.25">
      <c r="B45" t="str">
        <f t="shared" ref="B45:B55" si="4">$E$8&amp;B10</f>
        <v>GBP2011</v>
      </c>
      <c r="C45" s="27">
        <f t="shared" ref="C45:C54" si="5">E10</f>
        <v>0.62414099999999995</v>
      </c>
    </row>
    <row r="46" spans="2:3" x14ac:dyDescent="0.25">
      <c r="B46" t="str">
        <f t="shared" si="4"/>
        <v>GBP2012</v>
      </c>
      <c r="C46" s="27">
        <f t="shared" si="5"/>
        <v>0.63304700000000003</v>
      </c>
    </row>
    <row r="47" spans="2:3" x14ac:dyDescent="0.25">
      <c r="B47" t="str">
        <f t="shared" si="4"/>
        <v>GBP2013</v>
      </c>
      <c r="C47" s="27">
        <f t="shared" si="5"/>
        <v>0.63966100000000004</v>
      </c>
    </row>
    <row r="48" spans="2:3" x14ac:dyDescent="0.25">
      <c r="B48" t="str">
        <f t="shared" si="4"/>
        <v>GBP2014</v>
      </c>
      <c r="C48" s="27">
        <f t="shared" si="5"/>
        <v>0.60772999999999999</v>
      </c>
    </row>
    <row r="49" spans="2:3" x14ac:dyDescent="0.25">
      <c r="B49" t="str">
        <f t="shared" si="4"/>
        <v>GBP2015</v>
      </c>
      <c r="C49" s="27">
        <f t="shared" si="5"/>
        <v>0.65454500000000004</v>
      </c>
    </row>
    <row r="50" spans="2:3" x14ac:dyDescent="0.25">
      <c r="B50" t="str">
        <f t="shared" si="4"/>
        <v>GBP2016</v>
      </c>
      <c r="C50" s="27">
        <f t="shared" si="5"/>
        <v>0.74063400000000001</v>
      </c>
    </row>
    <row r="51" spans="2:3" x14ac:dyDescent="0.25">
      <c r="B51" t="str">
        <f t="shared" si="4"/>
        <v>GBP2017</v>
      </c>
      <c r="C51" s="27">
        <f t="shared" si="5"/>
        <v>0.777003</v>
      </c>
    </row>
    <row r="52" spans="2:3" x14ac:dyDescent="0.25">
      <c r="B52" t="str">
        <f t="shared" si="4"/>
        <v>GBP2018</v>
      </c>
      <c r="C52" s="27">
        <f t="shared" si="5"/>
        <v>0.74958199999999997</v>
      </c>
    </row>
    <row r="53" spans="2:3" x14ac:dyDescent="0.25">
      <c r="B53" t="str">
        <f t="shared" si="4"/>
        <v>GBP2019</v>
      </c>
      <c r="C53" s="27">
        <f t="shared" si="5"/>
        <v>0.78344499999999995</v>
      </c>
    </row>
    <row r="54" spans="2:3" x14ac:dyDescent="0.25">
      <c r="B54" t="str">
        <f t="shared" si="4"/>
        <v>GBP2020</v>
      </c>
      <c r="C54" s="27">
        <f t="shared" si="5"/>
        <v>0.78</v>
      </c>
    </row>
    <row r="55" spans="2:3" x14ac:dyDescent="0.25">
      <c r="B55" t="str">
        <f>$F$8&amp;B9</f>
        <v>DKK2010</v>
      </c>
      <c r="C55" s="27">
        <f>F9</f>
        <v>5.6240750000000004</v>
      </c>
    </row>
    <row r="56" spans="2:3" x14ac:dyDescent="0.25">
      <c r="B56" t="str">
        <f t="shared" ref="B56:B68" si="6">$F$8&amp;B10</f>
        <v>DKK2011</v>
      </c>
      <c r="C56" s="27">
        <f t="shared" ref="C56:C65" si="7">F10</f>
        <v>5.3687120000000004</v>
      </c>
    </row>
    <row r="57" spans="2:3" x14ac:dyDescent="0.25">
      <c r="B57" t="str">
        <f t="shared" si="6"/>
        <v>DKK2012</v>
      </c>
      <c r="C57" s="27">
        <f t="shared" si="7"/>
        <v>5.7924759999999997</v>
      </c>
    </row>
    <row r="58" spans="2:3" x14ac:dyDescent="0.25">
      <c r="B58" t="str">
        <f t="shared" si="6"/>
        <v>DKK2013</v>
      </c>
      <c r="C58" s="27">
        <f t="shared" si="7"/>
        <v>5.6163119999999997</v>
      </c>
    </row>
    <row r="59" spans="2:3" x14ac:dyDescent="0.25">
      <c r="B59" t="str">
        <f t="shared" si="6"/>
        <v>DKK2014</v>
      </c>
      <c r="C59" s="27">
        <f t="shared" si="7"/>
        <v>5.6124669999999997</v>
      </c>
    </row>
    <row r="60" spans="2:3" x14ac:dyDescent="0.25">
      <c r="B60" t="str">
        <f t="shared" si="6"/>
        <v>DKK2015</v>
      </c>
      <c r="C60" s="27">
        <f t="shared" si="7"/>
        <v>6.7279070000000001</v>
      </c>
    </row>
    <row r="61" spans="2:3" x14ac:dyDescent="0.25">
      <c r="B61" t="str">
        <f t="shared" si="6"/>
        <v>DKK2016</v>
      </c>
      <c r="C61" s="27">
        <f t="shared" si="7"/>
        <v>6.7317179999999999</v>
      </c>
    </row>
    <row r="62" spans="2:3" x14ac:dyDescent="0.25">
      <c r="B62" t="str">
        <f t="shared" si="6"/>
        <v>DKK2017</v>
      </c>
      <c r="C62" s="27">
        <f t="shared" si="7"/>
        <v>6.6028929999999999</v>
      </c>
    </row>
    <row r="63" spans="2:3" x14ac:dyDescent="0.25">
      <c r="B63" t="str">
        <f t="shared" si="6"/>
        <v>DKK2018</v>
      </c>
      <c r="C63" s="27">
        <f t="shared" si="7"/>
        <v>6.3146190000000004</v>
      </c>
    </row>
    <row r="64" spans="2:3" x14ac:dyDescent="0.25">
      <c r="B64" t="str">
        <f t="shared" si="6"/>
        <v>DKK2019</v>
      </c>
      <c r="C64" s="27">
        <f t="shared" si="7"/>
        <v>6.6694469999999999</v>
      </c>
    </row>
    <row r="65" spans="2:3" x14ac:dyDescent="0.25">
      <c r="B65" t="str">
        <f t="shared" si="6"/>
        <v>DKK2020</v>
      </c>
      <c r="C65" s="27">
        <f t="shared" si="7"/>
        <v>6.5421519999999997</v>
      </c>
    </row>
    <row r="66" spans="2:3" x14ac:dyDescent="0.25">
      <c r="B66" t="str">
        <f>$G$8&amp;B9</f>
        <v>SEK2010</v>
      </c>
      <c r="C66" s="27">
        <f>G9</f>
        <v>7.2075240000000003</v>
      </c>
    </row>
    <row r="67" spans="2:3" x14ac:dyDescent="0.25">
      <c r="B67" t="str">
        <f t="shared" ref="B67:B82" si="8">$G$8&amp;B10</f>
        <v>SEK2011</v>
      </c>
      <c r="C67" s="27">
        <f t="shared" ref="C67:C76" si="9">G10</f>
        <v>6.4935429999999998</v>
      </c>
    </row>
    <row r="68" spans="2:3" x14ac:dyDescent="0.25">
      <c r="B68" t="str">
        <f t="shared" si="8"/>
        <v>SEK2012</v>
      </c>
      <c r="C68" s="27">
        <f t="shared" si="9"/>
        <v>6.7750159999999999</v>
      </c>
    </row>
    <row r="69" spans="2:3" x14ac:dyDescent="0.25">
      <c r="B69" t="str">
        <f t="shared" si="8"/>
        <v>SEK2013</v>
      </c>
      <c r="C69" s="27">
        <f t="shared" si="9"/>
        <v>6.5139719999999999</v>
      </c>
    </row>
    <row r="70" spans="2:3" x14ac:dyDescent="0.25">
      <c r="B70" t="str">
        <f t="shared" si="8"/>
        <v>SEK2014</v>
      </c>
      <c r="C70" s="27">
        <f t="shared" si="9"/>
        <v>6.8607849999999999</v>
      </c>
    </row>
    <row r="71" spans="2:3" x14ac:dyDescent="0.25">
      <c r="B71" t="str">
        <f t="shared" si="8"/>
        <v>SEK2015</v>
      </c>
      <c r="C71" s="27">
        <f t="shared" si="9"/>
        <v>8.4348410000000005</v>
      </c>
    </row>
    <row r="72" spans="2:3" x14ac:dyDescent="0.25">
      <c r="B72" t="str">
        <f t="shared" si="8"/>
        <v>SEK2016</v>
      </c>
      <c r="C72" s="27">
        <f t="shared" si="9"/>
        <v>8.561992</v>
      </c>
    </row>
    <row r="73" spans="2:3" x14ac:dyDescent="0.25">
      <c r="B73" t="str">
        <f t="shared" si="8"/>
        <v>SEK2017</v>
      </c>
      <c r="C73" s="27">
        <f t="shared" si="9"/>
        <v>8.5488610000000005</v>
      </c>
    </row>
    <row r="74" spans="2:3" x14ac:dyDescent="0.25">
      <c r="B74" t="str">
        <f t="shared" si="8"/>
        <v>SEK2018</v>
      </c>
      <c r="C74" s="27">
        <f t="shared" si="9"/>
        <v>8.6925179999999997</v>
      </c>
    </row>
    <row r="75" spans="2:3" x14ac:dyDescent="0.25">
      <c r="B75" t="str">
        <f t="shared" si="8"/>
        <v>SEK2019</v>
      </c>
      <c r="C75" s="27">
        <f t="shared" si="9"/>
        <v>9.4583490000000001</v>
      </c>
    </row>
    <row r="76" spans="2:3" x14ac:dyDescent="0.25">
      <c r="B76" t="str">
        <f t="shared" si="8"/>
        <v>SEK2020</v>
      </c>
      <c r="C76" s="27">
        <f t="shared" si="9"/>
        <v>9.2103090000000005</v>
      </c>
    </row>
    <row r="77" spans="2:3" x14ac:dyDescent="0.25">
      <c r="B77" t="str">
        <f>$H$8&amp;B9</f>
        <v>NOK2010</v>
      </c>
      <c r="C77" s="27">
        <f>H9</f>
        <v>6.0441669999999998</v>
      </c>
    </row>
    <row r="78" spans="2:3" x14ac:dyDescent="0.25">
      <c r="B78" t="str">
        <f t="shared" ref="B78:B88" si="10">$H$8&amp;B10</f>
        <v>NOK2011</v>
      </c>
      <c r="C78" s="27">
        <f t="shared" ref="C78:C87" si="11">H10</f>
        <v>5.6046069999999997</v>
      </c>
    </row>
    <row r="79" spans="2:3" x14ac:dyDescent="0.25">
      <c r="B79" t="str">
        <f t="shared" si="10"/>
        <v>NOK2012</v>
      </c>
      <c r="C79" s="27">
        <f t="shared" si="11"/>
        <v>5.8174999999999999</v>
      </c>
    </row>
    <row r="80" spans="2:3" x14ac:dyDescent="0.25">
      <c r="B80" t="str">
        <f t="shared" si="10"/>
        <v>NOK2013</v>
      </c>
      <c r="C80" s="27">
        <f t="shared" si="11"/>
        <v>5.875</v>
      </c>
    </row>
    <row r="81" spans="2:3" x14ac:dyDescent="0.25">
      <c r="B81" t="str">
        <f t="shared" si="10"/>
        <v>NOK2014</v>
      </c>
      <c r="C81" s="27">
        <f t="shared" si="11"/>
        <v>6.3016670000000001</v>
      </c>
    </row>
    <row r="82" spans="2:3" x14ac:dyDescent="0.25">
      <c r="B82" t="str">
        <f t="shared" si="10"/>
        <v>NOK2015</v>
      </c>
      <c r="C82" s="27">
        <f t="shared" si="11"/>
        <v>8.0641669999999994</v>
      </c>
    </row>
    <row r="83" spans="2:3" x14ac:dyDescent="0.25">
      <c r="B83" t="str">
        <f t="shared" si="10"/>
        <v>NOK2016</v>
      </c>
      <c r="C83" s="27">
        <f t="shared" si="11"/>
        <v>8.4</v>
      </c>
    </row>
    <row r="84" spans="2:3" x14ac:dyDescent="0.25">
      <c r="B84" t="str">
        <f t="shared" si="10"/>
        <v>NOK2017</v>
      </c>
      <c r="C84" s="27">
        <f t="shared" si="11"/>
        <v>8.2716670000000008</v>
      </c>
    </row>
    <row r="85" spans="2:3" x14ac:dyDescent="0.25">
      <c r="B85" t="str">
        <f t="shared" si="10"/>
        <v>NOK2018</v>
      </c>
      <c r="C85" s="27">
        <f t="shared" si="11"/>
        <v>8.1325000000000003</v>
      </c>
    </row>
    <row r="86" spans="2:3" x14ac:dyDescent="0.25">
      <c r="B86" t="str">
        <f t="shared" si="10"/>
        <v>NOK2019</v>
      </c>
      <c r="C86" s="27">
        <f t="shared" si="11"/>
        <v>8.8000000000000007</v>
      </c>
    </row>
    <row r="87" spans="2:3" x14ac:dyDescent="0.25">
      <c r="B87" t="str">
        <f t="shared" si="10"/>
        <v>NOK2020</v>
      </c>
      <c r="C87" s="27">
        <f t="shared" si="11"/>
        <v>9.4194929999999992</v>
      </c>
    </row>
    <row r="88" spans="2:3" x14ac:dyDescent="0.25">
      <c r="B88" t="str">
        <f>$I$8&amp;B9</f>
        <v>JPY2010</v>
      </c>
      <c r="C88" s="27">
        <f>I9</f>
        <v>87.779875000000004</v>
      </c>
    </row>
    <row r="89" spans="2:3" x14ac:dyDescent="0.25">
      <c r="B89" t="str">
        <f t="shared" ref="B89:B98" si="12">$I$8&amp;B10</f>
        <v>JPY2011</v>
      </c>
      <c r="C89" s="27">
        <f t="shared" ref="C89:C98" si="13">I10</f>
        <v>79.807019999999994</v>
      </c>
    </row>
    <row r="90" spans="2:3" x14ac:dyDescent="0.25">
      <c r="B90" t="str">
        <f t="shared" si="12"/>
        <v>JPY2012</v>
      </c>
      <c r="C90" s="27">
        <f t="shared" si="13"/>
        <v>79.790454999999994</v>
      </c>
    </row>
    <row r="91" spans="2:3" x14ac:dyDescent="0.25">
      <c r="B91" t="str">
        <f t="shared" si="12"/>
        <v>JPY2013</v>
      </c>
      <c r="C91" s="27">
        <f t="shared" si="13"/>
        <v>97.595658</v>
      </c>
    </row>
    <row r="92" spans="2:3" x14ac:dyDescent="0.25">
      <c r="B92" t="str">
        <f t="shared" si="12"/>
        <v>JPY2014</v>
      </c>
      <c r="C92" s="27">
        <f t="shared" si="13"/>
        <v>105.94478100000001</v>
      </c>
    </row>
    <row r="93" spans="2:3" x14ac:dyDescent="0.25">
      <c r="B93" t="str">
        <f t="shared" si="12"/>
        <v>JPY2015</v>
      </c>
      <c r="C93" s="27">
        <f t="shared" si="13"/>
        <v>121.044026</v>
      </c>
    </row>
    <row r="94" spans="2:3" x14ac:dyDescent="0.25">
      <c r="B94" t="str">
        <f t="shared" si="12"/>
        <v>JPY2016</v>
      </c>
      <c r="C94" s="27">
        <f t="shared" si="13"/>
        <v>108.7929</v>
      </c>
    </row>
    <row r="95" spans="2:3" x14ac:dyDescent="0.25">
      <c r="B95" t="str">
        <f t="shared" si="12"/>
        <v>JPY2017</v>
      </c>
      <c r="C95" s="27">
        <f t="shared" si="13"/>
        <v>112.166141</v>
      </c>
    </row>
    <row r="96" spans="2:3" x14ac:dyDescent="0.25">
      <c r="B96" t="str">
        <f t="shared" si="12"/>
        <v>JPY2018</v>
      </c>
      <c r="C96" s="27">
        <f t="shared" si="13"/>
        <v>110.423179</v>
      </c>
    </row>
    <row r="97" spans="2:3" x14ac:dyDescent="0.25">
      <c r="B97" t="str">
        <f t="shared" si="12"/>
        <v>JPY2019</v>
      </c>
      <c r="C97" s="27">
        <f t="shared" si="13"/>
        <v>109.009666</v>
      </c>
    </row>
    <row r="98" spans="2:3" x14ac:dyDescent="0.25">
      <c r="B98" t="str">
        <f t="shared" si="12"/>
        <v>JPY2020</v>
      </c>
      <c r="C98" s="27">
        <f t="shared" si="13"/>
        <v>106.774582</v>
      </c>
    </row>
  </sheetData>
  <hyperlinks>
    <hyperlink ref="C3" r:id="rId1" xr:uid="{78BBFEBB-DAC0-44D8-BA95-52AFBA36B372}"/>
    <hyperlink ref="C4" r:id="rId2" xr:uid="{CA80EA51-E3C2-4C2B-B56E-59DE37BD4E5E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9747-8351-4742-885D-BD23DF7863A6}">
  <dimension ref="A2:A32"/>
  <sheetViews>
    <sheetView topLeftCell="A16" workbookViewId="0">
      <selection activeCell="J34" sqref="J34"/>
    </sheetView>
  </sheetViews>
  <sheetFormatPr defaultRowHeight="15" x14ac:dyDescent="0.25"/>
  <sheetData>
    <row r="2" spans="1:1" x14ac:dyDescent="0.25">
      <c r="A2" t="s">
        <v>83</v>
      </c>
    </row>
    <row r="32" spans="1:1" x14ac:dyDescent="0.25">
      <c r="A32" t="s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Production facilities</vt:lpstr>
      <vt:lpstr>Currency exchange</vt:lpstr>
      <vt:lpstr>Extra</vt:lpstr>
      <vt:lpstr>Currency_lookup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Beiter</dc:creator>
  <cp:lastModifiedBy>Philipp Beiter</cp:lastModifiedBy>
  <dcterms:created xsi:type="dcterms:W3CDTF">2021-03-15T20:39:47Z</dcterms:created>
  <dcterms:modified xsi:type="dcterms:W3CDTF">2021-03-19T13:23:26Z</dcterms:modified>
</cp:coreProperties>
</file>