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"/>
    </mc:Choice>
  </mc:AlternateContent>
  <xr:revisionPtr revIDLastSave="0" documentId="13_ncr:1_{D9C9A1D7-101C-470D-BC70-546297522FDF}" xr6:coauthVersionLast="47" xr6:coauthVersionMax="47" xr10:uidLastSave="{00000000-0000-0000-0000-000000000000}"/>
  <bookViews>
    <workbookView xWindow="28680" yWindow="-120" windowWidth="29040" windowHeight="15840" activeTab="1" xr2:uid="{AC9901ED-5E5E-47DB-A4DB-56D0F0A38A51}"/>
  </bookViews>
  <sheets>
    <sheet name="CurrentPTC - land" sheetId="6" r:id="rId1"/>
    <sheet name="RevisedPTC - land" sheetId="7" r:id="rId2"/>
    <sheet name="CurrentPTC - fixed" sheetId="2" r:id="rId3"/>
    <sheet name="RevisedPTC - fixed" sheetId="8" r:id="rId4"/>
    <sheet name="CurrentPTC - floating" sheetId="5" r:id="rId5"/>
    <sheet name="RevisedPTC - floating" sheetId="9" r:id="rId6"/>
    <sheet name="15MW_data" sheetId="3" r:id="rId7"/>
    <sheet name="15MW_data_floating" sheetId="4" r:id="rId8"/>
  </sheets>
  <calcPr calcId="191029"/>
  <pivotCaches>
    <pivotCache cacheId="47" r:id="rId9"/>
    <pivotCache cacheId="48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7" l="1"/>
  <c r="J8" i="7"/>
  <c r="H7" i="7"/>
  <c r="H8" i="7"/>
  <c r="F12" i="9"/>
  <c r="F8" i="9"/>
  <c r="F7" i="9"/>
  <c r="F17" i="9"/>
  <c r="E17" i="9"/>
  <c r="G17" i="9" s="1"/>
  <c r="F16" i="9"/>
  <c r="E16" i="9"/>
  <c r="G16" i="9" s="1"/>
  <c r="F11" i="9"/>
  <c r="E11" i="9"/>
  <c r="G11" i="9" s="1"/>
  <c r="F10" i="9"/>
  <c r="E10" i="9"/>
  <c r="F9" i="9"/>
  <c r="E9" i="9"/>
  <c r="G9" i="9" s="1"/>
  <c r="E8" i="9"/>
  <c r="E7" i="9"/>
  <c r="F6" i="9"/>
  <c r="E6" i="9"/>
  <c r="F5" i="9"/>
  <c r="G5" i="9" s="1"/>
  <c r="E5" i="9"/>
  <c r="F12" i="8"/>
  <c r="F7" i="8"/>
  <c r="F17" i="8"/>
  <c r="E17" i="8"/>
  <c r="F16" i="8"/>
  <c r="E16" i="8"/>
  <c r="G16" i="8" s="1"/>
  <c r="F11" i="8"/>
  <c r="E11" i="8"/>
  <c r="F10" i="8"/>
  <c r="E10" i="8"/>
  <c r="F9" i="8"/>
  <c r="E9" i="8"/>
  <c r="G9" i="8" s="1"/>
  <c r="E8" i="8"/>
  <c r="G8" i="8" s="1"/>
  <c r="E7" i="8"/>
  <c r="F6" i="8"/>
  <c r="E6" i="8"/>
  <c r="G6" i="8" s="1"/>
  <c r="F5" i="8"/>
  <c r="E5" i="8"/>
  <c r="I8" i="7"/>
  <c r="I7" i="7"/>
  <c r="I6" i="7"/>
  <c r="G6" i="7"/>
  <c r="G8" i="7" s="1"/>
  <c r="E8" i="7"/>
  <c r="F8" i="7"/>
  <c r="E7" i="7"/>
  <c r="F7" i="7"/>
  <c r="I15" i="7"/>
  <c r="J15" i="7" s="1"/>
  <c r="I10" i="7"/>
  <c r="G10" i="7"/>
  <c r="F10" i="7"/>
  <c r="E10" i="7"/>
  <c r="H10" i="7" s="1"/>
  <c r="I9" i="7"/>
  <c r="G9" i="7"/>
  <c r="F9" i="7"/>
  <c r="J9" i="7" s="1"/>
  <c r="E9" i="7"/>
  <c r="F6" i="7"/>
  <c r="E6" i="7"/>
  <c r="H6" i="7" s="1"/>
  <c r="I5" i="7"/>
  <c r="G5" i="7"/>
  <c r="F5" i="7"/>
  <c r="E5" i="7"/>
  <c r="F5" i="6"/>
  <c r="E5" i="6"/>
  <c r="H5" i="6" s="1"/>
  <c r="I16" i="6"/>
  <c r="F6" i="6"/>
  <c r="F7" i="6"/>
  <c r="F8" i="6"/>
  <c r="J8" i="6" s="1"/>
  <c r="F9" i="6"/>
  <c r="J9" i="6" s="1"/>
  <c r="F10" i="6"/>
  <c r="J10" i="6" s="1"/>
  <c r="F11" i="6"/>
  <c r="J11" i="6" s="1"/>
  <c r="E6" i="6"/>
  <c r="E7" i="6"/>
  <c r="E8" i="6"/>
  <c r="E9" i="6"/>
  <c r="H9" i="6" s="1"/>
  <c r="E10" i="6"/>
  <c r="H10" i="6" s="1"/>
  <c r="E11" i="6"/>
  <c r="H11" i="6" s="1"/>
  <c r="I11" i="6"/>
  <c r="G11" i="6"/>
  <c r="I9" i="6"/>
  <c r="I8" i="6"/>
  <c r="I7" i="6"/>
  <c r="G9" i="6"/>
  <c r="G8" i="6"/>
  <c r="H8" i="6" s="1"/>
  <c r="G7" i="6"/>
  <c r="H7" i="6" s="1"/>
  <c r="I10" i="2"/>
  <c r="I9" i="2"/>
  <c r="I8" i="2"/>
  <c r="I10" i="6"/>
  <c r="I5" i="6"/>
  <c r="I12" i="6" s="1"/>
  <c r="G10" i="6"/>
  <c r="G5" i="6"/>
  <c r="F12" i="5"/>
  <c r="F13" i="5"/>
  <c r="F18" i="5"/>
  <c r="F19" i="5"/>
  <c r="F19" i="2"/>
  <c r="F18" i="2"/>
  <c r="E13" i="5"/>
  <c r="E14" i="5"/>
  <c r="G13" i="5"/>
  <c r="F11" i="5"/>
  <c r="F10" i="5"/>
  <c r="F9" i="5"/>
  <c r="F8" i="5"/>
  <c r="F6" i="5"/>
  <c r="F5" i="5"/>
  <c r="E19" i="5"/>
  <c r="G19" i="5" s="1"/>
  <c r="E18" i="5"/>
  <c r="G18" i="5" s="1"/>
  <c r="E12" i="5"/>
  <c r="E11" i="5"/>
  <c r="G11" i="5" s="1"/>
  <c r="E10" i="5"/>
  <c r="G10" i="5" s="1"/>
  <c r="E9" i="5"/>
  <c r="E8" i="5"/>
  <c r="E7" i="5"/>
  <c r="E6" i="5"/>
  <c r="E5" i="5"/>
  <c r="E21" i="4"/>
  <c r="D8" i="4"/>
  <c r="E8" i="4" s="1"/>
  <c r="D9" i="4"/>
  <c r="E9" i="4" s="1"/>
  <c r="D21" i="4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20" i="4"/>
  <c r="E20" i="4" s="1"/>
  <c r="C4" i="4"/>
  <c r="D4" i="4" s="1"/>
  <c r="E4" i="4" s="1"/>
  <c r="C5" i="4"/>
  <c r="D5" i="4" s="1"/>
  <c r="E5" i="4" s="1"/>
  <c r="C6" i="4"/>
  <c r="D6" i="4" s="1"/>
  <c r="E6" i="4" s="1"/>
  <c r="C7" i="4"/>
  <c r="D7" i="4" s="1"/>
  <c r="E7" i="4" s="1"/>
  <c r="C8" i="4"/>
  <c r="C9" i="4"/>
  <c r="C10" i="4"/>
  <c r="D10" i="4" s="1"/>
  <c r="E10" i="4" s="1"/>
  <c r="C11" i="4"/>
  <c r="D11" i="4" s="1"/>
  <c r="E11" i="4" s="1"/>
  <c r="C12" i="4"/>
  <c r="D12" i="4" s="1"/>
  <c r="E12" i="4" s="1"/>
  <c r="C13" i="4"/>
  <c r="D13" i="4" s="1"/>
  <c r="E13" i="4" s="1"/>
  <c r="C14" i="4"/>
  <c r="D14" i="4" s="1"/>
  <c r="E14" i="4" s="1"/>
  <c r="C15" i="4"/>
  <c r="D15" i="4" s="1"/>
  <c r="E15" i="4" s="1"/>
  <c r="C16" i="4"/>
  <c r="D16" i="4" s="1"/>
  <c r="E16" i="4" s="1"/>
  <c r="C17" i="4"/>
  <c r="D17" i="4" s="1"/>
  <c r="E17" i="4" s="1"/>
  <c r="C18" i="4"/>
  <c r="D18" i="4" s="1"/>
  <c r="E18" i="4" s="1"/>
  <c r="C19" i="4"/>
  <c r="D19" i="4" s="1"/>
  <c r="E19" i="4" s="1"/>
  <c r="C3" i="4"/>
  <c r="D3" i="4" s="1"/>
  <c r="E3" i="4" s="1"/>
  <c r="E6" i="2"/>
  <c r="E7" i="2"/>
  <c r="E8" i="2"/>
  <c r="E9" i="2"/>
  <c r="E10" i="2"/>
  <c r="E11" i="2"/>
  <c r="E12" i="2"/>
  <c r="E13" i="2"/>
  <c r="G13" i="2" s="1"/>
  <c r="E5" i="2"/>
  <c r="F13" i="2"/>
  <c r="H35" i="3"/>
  <c r="H36" i="3"/>
  <c r="H37" i="3"/>
  <c r="H38" i="3"/>
  <c r="H39" i="3"/>
  <c r="H34" i="3"/>
  <c r="F12" i="2"/>
  <c r="F11" i="2"/>
  <c r="F10" i="2"/>
  <c r="F9" i="2"/>
  <c r="F8" i="2"/>
  <c r="F6" i="2"/>
  <c r="F5" i="2"/>
  <c r="K21" i="3"/>
  <c r="E4" i="3"/>
  <c r="E5" i="3"/>
  <c r="E9" i="3"/>
  <c r="E10" i="3"/>
  <c r="E11" i="3"/>
  <c r="E12" i="3"/>
  <c r="E13" i="3"/>
  <c r="E17" i="3"/>
  <c r="E18" i="3"/>
  <c r="E19" i="3"/>
  <c r="E20" i="3"/>
  <c r="E21" i="3"/>
  <c r="E28" i="3"/>
  <c r="E29" i="3"/>
  <c r="D21" i="3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D29" i="3"/>
  <c r="D20" i="3"/>
  <c r="C4" i="3"/>
  <c r="D4" i="3" s="1"/>
  <c r="C5" i="3"/>
  <c r="D5" i="3" s="1"/>
  <c r="C6" i="3"/>
  <c r="D6" i="3" s="1"/>
  <c r="E6" i="3" s="1"/>
  <c r="C7" i="3"/>
  <c r="D7" i="3" s="1"/>
  <c r="E7" i="3" s="1"/>
  <c r="C8" i="3"/>
  <c r="D8" i="3" s="1"/>
  <c r="E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E14" i="3" s="1"/>
  <c r="C15" i="3"/>
  <c r="D15" i="3" s="1"/>
  <c r="E15" i="3" s="1"/>
  <c r="C16" i="3"/>
  <c r="D16" i="3" s="1"/>
  <c r="E16" i="3" s="1"/>
  <c r="C17" i="3"/>
  <c r="D17" i="3" s="1"/>
  <c r="C18" i="3"/>
  <c r="D18" i="3" s="1"/>
  <c r="C19" i="3"/>
  <c r="D19" i="3" s="1"/>
  <c r="C3" i="3"/>
  <c r="D3" i="3" s="1"/>
  <c r="E3" i="3" s="1"/>
  <c r="E18" i="2"/>
  <c r="E19" i="2"/>
  <c r="I11" i="7" l="1"/>
  <c r="G7" i="9"/>
  <c r="G8" i="9"/>
  <c r="E12" i="9"/>
  <c r="G6" i="9"/>
  <c r="G10" i="9"/>
  <c r="G12" i="8"/>
  <c r="G7" i="8"/>
  <c r="E12" i="8"/>
  <c r="G11" i="8"/>
  <c r="G17" i="8"/>
  <c r="G10" i="8"/>
  <c r="G5" i="8"/>
  <c r="G7" i="7"/>
  <c r="G11" i="7" s="1"/>
  <c r="H9" i="7"/>
  <c r="E11" i="7"/>
  <c r="F11" i="7"/>
  <c r="J5" i="7"/>
  <c r="J10" i="7"/>
  <c r="J6" i="7"/>
  <c r="H5" i="7"/>
  <c r="J7" i="6"/>
  <c r="G12" i="6"/>
  <c r="E12" i="6"/>
  <c r="H12" i="6" s="1"/>
  <c r="J16" i="6"/>
  <c r="G12" i="5"/>
  <c r="G5" i="5"/>
  <c r="G9" i="5"/>
  <c r="F14" i="5"/>
  <c r="G14" i="5" s="1"/>
  <c r="G8" i="5"/>
  <c r="G6" i="5"/>
  <c r="E14" i="2"/>
  <c r="F14" i="2"/>
  <c r="G9" i="2"/>
  <c r="G6" i="2"/>
  <c r="G11" i="2"/>
  <c r="G10" i="2"/>
  <c r="G5" i="2"/>
  <c r="G12" i="2"/>
  <c r="G19" i="2"/>
  <c r="G18" i="2"/>
  <c r="G8" i="2"/>
  <c r="G12" i="9" l="1"/>
  <c r="J11" i="7"/>
  <c r="H11" i="7"/>
  <c r="G14" i="2"/>
  <c r="F12" i="6" l="1"/>
  <c r="J12" i="6" s="1"/>
  <c r="J5" i="6"/>
</calcChain>
</file>

<file path=xl/sharedStrings.xml><?xml version="1.0" encoding="utf-8"?>
<sst xmlns="http://schemas.openxmlformats.org/spreadsheetml/2006/main" count="461" uniqueCount="123">
  <si>
    <t>Turbine</t>
  </si>
  <si>
    <t>Component</t>
  </si>
  <si>
    <t>Finished component</t>
  </si>
  <si>
    <t>Subassembly</t>
  </si>
  <si>
    <t>Subcomponent</t>
  </si>
  <si>
    <t>Hub</t>
  </si>
  <si>
    <t>Blade</t>
  </si>
  <si>
    <t>Drivetrain</t>
  </si>
  <si>
    <t>Tower</t>
  </si>
  <si>
    <t>Foundation</t>
  </si>
  <si>
    <t>Gearbox</t>
  </si>
  <si>
    <t>Generator</t>
  </si>
  <si>
    <t>Nacelle</t>
  </si>
  <si>
    <t>Nacelle (cover)</t>
  </si>
  <si>
    <t>PTC rate</t>
  </si>
  <si>
    <t>Offshore wind bill of materials</t>
  </si>
  <si>
    <t>Cables</t>
  </si>
  <si>
    <t>Offshore substation</t>
  </si>
  <si>
    <t>Transition piece</t>
  </si>
  <si>
    <t>PTC value, $K (15 MW turbine)</t>
  </si>
  <si>
    <t>Pitch system</t>
  </si>
  <si>
    <t>Spinner</t>
  </si>
  <si>
    <t>Lss</t>
  </si>
  <si>
    <t>Main bearing</t>
  </si>
  <si>
    <t>Brake</t>
  </si>
  <si>
    <t>Hvac</t>
  </si>
  <si>
    <t>Bedplate</t>
  </si>
  <si>
    <t>Yaw system</t>
  </si>
  <si>
    <t>Cover</t>
  </si>
  <si>
    <t>Controls</t>
  </si>
  <si>
    <t>Platforms</t>
  </si>
  <si>
    <t>Transformer</t>
  </si>
  <si>
    <t>Converter</t>
  </si>
  <si>
    <t>Monopile</t>
  </si>
  <si>
    <t>ExportCableCapex</t>
  </si>
  <si>
    <t>OffshoreSubstationCapex</t>
  </si>
  <si>
    <t>ArrayCableCapex</t>
  </si>
  <si>
    <t>ExportCableInstallation</t>
  </si>
  <si>
    <t>OffshoreSubstationInstallation</t>
  </si>
  <si>
    <t>ArrayCableInstallation</t>
  </si>
  <si>
    <t>MonopileInstallation</t>
  </si>
  <si>
    <t>ScourProtectionInstallation</t>
  </si>
  <si>
    <t>TurbineInstallation</t>
  </si>
  <si>
    <t>Other</t>
  </si>
  <si>
    <t>Blades</t>
  </si>
  <si>
    <t>Row Labels</t>
  </si>
  <si>
    <t>Grand Total</t>
  </si>
  <si>
    <t>Cost, $/KW</t>
  </si>
  <si>
    <t>Sum of Cost, $/KW</t>
  </si>
  <si>
    <t>Installation</t>
  </si>
  <si>
    <t>WISDEM cost, $/KW</t>
  </si>
  <si>
    <t>Percent of turbine capex</t>
  </si>
  <si>
    <t>Cost, $</t>
  </si>
  <si>
    <t>Sum of Cost, $</t>
  </si>
  <si>
    <t>Component value, $K (15 MW turbine)</t>
  </si>
  <si>
    <t>% value of PTC</t>
  </si>
  <si>
    <t>Notes</t>
  </si>
  <si>
    <t>Notes/source</t>
  </si>
  <si>
    <t>WISDEM</t>
  </si>
  <si>
    <t>ORBIT</t>
  </si>
  <si>
    <t>turbine</t>
  </si>
  <si>
    <t>plant.capacity</t>
  </si>
  <si>
    <t>Monopile costs, $</t>
  </si>
  <si>
    <t>Transition piece costs, $</t>
  </si>
  <si>
    <t>Monopile percent</t>
  </si>
  <si>
    <t>Transition piece percent</t>
  </si>
  <si>
    <t>12MW_generic</t>
  </si>
  <si>
    <t>15MW_generic</t>
  </si>
  <si>
    <t>18MW_generic</t>
  </si>
  <si>
    <t>15 MW fixed bottom BOM</t>
  </si>
  <si>
    <t>Doesn't include TP</t>
  </si>
  <si>
    <t>TP/MP</t>
  </si>
  <si>
    <t>Totals</t>
  </si>
  <si>
    <t>Individual turbine + foundation</t>
  </si>
  <si>
    <t>Balance of system</t>
  </si>
  <si>
    <t>WISDEM.  Assume $.02 PTC per blade (=$0.06/turbine) based on legistlation language</t>
  </si>
  <si>
    <t>Component value, $K (1000 MW plant)</t>
  </si>
  <si>
    <t>Will source from literature</t>
  </si>
  <si>
    <t>Hub casting
Pitch bearings</t>
  </si>
  <si>
    <t>Spar cap
Shear web</t>
  </si>
  <si>
    <t>Main shaft
Main bearings
Bedplate
Yaw bearings
Other</t>
  </si>
  <si>
    <t>Steel plate
Flanges
Forged rings</t>
  </si>
  <si>
    <t>Steel plate
Flanges</t>
  </si>
  <si>
    <t>Critical subcomponents</t>
  </si>
  <si>
    <t>Monopile section</t>
  </si>
  <si>
    <t>Foundation (Monopile)</t>
  </si>
  <si>
    <t>TBD</t>
  </si>
  <si>
    <t>Blades (3)</t>
  </si>
  <si>
    <t>WISDEM.   Suggest including this within 'drivetrain' in a single bin</t>
  </si>
  <si>
    <t>Conductor core
Armor</t>
  </si>
  <si>
    <t>Transformers
Gas insulated switchgear
Offshore rated shunt reactors
Topside structure</t>
  </si>
  <si>
    <t>Platform</t>
  </si>
  <si>
    <t>MooringSystemCapex</t>
  </si>
  <si>
    <t>MooringSystemInstallation</t>
  </si>
  <si>
    <t>MooredSubInstallation</t>
  </si>
  <si>
    <t>15 MW floating BOM</t>
  </si>
  <si>
    <t>Semisubmersible</t>
  </si>
  <si>
    <t>Steel plate</t>
  </si>
  <si>
    <t>Mooring system</t>
  </si>
  <si>
    <t>Chain
Synthetic rope
Anchors</t>
  </si>
  <si>
    <t>WISDEM.  Assumes integrated transition piece</t>
  </si>
  <si>
    <t xml:space="preserve">ORBIT.  </t>
  </si>
  <si>
    <t>Land-based wind bill of materials</t>
  </si>
  <si>
    <t>Rotor</t>
  </si>
  <si>
    <t>Component value, $K (2.6 MW turbine)</t>
  </si>
  <si>
    <t>Component value, $K (5 MW turbine)</t>
  </si>
  <si>
    <t>PTC rate (assumed)</t>
  </si>
  <si>
    <t>Assuming same componet cost breakdown as offshore - could use some refinement</t>
  </si>
  <si>
    <t>Concrete footing</t>
  </si>
  <si>
    <t>% value of PTC (2.6 MW turbine)</t>
  </si>
  <si>
    <t>PTC value, $K (5 MW turbine)</t>
  </si>
  <si>
    <t>Component value, $K (200 MW plant)</t>
  </si>
  <si>
    <t>Electrical infrastructure</t>
  </si>
  <si>
    <t>Cables
Substation</t>
  </si>
  <si>
    <t>COWE review</t>
  </si>
  <si>
    <t>COWE Review</t>
  </si>
  <si>
    <t xml:space="preserve">Blades (3)
Hub
</t>
  </si>
  <si>
    <t>COWE Review.  Include factor of 3 for per-blade credit (and factor of 0 for hub, which isn't called out in OSW langugae)</t>
  </si>
  <si>
    <t>Nacelle (internals)</t>
  </si>
  <si>
    <t>Gearbox
Generator
Main shaft
Main bearings
Bedplate
Yaw bearings
Cover
other</t>
  </si>
  <si>
    <t>Gearbox % breakdown</t>
  </si>
  <si>
    <t>Generator % breakdown</t>
  </si>
  <si>
    <t>Main shaft
Main bearings
Bedplate
Yaw bearings
Other
Generator
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</si>
</sst>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164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0" fontId="0" fillId="0" borderId="5" xfId="0" applyBorder="1" applyAlignment="1">
      <alignment wrapText="1"/>
    </xf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0" xfId="0" applyFont="1" applyFill="1"/>
    <xf numFmtId="0" fontId="1" fillId="2" borderId="0" xfId="0" applyFont="1" applyFill="1" applyBorder="1"/>
    <xf numFmtId="0" fontId="0" fillId="0" borderId="12" xfId="0" applyBorder="1"/>
    <xf numFmtId="0" fontId="0" fillId="0" borderId="10" xfId="0" applyBorder="1" applyAlignment="1">
      <alignment wrapText="1"/>
    </xf>
    <xf numFmtId="164" fontId="0" fillId="0" borderId="10" xfId="0" applyNumberFormat="1" applyBorder="1"/>
    <xf numFmtId="0" fontId="0" fillId="0" borderId="13" xfId="0" applyBorder="1"/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  <xf numFmtId="0" fontId="0" fillId="0" borderId="18" xfId="0" applyBorder="1"/>
    <xf numFmtId="0" fontId="0" fillId="0" borderId="11" xfId="0" applyBorder="1" applyAlignment="1">
      <alignment wrapText="1"/>
    </xf>
    <xf numFmtId="164" fontId="0" fillId="0" borderId="11" xfId="0" applyNumberFormat="1" applyBorder="1"/>
    <xf numFmtId="0" fontId="0" fillId="0" borderId="20" xfId="0" applyBorder="1"/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19" xfId="0" applyBorder="1"/>
    <xf numFmtId="0" fontId="0" fillId="0" borderId="11" xfId="0" applyFill="1" applyBorder="1"/>
    <xf numFmtId="164" fontId="0" fillId="3" borderId="15" xfId="0" applyNumberFormat="1" applyFill="1" applyBorder="1"/>
    <xf numFmtId="2" fontId="0" fillId="3" borderId="0" xfId="0" applyNumberFormat="1" applyFill="1"/>
    <xf numFmtId="0" fontId="0" fillId="0" borderId="19" xfId="0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/>
    <xf numFmtId="164" fontId="0" fillId="0" borderId="0" xfId="0" applyNumberFormat="1" applyFont="1"/>
    <xf numFmtId="0" fontId="0" fillId="0" borderId="0" xfId="0" applyFont="1" applyFill="1" applyAlignment="1">
      <alignment wrapText="1"/>
    </xf>
    <xf numFmtId="2" fontId="0" fillId="0" borderId="0" xfId="0" applyNumberFormat="1" applyFill="1"/>
    <xf numFmtId="0" fontId="0" fillId="0" borderId="0" xfId="0" applyBorder="1" applyAlignment="1">
      <alignment wrapText="1"/>
    </xf>
    <xf numFmtId="2" fontId="0" fillId="0" borderId="0" xfId="0" applyNumberFormat="1" applyFont="1" applyFill="1"/>
    <xf numFmtId="2" fontId="0" fillId="0" borderId="0" xfId="0" applyNumberFormat="1" applyFont="1" applyFill="1" applyBorder="1"/>
    <xf numFmtId="2" fontId="1" fillId="0" borderId="0" xfId="0" applyNumberFormat="1" applyFont="1" applyFill="1" applyBorder="1"/>
    <xf numFmtId="2" fontId="1" fillId="0" borderId="0" xfId="0" applyNumberFormat="1" applyFont="1" applyFill="1"/>
    <xf numFmtId="0" fontId="0" fillId="0" borderId="0" xfId="0" applyFont="1" applyFill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431.621717361108" createdVersion="7" refreshedVersion="7" minRefreshableVersion="3" recordCount="27" xr:uid="{8DE32AD9-16BB-4B19-A4EA-B3281E6AD462}">
  <cacheSource type="worksheet">
    <worksheetSource ref="A2:F29" sheet="15MW_data"/>
  </cacheSource>
  <cacheFields count="6">
    <cacheField name="Component" numFmtId="0">
      <sharedItems/>
    </cacheField>
    <cacheField name="WISDEM cost, $/KW" numFmtId="0">
      <sharedItems containsSemiMixedTypes="0" containsString="0" containsNumber="1" minValue="1.1484056734393771" maxValue="333.5556646295791"/>
    </cacheField>
    <cacheField name="Percent of turbine capex" numFmtId="0">
      <sharedItems containsString="0" containsBlank="1" containsNumber="1" minValue="1.1787124817741359E-3" maxValue="0.34235830974942266"/>
    </cacheField>
    <cacheField name="Cost, $/KW" numFmtId="2">
      <sharedItems containsSemiMixedTypes="0" containsString="0" containsNumber="1" minValue="1.5323262263063768" maxValue="445.06580267424948"/>
    </cacheField>
    <cacheField name="Cost, $" numFmtId="2">
      <sharedItems containsSemiMixedTypes="0" containsString="0" containsNumber="1" minValue="22.984893394595652" maxValue="6675.9870401137423"/>
    </cacheField>
    <cacheField name="Subassembly" numFmtId="0">
      <sharedItems count="11">
        <s v="Blades"/>
        <s v="Hub"/>
        <s v="Drivetrain"/>
        <s v="Generator"/>
        <s v="Other"/>
        <s v="Nacelle"/>
        <s v="Tower"/>
        <s v="Foundation"/>
        <s v="Cables"/>
        <s v="Offshore substation"/>
        <s v="Install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432.542326157411" createdVersion="7" refreshedVersion="7" minRefreshableVersion="3" recordCount="27" xr:uid="{5B895EA9-5767-4BBC-8635-8B322A99C5B8}">
  <cacheSource type="worksheet">
    <worksheetSource ref="B2:F29" sheet="15MW_data_floating"/>
  </cacheSource>
  <cacheFields count="5">
    <cacheField name="WISDEM cost, $/KW" numFmtId="0">
      <sharedItems containsSemiMixedTypes="0" containsString="0" containsNumber="1" minValue="1.1484056734393771" maxValue="772.62247295919167"/>
    </cacheField>
    <cacheField name="Percent of turbine capex" numFmtId="0">
      <sharedItems containsString="0" containsBlank="1" containsNumber="1" minValue="9.851806809658152E-4" maxValue="0.29924365245637008"/>
    </cacheField>
    <cacheField name="Cost, $/KW" numFmtId="0">
      <sharedItems containsSemiMixedTypes="0" containsString="0" containsNumber="1" minValue="1.2807348852555598" maxValue="772.62247295919167"/>
    </cacheField>
    <cacheField name="Cost, $" numFmtId="0">
      <sharedItems containsSemiMixedTypes="0" containsString="0" containsNumber="1" minValue="19.211023278833398" maxValue="11589.337094387874"/>
    </cacheField>
    <cacheField name="Subassembly" numFmtId="0">
      <sharedItems count="11">
        <s v="Blades"/>
        <s v="Hub"/>
        <s v="Drivetrain"/>
        <s v="Generator"/>
        <s v="Other"/>
        <s v="Nacelle"/>
        <s v="Tower"/>
        <s v="Foundation"/>
        <s v="Cables"/>
        <s v="Offshore substation"/>
        <s v="Install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Blade"/>
    <n v="131.58650222976439"/>
    <n v="0.13505911386409669"/>
    <n v="175.57684802332571"/>
    <n v="2633.6527203498858"/>
    <x v="0"/>
  </r>
  <r>
    <s v="Pitch system"/>
    <n v="72.444864474098296"/>
    <n v="7.4356708583922765E-2"/>
    <n v="96.663721159099595"/>
    <n v="1449.9558173864939"/>
    <x v="1"/>
  </r>
  <r>
    <s v="Hub"/>
    <n v="5.6590531251566656"/>
    <n v="5.8083974225482749E-3"/>
    <n v="7.5509166493127573"/>
    <n v="113.26374973969136"/>
    <x v="1"/>
  </r>
  <r>
    <s v="Spinner"/>
    <n v="1.1484056734393771"/>
    <n v="1.1787124817741359E-3"/>
    <n v="1.5323262263063768"/>
    <n v="22.984893394595652"/>
    <x v="1"/>
  </r>
  <r>
    <s v="Lss"/>
    <n v="17.02136890863526"/>
    <n v="1.7470568505119546E-2"/>
    <n v="22.711739056655411"/>
    <n v="340.67608584983117"/>
    <x v="2"/>
  </r>
  <r>
    <s v="Main bearing"/>
    <n v="9.2356928495204613"/>
    <n v="9.4794258608620289E-3"/>
    <n v="12.323253619120637"/>
    <n v="184.84880428680955"/>
    <x v="2"/>
  </r>
  <r>
    <s v="Brake"/>
    <n v="5.8816977356871387"/>
    <n v="6.0369176985288374E-3"/>
    <n v="7.8479930080874887"/>
    <n v="117.71989512131233"/>
    <x v="2"/>
  </r>
  <r>
    <s v="Generator"/>
    <n v="333.5556646295791"/>
    <n v="0.34235830974942266"/>
    <n v="445.06580267424948"/>
    <n v="6675.9870401137423"/>
    <x v="3"/>
  </r>
  <r>
    <s v="Hvac"/>
    <n v="77.551924801682631"/>
    <n v="7.9598545935064116E-2"/>
    <n v="103.47810971558336"/>
    <n v="1552.1716457337504"/>
    <x v="4"/>
  </r>
  <r>
    <s v="Bedplate"/>
    <n v="9.348679834745246"/>
    <n v="9.5953946102706102E-3"/>
    <n v="12.474012993351794"/>
    <n v="187.11019490027689"/>
    <x v="2"/>
  </r>
  <r>
    <s v="Yaw system"/>
    <n v="15.66112050308424"/>
    <n v="1.6074422690953997E-2"/>
    <n v="20.896749498240197"/>
    <n v="313.45124247360297"/>
    <x v="2"/>
  </r>
  <r>
    <s v="Cover"/>
    <n v="7.6599323484546922"/>
    <n v="7.8620805151792365E-3"/>
    <n v="10.220704669733008"/>
    <n v="153.31057004599512"/>
    <x v="5"/>
  </r>
  <r>
    <s v="Controls"/>
    <n v="21.15"/>
    <n v="2.1708155546515583E-2"/>
    <n v="28.220602210470258"/>
    <n v="423.30903315705388"/>
    <x v="2"/>
  </r>
  <r>
    <s v="Platforms"/>
    <n v="55.537309739520033"/>
    <n v="5.7002957846832895E-2"/>
    <n v="74.103845200882759"/>
    <n v="1111.5576780132415"/>
    <x v="2"/>
  </r>
  <r>
    <s v="Transformer"/>
    <n v="38.395866666666663"/>
    <n v="3.9409146380296578E-2"/>
    <n v="51.231890294385551"/>
    <n v="768.47835441578331"/>
    <x v="2"/>
  </r>
  <r>
    <s v="Converter"/>
    <n v="15.01975866666667"/>
    <n v="1.5416135101991753E-2"/>
    <n v="20.04097563258928"/>
    <n v="300.61463448883922"/>
    <x v="2"/>
  </r>
  <r>
    <s v="Tower"/>
    <n v="157.43036736110781"/>
    <n v="0.16158500720662025"/>
    <n v="210.06050936860632"/>
    <n v="3150.9076405290948"/>
    <x v="6"/>
  </r>
  <r>
    <s v="Monopile"/>
    <n v="191.39205157296891"/>
    <m/>
    <n v="191.39205157296891"/>
    <n v="2870.8807735945338"/>
    <x v="7"/>
  </r>
  <r>
    <s v="ExportCableCapex"/>
    <n v="182.4496666666667"/>
    <m/>
    <n v="182.4496666666667"/>
    <n v="2736.7450000000003"/>
    <x v="8"/>
  </r>
  <r>
    <s v="OffshoreSubstationCapex"/>
    <n v="139.02237500000001"/>
    <m/>
    <n v="139.02237500000001"/>
    <n v="2085.3356250000002"/>
    <x v="9"/>
  </r>
  <r>
    <s v="ArrayCableCapex"/>
    <n v="45.023176791866668"/>
    <m/>
    <n v="45.023176791866668"/>
    <n v="675.34765187799997"/>
    <x v="8"/>
  </r>
  <r>
    <s v="ExportCableInstallation"/>
    <n v="192.16827281852579"/>
    <m/>
    <n v="192.16827281852579"/>
    <n v="2882.5240922778867"/>
    <x v="10"/>
  </r>
  <r>
    <s v="OffshoreSubstationInstallation"/>
    <n v="5.4483682141045158"/>
    <m/>
    <n v="5.4483682141045158"/>
    <n v="81.725523211567733"/>
    <x v="10"/>
  </r>
  <r>
    <s v="ArrayCableInstallation"/>
    <n v="19.847772574360981"/>
    <m/>
    <n v="19.847772574360981"/>
    <n v="297.71658861541471"/>
    <x v="10"/>
  </r>
  <r>
    <s v="MonopileInstallation"/>
    <n v="40.858854008117767"/>
    <m/>
    <n v="40.858854008117767"/>
    <n v="612.88281012176651"/>
    <x v="10"/>
  </r>
  <r>
    <s v="ScourProtectionInstallation"/>
    <n v="27.303044140030462"/>
    <m/>
    <n v="27.303044140030462"/>
    <n v="409.54566210045692"/>
    <x v="10"/>
  </r>
  <r>
    <s v="TurbineInstallation"/>
    <n v="57.98515918315578"/>
    <m/>
    <n v="57.98515918315578"/>
    <n v="869.77738774733666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131.58650222976439"/>
    <n v="0.112883872721021"/>
    <n v="146.7490345373273"/>
    <n v="2201.2355180599097"/>
    <x v="0"/>
  </r>
  <r>
    <n v="72.444864474098296"/>
    <n v="6.2148143783822885E-2"/>
    <n v="80.792586918969747"/>
    <n v="1211.8888037845461"/>
    <x v="1"/>
  </r>
  <r>
    <n v="5.6590531251566656"/>
    <n v="4.854721585244655E-3"/>
    <n v="6.3111380608180516"/>
    <n v="94.667070912270773"/>
    <x v="1"/>
  </r>
  <r>
    <n v="1.1484056734393771"/>
    <n v="9.851806809658152E-4"/>
    <n v="1.2807348852555598"/>
    <n v="19.211023278833398"/>
    <x v="1"/>
  </r>
  <r>
    <n v="17.02136890863526"/>
    <n v="1.4602090707334757E-2"/>
    <n v="18.982717919535183"/>
    <n v="284.74076879302777"/>
    <x v="2"/>
  </r>
  <r>
    <n v="9.2356928495204613"/>
    <n v="7.9230069836136122E-3"/>
    <n v="10.299909078697697"/>
    <n v="154.49863618046544"/>
    <x v="2"/>
  </r>
  <r>
    <n v="5.8816977356871387"/>
    <n v="5.0457213112899474E-3"/>
    <n v="6.5594377046769319"/>
    <n v="98.391565570153972"/>
    <x v="2"/>
  </r>
  <r>
    <n v="333.5556646295791"/>
    <n v="0.28614678977996261"/>
    <n v="371.99082671395138"/>
    <n v="5579.8624007092703"/>
    <x v="3"/>
  </r>
  <r>
    <n v="77.551924801682631"/>
    <n v="6.6529328314368169E-2"/>
    <n v="86.488126808678615"/>
    <n v="1297.3219021301793"/>
    <x v="4"/>
  </r>
  <r>
    <n v="9.348679834745246"/>
    <n v="8.0199349225976279E-3"/>
    <n v="10.425915399376917"/>
    <n v="156.38873099065376"/>
    <x v="2"/>
  </r>
  <r>
    <n v="15.66112050308424"/>
    <n v="1.343517688806568E-2"/>
    <n v="17.465729954485383"/>
    <n v="261.98594931728076"/>
    <x v="2"/>
  </r>
  <r>
    <n v="7.6599323484546922"/>
    <n v="6.571212195949706E-3"/>
    <n v="8.5425758547346184"/>
    <n v="128.13863782101927"/>
    <x v="5"/>
  </r>
  <r>
    <n v="21.15"/>
    <n v="1.8143911933161422E-2"/>
    <n v="23.587085513109848"/>
    <n v="353.80628269664771"/>
    <x v="2"/>
  </r>
  <r>
    <n v="55.537309739520033"/>
    <n v="4.7643690634447261E-2"/>
    <n v="61.936797824781436"/>
    <n v="929.0519673717215"/>
    <x v="2"/>
  </r>
  <r>
    <n v="38.395866666666663"/>
    <n v="3.2938592122808898E-2"/>
    <n v="42.82016975965157"/>
    <n v="642.30254639477357"/>
    <x v="2"/>
  </r>
  <r>
    <n v="15.01975866666667"/>
    <n v="1.2884972978975796E-2"/>
    <n v="16.750464872668534"/>
    <n v="251.256973090028"/>
    <x v="2"/>
  </r>
  <r>
    <n v="348.82241893407672"/>
    <n v="0.29924365245637008"/>
    <n v="389.0167481932811"/>
    <n v="5835.2512228992164"/>
    <x v="6"/>
  </r>
  <r>
    <n v="772.62247295919167"/>
    <m/>
    <n v="772.62247295919167"/>
    <n v="11589.337094387874"/>
    <x v="7"/>
  </r>
  <r>
    <n v="182.41849999999999"/>
    <m/>
    <n v="182.41849999999999"/>
    <n v="2736.2775000000001"/>
    <x v="8"/>
  </r>
  <r>
    <n v="139.02237500000001"/>
    <m/>
    <n v="139.02237500000001"/>
    <n v="2085.3356250000002"/>
    <x v="9"/>
  </r>
  <r>
    <n v="120"/>
    <m/>
    <n v="120"/>
    <n v="1800"/>
    <x v="7"/>
  </r>
  <r>
    <n v="44.64984345853334"/>
    <m/>
    <n v="44.64984345853334"/>
    <n v="669.74765187800006"/>
    <x v="8"/>
  </r>
  <r>
    <n v="192.16793743039801"/>
    <m/>
    <n v="192.16793743039801"/>
    <n v="2882.5190614559701"/>
    <x v="10"/>
  </r>
  <r>
    <n v="5.364263285451548"/>
    <m/>
    <n v="5.364263285451548"/>
    <n v="80.463949281773225"/>
    <x v="10"/>
  </r>
  <r>
    <n v="19.209617579908709"/>
    <m/>
    <n v="19.209617579908709"/>
    <n v="288.14426369863065"/>
    <x v="10"/>
  </r>
  <r>
    <n v="69.127430555555549"/>
    <m/>
    <n v="69.127430555555549"/>
    <n v="1036.9114583333333"/>
    <x v="10"/>
  </r>
  <r>
    <n v="19.83745293965778"/>
    <m/>
    <n v="19.83745293965778"/>
    <n v="297.56179409486668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25E4D-893A-4478-8953-8CFAF672EC94}" name="PivotTable16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2:K14" firstHeaderRow="0" firstDataRow="1" firstDataCol="1"/>
  <pivotFields count="6">
    <pivotField showAll="0"/>
    <pivotField showAll="0"/>
    <pivotField showAll="0"/>
    <pivotField dataField="1" numFmtId="2" showAll="0"/>
    <pivotField dataField="1" numFmtId="2" showAll="0"/>
    <pivotField axis="axisRow" showAll="0">
      <items count="12">
        <item x="0"/>
        <item x="8"/>
        <item x="2"/>
        <item x="7"/>
        <item x="1"/>
        <item x="10"/>
        <item x="5"/>
        <item x="9"/>
        <item x="4"/>
        <item x="6"/>
        <item x="3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, $" fld="4" baseField="0" baseItem="0"/>
    <dataField name="Sum of Cost, $/KW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C0BF0-9A1F-4FF5-B125-2ABE92064CAC}" name="PivotTable18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2:L14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12">
        <item x="0"/>
        <item x="8"/>
        <item x="2"/>
        <item x="7"/>
        <item x="3"/>
        <item x="1"/>
        <item x="10"/>
        <item x="5"/>
        <item x="9"/>
        <item x="4"/>
        <item x="6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, $" fld="3" baseField="0" baseItem="0"/>
    <dataField name="Sum of Cost, $/KW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12EC3-488D-4812-863A-65F7025A44E5}">
  <dimension ref="A1:K16"/>
  <sheetViews>
    <sheetView workbookViewId="0">
      <selection activeCell="H12" sqref="H12"/>
    </sheetView>
  </sheetViews>
  <sheetFormatPr defaultRowHeight="14.5" x14ac:dyDescent="0.35"/>
  <cols>
    <col min="1" max="1" width="27.81640625" bestFit="1" customWidth="1"/>
    <col min="2" max="2" width="15.81640625" bestFit="1" customWidth="1"/>
    <col min="3" max="3" width="21.08984375" bestFit="1" customWidth="1"/>
    <col min="4" max="4" width="7.90625" bestFit="1" customWidth="1"/>
    <col min="5" max="5" width="27.08984375" bestFit="1" customWidth="1"/>
    <col min="6" max="8" width="27.08984375" customWidth="1"/>
    <col min="9" max="9" width="34.1796875" bestFit="1" customWidth="1"/>
    <col min="10" max="10" width="19" customWidth="1"/>
    <col min="11" max="11" width="74.26953125" bestFit="1" customWidth="1"/>
  </cols>
  <sheetData>
    <row r="1" spans="1:11" x14ac:dyDescent="0.35">
      <c r="A1" s="1" t="s">
        <v>102</v>
      </c>
    </row>
    <row r="2" spans="1:11" x14ac:dyDescent="0.35">
      <c r="A2" s="1"/>
    </row>
    <row r="3" spans="1:11" x14ac:dyDescent="0.35">
      <c r="A3" s="1" t="s">
        <v>73</v>
      </c>
    </row>
    <row r="4" spans="1:11" x14ac:dyDescent="0.35">
      <c r="A4" s="23" t="s">
        <v>2</v>
      </c>
      <c r="B4" s="23" t="s">
        <v>3</v>
      </c>
      <c r="C4" s="23" t="s">
        <v>83</v>
      </c>
      <c r="D4" s="23" t="s">
        <v>106</v>
      </c>
      <c r="E4" s="24" t="s">
        <v>110</v>
      </c>
      <c r="F4" s="24" t="s">
        <v>110</v>
      </c>
      <c r="G4" s="23" t="s">
        <v>104</v>
      </c>
      <c r="H4" s="23" t="s">
        <v>109</v>
      </c>
      <c r="I4" s="23" t="s">
        <v>105</v>
      </c>
      <c r="J4" s="23" t="s">
        <v>55</v>
      </c>
      <c r="K4" s="23" t="s">
        <v>57</v>
      </c>
    </row>
    <row r="5" spans="1:11" ht="43.5" x14ac:dyDescent="0.35">
      <c r="A5" s="45" t="s">
        <v>0</v>
      </c>
      <c r="B5" s="45" t="s">
        <v>103</v>
      </c>
      <c r="C5" s="49" t="s">
        <v>116</v>
      </c>
      <c r="D5" s="45">
        <v>0.02</v>
      </c>
      <c r="E5" s="46">
        <f>D5*2.6*1000 *3</f>
        <v>156.00000000000003</v>
      </c>
      <c r="F5" s="46">
        <f>D5*5*1000*3</f>
        <v>300</v>
      </c>
      <c r="G5" s="52">
        <f>991 * 2.6 *(13.7/47.3)</f>
        <v>746.2879492600423</v>
      </c>
      <c r="H5" s="52">
        <f>100*E5/G5</f>
        <v>20.90345960358556</v>
      </c>
      <c r="I5" s="52">
        <f>991 * 5*(13.7/47.3)</f>
        <v>1435.1691331923889</v>
      </c>
      <c r="J5" s="52">
        <f>100*F5/I5</f>
        <v>20.903459603585556</v>
      </c>
      <c r="K5" s="45" t="s">
        <v>117</v>
      </c>
    </row>
    <row r="6" spans="1:11" x14ac:dyDescent="0.35">
      <c r="A6" s="45"/>
      <c r="B6" s="56" t="s">
        <v>7</v>
      </c>
      <c r="C6" s="45" t="s">
        <v>10</v>
      </c>
      <c r="D6" s="45">
        <v>0.02</v>
      </c>
      <c r="E6" s="46">
        <f t="shared" ref="E6:E11" si="0">D6*2.6*1000</f>
        <v>52.000000000000007</v>
      </c>
      <c r="F6" s="46">
        <f t="shared" ref="F6:F11" si="1">D6*5*1000</f>
        <v>100</v>
      </c>
      <c r="G6" s="6" t="s">
        <v>86</v>
      </c>
      <c r="H6" s="6" t="s">
        <v>86</v>
      </c>
      <c r="I6" s="6" t="s">
        <v>86</v>
      </c>
      <c r="J6" s="6" t="s">
        <v>86</v>
      </c>
      <c r="K6" s="45" t="s">
        <v>107</v>
      </c>
    </row>
    <row r="7" spans="1:11" x14ac:dyDescent="0.35">
      <c r="A7" s="45"/>
      <c r="B7" s="56"/>
      <c r="C7" s="45" t="s">
        <v>11</v>
      </c>
      <c r="D7" s="45">
        <v>0.02</v>
      </c>
      <c r="E7" s="46">
        <f t="shared" si="0"/>
        <v>52.000000000000007</v>
      </c>
      <c r="F7" s="46">
        <f t="shared" si="1"/>
        <v>100</v>
      </c>
      <c r="G7" s="52">
        <f>991 * 2.6 *(23.3/47.3)*0.63</f>
        <v>799.61757716701902</v>
      </c>
      <c r="H7" s="52">
        <f t="shared" ref="H7:H12" si="2">100*E7/G7</f>
        <v>6.5031086715516988</v>
      </c>
      <c r="I7" s="52">
        <f>991 * 5 *(23.3/47.3)*0.63</f>
        <v>1537.7261099365751</v>
      </c>
      <c r="J7" s="52">
        <f t="shared" ref="J7:J12" si="3">100*F7/I7</f>
        <v>6.503108671551697</v>
      </c>
      <c r="K7" s="45" t="s">
        <v>115</v>
      </c>
    </row>
    <row r="8" spans="1:11" ht="72.5" x14ac:dyDescent="0.35">
      <c r="A8" s="45"/>
      <c r="B8" s="56"/>
      <c r="C8" s="33" t="s">
        <v>80</v>
      </c>
      <c r="D8" s="45">
        <v>0</v>
      </c>
      <c r="E8" s="46">
        <f t="shared" si="0"/>
        <v>0</v>
      </c>
      <c r="F8" s="46">
        <f t="shared" si="1"/>
        <v>0</v>
      </c>
      <c r="G8" s="52">
        <f>991 * 2.6 *(23.3/47.3)*0.35</f>
        <v>444.23198731501054</v>
      </c>
      <c r="H8" s="52">
        <f t="shared" si="2"/>
        <v>0</v>
      </c>
      <c r="I8" s="52">
        <f>991 * 5 *(23.3/47.3)*0.35</f>
        <v>854.29228329809723</v>
      </c>
      <c r="J8" s="52">
        <f t="shared" si="3"/>
        <v>0</v>
      </c>
      <c r="K8" s="45" t="s">
        <v>115</v>
      </c>
    </row>
    <row r="9" spans="1:11" x14ac:dyDescent="0.35">
      <c r="A9" s="45"/>
      <c r="B9" s="45" t="s">
        <v>13</v>
      </c>
      <c r="C9" s="51"/>
      <c r="D9" s="45">
        <v>0.05</v>
      </c>
      <c r="E9" s="46">
        <f t="shared" si="0"/>
        <v>130</v>
      </c>
      <c r="F9" s="46">
        <f t="shared" si="1"/>
        <v>250</v>
      </c>
      <c r="G9" s="52">
        <f>991 * 2.6 *(23.3/47.3)*0.02</f>
        <v>25.384684989429175</v>
      </c>
      <c r="H9" s="52">
        <f t="shared" si="2"/>
        <v>512.11980788469623</v>
      </c>
      <c r="I9" s="52">
        <f>991 * 5 *(23.3/47.3)*0.02</f>
        <v>48.81670190274842</v>
      </c>
      <c r="J9" s="52">
        <f t="shared" si="3"/>
        <v>512.11980788469612</v>
      </c>
      <c r="K9" s="45" t="s">
        <v>115</v>
      </c>
    </row>
    <row r="10" spans="1:11" x14ac:dyDescent="0.35">
      <c r="A10" s="45"/>
      <c r="B10" s="45" t="s">
        <v>8</v>
      </c>
      <c r="C10" s="45"/>
      <c r="D10" s="45">
        <v>0.03</v>
      </c>
      <c r="E10" s="46">
        <f t="shared" si="0"/>
        <v>78</v>
      </c>
      <c r="F10" s="46">
        <f t="shared" si="1"/>
        <v>150</v>
      </c>
      <c r="G10" s="52">
        <f>991 * 2.6 *(10.3/47.3)</f>
        <v>561.077801268499</v>
      </c>
      <c r="H10" s="52">
        <f t="shared" si="2"/>
        <v>13.901815367433111</v>
      </c>
      <c r="I10" s="52">
        <f>991 * 5 *(10.3/47.3)</f>
        <v>1078.9957716701904</v>
      </c>
      <c r="J10" s="52">
        <f t="shared" si="3"/>
        <v>13.901815367433111</v>
      </c>
      <c r="K10" s="45" t="s">
        <v>115</v>
      </c>
    </row>
    <row r="11" spans="1:11" x14ac:dyDescent="0.35">
      <c r="A11" s="45" t="s">
        <v>9</v>
      </c>
      <c r="B11" s="45" t="s">
        <v>108</v>
      </c>
      <c r="C11" s="45"/>
      <c r="D11" s="45">
        <v>0.02</v>
      </c>
      <c r="E11" s="46">
        <f t="shared" si="0"/>
        <v>52.000000000000007</v>
      </c>
      <c r="F11" s="46">
        <f t="shared" si="1"/>
        <v>100</v>
      </c>
      <c r="G11" s="53">
        <f>326*2.6*(2.8/15.6)</f>
        <v>152.13333333333333</v>
      </c>
      <c r="H11" s="52">
        <f t="shared" si="2"/>
        <v>34.180543382997378</v>
      </c>
      <c r="I11" s="53">
        <f>326*5*(2.8/15.6)</f>
        <v>292.56410256410254</v>
      </c>
      <c r="J11" s="52">
        <f t="shared" si="3"/>
        <v>34.180543382997371</v>
      </c>
      <c r="K11" s="45" t="s">
        <v>115</v>
      </c>
    </row>
    <row r="12" spans="1:11" x14ac:dyDescent="0.35">
      <c r="A12" s="43" t="s">
        <v>72</v>
      </c>
      <c r="B12" s="45"/>
      <c r="C12" s="45"/>
      <c r="D12" s="45"/>
      <c r="E12" s="44">
        <f>SUM(E5:E11)</f>
        <v>520.00000000000011</v>
      </c>
      <c r="F12" s="44">
        <f t="shared" ref="F12:I12" si="4">SUM(F5:F11)</f>
        <v>1000</v>
      </c>
      <c r="G12" s="54">
        <f t="shared" si="4"/>
        <v>2728.7333333333331</v>
      </c>
      <c r="H12" s="55">
        <f t="shared" si="2"/>
        <v>19.056460873176817</v>
      </c>
      <c r="I12" s="54">
        <f t="shared" si="4"/>
        <v>5247.5641025641025</v>
      </c>
      <c r="J12" s="55">
        <f t="shared" si="3"/>
        <v>19.05646087317681</v>
      </c>
      <c r="K12" s="45" t="s">
        <v>115</v>
      </c>
    </row>
    <row r="13" spans="1:11" x14ac:dyDescent="0.35">
      <c r="A13" s="45"/>
      <c r="B13" s="45"/>
      <c r="C13" s="45"/>
      <c r="D13" s="45"/>
      <c r="E13" s="46"/>
      <c r="F13" s="46"/>
      <c r="G13" s="46"/>
      <c r="H13" s="46"/>
      <c r="I13" s="45"/>
      <c r="J13" s="45"/>
      <c r="K13" s="45"/>
    </row>
    <row r="14" spans="1:11" x14ac:dyDescent="0.35">
      <c r="A14" s="1" t="s">
        <v>74</v>
      </c>
      <c r="B14" s="47"/>
      <c r="C14" s="47"/>
      <c r="D14" s="47"/>
      <c r="E14" s="47"/>
      <c r="F14" s="47"/>
      <c r="G14" s="47"/>
      <c r="H14" s="47"/>
      <c r="I14" s="47"/>
      <c r="J14" s="48"/>
      <c r="K14" s="47"/>
    </row>
    <row r="15" spans="1:11" x14ac:dyDescent="0.35">
      <c r="A15" s="23" t="s">
        <v>2</v>
      </c>
      <c r="B15" s="23" t="s">
        <v>3</v>
      </c>
      <c r="C15" s="23" t="s">
        <v>4</v>
      </c>
      <c r="D15" s="23" t="s">
        <v>14</v>
      </c>
      <c r="E15" s="23"/>
      <c r="F15" s="23"/>
      <c r="G15" s="23"/>
      <c r="H15" s="23"/>
      <c r="I15" s="23" t="s">
        <v>111</v>
      </c>
      <c r="J15" s="23" t="s">
        <v>55</v>
      </c>
      <c r="K15" s="23" t="s">
        <v>57</v>
      </c>
    </row>
    <row r="16" spans="1:11" ht="29" x14ac:dyDescent="0.35">
      <c r="A16" t="s">
        <v>112</v>
      </c>
      <c r="B16" s="10" t="s">
        <v>113</v>
      </c>
      <c r="D16">
        <v>0</v>
      </c>
      <c r="I16" s="50">
        <f xml:space="preserve"> (6.9/15.6)*326*200</f>
        <v>28838.461538461543</v>
      </c>
      <c r="J16" s="7">
        <f>100*E16/I16</f>
        <v>0</v>
      </c>
      <c r="K16" t="s">
        <v>114</v>
      </c>
    </row>
  </sheetData>
  <mergeCells count="1">
    <mergeCell ref="B6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A560-EEF6-4262-A7E4-525A27E5DCB4}">
  <dimension ref="A1:M15"/>
  <sheetViews>
    <sheetView tabSelected="1" workbookViewId="0">
      <selection activeCell="F21" sqref="F21"/>
    </sheetView>
  </sheetViews>
  <sheetFormatPr defaultRowHeight="14.5" x14ac:dyDescent="0.35"/>
  <cols>
    <col min="1" max="1" width="27.81640625" bestFit="1" customWidth="1"/>
    <col min="2" max="2" width="15.81640625" bestFit="1" customWidth="1"/>
    <col min="3" max="3" width="21.08984375" bestFit="1" customWidth="1"/>
    <col min="4" max="4" width="7.90625" bestFit="1" customWidth="1"/>
    <col min="5" max="5" width="27.08984375" bestFit="1" customWidth="1"/>
    <col min="6" max="8" width="27.08984375" customWidth="1"/>
    <col min="9" max="9" width="34.1796875" bestFit="1" customWidth="1"/>
    <col min="10" max="10" width="19" customWidth="1"/>
    <col min="11" max="11" width="74.26953125" bestFit="1" customWidth="1"/>
  </cols>
  <sheetData>
    <row r="1" spans="1:13" x14ac:dyDescent="0.35">
      <c r="A1" s="1" t="s">
        <v>102</v>
      </c>
    </row>
    <row r="2" spans="1:13" x14ac:dyDescent="0.35">
      <c r="A2" s="1"/>
    </row>
    <row r="3" spans="1:13" x14ac:dyDescent="0.35">
      <c r="A3" s="1" t="s">
        <v>73</v>
      </c>
    </row>
    <row r="4" spans="1:13" x14ac:dyDescent="0.35">
      <c r="A4" s="23" t="s">
        <v>2</v>
      </c>
      <c r="B4" s="23" t="s">
        <v>3</v>
      </c>
      <c r="C4" s="23" t="s">
        <v>83</v>
      </c>
      <c r="D4" s="23" t="s">
        <v>106</v>
      </c>
      <c r="E4" s="24" t="s">
        <v>110</v>
      </c>
      <c r="F4" s="24" t="s">
        <v>110</v>
      </c>
      <c r="G4" s="23" t="s">
        <v>104</v>
      </c>
      <c r="H4" s="23" t="s">
        <v>109</v>
      </c>
      <c r="I4" s="23" t="s">
        <v>105</v>
      </c>
      <c r="J4" s="23" t="s">
        <v>55</v>
      </c>
      <c r="K4" s="23" t="s">
        <v>57</v>
      </c>
    </row>
    <row r="5" spans="1:13" ht="43.5" x14ac:dyDescent="0.35">
      <c r="A5" s="45" t="s">
        <v>0</v>
      </c>
      <c r="B5" s="45" t="s">
        <v>103</v>
      </c>
      <c r="C5" s="49" t="s">
        <v>116</v>
      </c>
      <c r="D5" s="45">
        <v>0.02</v>
      </c>
      <c r="E5" s="46">
        <f>D5*2.6*1000 *3</f>
        <v>156.00000000000003</v>
      </c>
      <c r="F5" s="46">
        <f>D5*5*1000*3</f>
        <v>300</v>
      </c>
      <c r="G5" s="52">
        <f>991 * 2.6 *(13.7/47.3)</f>
        <v>746.2879492600423</v>
      </c>
      <c r="H5" s="52">
        <f>100*E5/G5</f>
        <v>20.90345960358556</v>
      </c>
      <c r="I5" s="52">
        <f>991 * 5*(13.7/47.3)</f>
        <v>1435.1691331923889</v>
      </c>
      <c r="J5" s="52">
        <f>100*F5/I5</f>
        <v>20.903459603585556</v>
      </c>
      <c r="K5" s="45" t="s">
        <v>117</v>
      </c>
    </row>
    <row r="6" spans="1:13" ht="116" x14ac:dyDescent="0.35">
      <c r="A6" s="45"/>
      <c r="B6" s="45" t="s">
        <v>118</v>
      </c>
      <c r="C6" s="51" t="s">
        <v>119</v>
      </c>
      <c r="D6" s="45">
        <v>0.05</v>
      </c>
      <c r="E6" s="46">
        <f t="shared" ref="E6:E10" si="0">D6*2.6*1000</f>
        <v>130</v>
      </c>
      <c r="F6" s="46">
        <f t="shared" ref="F6:F10" si="1">D6*5*1000</f>
        <v>250</v>
      </c>
      <c r="G6" s="52">
        <f>991 * 2.6 *(23.3/47.3)</f>
        <v>1269.2342494714587</v>
      </c>
      <c r="H6" s="52">
        <f t="shared" ref="H6:H11" si="2">100*E6/G6</f>
        <v>10.242396157693923</v>
      </c>
      <c r="I6" s="52">
        <f>991 * 5 *(23.3/47.3)</f>
        <v>2440.8350951374209</v>
      </c>
      <c r="J6" s="52">
        <f t="shared" ref="J6:J11" si="3">100*F6/I6</f>
        <v>10.242396157693923</v>
      </c>
      <c r="K6" s="45" t="s">
        <v>115</v>
      </c>
      <c r="L6" s="45" t="s">
        <v>120</v>
      </c>
      <c r="M6">
        <v>0.25</v>
      </c>
    </row>
    <row r="7" spans="1:13" x14ac:dyDescent="0.35">
      <c r="A7" s="45"/>
      <c r="B7" s="45"/>
      <c r="C7" s="51" t="s">
        <v>10</v>
      </c>
      <c r="D7" s="45">
        <v>0.02</v>
      </c>
      <c r="E7" s="46">
        <f t="shared" si="0"/>
        <v>52.000000000000007</v>
      </c>
      <c r="F7" s="46">
        <f t="shared" si="1"/>
        <v>100</v>
      </c>
      <c r="G7" s="52">
        <f>G6*M6</f>
        <v>317.30856236786468</v>
      </c>
      <c r="H7" s="52">
        <f t="shared" si="2"/>
        <v>16.38783385231028</v>
      </c>
      <c r="I7" s="52">
        <f>I6*M6</f>
        <v>610.20877378435523</v>
      </c>
      <c r="J7" s="52">
        <f t="shared" si="3"/>
        <v>16.387833852310276</v>
      </c>
      <c r="K7" s="45"/>
      <c r="L7" t="s">
        <v>121</v>
      </c>
      <c r="M7">
        <v>0.105</v>
      </c>
    </row>
    <row r="8" spans="1:13" x14ac:dyDescent="0.35">
      <c r="A8" s="45"/>
      <c r="B8" s="45"/>
      <c r="C8" s="51" t="s">
        <v>11</v>
      </c>
      <c r="D8" s="45">
        <v>0.02</v>
      </c>
      <c r="E8" s="46">
        <f t="shared" si="0"/>
        <v>52.000000000000007</v>
      </c>
      <c r="F8" s="46">
        <f t="shared" si="1"/>
        <v>100</v>
      </c>
      <c r="G8" s="52">
        <f>G6*M7</f>
        <v>133.26959619450315</v>
      </c>
      <c r="H8" s="52">
        <f t="shared" si="2"/>
        <v>39.018652029310196</v>
      </c>
      <c r="I8" s="52">
        <f>I6*M7</f>
        <v>256.28768498942918</v>
      </c>
      <c r="J8" s="52">
        <f t="shared" si="3"/>
        <v>39.018652029310182</v>
      </c>
      <c r="K8" s="45"/>
    </row>
    <row r="9" spans="1:13" x14ac:dyDescent="0.35">
      <c r="A9" s="45"/>
      <c r="B9" s="45" t="s">
        <v>8</v>
      </c>
      <c r="C9" s="45"/>
      <c r="D9" s="45">
        <v>0.03</v>
      </c>
      <c r="E9" s="46">
        <f t="shared" si="0"/>
        <v>78</v>
      </c>
      <c r="F9" s="46">
        <f t="shared" si="1"/>
        <v>150</v>
      </c>
      <c r="G9" s="52">
        <f>991 * 2.6 *(10.3/47.3)</f>
        <v>561.077801268499</v>
      </c>
      <c r="H9" s="52">
        <f t="shared" si="2"/>
        <v>13.901815367433111</v>
      </c>
      <c r="I9" s="52">
        <f>991 * 5 *(10.3/47.3)</f>
        <v>1078.9957716701904</v>
      </c>
      <c r="J9" s="52">
        <f t="shared" si="3"/>
        <v>13.901815367433111</v>
      </c>
      <c r="K9" s="45" t="s">
        <v>115</v>
      </c>
    </row>
    <row r="10" spans="1:13" x14ac:dyDescent="0.35">
      <c r="A10" s="45" t="s">
        <v>9</v>
      </c>
      <c r="B10" s="45" t="s">
        <v>108</v>
      </c>
      <c r="C10" s="45"/>
      <c r="D10" s="45">
        <v>0.02</v>
      </c>
      <c r="E10" s="46">
        <f t="shared" si="0"/>
        <v>52.000000000000007</v>
      </c>
      <c r="F10" s="46">
        <f t="shared" si="1"/>
        <v>100</v>
      </c>
      <c r="G10" s="53">
        <f>326*2.6*(2.8/15.6)</f>
        <v>152.13333333333333</v>
      </c>
      <c r="H10" s="52">
        <f t="shared" si="2"/>
        <v>34.180543382997378</v>
      </c>
      <c r="I10" s="53">
        <f>326*5*(2.8/15.6)</f>
        <v>292.56410256410254</v>
      </c>
      <c r="J10" s="52">
        <f t="shared" si="3"/>
        <v>34.180543382997371</v>
      </c>
      <c r="K10" s="45" t="s">
        <v>115</v>
      </c>
    </row>
    <row r="11" spans="1:13" x14ac:dyDescent="0.35">
      <c r="A11" s="43" t="s">
        <v>72</v>
      </c>
      <c r="B11" s="45"/>
      <c r="C11" s="45"/>
      <c r="D11" s="45"/>
      <c r="E11" s="44">
        <f>SUM(E5:E10)</f>
        <v>520</v>
      </c>
      <c r="F11" s="44">
        <f>SUM(F5:F10)</f>
        <v>1000</v>
      </c>
      <c r="G11" s="54">
        <f>SUM(G5:G10) - G7 - G8</f>
        <v>2728.7333333333331</v>
      </c>
      <c r="H11" s="55">
        <f t="shared" si="2"/>
        <v>19.05646087317681</v>
      </c>
      <c r="I11" s="54">
        <f>SUM(I5:I10) - I7 - I8</f>
        <v>5247.5641025641025</v>
      </c>
      <c r="J11" s="55">
        <f t="shared" si="3"/>
        <v>19.05646087317681</v>
      </c>
      <c r="K11" s="45" t="s">
        <v>115</v>
      </c>
    </row>
    <row r="12" spans="1:13" x14ac:dyDescent="0.35">
      <c r="A12" s="45"/>
      <c r="B12" s="45"/>
      <c r="C12" s="45"/>
      <c r="D12" s="45"/>
      <c r="E12" s="46"/>
      <c r="F12" s="46"/>
      <c r="G12" s="46"/>
      <c r="H12" s="46"/>
      <c r="I12" s="45"/>
      <c r="J12" s="45"/>
      <c r="K12" s="45"/>
    </row>
    <row r="13" spans="1:13" x14ac:dyDescent="0.35">
      <c r="A13" s="1" t="s">
        <v>74</v>
      </c>
      <c r="B13" s="47"/>
      <c r="C13" s="47"/>
      <c r="D13" s="47"/>
      <c r="E13" s="47"/>
      <c r="F13" s="47"/>
      <c r="G13" s="47"/>
      <c r="H13" s="47"/>
      <c r="I13" s="47"/>
      <c r="J13" s="48"/>
      <c r="K13" s="47"/>
    </row>
    <row r="14" spans="1:13" x14ac:dyDescent="0.35">
      <c r="A14" s="23" t="s">
        <v>2</v>
      </c>
      <c r="B14" s="23" t="s">
        <v>3</v>
      </c>
      <c r="C14" s="23" t="s">
        <v>4</v>
      </c>
      <c r="D14" s="23" t="s">
        <v>14</v>
      </c>
      <c r="E14" s="23"/>
      <c r="F14" s="23"/>
      <c r="G14" s="23"/>
      <c r="H14" s="23"/>
      <c r="I14" s="23" t="s">
        <v>111</v>
      </c>
      <c r="J14" s="23" t="s">
        <v>55</v>
      </c>
      <c r="K14" s="23" t="s">
        <v>57</v>
      </c>
    </row>
    <row r="15" spans="1:13" ht="29" x14ac:dyDescent="0.35">
      <c r="A15" t="s">
        <v>112</v>
      </c>
      <c r="B15" s="10" t="s">
        <v>113</v>
      </c>
      <c r="D15">
        <v>0</v>
      </c>
      <c r="I15" s="50">
        <f xml:space="preserve"> (6.9/15.6)*326*200</f>
        <v>28838.461538461543</v>
      </c>
      <c r="J15" s="7">
        <f>100*E15/I15</f>
        <v>0</v>
      </c>
      <c r="K15" t="s">
        <v>114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7BEA-7FEB-4223-B8C3-8DAAC85B58AB}">
  <dimension ref="A1:I20"/>
  <sheetViews>
    <sheetView workbookViewId="0">
      <selection activeCell="F8" sqref="F8"/>
    </sheetView>
  </sheetViews>
  <sheetFormatPr defaultRowHeight="14.5" x14ac:dyDescent="0.35"/>
  <cols>
    <col min="1" max="1" width="27.81640625" bestFit="1" customWidth="1"/>
    <col min="2" max="2" width="15.54296875" bestFit="1" customWidth="1"/>
    <col min="3" max="3" width="21.08984375" bestFit="1" customWidth="1"/>
    <col min="5" max="5" width="27.08984375" bestFit="1" customWidth="1"/>
    <col min="6" max="6" width="34.1796875" bestFit="1" customWidth="1"/>
    <col min="7" max="7" width="22.08984375" customWidth="1"/>
    <col min="8" max="8" width="74.26953125" bestFit="1" customWidth="1"/>
    <col min="9" max="9" width="18" bestFit="1" customWidth="1"/>
    <col min="10" max="10" width="16.90625" bestFit="1" customWidth="1"/>
    <col min="11" max="11" width="12.90625" bestFit="1" customWidth="1"/>
    <col min="12" max="12" width="16.90625" bestFit="1" customWidth="1"/>
  </cols>
  <sheetData>
    <row r="1" spans="1:9" x14ac:dyDescent="0.35">
      <c r="A1" s="1" t="s">
        <v>15</v>
      </c>
    </row>
    <row r="2" spans="1:9" x14ac:dyDescent="0.35">
      <c r="A2" s="1"/>
    </row>
    <row r="3" spans="1:9" x14ac:dyDescent="0.35">
      <c r="A3" s="1" t="s">
        <v>73</v>
      </c>
    </row>
    <row r="4" spans="1:9" ht="15" thickBot="1" x14ac:dyDescent="0.4">
      <c r="A4" s="23" t="s">
        <v>2</v>
      </c>
      <c r="B4" s="23" t="s">
        <v>3</v>
      </c>
      <c r="C4" s="23" t="s">
        <v>83</v>
      </c>
      <c r="D4" s="23" t="s">
        <v>14</v>
      </c>
      <c r="E4" s="24" t="s">
        <v>19</v>
      </c>
      <c r="F4" s="23" t="s">
        <v>54</v>
      </c>
      <c r="G4" s="23" t="s">
        <v>55</v>
      </c>
      <c r="H4" s="23" t="s">
        <v>57</v>
      </c>
    </row>
    <row r="5" spans="1:9" ht="29" x14ac:dyDescent="0.35">
      <c r="A5" s="60" t="s">
        <v>0</v>
      </c>
      <c r="B5" s="25" t="s">
        <v>5</v>
      </c>
      <c r="C5" s="26" t="s">
        <v>78</v>
      </c>
      <c r="D5" s="21">
        <v>0</v>
      </c>
      <c r="E5" s="21">
        <f>D5*15*1000</f>
        <v>0</v>
      </c>
      <c r="F5" s="21">
        <f>'15MW_data'!J7</f>
        <v>1586.2044605207809</v>
      </c>
      <c r="G5" s="27">
        <f>100*E5/F5</f>
        <v>0</v>
      </c>
      <c r="H5" s="28" t="s">
        <v>58</v>
      </c>
    </row>
    <row r="6" spans="1:9" ht="29" x14ac:dyDescent="0.35">
      <c r="A6" s="61"/>
      <c r="B6" s="25" t="s">
        <v>87</v>
      </c>
      <c r="C6" s="26" t="s">
        <v>79</v>
      </c>
      <c r="D6" s="21">
        <v>0.02</v>
      </c>
      <c r="E6" s="21">
        <f>D6*15*1000*3</f>
        <v>900</v>
      </c>
      <c r="F6" s="21">
        <f>'15MW_data'!J3</f>
        <v>2633.6527203498858</v>
      </c>
      <c r="G6" s="27">
        <f t="shared" ref="G6:G19" si="0">100*E6/F6</f>
        <v>34.173070467712741</v>
      </c>
      <c r="H6" s="28" t="s">
        <v>75</v>
      </c>
    </row>
    <row r="7" spans="1:9" x14ac:dyDescent="0.35">
      <c r="A7" s="61"/>
      <c r="B7" s="57" t="s">
        <v>7</v>
      </c>
      <c r="C7" s="29" t="s">
        <v>10</v>
      </c>
      <c r="D7" s="29">
        <v>0.02</v>
      </c>
      <c r="E7" s="29">
        <f t="shared" ref="E7:E13" si="1">D7*15*1000</f>
        <v>300</v>
      </c>
      <c r="F7" s="29" t="s">
        <v>86</v>
      </c>
      <c r="G7" s="30" t="s">
        <v>86</v>
      </c>
      <c r="H7" s="31" t="s">
        <v>77</v>
      </c>
    </row>
    <row r="8" spans="1:9" x14ac:dyDescent="0.35">
      <c r="A8" s="61"/>
      <c r="B8" s="58"/>
      <c r="C8" s="11" t="s">
        <v>11</v>
      </c>
      <c r="D8" s="11">
        <v>0.02</v>
      </c>
      <c r="E8" s="11">
        <f t="shared" si="1"/>
        <v>300</v>
      </c>
      <c r="F8" s="11">
        <f>'15MW_data'!J13</f>
        <v>6675.9870401137423</v>
      </c>
      <c r="G8" s="12">
        <f t="shared" si="0"/>
        <v>4.4937175311665785</v>
      </c>
      <c r="H8" s="32" t="s">
        <v>58</v>
      </c>
      <c r="I8">
        <f>F8/SUM(F8:F10)</f>
        <v>0.6311758475657453</v>
      </c>
    </row>
    <row r="9" spans="1:9" ht="72.5" x14ac:dyDescent="0.35">
      <c r="A9" s="61"/>
      <c r="B9" s="59"/>
      <c r="C9" s="33" t="s">
        <v>80</v>
      </c>
      <c r="D9" s="22">
        <v>0.02</v>
      </c>
      <c r="E9" s="22">
        <f t="shared" si="1"/>
        <v>300</v>
      </c>
      <c r="F9" s="22">
        <f>'15MW_data'!J5</f>
        <v>3747.7659227067506</v>
      </c>
      <c r="G9" s="34">
        <f t="shared" si="0"/>
        <v>8.0047688726336155</v>
      </c>
      <c r="H9" s="35" t="s">
        <v>58</v>
      </c>
      <c r="I9">
        <f>F9/SUM(F8:F10)</f>
        <v>0.35432952738358653</v>
      </c>
    </row>
    <row r="10" spans="1:9" x14ac:dyDescent="0.35">
      <c r="A10" s="61"/>
      <c r="B10" s="25" t="s">
        <v>13</v>
      </c>
      <c r="C10" s="21"/>
      <c r="D10" s="21">
        <v>0.05</v>
      </c>
      <c r="E10" s="21">
        <f t="shared" si="1"/>
        <v>750</v>
      </c>
      <c r="F10" s="21">
        <f>'15MW_data'!J9</f>
        <v>153.31057004599512</v>
      </c>
      <c r="G10" s="27">
        <f t="shared" si="0"/>
        <v>489.20306002057816</v>
      </c>
      <c r="H10" s="28" t="s">
        <v>88</v>
      </c>
      <c r="I10">
        <f>F10/SUM(F8:F10)</f>
        <v>1.4494625050668146E-2</v>
      </c>
    </row>
    <row r="11" spans="1:9" ht="44" thickBot="1" x14ac:dyDescent="0.4">
      <c r="A11" s="62"/>
      <c r="B11" s="25" t="s">
        <v>8</v>
      </c>
      <c r="C11" s="26" t="s">
        <v>81</v>
      </c>
      <c r="D11" s="21">
        <v>0.03</v>
      </c>
      <c r="E11" s="21">
        <f t="shared" si="1"/>
        <v>449.99999999999994</v>
      </c>
      <c r="F11" s="21">
        <f>'15MW_data'!J12</f>
        <v>3150.9076405290948</v>
      </c>
      <c r="G11" s="27">
        <f t="shared" si="0"/>
        <v>14.281599187859303</v>
      </c>
      <c r="H11" s="28" t="s">
        <v>58</v>
      </c>
    </row>
    <row r="12" spans="1:9" ht="29.5" thickBot="1" x14ac:dyDescent="0.4">
      <c r="A12" s="17" t="s">
        <v>85</v>
      </c>
      <c r="B12" s="13" t="s">
        <v>84</v>
      </c>
      <c r="C12" s="14" t="s">
        <v>82</v>
      </c>
      <c r="D12" s="13">
        <v>0.02</v>
      </c>
      <c r="E12" s="13">
        <f t="shared" si="1"/>
        <v>300</v>
      </c>
      <c r="F12" s="13">
        <f>'15MW_data'!J6</f>
        <v>2870.8807735945338</v>
      </c>
      <c r="G12" s="15">
        <f t="shared" si="0"/>
        <v>10.449754749807322</v>
      </c>
      <c r="H12" s="16" t="s">
        <v>58</v>
      </c>
    </row>
    <row r="13" spans="1:9" ht="15" thickBot="1" x14ac:dyDescent="0.4">
      <c r="A13" s="17" t="s">
        <v>18</v>
      </c>
      <c r="B13" s="18"/>
      <c r="C13" s="18"/>
      <c r="D13" s="18">
        <v>0</v>
      </c>
      <c r="E13" s="18">
        <f t="shared" si="1"/>
        <v>0</v>
      </c>
      <c r="F13" s="18">
        <f>'15MW_data'!J6* '15MW_data'!H36</f>
        <v>1674.9892280252525</v>
      </c>
      <c r="G13" s="19">
        <f t="shared" si="0"/>
        <v>0</v>
      </c>
      <c r="H13" s="20" t="s">
        <v>59</v>
      </c>
    </row>
    <row r="14" spans="1:9" x14ac:dyDescent="0.35">
      <c r="A14" s="1" t="s">
        <v>72</v>
      </c>
      <c r="B14" s="1"/>
      <c r="C14" s="1"/>
      <c r="D14" s="1"/>
      <c r="E14" s="1">
        <f>SUM(E5:E13)</f>
        <v>3300</v>
      </c>
      <c r="F14" s="1">
        <f>SUM(F5:F13)</f>
        <v>22493.698355886037</v>
      </c>
      <c r="G14" s="9">
        <f>100*E14/F14</f>
        <v>14.670775555841278</v>
      </c>
    </row>
    <row r="15" spans="1:9" x14ac:dyDescent="0.35">
      <c r="A15" s="1"/>
      <c r="B15" s="1"/>
      <c r="C15" s="1"/>
      <c r="D15" s="1"/>
      <c r="E15" s="1"/>
      <c r="F15" s="1"/>
      <c r="G15" s="7"/>
    </row>
    <row r="16" spans="1:9" x14ac:dyDescent="0.35">
      <c r="A16" s="1" t="s">
        <v>74</v>
      </c>
      <c r="G16" s="7"/>
    </row>
    <row r="17" spans="1:8" x14ac:dyDescent="0.35">
      <c r="A17" s="23" t="s">
        <v>2</v>
      </c>
      <c r="B17" s="23" t="s">
        <v>3</v>
      </c>
      <c r="C17" s="23" t="s">
        <v>4</v>
      </c>
      <c r="D17" s="23" t="s">
        <v>14</v>
      </c>
      <c r="E17" s="23" t="s">
        <v>19</v>
      </c>
      <c r="F17" s="23" t="s">
        <v>76</v>
      </c>
      <c r="G17" s="23" t="s">
        <v>55</v>
      </c>
      <c r="H17" s="23" t="s">
        <v>57</v>
      </c>
    </row>
    <row r="18" spans="1:8" ht="29" x14ac:dyDescent="0.35">
      <c r="A18" t="s">
        <v>16</v>
      </c>
      <c r="B18" s="10" t="s">
        <v>89</v>
      </c>
      <c r="D18">
        <v>0</v>
      </c>
      <c r="E18">
        <f t="shared" ref="E18:E19" si="2">D18*15*1000</f>
        <v>0</v>
      </c>
      <c r="F18" s="41">
        <f>('15MW_data'!B21+'15MW_data'!B23)*1000</f>
        <v>227472.84345853337</v>
      </c>
      <c r="G18" s="7">
        <f t="shared" si="0"/>
        <v>0</v>
      </c>
      <c r="H18" t="s">
        <v>59</v>
      </c>
    </row>
    <row r="19" spans="1:8" ht="87" x14ac:dyDescent="0.35">
      <c r="A19" t="s">
        <v>17</v>
      </c>
      <c r="B19" s="10" t="s">
        <v>90</v>
      </c>
      <c r="D19">
        <v>0</v>
      </c>
      <c r="E19">
        <f t="shared" si="2"/>
        <v>0</v>
      </c>
      <c r="F19" s="41">
        <f>('15MW_data'!B22)*1000</f>
        <v>139022.375</v>
      </c>
      <c r="G19" s="7">
        <f t="shared" si="0"/>
        <v>0</v>
      </c>
      <c r="H19" t="s">
        <v>59</v>
      </c>
    </row>
    <row r="20" spans="1:8" s="1" customFormat="1" x14ac:dyDescent="0.35"/>
  </sheetData>
  <mergeCells count="2">
    <mergeCell ref="B7:B9"/>
    <mergeCell ref="A5:A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91771-DD5F-4756-AE84-002F70FE13AA}">
  <dimension ref="A1:H18"/>
  <sheetViews>
    <sheetView workbookViewId="0">
      <selection activeCell="C8" sqref="C8"/>
    </sheetView>
  </sheetViews>
  <sheetFormatPr defaultRowHeight="14.5" x14ac:dyDescent="0.35"/>
  <cols>
    <col min="1" max="1" width="27.81640625" bestFit="1" customWidth="1"/>
    <col min="2" max="2" width="15.54296875" bestFit="1" customWidth="1"/>
    <col min="3" max="3" width="21.08984375" bestFit="1" customWidth="1"/>
    <col min="5" max="5" width="27.08984375" bestFit="1" customWidth="1"/>
    <col min="6" max="6" width="34.1796875" bestFit="1" customWidth="1"/>
    <col min="7" max="7" width="22.08984375" customWidth="1"/>
    <col min="8" max="8" width="74.26953125" bestFit="1" customWidth="1"/>
    <col min="9" max="9" width="18" bestFit="1" customWidth="1"/>
    <col min="10" max="10" width="16.90625" bestFit="1" customWidth="1"/>
    <col min="11" max="11" width="12.90625" bestFit="1" customWidth="1"/>
    <col min="12" max="12" width="16.90625" bestFit="1" customWidth="1"/>
  </cols>
  <sheetData>
    <row r="1" spans="1:8" x14ac:dyDescent="0.35">
      <c r="A1" s="1" t="s">
        <v>15</v>
      </c>
    </row>
    <row r="2" spans="1:8" x14ac:dyDescent="0.35">
      <c r="A2" s="1"/>
    </row>
    <row r="3" spans="1:8" x14ac:dyDescent="0.35">
      <c r="A3" s="1" t="s">
        <v>73</v>
      </c>
    </row>
    <row r="4" spans="1:8" ht="15" thickBot="1" x14ac:dyDescent="0.4">
      <c r="A4" s="23" t="s">
        <v>2</v>
      </c>
      <c r="B4" s="23" t="s">
        <v>3</v>
      </c>
      <c r="C4" s="23" t="s">
        <v>83</v>
      </c>
      <c r="D4" s="23" t="s">
        <v>14</v>
      </c>
      <c r="E4" s="24" t="s">
        <v>19</v>
      </c>
      <c r="F4" s="23" t="s">
        <v>54</v>
      </c>
      <c r="G4" s="23" t="s">
        <v>55</v>
      </c>
      <c r="H4" s="23" t="s">
        <v>57</v>
      </c>
    </row>
    <row r="5" spans="1:8" ht="29" x14ac:dyDescent="0.35">
      <c r="A5" s="60" t="s">
        <v>0</v>
      </c>
      <c r="B5" s="25" t="s">
        <v>5</v>
      </c>
      <c r="C5" s="26" t="s">
        <v>78</v>
      </c>
      <c r="D5" s="21">
        <v>0</v>
      </c>
      <c r="E5" s="21">
        <f>D5*15*1000</f>
        <v>0</v>
      </c>
      <c r="F5" s="21">
        <f>'15MW_data'!J7</f>
        <v>1586.2044605207809</v>
      </c>
      <c r="G5" s="27">
        <f>100*E5/F5</f>
        <v>0</v>
      </c>
      <c r="H5" s="28" t="s">
        <v>58</v>
      </c>
    </row>
    <row r="6" spans="1:8" ht="29" x14ac:dyDescent="0.35">
      <c r="A6" s="61"/>
      <c r="B6" s="25" t="s">
        <v>87</v>
      </c>
      <c r="C6" s="26" t="s">
        <v>79</v>
      </c>
      <c r="D6" s="21">
        <v>0.02</v>
      </c>
      <c r="E6" s="21">
        <f>D6*15*1000*3</f>
        <v>900</v>
      </c>
      <c r="F6" s="21">
        <f>'15MW_data'!J3</f>
        <v>2633.6527203498858</v>
      </c>
      <c r="G6" s="27">
        <f t="shared" ref="G6:G17" si="0">100*E6/F6</f>
        <v>34.173070467712741</v>
      </c>
      <c r="H6" s="28" t="s">
        <v>75</v>
      </c>
    </row>
    <row r="7" spans="1:8" ht="101.5" x14ac:dyDescent="0.35">
      <c r="A7" s="61"/>
      <c r="B7" s="42" t="s">
        <v>118</v>
      </c>
      <c r="C7" s="33" t="s">
        <v>122</v>
      </c>
      <c r="D7" s="22">
        <v>0.05</v>
      </c>
      <c r="E7" s="22">
        <f t="shared" ref="E7:E11" si="1">D7*15*1000</f>
        <v>750</v>
      </c>
      <c r="F7" s="22">
        <f>'15MW_data'!J5+'15MW_data'!J9+'15MW_data'!J13</f>
        <v>10577.063532866488</v>
      </c>
      <c r="G7" s="34">
        <f t="shared" si="0"/>
        <v>7.0908149286377844</v>
      </c>
      <c r="H7" s="35" t="s">
        <v>58</v>
      </c>
    </row>
    <row r="8" spans="1:8" x14ac:dyDescent="0.35">
      <c r="A8" s="61"/>
      <c r="B8" s="25"/>
      <c r="C8" s="21" t="s">
        <v>11</v>
      </c>
      <c r="D8" s="21">
        <v>0.02</v>
      </c>
      <c r="E8" s="21">
        <f t="shared" si="1"/>
        <v>300</v>
      </c>
      <c r="F8" s="5">
        <v>6675.9870401137423</v>
      </c>
      <c r="G8" s="27">
        <f t="shared" si="0"/>
        <v>4.4937175311665785</v>
      </c>
      <c r="H8" s="28" t="s">
        <v>88</v>
      </c>
    </row>
    <row r="9" spans="1:8" ht="44" thickBot="1" x14ac:dyDescent="0.4">
      <c r="A9" s="62"/>
      <c r="B9" s="25" t="s">
        <v>8</v>
      </c>
      <c r="C9" s="26" t="s">
        <v>81</v>
      </c>
      <c r="D9" s="21">
        <v>0.03</v>
      </c>
      <c r="E9" s="21">
        <f t="shared" si="1"/>
        <v>449.99999999999994</v>
      </c>
      <c r="F9" s="21">
        <f>'15MW_data'!J12</f>
        <v>3150.9076405290948</v>
      </c>
      <c r="G9" s="27">
        <f t="shared" si="0"/>
        <v>14.281599187859303</v>
      </c>
      <c r="H9" s="28" t="s">
        <v>58</v>
      </c>
    </row>
    <row r="10" spans="1:8" ht="29.5" thickBot="1" x14ac:dyDescent="0.4">
      <c r="A10" s="17" t="s">
        <v>85</v>
      </c>
      <c r="B10" s="13" t="s">
        <v>84</v>
      </c>
      <c r="C10" s="14" t="s">
        <v>82</v>
      </c>
      <c r="D10" s="13">
        <v>0.02</v>
      </c>
      <c r="E10" s="13">
        <f t="shared" si="1"/>
        <v>300</v>
      </c>
      <c r="F10" s="13">
        <f>'15MW_data'!J6</f>
        <v>2870.8807735945338</v>
      </c>
      <c r="G10" s="15">
        <f t="shared" si="0"/>
        <v>10.449754749807322</v>
      </c>
      <c r="H10" s="16" t="s">
        <v>58</v>
      </c>
    </row>
    <row r="11" spans="1:8" ht="15" thickBot="1" x14ac:dyDescent="0.4">
      <c r="A11" s="17" t="s">
        <v>18</v>
      </c>
      <c r="B11" s="18"/>
      <c r="C11" s="18"/>
      <c r="D11" s="18">
        <v>0</v>
      </c>
      <c r="E11" s="18">
        <f t="shared" si="1"/>
        <v>0</v>
      </c>
      <c r="F11" s="18">
        <f>'15MW_data'!J6* '15MW_data'!H36</f>
        <v>1674.9892280252525</v>
      </c>
      <c r="G11" s="19">
        <f t="shared" si="0"/>
        <v>0</v>
      </c>
      <c r="H11" s="20" t="s">
        <v>59</v>
      </c>
    </row>
    <row r="12" spans="1:8" x14ac:dyDescent="0.35">
      <c r="A12" s="1" t="s">
        <v>72</v>
      </c>
      <c r="B12" s="1"/>
      <c r="C12" s="1"/>
      <c r="D12" s="1"/>
      <c r="E12" s="1">
        <f>SUM(E5:E11)</f>
        <v>2700</v>
      </c>
      <c r="F12" s="1">
        <f>SUM(F5:F11) - F8</f>
        <v>22493.698355886037</v>
      </c>
      <c r="G12" s="9">
        <f>100*E12/F12</f>
        <v>12.003361818415589</v>
      </c>
    </row>
    <row r="13" spans="1:8" x14ac:dyDescent="0.35">
      <c r="A13" s="1"/>
      <c r="B13" s="1"/>
      <c r="C13" s="1"/>
      <c r="D13" s="1"/>
      <c r="E13" s="1"/>
      <c r="F13" s="1"/>
      <c r="G13" s="7"/>
    </row>
    <row r="14" spans="1:8" x14ac:dyDescent="0.35">
      <c r="A14" s="1" t="s">
        <v>74</v>
      </c>
      <c r="G14" s="7"/>
    </row>
    <row r="15" spans="1:8" x14ac:dyDescent="0.35">
      <c r="A15" s="23" t="s">
        <v>2</v>
      </c>
      <c r="B15" s="23" t="s">
        <v>3</v>
      </c>
      <c r="C15" s="23" t="s">
        <v>4</v>
      </c>
      <c r="D15" s="23" t="s">
        <v>14</v>
      </c>
      <c r="E15" s="23" t="s">
        <v>19</v>
      </c>
      <c r="F15" s="23" t="s">
        <v>76</v>
      </c>
      <c r="G15" s="23" t="s">
        <v>55</v>
      </c>
      <c r="H15" s="23" t="s">
        <v>57</v>
      </c>
    </row>
    <row r="16" spans="1:8" ht="29" x14ac:dyDescent="0.35">
      <c r="A16" t="s">
        <v>16</v>
      </c>
      <c r="B16" s="10" t="s">
        <v>89</v>
      </c>
      <c r="D16">
        <v>0</v>
      </c>
      <c r="E16">
        <f t="shared" ref="E16:E17" si="2">D16*15*1000</f>
        <v>0</v>
      </c>
      <c r="F16" s="41">
        <f>('15MW_data'!B21+'15MW_data'!B23)*1000</f>
        <v>227472.84345853337</v>
      </c>
      <c r="G16" s="7">
        <f t="shared" si="0"/>
        <v>0</v>
      </c>
      <c r="H16" t="s">
        <v>59</v>
      </c>
    </row>
    <row r="17" spans="1:8" ht="87" x14ac:dyDescent="0.35">
      <c r="A17" t="s">
        <v>17</v>
      </c>
      <c r="B17" s="10" t="s">
        <v>90</v>
      </c>
      <c r="D17">
        <v>0</v>
      </c>
      <c r="E17">
        <f t="shared" si="2"/>
        <v>0</v>
      </c>
      <c r="F17" s="41">
        <f>('15MW_data'!B22)*1000</f>
        <v>139022.375</v>
      </c>
      <c r="G17" s="7">
        <f t="shared" si="0"/>
        <v>0</v>
      </c>
      <c r="H17" t="s">
        <v>59</v>
      </c>
    </row>
    <row r="18" spans="1:8" s="1" customFormat="1" x14ac:dyDescent="0.35"/>
  </sheetData>
  <mergeCells count="1">
    <mergeCell ref="A5:A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D26B-40E4-4F15-B9CD-99DFA4AA9A8A}">
  <dimension ref="A1:H19"/>
  <sheetViews>
    <sheetView workbookViewId="0">
      <selection activeCell="H14" sqref="H14"/>
    </sheetView>
  </sheetViews>
  <sheetFormatPr defaultRowHeight="14.5" x14ac:dyDescent="0.35"/>
  <cols>
    <col min="1" max="1" width="27.81640625" bestFit="1" customWidth="1"/>
    <col min="2" max="2" width="15.81640625" bestFit="1" customWidth="1"/>
    <col min="3" max="3" width="21.08984375" bestFit="1" customWidth="1"/>
    <col min="4" max="4" width="7.90625" bestFit="1" customWidth="1"/>
    <col min="5" max="5" width="27.08984375" bestFit="1" customWidth="1"/>
    <col min="6" max="6" width="34.1796875" bestFit="1" customWidth="1"/>
    <col min="7" max="7" width="13.36328125" bestFit="1" customWidth="1"/>
    <col min="8" max="8" width="74.26953125" bestFit="1" customWidth="1"/>
  </cols>
  <sheetData>
    <row r="1" spans="1:8" x14ac:dyDescent="0.35">
      <c r="A1" s="1" t="s">
        <v>15</v>
      </c>
    </row>
    <row r="2" spans="1:8" x14ac:dyDescent="0.35">
      <c r="A2" s="1"/>
    </row>
    <row r="3" spans="1:8" x14ac:dyDescent="0.35">
      <c r="A3" s="1" t="s">
        <v>73</v>
      </c>
    </row>
    <row r="4" spans="1:8" ht="15" thickBot="1" x14ac:dyDescent="0.4">
      <c r="A4" s="23" t="s">
        <v>2</v>
      </c>
      <c r="B4" s="23" t="s">
        <v>3</v>
      </c>
      <c r="C4" s="23" t="s">
        <v>83</v>
      </c>
      <c r="D4" s="23" t="s">
        <v>14</v>
      </c>
      <c r="E4" s="24" t="s">
        <v>19</v>
      </c>
      <c r="F4" s="23" t="s">
        <v>54</v>
      </c>
      <c r="G4" s="23" t="s">
        <v>55</v>
      </c>
      <c r="H4" s="23" t="s">
        <v>57</v>
      </c>
    </row>
    <row r="5" spans="1:8" ht="29" x14ac:dyDescent="0.35">
      <c r="A5" s="60" t="s">
        <v>0</v>
      </c>
      <c r="B5" s="25" t="s">
        <v>5</v>
      </c>
      <c r="C5" s="26" t="s">
        <v>78</v>
      </c>
      <c r="D5" s="21">
        <v>0</v>
      </c>
      <c r="E5" s="21">
        <f>D5*15*1000</f>
        <v>0</v>
      </c>
      <c r="F5" s="21">
        <f>'15MW_data_floating'!K8</f>
        <v>1325.7668979756502</v>
      </c>
      <c r="G5" s="27">
        <f>100*E5/F5</f>
        <v>0</v>
      </c>
      <c r="H5" s="28" t="s">
        <v>58</v>
      </c>
    </row>
    <row r="6" spans="1:8" ht="29" x14ac:dyDescent="0.35">
      <c r="A6" s="61"/>
      <c r="B6" s="25" t="s">
        <v>87</v>
      </c>
      <c r="C6" s="26" t="s">
        <v>79</v>
      </c>
      <c r="D6" s="21">
        <v>0.02</v>
      </c>
      <c r="E6" s="21">
        <f>D6*15*1000*3</f>
        <v>900</v>
      </c>
      <c r="F6" s="21">
        <f>'15MW_data_floating'!K3</f>
        <v>2201.2355180599097</v>
      </c>
      <c r="G6" s="27">
        <f t="shared" ref="G6:G19" si="0">100*E6/F6</f>
        <v>40.886129294934683</v>
      </c>
      <c r="H6" s="28" t="s">
        <v>75</v>
      </c>
    </row>
    <row r="7" spans="1:8" x14ac:dyDescent="0.35">
      <c r="A7" s="61"/>
      <c r="B7" s="57" t="s">
        <v>7</v>
      </c>
      <c r="C7" s="29" t="s">
        <v>10</v>
      </c>
      <c r="D7" s="29">
        <v>0.02</v>
      </c>
      <c r="E7" s="29">
        <f t="shared" ref="E7:E13" si="1">D7*15*1000</f>
        <v>300</v>
      </c>
      <c r="F7" s="29" t="s">
        <v>86</v>
      </c>
      <c r="G7" s="30" t="s">
        <v>86</v>
      </c>
      <c r="H7" s="31" t="s">
        <v>77</v>
      </c>
    </row>
    <row r="8" spans="1:8" x14ac:dyDescent="0.35">
      <c r="A8" s="61"/>
      <c r="B8" s="58"/>
      <c r="C8" s="11" t="s">
        <v>11</v>
      </c>
      <c r="D8" s="11">
        <v>0.02</v>
      </c>
      <c r="E8" s="11">
        <f t="shared" si="1"/>
        <v>300</v>
      </c>
      <c r="F8" s="11">
        <f>'15MW_data_floating'!K7</f>
        <v>5579.8624007092703</v>
      </c>
      <c r="G8" s="12">
        <f t="shared" si="0"/>
        <v>5.3764766665548285</v>
      </c>
      <c r="H8" s="32" t="s">
        <v>58</v>
      </c>
    </row>
    <row r="9" spans="1:8" ht="72.5" x14ac:dyDescent="0.35">
      <c r="A9" s="61"/>
      <c r="B9" s="59"/>
      <c r="C9" s="33" t="s">
        <v>80</v>
      </c>
      <c r="D9" s="22">
        <v>0.02</v>
      </c>
      <c r="E9" s="22">
        <f t="shared" si="1"/>
        <v>300</v>
      </c>
      <c r="F9" s="22">
        <f>'15MW_data_floating'!K5</f>
        <v>3132.423420404753</v>
      </c>
      <c r="G9" s="34">
        <f t="shared" si="0"/>
        <v>9.5772492966878602</v>
      </c>
      <c r="H9" s="35" t="s">
        <v>58</v>
      </c>
    </row>
    <row r="10" spans="1:8" x14ac:dyDescent="0.35">
      <c r="A10" s="61"/>
      <c r="B10" s="25" t="s">
        <v>13</v>
      </c>
      <c r="C10" s="21"/>
      <c r="D10" s="21">
        <v>0.05</v>
      </c>
      <c r="E10" s="21">
        <f t="shared" si="1"/>
        <v>750</v>
      </c>
      <c r="F10" s="21">
        <f>'15MW_data_floating'!K10</f>
        <v>128.13863782101927</v>
      </c>
      <c r="G10" s="27">
        <f t="shared" si="0"/>
        <v>585.30355305288992</v>
      </c>
      <c r="H10" s="28" t="s">
        <v>88</v>
      </c>
    </row>
    <row r="11" spans="1:8" ht="29" x14ac:dyDescent="0.35">
      <c r="A11" s="61"/>
      <c r="B11" s="36" t="s">
        <v>8</v>
      </c>
      <c r="C11" s="37" t="s">
        <v>82</v>
      </c>
      <c r="D11" s="29">
        <v>0.03</v>
      </c>
      <c r="E11" s="29">
        <f t="shared" si="1"/>
        <v>449.99999999999994</v>
      </c>
      <c r="F11" s="29">
        <f>'15MW_data_floating'!K13</f>
        <v>5835.2512228992164</v>
      </c>
      <c r="G11" s="40">
        <f t="shared" si="0"/>
        <v>7.7117502368033373</v>
      </c>
      <c r="H11" s="31" t="s">
        <v>58</v>
      </c>
    </row>
    <row r="12" spans="1:8" x14ac:dyDescent="0.35">
      <c r="A12" s="36" t="s">
        <v>9</v>
      </c>
      <c r="B12" s="29" t="s">
        <v>96</v>
      </c>
      <c r="C12" s="37" t="s">
        <v>97</v>
      </c>
      <c r="D12" s="29">
        <v>0.02</v>
      </c>
      <c r="E12" s="29">
        <f t="shared" si="1"/>
        <v>300</v>
      </c>
      <c r="F12" s="29">
        <f>'15MW_data_floating'!E20</f>
        <v>11589.337094387874</v>
      </c>
      <c r="G12" s="40">
        <f t="shared" si="0"/>
        <v>2.5885863665599538</v>
      </c>
      <c r="H12" s="31" t="s">
        <v>100</v>
      </c>
    </row>
    <row r="13" spans="1:8" ht="43.5" x14ac:dyDescent="0.35">
      <c r="A13" s="38"/>
      <c r="B13" s="39" t="s">
        <v>98</v>
      </c>
      <c r="C13" s="33" t="s">
        <v>99</v>
      </c>
      <c r="D13" s="22">
        <v>0.02</v>
      </c>
      <c r="E13" s="22">
        <f t="shared" si="1"/>
        <v>300</v>
      </c>
      <c r="F13" s="29">
        <f>'15MW_data_floating'!E23</f>
        <v>1800</v>
      </c>
      <c r="G13" s="30">
        <f t="shared" si="0"/>
        <v>16.666666666666668</v>
      </c>
      <c r="H13" s="35" t="s">
        <v>101</v>
      </c>
    </row>
    <row r="14" spans="1:8" x14ac:dyDescent="0.35">
      <c r="A14" s="1" t="s">
        <v>72</v>
      </c>
      <c r="B14" s="1"/>
      <c r="C14" s="1"/>
      <c r="D14" s="1"/>
      <c r="E14" s="1">
        <f>SUM(E5:E13)</f>
        <v>3600</v>
      </c>
      <c r="F14" s="1">
        <f>SUM(F5:F12)</f>
        <v>29792.015192257692</v>
      </c>
      <c r="G14" s="9">
        <f>100*E14/F14</f>
        <v>12.083774718722495</v>
      </c>
    </row>
    <row r="15" spans="1:8" x14ac:dyDescent="0.35">
      <c r="A15" s="1"/>
      <c r="B15" s="1"/>
      <c r="C15" s="1"/>
      <c r="D15" s="1"/>
      <c r="E15" s="1"/>
      <c r="F15" s="1"/>
      <c r="G15" s="7"/>
    </row>
    <row r="16" spans="1:8" x14ac:dyDescent="0.35">
      <c r="A16" s="1" t="s">
        <v>74</v>
      </c>
      <c r="G16" s="7"/>
    </row>
    <row r="17" spans="1:8" x14ac:dyDescent="0.35">
      <c r="A17" s="23" t="s">
        <v>2</v>
      </c>
      <c r="B17" s="23" t="s">
        <v>3</v>
      </c>
      <c r="C17" s="23" t="s">
        <v>4</v>
      </c>
      <c r="D17" s="23" t="s">
        <v>14</v>
      </c>
      <c r="E17" s="23" t="s">
        <v>19</v>
      </c>
      <c r="F17" s="23" t="s">
        <v>76</v>
      </c>
      <c r="G17" s="23" t="s">
        <v>55</v>
      </c>
      <c r="H17" s="23" t="s">
        <v>57</v>
      </c>
    </row>
    <row r="18" spans="1:8" ht="29" x14ac:dyDescent="0.35">
      <c r="A18" t="s">
        <v>16</v>
      </c>
      <c r="B18" s="10" t="s">
        <v>89</v>
      </c>
      <c r="D18">
        <v>0</v>
      </c>
      <c r="E18">
        <f t="shared" ref="E18:E19" si="2">D18*15*1000</f>
        <v>0</v>
      </c>
      <c r="F18" s="6">
        <f>('15MW_data_floating'!B21+'15MW_data_floating'!B24)*1000</f>
        <v>227068.34345853332</v>
      </c>
      <c r="G18" s="7">
        <f t="shared" si="0"/>
        <v>0</v>
      </c>
      <c r="H18" t="s">
        <v>59</v>
      </c>
    </row>
    <row r="19" spans="1:8" ht="87" x14ac:dyDescent="0.35">
      <c r="A19" t="s">
        <v>17</v>
      </c>
      <c r="B19" s="10" t="s">
        <v>90</v>
      </c>
      <c r="D19">
        <v>0</v>
      </c>
      <c r="E19">
        <f t="shared" si="2"/>
        <v>0</v>
      </c>
      <c r="F19" s="6">
        <f>('15MW_data_floating'!B22)*1000</f>
        <v>139022.375</v>
      </c>
      <c r="G19" s="7">
        <f t="shared" si="0"/>
        <v>0</v>
      </c>
      <c r="H19" t="s">
        <v>59</v>
      </c>
    </row>
  </sheetData>
  <mergeCells count="2">
    <mergeCell ref="A5:A11"/>
    <mergeCell ref="B7:B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9575A-E6BF-4B65-8306-D6943436C999}">
  <dimension ref="A1:H17"/>
  <sheetViews>
    <sheetView workbookViewId="0">
      <selection activeCell="F13" sqref="F13"/>
    </sheetView>
  </sheetViews>
  <sheetFormatPr defaultRowHeight="14.5" x14ac:dyDescent="0.35"/>
  <cols>
    <col min="1" max="1" width="27.81640625" bestFit="1" customWidth="1"/>
    <col min="2" max="2" width="15.81640625" bestFit="1" customWidth="1"/>
    <col min="3" max="3" width="21.08984375" bestFit="1" customWidth="1"/>
    <col min="4" max="4" width="7.90625" bestFit="1" customWidth="1"/>
    <col min="5" max="5" width="27.08984375" bestFit="1" customWidth="1"/>
    <col min="6" max="6" width="34.1796875" bestFit="1" customWidth="1"/>
    <col min="7" max="7" width="13.36328125" bestFit="1" customWidth="1"/>
    <col min="8" max="8" width="74.26953125" bestFit="1" customWidth="1"/>
  </cols>
  <sheetData>
    <row r="1" spans="1:8" x14ac:dyDescent="0.35">
      <c r="A1" s="1" t="s">
        <v>15</v>
      </c>
    </row>
    <row r="2" spans="1:8" x14ac:dyDescent="0.35">
      <c r="A2" s="1"/>
    </row>
    <row r="3" spans="1:8" x14ac:dyDescent="0.35">
      <c r="A3" s="1" t="s">
        <v>73</v>
      </c>
    </row>
    <row r="4" spans="1:8" ht="15" thickBot="1" x14ac:dyDescent="0.4">
      <c r="A4" s="23" t="s">
        <v>2</v>
      </c>
      <c r="B4" s="23" t="s">
        <v>3</v>
      </c>
      <c r="C4" s="23" t="s">
        <v>83</v>
      </c>
      <c r="D4" s="23" t="s">
        <v>14</v>
      </c>
      <c r="E4" s="24" t="s">
        <v>19</v>
      </c>
      <c r="F4" s="23" t="s">
        <v>54</v>
      </c>
      <c r="G4" s="23" t="s">
        <v>55</v>
      </c>
      <c r="H4" s="23" t="s">
        <v>57</v>
      </c>
    </row>
    <row r="5" spans="1:8" ht="29" x14ac:dyDescent="0.35">
      <c r="A5" s="60" t="s">
        <v>0</v>
      </c>
      <c r="B5" s="25" t="s">
        <v>5</v>
      </c>
      <c r="C5" s="26" t="s">
        <v>78</v>
      </c>
      <c r="D5" s="21">
        <v>0</v>
      </c>
      <c r="E5" s="21">
        <f>D5*15*1000</f>
        <v>0</v>
      </c>
      <c r="F5" s="21">
        <f>'15MW_data_floating'!K8</f>
        <v>1325.7668979756502</v>
      </c>
      <c r="G5" s="27">
        <f>100*E5/F5</f>
        <v>0</v>
      </c>
      <c r="H5" s="28" t="s">
        <v>58</v>
      </c>
    </row>
    <row r="6" spans="1:8" ht="29" x14ac:dyDescent="0.35">
      <c r="A6" s="61"/>
      <c r="B6" s="25" t="s">
        <v>87</v>
      </c>
      <c r="C6" s="26" t="s">
        <v>79</v>
      </c>
      <c r="D6" s="21">
        <v>0.02</v>
      </c>
      <c r="E6" s="21">
        <f>D6*15*1000*3</f>
        <v>900</v>
      </c>
      <c r="F6" s="21">
        <f>'15MW_data_floating'!K3</f>
        <v>2201.2355180599097</v>
      </c>
      <c r="G6" s="27">
        <f t="shared" ref="G6:G17" si="0">100*E6/F6</f>
        <v>40.886129294934683</v>
      </c>
      <c r="H6" s="28" t="s">
        <v>75</v>
      </c>
    </row>
    <row r="7" spans="1:8" ht="101.5" x14ac:dyDescent="0.35">
      <c r="A7" s="61"/>
      <c r="B7" s="42" t="s">
        <v>118</v>
      </c>
      <c r="C7" s="33" t="s">
        <v>122</v>
      </c>
      <c r="D7" s="22">
        <v>0.05</v>
      </c>
      <c r="E7" s="22">
        <f t="shared" ref="E7:E11" si="1">D7*15*1000</f>
        <v>750</v>
      </c>
      <c r="F7" s="22">
        <f>'15MW_data_floating'!K5+'15MW_data_floating'!K7+'15MW_data_floating'!K10</f>
        <v>8840.4244589350419</v>
      </c>
      <c r="G7" s="34">
        <f t="shared" si="0"/>
        <v>8.4837555423254916</v>
      </c>
      <c r="H7" s="35" t="s">
        <v>58</v>
      </c>
    </row>
    <row r="8" spans="1:8" x14ac:dyDescent="0.35">
      <c r="A8" s="61"/>
      <c r="B8" s="25"/>
      <c r="C8" s="21" t="s">
        <v>11</v>
      </c>
      <c r="D8" s="21">
        <v>0.02</v>
      </c>
      <c r="E8" s="21">
        <f t="shared" si="1"/>
        <v>300</v>
      </c>
      <c r="F8" s="21">
        <f>'15MW_data_floating'!K7</f>
        <v>5579.8624007092703</v>
      </c>
      <c r="G8" s="27">
        <f t="shared" si="0"/>
        <v>5.3764766665548285</v>
      </c>
      <c r="H8" s="28" t="s">
        <v>88</v>
      </c>
    </row>
    <row r="9" spans="1:8" ht="29" x14ac:dyDescent="0.35">
      <c r="A9" s="61"/>
      <c r="B9" s="36" t="s">
        <v>8</v>
      </c>
      <c r="C9" s="37" t="s">
        <v>82</v>
      </c>
      <c r="D9" s="29">
        <v>0.03</v>
      </c>
      <c r="E9" s="29">
        <f t="shared" si="1"/>
        <v>449.99999999999994</v>
      </c>
      <c r="F9" s="29">
        <f>'15MW_data_floating'!K13</f>
        <v>5835.2512228992164</v>
      </c>
      <c r="G9" s="40">
        <f t="shared" si="0"/>
        <v>7.7117502368033373</v>
      </c>
      <c r="H9" s="31" t="s">
        <v>58</v>
      </c>
    </row>
    <row r="10" spans="1:8" x14ac:dyDescent="0.35">
      <c r="A10" s="36" t="s">
        <v>9</v>
      </c>
      <c r="B10" s="29" t="s">
        <v>96</v>
      </c>
      <c r="C10" s="37" t="s">
        <v>97</v>
      </c>
      <c r="D10" s="29">
        <v>0.02</v>
      </c>
      <c r="E10" s="29">
        <f t="shared" si="1"/>
        <v>300</v>
      </c>
      <c r="F10" s="29">
        <f>'15MW_data_floating'!E20</f>
        <v>11589.337094387874</v>
      </c>
      <c r="G10" s="40">
        <f t="shared" si="0"/>
        <v>2.5885863665599538</v>
      </c>
      <c r="H10" s="31" t="s">
        <v>100</v>
      </c>
    </row>
    <row r="11" spans="1:8" ht="43.5" x14ac:dyDescent="0.35">
      <c r="A11" s="38"/>
      <c r="B11" s="39" t="s">
        <v>98</v>
      </c>
      <c r="C11" s="33" t="s">
        <v>99</v>
      </c>
      <c r="D11" s="22">
        <v>0.02</v>
      </c>
      <c r="E11" s="22">
        <f t="shared" si="1"/>
        <v>300</v>
      </c>
      <c r="F11" s="29">
        <f>'15MW_data_floating'!E23</f>
        <v>1800</v>
      </c>
      <c r="G11" s="30">
        <f t="shared" si="0"/>
        <v>16.666666666666668</v>
      </c>
      <c r="H11" s="35" t="s">
        <v>101</v>
      </c>
    </row>
    <row r="12" spans="1:8" x14ac:dyDescent="0.35">
      <c r="A12" s="1" t="s">
        <v>72</v>
      </c>
      <c r="B12" s="1"/>
      <c r="C12" s="1"/>
      <c r="D12" s="1"/>
      <c r="E12" s="1">
        <f>SUM(E5:E11)</f>
        <v>3000</v>
      </c>
      <c r="F12" s="1">
        <f>SUM(F5:F10) -F8</f>
        <v>29792.015192257695</v>
      </c>
      <c r="G12" s="9">
        <f>100*E12/F12</f>
        <v>10.069812265602078</v>
      </c>
    </row>
    <row r="13" spans="1:8" x14ac:dyDescent="0.35">
      <c r="A13" s="1"/>
      <c r="B13" s="1"/>
      <c r="C13" s="1"/>
      <c r="D13" s="1"/>
      <c r="E13" s="1"/>
      <c r="F13" s="1"/>
      <c r="G13" s="7"/>
    </row>
    <row r="14" spans="1:8" x14ac:dyDescent="0.35">
      <c r="A14" s="1" t="s">
        <v>74</v>
      </c>
      <c r="G14" s="7"/>
    </row>
    <row r="15" spans="1:8" x14ac:dyDescent="0.35">
      <c r="A15" s="23" t="s">
        <v>2</v>
      </c>
      <c r="B15" s="23" t="s">
        <v>3</v>
      </c>
      <c r="C15" s="23" t="s">
        <v>4</v>
      </c>
      <c r="D15" s="23" t="s">
        <v>14</v>
      </c>
      <c r="E15" s="23" t="s">
        <v>19</v>
      </c>
      <c r="F15" s="23" t="s">
        <v>76</v>
      </c>
      <c r="G15" s="23" t="s">
        <v>55</v>
      </c>
      <c r="H15" s="23" t="s">
        <v>57</v>
      </c>
    </row>
    <row r="16" spans="1:8" ht="29" x14ac:dyDescent="0.35">
      <c r="A16" t="s">
        <v>16</v>
      </c>
      <c r="B16" s="10" t="s">
        <v>89</v>
      </c>
      <c r="D16">
        <v>0</v>
      </c>
      <c r="E16">
        <f t="shared" ref="E16:E17" si="2">D16*15*1000</f>
        <v>0</v>
      </c>
      <c r="F16" s="6">
        <f>('15MW_data_floating'!B21+'15MW_data_floating'!B24)*1000</f>
        <v>227068.34345853332</v>
      </c>
      <c r="G16" s="7">
        <f t="shared" si="0"/>
        <v>0</v>
      </c>
      <c r="H16" t="s">
        <v>59</v>
      </c>
    </row>
    <row r="17" spans="1:8" ht="87" x14ac:dyDescent="0.35">
      <c r="A17" t="s">
        <v>17</v>
      </c>
      <c r="B17" s="10" t="s">
        <v>90</v>
      </c>
      <c r="D17">
        <v>0</v>
      </c>
      <c r="E17">
        <f t="shared" si="2"/>
        <v>0</v>
      </c>
      <c r="F17" s="6">
        <f>('15MW_data_floating'!B22)*1000</f>
        <v>139022.375</v>
      </c>
      <c r="G17" s="7">
        <f t="shared" si="0"/>
        <v>0</v>
      </c>
      <c r="H17" t="s">
        <v>59</v>
      </c>
    </row>
  </sheetData>
  <mergeCells count="1">
    <mergeCell ref="A5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BF1B-B63E-483F-95BC-156A2D36B2AC}">
  <dimension ref="A1:K39"/>
  <sheetViews>
    <sheetView zoomScale="70" zoomScaleNormal="70" workbookViewId="0">
      <selection activeCell="J13" sqref="J13"/>
    </sheetView>
  </sheetViews>
  <sheetFormatPr defaultRowHeight="14.5" x14ac:dyDescent="0.35"/>
  <cols>
    <col min="1" max="1" width="27.54296875" bestFit="1" customWidth="1"/>
    <col min="2" max="2" width="17.7265625" bestFit="1" customWidth="1"/>
    <col min="3" max="5" width="22" customWidth="1"/>
    <col min="6" max="6" width="18" bestFit="1" customWidth="1"/>
    <col min="7" max="7" width="18" customWidth="1"/>
    <col min="9" max="9" width="19.08984375" bestFit="1" customWidth="1"/>
    <col min="10" max="10" width="17.453125" bestFit="1" customWidth="1"/>
    <col min="11" max="11" width="21.90625" bestFit="1" customWidth="1"/>
    <col min="12" max="12" width="16.90625" bestFit="1" customWidth="1"/>
    <col min="13" max="17" width="11.81640625" bestFit="1" customWidth="1"/>
    <col min="18" max="18" width="18" bestFit="1" customWidth="1"/>
    <col min="19" max="19" width="10.81640625" bestFit="1" customWidth="1"/>
    <col min="20" max="22" width="11.81640625" bestFit="1" customWidth="1"/>
    <col min="23" max="23" width="10.81640625" bestFit="1" customWidth="1"/>
    <col min="24" max="24" width="11.81640625" bestFit="1" customWidth="1"/>
    <col min="25" max="25" width="12.08984375" bestFit="1" customWidth="1"/>
    <col min="26" max="26" width="11.81640625" bestFit="1" customWidth="1"/>
    <col min="27" max="27" width="19.08984375" bestFit="1" customWidth="1"/>
    <col min="28" max="28" width="23" bestFit="1" customWidth="1"/>
    <col min="29" max="29" width="27.54296875" bestFit="1" customWidth="1"/>
    <col min="30" max="31" width="11.81640625" bestFit="1" customWidth="1"/>
    <col min="32" max="32" width="24.54296875" bestFit="1" customWidth="1"/>
    <col min="33" max="35" width="11.81640625" bestFit="1" customWidth="1"/>
    <col min="36" max="36" width="17.26953125" bestFit="1" customWidth="1"/>
    <col min="37" max="37" width="10.90625" bestFit="1" customWidth="1"/>
    <col min="38" max="38" width="11.81640625" bestFit="1" customWidth="1"/>
  </cols>
  <sheetData>
    <row r="1" spans="1:11" x14ac:dyDescent="0.35">
      <c r="A1" t="s">
        <v>69</v>
      </c>
    </row>
    <row r="2" spans="1:11" x14ac:dyDescent="0.35">
      <c r="A2" t="s">
        <v>1</v>
      </c>
      <c r="B2" t="s">
        <v>50</v>
      </c>
      <c r="C2" t="s">
        <v>51</v>
      </c>
      <c r="D2" t="s">
        <v>47</v>
      </c>
      <c r="E2" t="s">
        <v>52</v>
      </c>
      <c r="F2" t="s">
        <v>3</v>
      </c>
      <c r="G2" t="s">
        <v>56</v>
      </c>
      <c r="I2" s="3" t="s">
        <v>45</v>
      </c>
      <c r="J2" t="s">
        <v>53</v>
      </c>
      <c r="K2" t="s">
        <v>48</v>
      </c>
    </row>
    <row r="3" spans="1:11" x14ac:dyDescent="0.35">
      <c r="A3" s="2" t="s">
        <v>6</v>
      </c>
      <c r="B3">
        <v>131.58650222976439</v>
      </c>
      <c r="C3" s="6">
        <f>B3/SUM($B$3:$B$19)</f>
        <v>0.13505911386409669</v>
      </c>
      <c r="D3" s="6">
        <f>1300*C3</f>
        <v>175.57684802332571</v>
      </c>
      <c r="E3" s="6">
        <f>D3*15</f>
        <v>2633.6527203498858</v>
      </c>
      <c r="F3" t="s">
        <v>44</v>
      </c>
      <c r="I3" s="4" t="s">
        <v>44</v>
      </c>
      <c r="J3" s="5">
        <v>2633.6527203498858</v>
      </c>
      <c r="K3" s="5">
        <v>175.57684802332571</v>
      </c>
    </row>
    <row r="4" spans="1:11" x14ac:dyDescent="0.35">
      <c r="A4" s="2" t="s">
        <v>20</v>
      </c>
      <c r="B4">
        <v>72.444864474098296</v>
      </c>
      <c r="C4" s="6">
        <f t="shared" ref="C4:C19" si="0">B4/SUM($B$3:$B$19)</f>
        <v>7.4356708583922765E-2</v>
      </c>
      <c r="D4" s="6">
        <f t="shared" ref="D4:D19" si="1">1300*C4</f>
        <v>96.663721159099595</v>
      </c>
      <c r="E4" s="6">
        <f t="shared" ref="E4:E29" si="2">D4*15</f>
        <v>1449.9558173864939</v>
      </c>
      <c r="F4" t="s">
        <v>5</v>
      </c>
      <c r="I4" s="4" t="s">
        <v>16</v>
      </c>
      <c r="J4" s="5">
        <v>3412.0926518780002</v>
      </c>
      <c r="K4" s="5">
        <v>227.47284345853336</v>
      </c>
    </row>
    <row r="5" spans="1:11" x14ac:dyDescent="0.35">
      <c r="A5" s="2" t="s">
        <v>5</v>
      </c>
      <c r="B5">
        <v>5.6590531251566656</v>
      </c>
      <c r="C5" s="6">
        <f t="shared" si="0"/>
        <v>5.8083974225482749E-3</v>
      </c>
      <c r="D5" s="6">
        <f t="shared" si="1"/>
        <v>7.5509166493127573</v>
      </c>
      <c r="E5" s="6">
        <f t="shared" si="2"/>
        <v>113.26374973969136</v>
      </c>
      <c r="F5" t="s">
        <v>5</v>
      </c>
      <c r="I5" s="4" t="s">
        <v>7</v>
      </c>
      <c r="J5" s="5">
        <v>3747.7659227067506</v>
      </c>
      <c r="K5" s="5">
        <v>249.85106151378335</v>
      </c>
    </row>
    <row r="6" spans="1:11" x14ac:dyDescent="0.35">
      <c r="A6" s="2" t="s">
        <v>21</v>
      </c>
      <c r="B6">
        <v>1.1484056734393771</v>
      </c>
      <c r="C6" s="6">
        <f t="shared" si="0"/>
        <v>1.1787124817741359E-3</v>
      </c>
      <c r="D6" s="6">
        <f t="shared" si="1"/>
        <v>1.5323262263063768</v>
      </c>
      <c r="E6" s="6">
        <f t="shared" si="2"/>
        <v>22.984893394595652</v>
      </c>
      <c r="F6" t="s">
        <v>5</v>
      </c>
      <c r="I6" s="4" t="s">
        <v>9</v>
      </c>
      <c r="J6" s="5">
        <v>2870.8807735945338</v>
      </c>
      <c r="K6" s="5">
        <v>191.39205157296891</v>
      </c>
    </row>
    <row r="7" spans="1:11" x14ac:dyDescent="0.35">
      <c r="A7" s="2" t="s">
        <v>22</v>
      </c>
      <c r="B7">
        <v>17.02136890863526</v>
      </c>
      <c r="C7" s="6">
        <f t="shared" si="0"/>
        <v>1.7470568505119546E-2</v>
      </c>
      <c r="D7" s="6">
        <f t="shared" si="1"/>
        <v>22.711739056655411</v>
      </c>
      <c r="E7" s="6">
        <f t="shared" si="2"/>
        <v>340.67608584983117</v>
      </c>
      <c r="F7" t="s">
        <v>7</v>
      </c>
      <c r="G7" s="6"/>
      <c r="I7" s="4" t="s">
        <v>5</v>
      </c>
      <c r="J7" s="5">
        <v>1586.2044605207809</v>
      </c>
      <c r="K7" s="5">
        <v>105.74696403471873</v>
      </c>
    </row>
    <row r="8" spans="1:11" x14ac:dyDescent="0.35">
      <c r="A8" s="2" t="s">
        <v>23</v>
      </c>
      <c r="B8">
        <v>9.2356928495204613</v>
      </c>
      <c r="C8" s="6">
        <f t="shared" si="0"/>
        <v>9.4794258608620289E-3</v>
      </c>
      <c r="D8" s="6">
        <f t="shared" si="1"/>
        <v>12.323253619120637</v>
      </c>
      <c r="E8" s="6">
        <f t="shared" si="2"/>
        <v>184.84880428680955</v>
      </c>
      <c r="F8" t="s">
        <v>7</v>
      </c>
      <c r="I8" s="4" t="s">
        <v>49</v>
      </c>
      <c r="J8" s="5">
        <v>5154.1720640744288</v>
      </c>
      <c r="K8" s="5">
        <v>343.61147093829527</v>
      </c>
    </row>
    <row r="9" spans="1:11" x14ac:dyDescent="0.35">
      <c r="A9" s="2" t="s">
        <v>24</v>
      </c>
      <c r="B9">
        <v>5.8816977356871387</v>
      </c>
      <c r="C9" s="6">
        <f t="shared" si="0"/>
        <v>6.0369176985288374E-3</v>
      </c>
      <c r="D9" s="6">
        <f t="shared" si="1"/>
        <v>7.8479930080874887</v>
      </c>
      <c r="E9" s="6">
        <f t="shared" si="2"/>
        <v>117.71989512131233</v>
      </c>
      <c r="F9" t="s">
        <v>7</v>
      </c>
      <c r="I9" s="4" t="s">
        <v>12</v>
      </c>
      <c r="J9" s="5">
        <v>153.31057004599512</v>
      </c>
      <c r="K9" s="5">
        <v>10.220704669733008</v>
      </c>
    </row>
    <row r="10" spans="1:11" x14ac:dyDescent="0.35">
      <c r="A10" s="2" t="s">
        <v>11</v>
      </c>
      <c r="B10">
        <v>333.5556646295791</v>
      </c>
      <c r="C10" s="6">
        <f t="shared" si="0"/>
        <v>0.34235830974942266</v>
      </c>
      <c r="D10" s="6">
        <f t="shared" si="1"/>
        <v>445.06580267424948</v>
      </c>
      <c r="E10" s="6">
        <f t="shared" si="2"/>
        <v>6675.9870401137423</v>
      </c>
      <c r="F10" t="s">
        <v>11</v>
      </c>
      <c r="I10" s="4" t="s">
        <v>17</v>
      </c>
      <c r="J10" s="5">
        <v>2085.3356250000002</v>
      </c>
      <c r="K10" s="5">
        <v>139.02237500000001</v>
      </c>
    </row>
    <row r="11" spans="1:11" x14ac:dyDescent="0.35">
      <c r="A11" s="2" t="s">
        <v>25</v>
      </c>
      <c r="B11">
        <v>77.551924801682631</v>
      </c>
      <c r="C11" s="6">
        <f t="shared" si="0"/>
        <v>7.9598545935064116E-2</v>
      </c>
      <c r="D11" s="6">
        <f t="shared" si="1"/>
        <v>103.47810971558336</v>
      </c>
      <c r="E11" s="6">
        <f t="shared" si="2"/>
        <v>1552.1716457337504</v>
      </c>
      <c r="F11" t="s">
        <v>43</v>
      </c>
      <c r="I11" s="4" t="s">
        <v>43</v>
      </c>
      <c r="J11" s="5">
        <v>1552.1716457337504</v>
      </c>
      <c r="K11" s="5">
        <v>103.47810971558336</v>
      </c>
    </row>
    <row r="12" spans="1:11" x14ac:dyDescent="0.35">
      <c r="A12" s="2" t="s">
        <v>26</v>
      </c>
      <c r="B12">
        <v>9.348679834745246</v>
      </c>
      <c r="C12" s="6">
        <f t="shared" si="0"/>
        <v>9.5953946102706102E-3</v>
      </c>
      <c r="D12" s="6">
        <f t="shared" si="1"/>
        <v>12.474012993351794</v>
      </c>
      <c r="E12" s="6">
        <f t="shared" si="2"/>
        <v>187.11019490027689</v>
      </c>
      <c r="F12" t="s">
        <v>7</v>
      </c>
      <c r="I12" s="4" t="s">
        <v>8</v>
      </c>
      <c r="J12" s="5">
        <v>3150.9076405290948</v>
      </c>
      <c r="K12" s="5">
        <v>210.06050936860632</v>
      </c>
    </row>
    <row r="13" spans="1:11" x14ac:dyDescent="0.35">
      <c r="A13" s="2" t="s">
        <v>27</v>
      </c>
      <c r="B13">
        <v>15.66112050308424</v>
      </c>
      <c r="C13" s="6">
        <f t="shared" si="0"/>
        <v>1.6074422690953997E-2</v>
      </c>
      <c r="D13" s="6">
        <f t="shared" si="1"/>
        <v>20.896749498240197</v>
      </c>
      <c r="E13" s="6">
        <f t="shared" si="2"/>
        <v>313.45124247360297</v>
      </c>
      <c r="F13" t="s">
        <v>7</v>
      </c>
      <c r="I13" s="4" t="s">
        <v>11</v>
      </c>
      <c r="J13" s="5">
        <v>6675.9870401137423</v>
      </c>
      <c r="K13" s="5">
        <v>445.06580267424948</v>
      </c>
    </row>
    <row r="14" spans="1:11" x14ac:dyDescent="0.35">
      <c r="A14" s="2" t="s">
        <v>28</v>
      </c>
      <c r="B14">
        <v>7.6599323484546922</v>
      </c>
      <c r="C14" s="6">
        <f t="shared" si="0"/>
        <v>7.8620805151792365E-3</v>
      </c>
      <c r="D14" s="6">
        <f t="shared" si="1"/>
        <v>10.220704669733008</v>
      </c>
      <c r="E14" s="6">
        <f t="shared" si="2"/>
        <v>153.31057004599512</v>
      </c>
      <c r="F14" t="s">
        <v>12</v>
      </c>
      <c r="I14" s="4" t="s">
        <v>46</v>
      </c>
      <c r="J14" s="5">
        <v>33022.481114546965</v>
      </c>
      <c r="K14" s="5">
        <v>2201.4987409697978</v>
      </c>
    </row>
    <row r="15" spans="1:11" x14ac:dyDescent="0.35">
      <c r="A15" s="2" t="s">
        <v>29</v>
      </c>
      <c r="B15">
        <v>21.15</v>
      </c>
      <c r="C15" s="6">
        <f t="shared" si="0"/>
        <v>2.1708155546515583E-2</v>
      </c>
      <c r="D15" s="6">
        <f t="shared" si="1"/>
        <v>28.220602210470258</v>
      </c>
      <c r="E15" s="6">
        <f t="shared" si="2"/>
        <v>423.30903315705388</v>
      </c>
      <c r="F15" t="s">
        <v>7</v>
      </c>
    </row>
    <row r="16" spans="1:11" x14ac:dyDescent="0.35">
      <c r="A16" s="2" t="s">
        <v>30</v>
      </c>
      <c r="B16">
        <v>55.537309739520033</v>
      </c>
      <c r="C16" s="6">
        <f t="shared" si="0"/>
        <v>5.7002957846832895E-2</v>
      </c>
      <c r="D16" s="6">
        <f t="shared" si="1"/>
        <v>74.103845200882759</v>
      </c>
      <c r="E16" s="6">
        <f t="shared" si="2"/>
        <v>1111.5576780132415</v>
      </c>
      <c r="F16" t="s">
        <v>7</v>
      </c>
    </row>
    <row r="17" spans="1:11" x14ac:dyDescent="0.35">
      <c r="A17" s="2" t="s">
        <v>31</v>
      </c>
      <c r="B17">
        <v>38.395866666666663</v>
      </c>
      <c r="C17" s="6">
        <f t="shared" si="0"/>
        <v>3.9409146380296578E-2</v>
      </c>
      <c r="D17" s="6">
        <f t="shared" si="1"/>
        <v>51.231890294385551</v>
      </c>
      <c r="E17" s="6">
        <f t="shared" si="2"/>
        <v>768.47835441578331</v>
      </c>
      <c r="F17" t="s">
        <v>7</v>
      </c>
    </row>
    <row r="18" spans="1:11" x14ac:dyDescent="0.35">
      <c r="A18" s="2" t="s">
        <v>32</v>
      </c>
      <c r="B18">
        <v>15.01975866666667</v>
      </c>
      <c r="C18" s="6">
        <f t="shared" si="0"/>
        <v>1.5416135101991753E-2</v>
      </c>
      <c r="D18" s="6">
        <f t="shared" si="1"/>
        <v>20.04097563258928</v>
      </c>
      <c r="E18" s="6">
        <f t="shared" si="2"/>
        <v>300.61463448883922</v>
      </c>
      <c r="F18" t="s">
        <v>7</v>
      </c>
    </row>
    <row r="19" spans="1:11" x14ac:dyDescent="0.35">
      <c r="A19" s="2" t="s">
        <v>8</v>
      </c>
      <c r="B19">
        <v>157.43036736110781</v>
      </c>
      <c r="C19" s="6">
        <f t="shared" si="0"/>
        <v>0.16158500720662025</v>
      </c>
      <c r="D19" s="6">
        <f t="shared" si="1"/>
        <v>210.06050936860632</v>
      </c>
      <c r="E19" s="6">
        <f t="shared" si="2"/>
        <v>3150.9076405290948</v>
      </c>
      <c r="F19" t="s">
        <v>8</v>
      </c>
    </row>
    <row r="20" spans="1:11" x14ac:dyDescent="0.35">
      <c r="A20" s="2" t="s">
        <v>33</v>
      </c>
      <c r="B20">
        <v>191.39205157296891</v>
      </c>
      <c r="D20" s="6">
        <f>B20</f>
        <v>191.39205157296891</v>
      </c>
      <c r="E20" s="6">
        <f t="shared" si="2"/>
        <v>2870.8807735945338</v>
      </c>
      <c r="F20" t="s">
        <v>9</v>
      </c>
      <c r="G20" t="s">
        <v>70</v>
      </c>
    </row>
    <row r="21" spans="1:11" x14ac:dyDescent="0.35">
      <c r="A21" s="2" t="s">
        <v>34</v>
      </c>
      <c r="B21">
        <v>182.4496666666667</v>
      </c>
      <c r="D21" s="6">
        <f t="shared" ref="D21:D29" si="3">B21</f>
        <v>182.4496666666667</v>
      </c>
      <c r="E21" s="6">
        <f t="shared" si="2"/>
        <v>2736.7450000000003</v>
      </c>
      <c r="F21" t="s">
        <v>16</v>
      </c>
      <c r="K21">
        <f>1300*15</f>
        <v>19500</v>
      </c>
    </row>
    <row r="22" spans="1:11" x14ac:dyDescent="0.35">
      <c r="A22" s="2" t="s">
        <v>35</v>
      </c>
      <c r="B22">
        <v>139.02237500000001</v>
      </c>
      <c r="D22" s="6">
        <f t="shared" si="3"/>
        <v>139.02237500000001</v>
      </c>
      <c r="E22" s="6">
        <f t="shared" si="2"/>
        <v>2085.3356250000002</v>
      </c>
      <c r="F22" t="s">
        <v>17</v>
      </c>
    </row>
    <row r="23" spans="1:11" x14ac:dyDescent="0.35">
      <c r="A23" s="2" t="s">
        <v>36</v>
      </c>
      <c r="B23">
        <v>45.023176791866668</v>
      </c>
      <c r="D23" s="6">
        <f t="shared" si="3"/>
        <v>45.023176791866668</v>
      </c>
      <c r="E23" s="6">
        <f t="shared" si="2"/>
        <v>675.34765187799997</v>
      </c>
      <c r="F23" t="s">
        <v>16</v>
      </c>
    </row>
    <row r="24" spans="1:11" x14ac:dyDescent="0.35">
      <c r="A24" s="2" t="s">
        <v>37</v>
      </c>
      <c r="B24">
        <v>192.16827281852579</v>
      </c>
      <c r="D24" s="6">
        <f t="shared" si="3"/>
        <v>192.16827281852579</v>
      </c>
      <c r="E24" s="6">
        <f t="shared" si="2"/>
        <v>2882.5240922778867</v>
      </c>
      <c r="F24" t="s">
        <v>49</v>
      </c>
    </row>
    <row r="25" spans="1:11" x14ac:dyDescent="0.35">
      <c r="A25" s="2" t="s">
        <v>38</v>
      </c>
      <c r="B25">
        <v>5.4483682141045158</v>
      </c>
      <c r="D25" s="6">
        <f t="shared" si="3"/>
        <v>5.4483682141045158</v>
      </c>
      <c r="E25" s="6">
        <f t="shared" si="2"/>
        <v>81.725523211567733</v>
      </c>
      <c r="F25" t="s">
        <v>49</v>
      </c>
    </row>
    <row r="26" spans="1:11" x14ac:dyDescent="0.35">
      <c r="A26" s="2" t="s">
        <v>39</v>
      </c>
      <c r="B26">
        <v>19.847772574360981</v>
      </c>
      <c r="D26" s="6">
        <f t="shared" si="3"/>
        <v>19.847772574360981</v>
      </c>
      <c r="E26" s="6">
        <f t="shared" si="2"/>
        <v>297.71658861541471</v>
      </c>
      <c r="F26" t="s">
        <v>49</v>
      </c>
    </row>
    <row r="27" spans="1:11" x14ac:dyDescent="0.35">
      <c r="A27" s="2" t="s">
        <v>40</v>
      </c>
      <c r="B27">
        <v>40.858854008117767</v>
      </c>
      <c r="D27" s="6">
        <f t="shared" si="3"/>
        <v>40.858854008117767</v>
      </c>
      <c r="E27" s="6">
        <f t="shared" si="2"/>
        <v>612.88281012176651</v>
      </c>
      <c r="F27" t="s">
        <v>49</v>
      </c>
    </row>
    <row r="28" spans="1:11" x14ac:dyDescent="0.35">
      <c r="A28" s="2" t="s">
        <v>41</v>
      </c>
      <c r="B28">
        <v>27.303044140030462</v>
      </c>
      <c r="D28" s="6">
        <f t="shared" si="3"/>
        <v>27.303044140030462</v>
      </c>
      <c r="E28" s="6">
        <f t="shared" si="2"/>
        <v>409.54566210045692</v>
      </c>
      <c r="F28" t="s">
        <v>49</v>
      </c>
    </row>
    <row r="29" spans="1:11" x14ac:dyDescent="0.35">
      <c r="A29" s="2" t="s">
        <v>42</v>
      </c>
      <c r="B29">
        <v>57.98515918315578</v>
      </c>
      <c r="D29" s="6">
        <f t="shared" si="3"/>
        <v>57.98515918315578</v>
      </c>
      <c r="E29" s="6">
        <f t="shared" si="2"/>
        <v>869.77738774733666</v>
      </c>
      <c r="F29" t="s">
        <v>49</v>
      </c>
    </row>
    <row r="32" spans="1:11" x14ac:dyDescent="0.35">
      <c r="A32" s="8" t="s">
        <v>59</v>
      </c>
    </row>
    <row r="33" spans="1:8" x14ac:dyDescent="0.35">
      <c r="B33" t="s">
        <v>60</v>
      </c>
      <c r="C33" t="s">
        <v>61</v>
      </c>
      <c r="D33" t="s">
        <v>62</v>
      </c>
      <c r="E33" t="s">
        <v>63</v>
      </c>
      <c r="F33" t="s">
        <v>64</v>
      </c>
      <c r="G33" t="s">
        <v>65</v>
      </c>
      <c r="H33" t="s">
        <v>71</v>
      </c>
    </row>
    <row r="34" spans="1:8" x14ac:dyDescent="0.35">
      <c r="A34">
        <v>0</v>
      </c>
      <c r="B34" t="s">
        <v>66</v>
      </c>
      <c r="C34">
        <v>600</v>
      </c>
      <c r="D34">
        <v>4110324.74062829</v>
      </c>
      <c r="E34">
        <v>2476033.53776681</v>
      </c>
      <c r="F34">
        <v>0.624066375816691</v>
      </c>
      <c r="G34">
        <v>0.375933624183308</v>
      </c>
      <c r="H34">
        <f>E34/D34</f>
        <v>0.60239365354581009</v>
      </c>
    </row>
    <row r="35" spans="1:8" x14ac:dyDescent="0.35">
      <c r="A35">
        <v>1</v>
      </c>
      <c r="B35" t="s">
        <v>66</v>
      </c>
      <c r="C35">
        <v>1000</v>
      </c>
      <c r="D35">
        <v>4110324.74062829</v>
      </c>
      <c r="E35">
        <v>2476033.53776681</v>
      </c>
      <c r="F35">
        <v>0.624066375816691</v>
      </c>
      <c r="G35">
        <v>0.375933624183308</v>
      </c>
      <c r="H35">
        <f t="shared" ref="H35:H39" si="4">E35/D35</f>
        <v>0.60239365354581009</v>
      </c>
    </row>
    <row r="36" spans="1:8" x14ac:dyDescent="0.35">
      <c r="A36">
        <v>2</v>
      </c>
      <c r="B36" t="s">
        <v>67</v>
      </c>
      <c r="C36">
        <v>600</v>
      </c>
      <c r="D36">
        <v>5028762.3856585203</v>
      </c>
      <c r="E36">
        <v>2933985.5920698098</v>
      </c>
      <c r="F36">
        <v>0.63153604757099902</v>
      </c>
      <c r="G36">
        <v>0.36846395242899999</v>
      </c>
      <c r="H36">
        <f t="shared" si="4"/>
        <v>0.58344088804776606</v>
      </c>
    </row>
    <row r="37" spans="1:8" x14ac:dyDescent="0.35">
      <c r="A37">
        <v>3</v>
      </c>
      <c r="B37" t="s">
        <v>67</v>
      </c>
      <c r="C37">
        <v>1000</v>
      </c>
      <c r="D37">
        <v>5028762.3856585203</v>
      </c>
      <c r="E37">
        <v>2933985.5920698098</v>
      </c>
      <c r="F37">
        <v>0.63153604757099902</v>
      </c>
      <c r="G37">
        <v>0.36846395242899999</v>
      </c>
      <c r="H37">
        <f t="shared" si="4"/>
        <v>0.58344088804776606</v>
      </c>
    </row>
    <row r="38" spans="1:8" x14ac:dyDescent="0.35">
      <c r="A38">
        <v>4</v>
      </c>
      <c r="B38" t="s">
        <v>68</v>
      </c>
      <c r="C38">
        <v>600</v>
      </c>
      <c r="D38">
        <v>5957626.6719322996</v>
      </c>
      <c r="E38">
        <v>3381293.7825208199</v>
      </c>
      <c r="F38">
        <v>0.63793526253791999</v>
      </c>
      <c r="G38">
        <v>0.36206473746208001</v>
      </c>
      <c r="H38">
        <f t="shared" si="4"/>
        <v>0.5675571781714428</v>
      </c>
    </row>
    <row r="39" spans="1:8" x14ac:dyDescent="0.35">
      <c r="A39">
        <v>5</v>
      </c>
      <c r="B39" t="s">
        <v>68</v>
      </c>
      <c r="C39">
        <v>1000</v>
      </c>
      <c r="D39">
        <v>5957626.6719322996</v>
      </c>
      <c r="E39">
        <v>3381293.7825208199</v>
      </c>
      <c r="F39">
        <v>0.63793526253791999</v>
      </c>
      <c r="G39">
        <v>0.36206473746208001</v>
      </c>
      <c r="H39">
        <f t="shared" si="4"/>
        <v>0.5675571781714428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A0BDB-CD6D-4231-A24E-267C788EA4F9}">
  <dimension ref="A1:L29"/>
  <sheetViews>
    <sheetView workbookViewId="0">
      <selection activeCell="A10" sqref="A10:XFD10"/>
    </sheetView>
  </sheetViews>
  <sheetFormatPr defaultRowHeight="14.5" x14ac:dyDescent="0.35"/>
  <cols>
    <col min="1" max="1" width="27.54296875" bestFit="1" customWidth="1"/>
    <col min="2" max="2" width="17.7265625" bestFit="1" customWidth="1"/>
    <col min="3" max="3" width="22.08984375" bestFit="1" customWidth="1"/>
    <col min="4" max="4" width="10.1796875" bestFit="1" customWidth="1"/>
    <col min="5" max="5" width="16.90625" customWidth="1"/>
    <col min="6" max="6" width="12" bestFit="1" customWidth="1"/>
    <col min="7" max="7" width="6" bestFit="1" customWidth="1"/>
    <col min="10" max="10" width="18" bestFit="1" customWidth="1"/>
    <col min="11" max="11" width="12.90625" bestFit="1" customWidth="1"/>
    <col min="12" max="12" width="16.90625" bestFit="1" customWidth="1"/>
  </cols>
  <sheetData>
    <row r="1" spans="1:12" x14ac:dyDescent="0.35">
      <c r="A1" t="s">
        <v>95</v>
      </c>
    </row>
    <row r="2" spans="1:12" x14ac:dyDescent="0.35">
      <c r="A2" t="s">
        <v>1</v>
      </c>
      <c r="B2" t="s">
        <v>50</v>
      </c>
      <c r="C2" t="s">
        <v>51</v>
      </c>
      <c r="D2" t="s">
        <v>47</v>
      </c>
      <c r="E2" t="s">
        <v>52</v>
      </c>
      <c r="F2" t="s">
        <v>3</v>
      </c>
      <c r="G2" t="s">
        <v>56</v>
      </c>
      <c r="J2" s="3" t="s">
        <v>45</v>
      </c>
      <c r="K2" t="s">
        <v>53</v>
      </c>
      <c r="L2" t="s">
        <v>48</v>
      </c>
    </row>
    <row r="3" spans="1:12" x14ac:dyDescent="0.35">
      <c r="A3" s="2" t="s">
        <v>6</v>
      </c>
      <c r="B3">
        <v>131.58650222976439</v>
      </c>
      <c r="C3" s="6">
        <f>B3/SUM($B$3:$B$19)</f>
        <v>0.112883872721021</v>
      </c>
      <c r="D3">
        <f>1300*C3</f>
        <v>146.7490345373273</v>
      </c>
      <c r="E3">
        <f>D3*15</f>
        <v>2201.2355180599097</v>
      </c>
      <c r="F3" t="s">
        <v>44</v>
      </c>
      <c r="J3" s="4" t="s">
        <v>44</v>
      </c>
      <c r="K3" s="5">
        <v>2201.2355180599097</v>
      </c>
      <c r="L3" s="5">
        <v>146.7490345373273</v>
      </c>
    </row>
    <row r="4" spans="1:12" x14ac:dyDescent="0.35">
      <c r="A4" s="2" t="s">
        <v>20</v>
      </c>
      <c r="B4">
        <v>72.444864474098296</v>
      </c>
      <c r="C4" s="6">
        <f t="shared" ref="C4:C19" si="0">B4/SUM($B$3:$B$19)</f>
        <v>6.2148143783822885E-2</v>
      </c>
      <c r="D4">
        <f t="shared" ref="D4:D19" si="1">1300*C4</f>
        <v>80.792586918969747</v>
      </c>
      <c r="E4">
        <f t="shared" ref="E4:E29" si="2">D4*15</f>
        <v>1211.8888037845461</v>
      </c>
      <c r="F4" t="s">
        <v>5</v>
      </c>
      <c r="J4" s="4" t="s">
        <v>16</v>
      </c>
      <c r="K4" s="5">
        <v>3406.0251518780001</v>
      </c>
      <c r="L4" s="5">
        <v>227.06834345853332</v>
      </c>
    </row>
    <row r="5" spans="1:12" x14ac:dyDescent="0.35">
      <c r="A5" s="2" t="s">
        <v>5</v>
      </c>
      <c r="B5">
        <v>5.6590531251566656</v>
      </c>
      <c r="C5" s="6">
        <f t="shared" si="0"/>
        <v>4.854721585244655E-3</v>
      </c>
      <c r="D5">
        <f t="shared" si="1"/>
        <v>6.3111380608180516</v>
      </c>
      <c r="E5">
        <f t="shared" si="2"/>
        <v>94.667070912270773</v>
      </c>
      <c r="F5" t="s">
        <v>5</v>
      </c>
      <c r="J5" s="4" t="s">
        <v>7</v>
      </c>
      <c r="K5" s="5">
        <v>3132.423420404753</v>
      </c>
      <c r="L5" s="5">
        <v>208.82822802698351</v>
      </c>
    </row>
    <row r="6" spans="1:12" x14ac:dyDescent="0.35">
      <c r="A6" s="2" t="s">
        <v>21</v>
      </c>
      <c r="B6">
        <v>1.1484056734393771</v>
      </c>
      <c r="C6" s="6">
        <f t="shared" si="0"/>
        <v>9.851806809658152E-4</v>
      </c>
      <c r="D6">
        <f t="shared" si="1"/>
        <v>1.2807348852555598</v>
      </c>
      <c r="E6">
        <f t="shared" si="2"/>
        <v>19.211023278833398</v>
      </c>
      <c r="F6" t="s">
        <v>5</v>
      </c>
      <c r="J6" s="4" t="s">
        <v>9</v>
      </c>
      <c r="K6" s="5">
        <v>13389.337094387874</v>
      </c>
      <c r="L6" s="5">
        <v>892.62247295919167</v>
      </c>
    </row>
    <row r="7" spans="1:12" x14ac:dyDescent="0.35">
      <c r="A7" s="2" t="s">
        <v>22</v>
      </c>
      <c r="B7">
        <v>17.02136890863526</v>
      </c>
      <c r="C7" s="6">
        <f t="shared" si="0"/>
        <v>1.4602090707334757E-2</v>
      </c>
      <c r="D7">
        <f t="shared" si="1"/>
        <v>18.982717919535183</v>
      </c>
      <c r="E7">
        <f t="shared" si="2"/>
        <v>284.74076879302777</v>
      </c>
      <c r="F7" t="s">
        <v>7</v>
      </c>
      <c r="J7" s="4" t="s">
        <v>11</v>
      </c>
      <c r="K7" s="5">
        <v>5579.8624007092703</v>
      </c>
      <c r="L7" s="5">
        <v>371.99082671395138</v>
      </c>
    </row>
    <row r="8" spans="1:12" x14ac:dyDescent="0.35">
      <c r="A8" s="2" t="s">
        <v>23</v>
      </c>
      <c r="B8">
        <v>9.2356928495204613</v>
      </c>
      <c r="C8" s="6">
        <f t="shared" si="0"/>
        <v>7.9230069836136122E-3</v>
      </c>
      <c r="D8">
        <f t="shared" si="1"/>
        <v>10.299909078697697</v>
      </c>
      <c r="E8">
        <f t="shared" si="2"/>
        <v>154.49863618046544</v>
      </c>
      <c r="F8" t="s">
        <v>7</v>
      </c>
      <c r="J8" s="4" t="s">
        <v>5</v>
      </c>
      <c r="K8" s="5">
        <v>1325.7668979756502</v>
      </c>
      <c r="L8" s="5">
        <v>88.384459865043354</v>
      </c>
    </row>
    <row r="9" spans="1:12" x14ac:dyDescent="0.35">
      <c r="A9" s="2" t="s">
        <v>24</v>
      </c>
      <c r="B9">
        <v>5.8816977356871387</v>
      </c>
      <c r="C9" s="6">
        <f t="shared" si="0"/>
        <v>5.0457213112899474E-3</v>
      </c>
      <c r="D9">
        <f t="shared" si="1"/>
        <v>6.5594377046769319</v>
      </c>
      <c r="E9">
        <f t="shared" si="2"/>
        <v>98.391565570153972</v>
      </c>
      <c r="F9" t="s">
        <v>7</v>
      </c>
      <c r="J9" s="4" t="s">
        <v>49</v>
      </c>
      <c r="K9" s="5">
        <v>4585.600526864574</v>
      </c>
      <c r="L9" s="5">
        <v>305.70670179097164</v>
      </c>
    </row>
    <row r="10" spans="1:12" x14ac:dyDescent="0.35">
      <c r="A10" s="2" t="s">
        <v>11</v>
      </c>
      <c r="B10">
        <v>333.5556646295791</v>
      </c>
      <c r="C10" s="6">
        <f t="shared" si="0"/>
        <v>0.28614678977996261</v>
      </c>
      <c r="D10">
        <f t="shared" si="1"/>
        <v>371.99082671395138</v>
      </c>
      <c r="E10">
        <f t="shared" si="2"/>
        <v>5579.8624007092703</v>
      </c>
      <c r="F10" t="s">
        <v>11</v>
      </c>
      <c r="J10" s="4" t="s">
        <v>12</v>
      </c>
      <c r="K10" s="5">
        <v>128.13863782101927</v>
      </c>
      <c r="L10" s="5">
        <v>8.5425758547346184</v>
      </c>
    </row>
    <row r="11" spans="1:12" x14ac:dyDescent="0.35">
      <c r="A11" s="2" t="s">
        <v>25</v>
      </c>
      <c r="B11">
        <v>77.551924801682631</v>
      </c>
      <c r="C11" s="6">
        <f t="shared" si="0"/>
        <v>6.6529328314368169E-2</v>
      </c>
      <c r="D11">
        <f t="shared" si="1"/>
        <v>86.488126808678615</v>
      </c>
      <c r="E11">
        <f t="shared" si="2"/>
        <v>1297.3219021301793</v>
      </c>
      <c r="F11" t="s">
        <v>43</v>
      </c>
      <c r="J11" s="4" t="s">
        <v>17</v>
      </c>
      <c r="K11" s="5">
        <v>2085.3356250000002</v>
      </c>
      <c r="L11" s="5">
        <v>139.02237500000001</v>
      </c>
    </row>
    <row r="12" spans="1:12" x14ac:dyDescent="0.35">
      <c r="A12" s="2" t="s">
        <v>26</v>
      </c>
      <c r="B12">
        <v>9.348679834745246</v>
      </c>
      <c r="C12" s="6">
        <f t="shared" si="0"/>
        <v>8.0199349225976279E-3</v>
      </c>
      <c r="D12">
        <f t="shared" si="1"/>
        <v>10.425915399376917</v>
      </c>
      <c r="E12">
        <f t="shared" si="2"/>
        <v>156.38873099065376</v>
      </c>
      <c r="F12" t="s">
        <v>7</v>
      </c>
      <c r="J12" s="4" t="s">
        <v>43</v>
      </c>
      <c r="K12" s="5">
        <v>1297.3219021301793</v>
      </c>
      <c r="L12" s="5">
        <v>86.488126808678615</v>
      </c>
    </row>
    <row r="13" spans="1:12" x14ac:dyDescent="0.35">
      <c r="A13" s="2" t="s">
        <v>27</v>
      </c>
      <c r="B13">
        <v>15.66112050308424</v>
      </c>
      <c r="C13" s="6">
        <f t="shared" si="0"/>
        <v>1.343517688806568E-2</v>
      </c>
      <c r="D13">
        <f t="shared" si="1"/>
        <v>17.465729954485383</v>
      </c>
      <c r="E13">
        <f t="shared" si="2"/>
        <v>261.98594931728076</v>
      </c>
      <c r="F13" t="s">
        <v>7</v>
      </c>
      <c r="J13" s="4" t="s">
        <v>8</v>
      </c>
      <c r="K13" s="5">
        <v>5835.2512228992164</v>
      </c>
      <c r="L13" s="5">
        <v>389.0167481932811</v>
      </c>
    </row>
    <row r="14" spans="1:12" x14ac:dyDescent="0.35">
      <c r="A14" s="2" t="s">
        <v>28</v>
      </c>
      <c r="B14">
        <v>7.6599323484546922</v>
      </c>
      <c r="C14" s="6">
        <f t="shared" si="0"/>
        <v>6.571212195949706E-3</v>
      </c>
      <c r="D14">
        <f t="shared" si="1"/>
        <v>8.5425758547346184</v>
      </c>
      <c r="E14">
        <f t="shared" si="2"/>
        <v>128.13863782101927</v>
      </c>
      <c r="F14" t="s">
        <v>12</v>
      </c>
      <c r="J14" s="4" t="s">
        <v>46</v>
      </c>
      <c r="K14" s="5">
        <v>42966.298398130442</v>
      </c>
      <c r="L14" s="5">
        <v>2864.4198932086965</v>
      </c>
    </row>
    <row r="15" spans="1:12" x14ac:dyDescent="0.35">
      <c r="A15" s="2" t="s">
        <v>29</v>
      </c>
      <c r="B15">
        <v>21.15</v>
      </c>
      <c r="C15" s="6">
        <f t="shared" si="0"/>
        <v>1.8143911933161422E-2</v>
      </c>
      <c r="D15">
        <f t="shared" si="1"/>
        <v>23.587085513109848</v>
      </c>
      <c r="E15">
        <f t="shared" si="2"/>
        <v>353.80628269664771</v>
      </c>
      <c r="F15" t="s">
        <v>7</v>
      </c>
    </row>
    <row r="16" spans="1:12" x14ac:dyDescent="0.35">
      <c r="A16" s="2" t="s">
        <v>30</v>
      </c>
      <c r="B16">
        <v>55.537309739520033</v>
      </c>
      <c r="C16" s="6">
        <f t="shared" si="0"/>
        <v>4.7643690634447261E-2</v>
      </c>
      <c r="D16">
        <f t="shared" si="1"/>
        <v>61.936797824781436</v>
      </c>
      <c r="E16">
        <f t="shared" si="2"/>
        <v>929.0519673717215</v>
      </c>
      <c r="F16" t="s">
        <v>7</v>
      </c>
    </row>
    <row r="17" spans="1:6" x14ac:dyDescent="0.35">
      <c r="A17" s="2" t="s">
        <v>31</v>
      </c>
      <c r="B17">
        <v>38.395866666666663</v>
      </c>
      <c r="C17" s="6">
        <f t="shared" si="0"/>
        <v>3.2938592122808898E-2</v>
      </c>
      <c r="D17">
        <f t="shared" si="1"/>
        <v>42.82016975965157</v>
      </c>
      <c r="E17">
        <f t="shared" si="2"/>
        <v>642.30254639477357</v>
      </c>
      <c r="F17" t="s">
        <v>7</v>
      </c>
    </row>
    <row r="18" spans="1:6" x14ac:dyDescent="0.35">
      <c r="A18" s="2" t="s">
        <v>32</v>
      </c>
      <c r="B18">
        <v>15.01975866666667</v>
      </c>
      <c r="C18" s="6">
        <f t="shared" si="0"/>
        <v>1.2884972978975796E-2</v>
      </c>
      <c r="D18">
        <f t="shared" si="1"/>
        <v>16.750464872668534</v>
      </c>
      <c r="E18">
        <f t="shared" si="2"/>
        <v>251.256973090028</v>
      </c>
      <c r="F18" t="s">
        <v>7</v>
      </c>
    </row>
    <row r="19" spans="1:6" x14ac:dyDescent="0.35">
      <c r="A19" s="2" t="s">
        <v>8</v>
      </c>
      <c r="B19">
        <v>348.82241893407672</v>
      </c>
      <c r="C19" s="6">
        <f t="shared" si="0"/>
        <v>0.29924365245637008</v>
      </c>
      <c r="D19">
        <f t="shared" si="1"/>
        <v>389.0167481932811</v>
      </c>
      <c r="E19">
        <f t="shared" si="2"/>
        <v>5835.2512228992164</v>
      </c>
      <c r="F19" t="s">
        <v>8</v>
      </c>
    </row>
    <row r="20" spans="1:6" x14ac:dyDescent="0.35">
      <c r="A20" s="2" t="s">
        <v>91</v>
      </c>
      <c r="B20">
        <v>772.62247295919167</v>
      </c>
      <c r="D20">
        <f>B20</f>
        <v>772.62247295919167</v>
      </c>
      <c r="E20">
        <f t="shared" si="2"/>
        <v>11589.337094387874</v>
      </c>
      <c r="F20" t="s">
        <v>9</v>
      </c>
    </row>
    <row r="21" spans="1:6" x14ac:dyDescent="0.35">
      <c r="A21" s="2" t="s">
        <v>34</v>
      </c>
      <c r="B21">
        <v>182.41849999999999</v>
      </c>
      <c r="D21">
        <f t="shared" ref="D21:D29" si="3">B21</f>
        <v>182.41849999999999</v>
      </c>
      <c r="E21">
        <f t="shared" si="2"/>
        <v>2736.2775000000001</v>
      </c>
      <c r="F21" t="s">
        <v>16</v>
      </c>
    </row>
    <row r="22" spans="1:6" x14ac:dyDescent="0.35">
      <c r="A22" s="2" t="s">
        <v>35</v>
      </c>
      <c r="B22">
        <v>139.02237500000001</v>
      </c>
      <c r="D22">
        <f t="shared" si="3"/>
        <v>139.02237500000001</v>
      </c>
      <c r="E22">
        <f t="shared" si="2"/>
        <v>2085.3356250000002</v>
      </c>
      <c r="F22" t="s">
        <v>17</v>
      </c>
    </row>
    <row r="23" spans="1:6" x14ac:dyDescent="0.35">
      <c r="A23" s="2" t="s">
        <v>92</v>
      </c>
      <c r="B23">
        <v>120</v>
      </c>
      <c r="D23">
        <f t="shared" si="3"/>
        <v>120</v>
      </c>
      <c r="E23">
        <f t="shared" si="2"/>
        <v>1800</v>
      </c>
      <c r="F23" t="s">
        <v>9</v>
      </c>
    </row>
    <row r="24" spans="1:6" x14ac:dyDescent="0.35">
      <c r="A24" s="2" t="s">
        <v>36</v>
      </c>
      <c r="B24">
        <v>44.64984345853334</v>
      </c>
      <c r="D24">
        <f t="shared" si="3"/>
        <v>44.64984345853334</v>
      </c>
      <c r="E24">
        <f t="shared" si="2"/>
        <v>669.74765187800006</v>
      </c>
      <c r="F24" t="s">
        <v>16</v>
      </c>
    </row>
    <row r="25" spans="1:6" x14ac:dyDescent="0.35">
      <c r="A25" s="2" t="s">
        <v>37</v>
      </c>
      <c r="B25">
        <v>192.16793743039801</v>
      </c>
      <c r="D25">
        <f t="shared" si="3"/>
        <v>192.16793743039801</v>
      </c>
      <c r="E25">
        <f t="shared" si="2"/>
        <v>2882.5190614559701</v>
      </c>
      <c r="F25" t="s">
        <v>49</v>
      </c>
    </row>
    <row r="26" spans="1:6" x14ac:dyDescent="0.35">
      <c r="A26" s="2" t="s">
        <v>38</v>
      </c>
      <c r="B26">
        <v>5.364263285451548</v>
      </c>
      <c r="D26">
        <f t="shared" si="3"/>
        <v>5.364263285451548</v>
      </c>
      <c r="E26">
        <f t="shared" si="2"/>
        <v>80.463949281773225</v>
      </c>
      <c r="F26" t="s">
        <v>49</v>
      </c>
    </row>
    <row r="27" spans="1:6" x14ac:dyDescent="0.35">
      <c r="A27" s="2" t="s">
        <v>93</v>
      </c>
      <c r="B27">
        <v>19.209617579908709</v>
      </c>
      <c r="D27">
        <f t="shared" si="3"/>
        <v>19.209617579908709</v>
      </c>
      <c r="E27">
        <f t="shared" si="2"/>
        <v>288.14426369863065</v>
      </c>
      <c r="F27" t="s">
        <v>49</v>
      </c>
    </row>
    <row r="28" spans="1:6" x14ac:dyDescent="0.35">
      <c r="A28" s="2" t="s">
        <v>94</v>
      </c>
      <c r="B28">
        <v>69.127430555555549</v>
      </c>
      <c r="D28">
        <f t="shared" si="3"/>
        <v>69.127430555555549</v>
      </c>
      <c r="E28">
        <f t="shared" si="2"/>
        <v>1036.9114583333333</v>
      </c>
      <c r="F28" t="s">
        <v>49</v>
      </c>
    </row>
    <row r="29" spans="1:6" x14ac:dyDescent="0.35">
      <c r="A29" s="2" t="s">
        <v>39</v>
      </c>
      <c r="B29">
        <v>19.83745293965778</v>
      </c>
      <c r="D29">
        <f t="shared" si="3"/>
        <v>19.83745293965778</v>
      </c>
      <c r="E29">
        <f t="shared" si="2"/>
        <v>297.56179409486668</v>
      </c>
      <c r="F2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CurrentPTC - land</vt:lpstr>
      <vt:lpstr>RevisedPTC - land</vt:lpstr>
      <vt:lpstr>CurrentPTC - fixed</vt:lpstr>
      <vt:lpstr>RevisedPTC - fixed</vt:lpstr>
      <vt:lpstr>CurrentPTC - floating</vt:lpstr>
      <vt:lpstr>RevisedPTC - floating</vt:lpstr>
      <vt:lpstr>15MW_data</vt:lpstr>
      <vt:lpstr>15MW_data_floating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Shields, Matt</dc:creator>
  <cp:lastModifiedBy>Shields, Matt</cp:lastModifiedBy>
  <dcterms:created xsi:type="dcterms:W3CDTF">2021-08-23T19:24:21Z</dcterms:created>
  <dcterms:modified xsi:type="dcterms:W3CDTF">2021-08-27T17:55:12Z</dcterms:modified>
</cp:coreProperties>
</file>