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codeName="ThisWorkbook" defaultThemeVersion="124226"/>
  <mc:AlternateContent xmlns:mc="http://schemas.openxmlformats.org/markup-compatibility/2006">
    <mc:Choice Requires="x15">
      <x15ac:absPath xmlns:x15ac="http://schemas.microsoft.com/office/spreadsheetml/2010/11/ac" url="C:\Users\Don\Documents\DK Water Resource Consulting\LLRM templates\"/>
    </mc:Choice>
  </mc:AlternateContent>
  <xr:revisionPtr revIDLastSave="0" documentId="8_{7053ED82-6ACD-4787-9391-CEA5C7848616}" xr6:coauthVersionLast="45" xr6:coauthVersionMax="45" xr10:uidLastSave="{00000000-0000-0000-0000-000000000000}"/>
  <bookViews>
    <workbookView xWindow="-120" yWindow="-120" windowWidth="25440" windowHeight="15390" tabRatio="551" activeTab="3" xr2:uid="{00000000-000D-0000-FFFF-FFFF00000000}"/>
  </bookViews>
  <sheets>
    <sheet name="Project Notes" sheetId="4" r:id="rId1"/>
    <sheet name="Reference Variables" sheetId="1" r:id="rId2"/>
    <sheet name="Calculations" sheetId="2" r:id="rId3"/>
    <sheet name="Predictions" sheetId="3" r:id="rId4"/>
    <sheet name="Watershed Maps" sheetId="20" r:id="rId5"/>
    <sheet name="Graphics" sheetId="19" r:id="rId6"/>
    <sheet name="Internal load calcs" sheetId="18" r:id="rId7"/>
    <sheet name="WQ Table" sheetId="14" r:id="rId8"/>
    <sheet name="Water and TP Loading" sheetId="5" r:id="rId9"/>
    <sheet name="Land Use" sheetId="6" r:id="rId10"/>
    <sheet name="Runoff-Baseflow Fractions" sheetId="8" r:id="rId11"/>
    <sheet name="LU Coef" sheetId="10" r:id="rId12"/>
    <sheet name="Septic" sheetId="11" r:id="rId13"/>
    <sheet name="Waterfowl calculations" sheetId="17" r:id="rId14"/>
  </sheets>
  <definedNames>
    <definedName name="_Toc1">'Water and TP Loading'!$A$1</definedName>
    <definedName name="_Toc189628806" localSheetId="8">'Water and TP Loading'!$F$1</definedName>
    <definedName name="_Toc189628807" localSheetId="9">'Land Use'!$A$1</definedName>
    <definedName name="_Toc189628808" localSheetId="9">'Land Use'!$A$41</definedName>
    <definedName name="_Toc189628809" localSheetId="8">'Water and TP Loading'!$A$1</definedName>
    <definedName name="Agric1CvrCrop">#REF!</definedName>
    <definedName name="Agric2RowCrop">#REF!</definedName>
    <definedName name="Agric3Grazing">#REF!</definedName>
    <definedName name="Agric4Hayfield">#REF!</definedName>
    <definedName name="BMPefficency">#REF!</definedName>
    <definedName name="BMPs">#REF!</definedName>
    <definedName name="Coefficients">Calculations!$A$14:$H$32</definedName>
    <definedName name="Forest1Deciduous">#REF!</definedName>
    <definedName name="Forest2NonDeciduous">#REF!</definedName>
    <definedName name="Forest3Mixed">#REF!</definedName>
    <definedName name="Forest4Wetland">#REF!</definedName>
    <definedName name="LANDUSE">Calculations!$A$14:$A$32</definedName>
    <definedName name="Open1WetlandLake">#REF!</definedName>
    <definedName name="Open2Meadow">#REF!</definedName>
    <definedName name="Open3Excavation">#REF!</definedName>
    <definedName name="Urban1LowDensityResidential">#REF!</definedName>
    <definedName name="Urban2MidDensityResidentialCommercial">#REF!</definedName>
    <definedName name="Urban3Roads">#REF!</definedName>
    <definedName name="Urban4Industrial">#REF!</definedName>
    <definedName name="Urban5MowedField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3" i="10" l="1"/>
  <c r="E22" i="10"/>
  <c r="E21" i="10"/>
  <c r="E20" i="10"/>
  <c r="E19" i="10"/>
  <c r="E18" i="10"/>
  <c r="E17" i="10"/>
  <c r="E16" i="10"/>
  <c r="E15" i="10"/>
  <c r="E14" i="10"/>
  <c r="E13" i="10"/>
  <c r="E12" i="10"/>
  <c r="E11" i="10"/>
  <c r="E10" i="10"/>
  <c r="E9" i="10"/>
  <c r="E8" i="10"/>
  <c r="E7" i="10"/>
  <c r="E6" i="10"/>
  <c r="E5" i="10"/>
  <c r="E4" i="10"/>
  <c r="C23" i="10"/>
  <c r="C22" i="10"/>
  <c r="C21" i="10"/>
  <c r="C20" i="10"/>
  <c r="C19" i="10"/>
  <c r="C18" i="10"/>
  <c r="C17" i="10"/>
  <c r="C16" i="10"/>
  <c r="C15" i="10"/>
  <c r="C14" i="10"/>
  <c r="C13" i="10"/>
  <c r="C12" i="10"/>
  <c r="C11" i="10"/>
  <c r="C10" i="10"/>
  <c r="C9" i="10"/>
  <c r="C8" i="10"/>
  <c r="C7" i="10"/>
  <c r="C6" i="10"/>
  <c r="C5" i="10"/>
  <c r="C4" i="10"/>
  <c r="A23" i="10"/>
  <c r="A22" i="10"/>
  <c r="A21" i="10"/>
  <c r="A20" i="10"/>
  <c r="A19" i="10"/>
  <c r="A18" i="10"/>
  <c r="A17" i="10"/>
  <c r="A16" i="10"/>
  <c r="A15" i="10"/>
  <c r="A14" i="10"/>
  <c r="A13" i="10"/>
  <c r="A12" i="10"/>
  <c r="A11" i="10"/>
  <c r="A10" i="10"/>
  <c r="A9" i="10"/>
  <c r="A8" i="10"/>
  <c r="A7" i="10"/>
  <c r="A6" i="10"/>
  <c r="A5" i="10"/>
  <c r="C29" i="8"/>
  <c r="C28" i="8"/>
  <c r="C27" i="8"/>
  <c r="C26" i="8"/>
  <c r="C25" i="8"/>
  <c r="C24" i="8"/>
  <c r="C23" i="8"/>
  <c r="C22" i="8"/>
  <c r="C21" i="8"/>
  <c r="C20" i="8"/>
  <c r="C19" i="8"/>
  <c r="C18" i="8"/>
  <c r="C17" i="8"/>
  <c r="C16" i="8"/>
  <c r="C15" i="8"/>
  <c r="C14" i="8"/>
  <c r="C13" i="8"/>
  <c r="C12" i="8"/>
  <c r="C11" i="8"/>
  <c r="C10" i="8"/>
  <c r="B29" i="8"/>
  <c r="B28" i="8"/>
  <c r="B27" i="8"/>
  <c r="B26" i="8"/>
  <c r="B25" i="8"/>
  <c r="B24" i="8"/>
  <c r="B23" i="8"/>
  <c r="B22" i="8"/>
  <c r="B21" i="8"/>
  <c r="B20" i="8"/>
  <c r="B19" i="8"/>
  <c r="B18" i="8"/>
  <c r="B17" i="8"/>
  <c r="B16" i="8"/>
  <c r="B15" i="8"/>
  <c r="B14" i="8"/>
  <c r="B13" i="8"/>
  <c r="B12" i="8"/>
  <c r="B11" i="8"/>
  <c r="B10" i="8"/>
  <c r="A29" i="8"/>
  <c r="A28" i="8"/>
  <c r="A27" i="8"/>
  <c r="A26" i="8"/>
  <c r="A25" i="8"/>
  <c r="A24" i="8"/>
  <c r="A23" i="8"/>
  <c r="A22" i="8"/>
  <c r="A21" i="8"/>
  <c r="A20" i="8"/>
  <c r="A19" i="8"/>
  <c r="A18" i="8"/>
  <c r="A17" i="8"/>
  <c r="A16" i="8"/>
  <c r="A15" i="8"/>
  <c r="A14" i="8"/>
  <c r="A13" i="8"/>
  <c r="A12" i="8"/>
  <c r="A11" i="8"/>
  <c r="A10" i="8"/>
  <c r="A9" i="8"/>
  <c r="P4" i="6"/>
  <c r="O25" i="6"/>
  <c r="N25" i="6"/>
  <c r="M25" i="6"/>
  <c r="L25" i="6"/>
  <c r="K25" i="6"/>
  <c r="J25" i="6"/>
  <c r="I25" i="6"/>
  <c r="H25" i="6"/>
  <c r="G25" i="6"/>
  <c r="F25" i="6"/>
  <c r="E25" i="6"/>
  <c r="D25" i="6"/>
  <c r="C25" i="6"/>
  <c r="B25" i="6"/>
  <c r="O24" i="6"/>
  <c r="N24" i="6"/>
  <c r="M24" i="6"/>
  <c r="L24" i="6"/>
  <c r="K24" i="6"/>
  <c r="J24" i="6"/>
  <c r="I24" i="6"/>
  <c r="H24" i="6"/>
  <c r="G24" i="6"/>
  <c r="F24" i="6"/>
  <c r="E24" i="6"/>
  <c r="D24" i="6"/>
  <c r="C24" i="6"/>
  <c r="B24" i="6"/>
  <c r="O23" i="6"/>
  <c r="N23" i="6"/>
  <c r="M23" i="6"/>
  <c r="L23" i="6"/>
  <c r="K23" i="6"/>
  <c r="J23" i="6"/>
  <c r="I23" i="6"/>
  <c r="H23" i="6"/>
  <c r="G23" i="6"/>
  <c r="F23" i="6"/>
  <c r="E23" i="6"/>
  <c r="D23" i="6"/>
  <c r="C23" i="6"/>
  <c r="B23" i="6"/>
  <c r="O22" i="6"/>
  <c r="N22" i="6"/>
  <c r="M22" i="6"/>
  <c r="L22" i="6"/>
  <c r="K22" i="6"/>
  <c r="J22" i="6"/>
  <c r="I22" i="6"/>
  <c r="H22" i="6"/>
  <c r="G22" i="6"/>
  <c r="F22" i="6"/>
  <c r="E22" i="6"/>
  <c r="D22" i="6"/>
  <c r="C22" i="6"/>
  <c r="B22" i="6"/>
  <c r="O21" i="6"/>
  <c r="N21" i="6"/>
  <c r="M21" i="6"/>
  <c r="L21" i="6"/>
  <c r="K21" i="6"/>
  <c r="J21" i="6"/>
  <c r="I21" i="6"/>
  <c r="H21" i="6"/>
  <c r="G21" i="6"/>
  <c r="F21" i="6"/>
  <c r="E21" i="6"/>
  <c r="D21" i="6"/>
  <c r="C21" i="6"/>
  <c r="B21" i="6"/>
  <c r="O20" i="6"/>
  <c r="N20" i="6"/>
  <c r="M20" i="6"/>
  <c r="L20" i="6"/>
  <c r="K20" i="6"/>
  <c r="J20" i="6"/>
  <c r="I20" i="6"/>
  <c r="H20" i="6"/>
  <c r="G20" i="6"/>
  <c r="F20" i="6"/>
  <c r="E20" i="6"/>
  <c r="D20" i="6"/>
  <c r="C20" i="6"/>
  <c r="B20" i="6"/>
  <c r="O19" i="6"/>
  <c r="N19" i="6"/>
  <c r="M19" i="6"/>
  <c r="L19" i="6"/>
  <c r="K19" i="6"/>
  <c r="J19" i="6"/>
  <c r="I19" i="6"/>
  <c r="H19" i="6"/>
  <c r="G19" i="6"/>
  <c r="F19" i="6"/>
  <c r="E19" i="6"/>
  <c r="D19" i="6"/>
  <c r="C19" i="6"/>
  <c r="B19" i="6"/>
  <c r="O18" i="6"/>
  <c r="N18" i="6"/>
  <c r="M18" i="6"/>
  <c r="L18" i="6"/>
  <c r="K18" i="6"/>
  <c r="J18" i="6"/>
  <c r="I18" i="6"/>
  <c r="H18" i="6"/>
  <c r="G18" i="6"/>
  <c r="F18" i="6"/>
  <c r="E18" i="6"/>
  <c r="D18" i="6"/>
  <c r="C18" i="6"/>
  <c r="B18" i="6"/>
  <c r="O17" i="6"/>
  <c r="N17" i="6"/>
  <c r="M17" i="6"/>
  <c r="L17" i="6"/>
  <c r="K17" i="6"/>
  <c r="J17" i="6"/>
  <c r="I17" i="6"/>
  <c r="H17" i="6"/>
  <c r="G17" i="6"/>
  <c r="F17" i="6"/>
  <c r="E17" i="6"/>
  <c r="D17" i="6"/>
  <c r="C17" i="6"/>
  <c r="B17" i="6"/>
  <c r="O16" i="6"/>
  <c r="N16" i="6"/>
  <c r="M16" i="6"/>
  <c r="L16" i="6"/>
  <c r="K16" i="6"/>
  <c r="J16" i="6"/>
  <c r="I16" i="6"/>
  <c r="H16" i="6"/>
  <c r="G16" i="6"/>
  <c r="F16" i="6"/>
  <c r="E16" i="6"/>
  <c r="D16" i="6"/>
  <c r="C16" i="6"/>
  <c r="B16" i="6"/>
  <c r="O15" i="6"/>
  <c r="N15" i="6"/>
  <c r="M15" i="6"/>
  <c r="L15" i="6"/>
  <c r="K15" i="6"/>
  <c r="J15" i="6"/>
  <c r="I15" i="6"/>
  <c r="H15" i="6"/>
  <c r="G15" i="6"/>
  <c r="F15" i="6"/>
  <c r="E15" i="6"/>
  <c r="D15" i="6"/>
  <c r="C15" i="6"/>
  <c r="B15" i="6"/>
  <c r="O14" i="6"/>
  <c r="N14" i="6"/>
  <c r="M14" i="6"/>
  <c r="L14" i="6"/>
  <c r="K14" i="6"/>
  <c r="J14" i="6"/>
  <c r="I14" i="6"/>
  <c r="H14" i="6"/>
  <c r="G14" i="6"/>
  <c r="F14" i="6"/>
  <c r="E14" i="6"/>
  <c r="D14" i="6"/>
  <c r="C14" i="6"/>
  <c r="B14" i="6"/>
  <c r="O13" i="6"/>
  <c r="N13" i="6"/>
  <c r="M13" i="6"/>
  <c r="L13" i="6"/>
  <c r="K13" i="6"/>
  <c r="J13" i="6"/>
  <c r="I13" i="6"/>
  <c r="H13" i="6"/>
  <c r="G13" i="6"/>
  <c r="F13" i="6"/>
  <c r="E13" i="6"/>
  <c r="D13" i="6"/>
  <c r="C13" i="6"/>
  <c r="B13" i="6"/>
  <c r="O12" i="6"/>
  <c r="N12" i="6"/>
  <c r="M12" i="6"/>
  <c r="L12" i="6"/>
  <c r="K12" i="6"/>
  <c r="J12" i="6"/>
  <c r="I12" i="6"/>
  <c r="H12" i="6"/>
  <c r="G12" i="6"/>
  <c r="F12" i="6"/>
  <c r="E12" i="6"/>
  <c r="D12" i="6"/>
  <c r="C12" i="6"/>
  <c r="B12" i="6"/>
  <c r="O11" i="6"/>
  <c r="N11" i="6"/>
  <c r="M11" i="6"/>
  <c r="L11" i="6"/>
  <c r="K11" i="6"/>
  <c r="J11" i="6"/>
  <c r="I11" i="6"/>
  <c r="H11" i="6"/>
  <c r="G11" i="6"/>
  <c r="F11" i="6"/>
  <c r="E11" i="6"/>
  <c r="D11" i="6"/>
  <c r="C11" i="6"/>
  <c r="B11" i="6"/>
  <c r="O10" i="6"/>
  <c r="N10" i="6"/>
  <c r="M10" i="6"/>
  <c r="L10" i="6"/>
  <c r="K10" i="6"/>
  <c r="J10" i="6"/>
  <c r="I10" i="6"/>
  <c r="H10" i="6"/>
  <c r="G10" i="6"/>
  <c r="F10" i="6"/>
  <c r="E10" i="6"/>
  <c r="D10" i="6"/>
  <c r="C10" i="6"/>
  <c r="B10" i="6"/>
  <c r="O9" i="6"/>
  <c r="N9" i="6"/>
  <c r="M9" i="6"/>
  <c r="L9" i="6"/>
  <c r="K9" i="6"/>
  <c r="J9" i="6"/>
  <c r="I9" i="6"/>
  <c r="H9" i="6"/>
  <c r="G9" i="6"/>
  <c r="F9" i="6"/>
  <c r="E9" i="6"/>
  <c r="D9" i="6"/>
  <c r="C9" i="6"/>
  <c r="B9" i="6"/>
  <c r="O8" i="6"/>
  <c r="N8" i="6"/>
  <c r="M8" i="6"/>
  <c r="L8" i="6"/>
  <c r="K8" i="6"/>
  <c r="J8" i="6"/>
  <c r="I8" i="6"/>
  <c r="H8" i="6"/>
  <c r="G8" i="6"/>
  <c r="F8" i="6"/>
  <c r="E8" i="6"/>
  <c r="D8" i="6"/>
  <c r="C8" i="6"/>
  <c r="B8" i="6"/>
  <c r="O7" i="6"/>
  <c r="N7" i="6"/>
  <c r="M7" i="6"/>
  <c r="L7" i="6"/>
  <c r="K7" i="6"/>
  <c r="J7" i="6"/>
  <c r="I7" i="6"/>
  <c r="H7" i="6"/>
  <c r="G7" i="6"/>
  <c r="F7" i="6"/>
  <c r="E7" i="6"/>
  <c r="D7" i="6"/>
  <c r="C7" i="6"/>
  <c r="B7" i="6"/>
  <c r="O6" i="6"/>
  <c r="N6" i="6"/>
  <c r="M6" i="6"/>
  <c r="L6" i="6"/>
  <c r="K6" i="6"/>
  <c r="J6" i="6"/>
  <c r="I6" i="6"/>
  <c r="H6" i="6"/>
  <c r="G6" i="6"/>
  <c r="F6" i="6"/>
  <c r="E6" i="6"/>
  <c r="D6" i="6"/>
  <c r="C6" i="6"/>
  <c r="B6" i="6"/>
  <c r="O5" i="6"/>
  <c r="N5" i="6"/>
  <c r="M5" i="6"/>
  <c r="L5" i="6"/>
  <c r="K5" i="6"/>
  <c r="J5" i="6"/>
  <c r="I5" i="6"/>
  <c r="H5" i="6"/>
  <c r="G5" i="6"/>
  <c r="F5" i="6"/>
  <c r="E5" i="6"/>
  <c r="D5" i="6"/>
  <c r="C5" i="6"/>
  <c r="B5" i="6"/>
  <c r="A4" i="6"/>
  <c r="G8" i="5"/>
  <c r="G5" i="5"/>
  <c r="G4" i="5"/>
  <c r="F8" i="5"/>
  <c r="F7" i="5"/>
  <c r="F6" i="5"/>
  <c r="F5" i="5"/>
  <c r="F4" i="5"/>
  <c r="F3" i="5"/>
  <c r="O4" i="6" l="1"/>
  <c r="N4" i="6"/>
  <c r="M4" i="6"/>
  <c r="L4" i="6"/>
  <c r="K4" i="6"/>
  <c r="J4" i="6"/>
  <c r="I4" i="6"/>
  <c r="H4" i="6"/>
  <c r="G4" i="6"/>
  <c r="F4" i="6"/>
  <c r="E4" i="6"/>
  <c r="D4" i="6"/>
  <c r="C4" i="6"/>
  <c r="A27" i="5"/>
  <c r="A7" i="5"/>
  <c r="AG173" i="2" l="1"/>
  <c r="AF173" i="2"/>
  <c r="AE173" i="2"/>
  <c r="AD173" i="2"/>
  <c r="AC173" i="2"/>
  <c r="AB173" i="2"/>
  <c r="AA173" i="2"/>
  <c r="Z173" i="2"/>
  <c r="Y173" i="2"/>
  <c r="X173" i="2"/>
  <c r="W173" i="2"/>
  <c r="V173" i="2"/>
  <c r="U173" i="2"/>
  <c r="T173" i="2"/>
  <c r="S173" i="2"/>
  <c r="O173" i="2"/>
  <c r="N173" i="2"/>
  <c r="M173" i="2"/>
  <c r="L173" i="2"/>
  <c r="K173" i="2"/>
  <c r="J173" i="2"/>
  <c r="I173" i="2"/>
  <c r="H173" i="2"/>
  <c r="G173" i="2"/>
  <c r="F173" i="2"/>
  <c r="E173" i="2"/>
  <c r="D173" i="2"/>
  <c r="C173" i="2"/>
  <c r="B173" i="2"/>
  <c r="A173" i="2"/>
  <c r="O144" i="2"/>
  <c r="N144" i="2"/>
  <c r="M144" i="2"/>
  <c r="L144" i="2"/>
  <c r="K144" i="2"/>
  <c r="J144" i="2"/>
  <c r="I144" i="2"/>
  <c r="H144" i="2"/>
  <c r="G144" i="2"/>
  <c r="F144" i="2"/>
  <c r="E144" i="2"/>
  <c r="D144" i="2"/>
  <c r="C144" i="2"/>
  <c r="B144" i="2"/>
  <c r="A144" i="2"/>
  <c r="AG144" i="2"/>
  <c r="AF144" i="2"/>
  <c r="AE144" i="2"/>
  <c r="AD144" i="2"/>
  <c r="AC144" i="2"/>
  <c r="AB144" i="2"/>
  <c r="AA144" i="2"/>
  <c r="Z144" i="2"/>
  <c r="Y144" i="2"/>
  <c r="X144" i="2"/>
  <c r="W144" i="2"/>
  <c r="V144" i="2"/>
  <c r="U144" i="2"/>
  <c r="T144" i="2"/>
  <c r="S144" i="2"/>
  <c r="AG113" i="2"/>
  <c r="AF113" i="2"/>
  <c r="AE113" i="2"/>
  <c r="AD113" i="2"/>
  <c r="AC113" i="2"/>
  <c r="AB113" i="2"/>
  <c r="AA113" i="2"/>
  <c r="Z113" i="2"/>
  <c r="Y113" i="2"/>
  <c r="X113" i="2"/>
  <c r="W113" i="2"/>
  <c r="V113" i="2"/>
  <c r="U113" i="2"/>
  <c r="T113" i="2"/>
  <c r="O113" i="2"/>
  <c r="N113" i="2"/>
  <c r="M113" i="2"/>
  <c r="L113" i="2"/>
  <c r="K113" i="2"/>
  <c r="J113" i="2"/>
  <c r="I113" i="2"/>
  <c r="H113" i="2"/>
  <c r="G113" i="2"/>
  <c r="F113" i="2"/>
  <c r="E113" i="2"/>
  <c r="D113" i="2"/>
  <c r="C113" i="2"/>
  <c r="B113" i="2"/>
  <c r="A113" i="2"/>
  <c r="A83" i="2"/>
  <c r="A14" i="6" s="1"/>
  <c r="S186" i="2"/>
  <c r="S185" i="2"/>
  <c r="S184" i="2"/>
  <c r="AH113" i="2" l="1"/>
  <c r="P113" i="2"/>
  <c r="P173" i="2"/>
  <c r="P144" i="2"/>
  <c r="D307" i="2" l="1"/>
  <c r="G3" i="5" s="1"/>
  <c r="A186" i="2"/>
  <c r="A185" i="2"/>
  <c r="A184" i="2"/>
  <c r="S127" i="2"/>
  <c r="S126" i="2"/>
  <c r="S125" i="2"/>
  <c r="D4" i="11"/>
  <c r="D5" i="11"/>
  <c r="D6" i="11"/>
  <c r="D7" i="11"/>
  <c r="B4" i="11"/>
  <c r="H4" i="11"/>
  <c r="A59" i="2"/>
  <c r="A58" i="2"/>
  <c r="A57" i="2"/>
  <c r="A1" i="11" l="1"/>
  <c r="A1" i="10"/>
  <c r="A7" i="8"/>
  <c r="A1" i="8"/>
  <c r="A1" i="5"/>
  <c r="F1" i="5"/>
  <c r="E42" i="2" l="1"/>
  <c r="O102" i="2" l="1"/>
  <c r="N102" i="2"/>
  <c r="M102" i="2"/>
  <c r="L102" i="2"/>
  <c r="K102" i="2"/>
  <c r="J102" i="2"/>
  <c r="I102" i="2"/>
  <c r="H102" i="2"/>
  <c r="G102" i="2"/>
  <c r="F102" i="2"/>
  <c r="E102" i="2"/>
  <c r="D102" i="2"/>
  <c r="C102" i="2"/>
  <c r="B183" i="2" l="1"/>
  <c r="B182" i="2"/>
  <c r="B181" i="2"/>
  <c r="B180" i="2"/>
  <c r="B179" i="2"/>
  <c r="B178" i="2"/>
  <c r="B177" i="2"/>
  <c r="B176" i="2"/>
  <c r="B175" i="2"/>
  <c r="B174" i="2"/>
  <c r="B172" i="2"/>
  <c r="B171" i="2"/>
  <c r="B170" i="2"/>
  <c r="B169" i="2"/>
  <c r="B168" i="2"/>
  <c r="B167" i="2"/>
  <c r="B166" i="2"/>
  <c r="B165" i="2"/>
  <c r="B164" i="2"/>
  <c r="T183" i="2"/>
  <c r="T182" i="2"/>
  <c r="T181" i="2"/>
  <c r="T180" i="2"/>
  <c r="T179" i="2"/>
  <c r="T178" i="2"/>
  <c r="T177" i="2"/>
  <c r="T176" i="2"/>
  <c r="T175" i="2"/>
  <c r="T174" i="2"/>
  <c r="T172" i="2"/>
  <c r="T171" i="2"/>
  <c r="T170" i="2"/>
  <c r="T169" i="2"/>
  <c r="T168" i="2"/>
  <c r="T167" i="2"/>
  <c r="T166" i="2"/>
  <c r="T165" i="2"/>
  <c r="T164" i="2"/>
  <c r="T154" i="2"/>
  <c r="T153" i="2"/>
  <c r="T152" i="2"/>
  <c r="T151" i="2"/>
  <c r="T150" i="2"/>
  <c r="T149" i="2"/>
  <c r="T148" i="2"/>
  <c r="T147" i="2"/>
  <c r="T146" i="2"/>
  <c r="T145" i="2"/>
  <c r="T143" i="2"/>
  <c r="T142" i="2"/>
  <c r="T141" i="2"/>
  <c r="T140" i="2"/>
  <c r="T139" i="2"/>
  <c r="T138" i="2"/>
  <c r="T137" i="2"/>
  <c r="T136" i="2"/>
  <c r="T135" i="2"/>
  <c r="B154" i="2"/>
  <c r="B153" i="2"/>
  <c r="B152" i="2"/>
  <c r="B151" i="2"/>
  <c r="B150" i="2"/>
  <c r="B149" i="2"/>
  <c r="B148" i="2"/>
  <c r="B147" i="2"/>
  <c r="B146" i="2"/>
  <c r="B145" i="2"/>
  <c r="B143" i="2"/>
  <c r="B142" i="2"/>
  <c r="B141" i="2"/>
  <c r="B140" i="2"/>
  <c r="B139" i="2"/>
  <c r="B138" i="2"/>
  <c r="B137" i="2"/>
  <c r="B136" i="2"/>
  <c r="B135" i="2"/>
  <c r="T124" i="2"/>
  <c r="T123" i="2"/>
  <c r="T122" i="2"/>
  <c r="T121" i="2"/>
  <c r="T120" i="2"/>
  <c r="T119" i="2"/>
  <c r="T118" i="2"/>
  <c r="T117" i="2"/>
  <c r="T116" i="2"/>
  <c r="T115" i="2"/>
  <c r="T114" i="2"/>
  <c r="T112" i="2"/>
  <c r="T111" i="2"/>
  <c r="T110" i="2"/>
  <c r="T109" i="2"/>
  <c r="T108" i="2"/>
  <c r="T107" i="2"/>
  <c r="T106" i="2"/>
  <c r="T105" i="2"/>
  <c r="T104" i="2"/>
  <c r="B124" i="2"/>
  <c r="B123" i="2"/>
  <c r="B122" i="2"/>
  <c r="B121" i="2"/>
  <c r="B120" i="2"/>
  <c r="B119" i="2"/>
  <c r="B118" i="2"/>
  <c r="B117" i="2"/>
  <c r="B116" i="2"/>
  <c r="B115" i="2"/>
  <c r="B114" i="2"/>
  <c r="B112" i="2"/>
  <c r="B111" i="2"/>
  <c r="B110" i="2"/>
  <c r="B109" i="2"/>
  <c r="B108" i="2"/>
  <c r="B107" i="2"/>
  <c r="B106" i="2"/>
  <c r="B105" i="2"/>
  <c r="B104" i="2"/>
  <c r="B128" i="2" l="1"/>
  <c r="AG186" i="2"/>
  <c r="AF186" i="2"/>
  <c r="AE186" i="2"/>
  <c r="AD186" i="2"/>
  <c r="AC186" i="2"/>
  <c r="AB186" i="2"/>
  <c r="AA186" i="2"/>
  <c r="Z186" i="2"/>
  <c r="Y186" i="2"/>
  <c r="X186" i="2"/>
  <c r="V186" i="2"/>
  <c r="AG185" i="2"/>
  <c r="AF185" i="2"/>
  <c r="AE185" i="2"/>
  <c r="AD185" i="2"/>
  <c r="AC185" i="2"/>
  <c r="AB185" i="2"/>
  <c r="AA185" i="2"/>
  <c r="Z185" i="2"/>
  <c r="Y185" i="2"/>
  <c r="X185" i="2"/>
  <c r="W185" i="2"/>
  <c r="AG184" i="2"/>
  <c r="AF184" i="2"/>
  <c r="AE184" i="2"/>
  <c r="AD184" i="2"/>
  <c r="AC184" i="2"/>
  <c r="AB184" i="2"/>
  <c r="AA184" i="2"/>
  <c r="Z184" i="2"/>
  <c r="Y184" i="2"/>
  <c r="X184" i="2"/>
  <c r="W184" i="2"/>
  <c r="V184" i="2"/>
  <c r="O186" i="2" l="1"/>
  <c r="N186" i="2"/>
  <c r="M186" i="2"/>
  <c r="L186" i="2"/>
  <c r="K186" i="2"/>
  <c r="J186" i="2"/>
  <c r="I186" i="2"/>
  <c r="H186" i="2"/>
  <c r="G186" i="2"/>
  <c r="F186" i="2"/>
  <c r="D186" i="2"/>
  <c r="O185" i="2"/>
  <c r="N185" i="2"/>
  <c r="M185" i="2"/>
  <c r="L185" i="2"/>
  <c r="K185" i="2"/>
  <c r="J185" i="2"/>
  <c r="I185" i="2"/>
  <c r="H185" i="2"/>
  <c r="G185" i="2"/>
  <c r="F185" i="2"/>
  <c r="E185" i="2"/>
  <c r="O184" i="2"/>
  <c r="N184" i="2"/>
  <c r="M184" i="2"/>
  <c r="L184" i="2"/>
  <c r="K184" i="2"/>
  <c r="J184" i="2"/>
  <c r="I184" i="2"/>
  <c r="H184" i="2"/>
  <c r="F184" i="2"/>
  <c r="E184" i="2"/>
  <c r="D184" i="2"/>
  <c r="AG127" i="2"/>
  <c r="AF127" i="2"/>
  <c r="AE127" i="2"/>
  <c r="AD127" i="2"/>
  <c r="AC127" i="2"/>
  <c r="AB127" i="2"/>
  <c r="AA127" i="2"/>
  <c r="Z127" i="2"/>
  <c r="Y127" i="2"/>
  <c r="X127" i="2"/>
  <c r="AG126" i="2"/>
  <c r="AF126" i="2"/>
  <c r="AE126" i="2"/>
  <c r="AD126" i="2"/>
  <c r="AC126" i="2"/>
  <c r="AB126" i="2"/>
  <c r="AA126" i="2"/>
  <c r="Z126" i="2"/>
  <c r="Y126" i="2"/>
  <c r="X126" i="2"/>
  <c r="W126" i="2"/>
  <c r="AG125" i="2"/>
  <c r="AF125" i="2"/>
  <c r="AE125" i="2"/>
  <c r="AD125" i="2"/>
  <c r="AC125" i="2"/>
  <c r="AB125" i="2"/>
  <c r="AA125" i="2"/>
  <c r="Z125" i="2"/>
  <c r="Y125" i="2"/>
  <c r="X125" i="2"/>
  <c r="W125" i="2"/>
  <c r="V127" i="2"/>
  <c r="V125" i="2"/>
  <c r="P97" i="2" l="1"/>
  <c r="P96" i="2"/>
  <c r="P95" i="2"/>
  <c r="P94" i="2"/>
  <c r="P25" i="6" s="1"/>
  <c r="P93" i="2"/>
  <c r="P24" i="6" s="1"/>
  <c r="P92" i="2"/>
  <c r="P23" i="6" s="1"/>
  <c r="P91" i="2"/>
  <c r="P22" i="6" s="1"/>
  <c r="P90" i="2"/>
  <c r="P21" i="6" s="1"/>
  <c r="P89" i="2"/>
  <c r="P20" i="6" s="1"/>
  <c r="P88" i="2"/>
  <c r="P19" i="6" s="1"/>
  <c r="P87" i="2"/>
  <c r="P18" i="6" s="1"/>
  <c r="P86" i="2"/>
  <c r="P17" i="6" s="1"/>
  <c r="P85" i="2"/>
  <c r="P16" i="6" s="1"/>
  <c r="P84" i="2"/>
  <c r="P15" i="6" s="1"/>
  <c r="P83" i="2"/>
  <c r="P82" i="2"/>
  <c r="P13" i="6" s="1"/>
  <c r="P81" i="2"/>
  <c r="P12" i="6" s="1"/>
  <c r="P80" i="2"/>
  <c r="P11" i="6" s="1"/>
  <c r="P79" i="2"/>
  <c r="P10" i="6" s="1"/>
  <c r="P78" i="2"/>
  <c r="P9" i="6" s="1"/>
  <c r="P77" i="2"/>
  <c r="P76" i="2"/>
  <c r="P7" i="6" s="1"/>
  <c r="P75" i="2"/>
  <c r="P6" i="6" s="1"/>
  <c r="P74" i="2"/>
  <c r="P5" i="6" s="1"/>
  <c r="AG183" i="2"/>
  <c r="AF183" i="2"/>
  <c r="AE183" i="2"/>
  <c r="AD183" i="2"/>
  <c r="AC183" i="2"/>
  <c r="AB183" i="2"/>
  <c r="AA183" i="2"/>
  <c r="Z183" i="2"/>
  <c r="Y183" i="2"/>
  <c r="X183" i="2"/>
  <c r="AG182" i="2"/>
  <c r="AF182" i="2"/>
  <c r="AE182" i="2"/>
  <c r="AD182" i="2"/>
  <c r="AC182" i="2"/>
  <c r="AB182" i="2"/>
  <c r="AA182" i="2"/>
  <c r="Z182" i="2"/>
  <c r="Y182" i="2"/>
  <c r="X182" i="2"/>
  <c r="AG181" i="2"/>
  <c r="AF181" i="2"/>
  <c r="AE181" i="2"/>
  <c r="AD181" i="2"/>
  <c r="AC181" i="2"/>
  <c r="AB181" i="2"/>
  <c r="AA181" i="2"/>
  <c r="Z181" i="2"/>
  <c r="Y181" i="2"/>
  <c r="X181" i="2"/>
  <c r="AG180" i="2"/>
  <c r="AF180" i="2"/>
  <c r="AE180" i="2"/>
  <c r="AD180" i="2"/>
  <c r="AC180" i="2"/>
  <c r="AB180" i="2"/>
  <c r="AA180" i="2"/>
  <c r="Z180" i="2"/>
  <c r="Y180" i="2"/>
  <c r="X180" i="2"/>
  <c r="AG179" i="2"/>
  <c r="AF179" i="2"/>
  <c r="AE179" i="2"/>
  <c r="AD179" i="2"/>
  <c r="AC179" i="2"/>
  <c r="AB179" i="2"/>
  <c r="AA179" i="2"/>
  <c r="Z179" i="2"/>
  <c r="Y179" i="2"/>
  <c r="X179" i="2"/>
  <c r="AG178" i="2"/>
  <c r="AF178" i="2"/>
  <c r="AE178" i="2"/>
  <c r="AD178" i="2"/>
  <c r="AC178" i="2"/>
  <c r="AB178" i="2"/>
  <c r="AA178" i="2"/>
  <c r="Z178" i="2"/>
  <c r="Y178" i="2"/>
  <c r="X178" i="2"/>
  <c r="AG177" i="2"/>
  <c r="AF177" i="2"/>
  <c r="AE177" i="2"/>
  <c r="AD177" i="2"/>
  <c r="AC177" i="2"/>
  <c r="AB177" i="2"/>
  <c r="AA177" i="2"/>
  <c r="Z177" i="2"/>
  <c r="Y177" i="2"/>
  <c r="X177" i="2"/>
  <c r="AG176" i="2"/>
  <c r="AF176" i="2"/>
  <c r="AE176" i="2"/>
  <c r="AD176" i="2"/>
  <c r="AC176" i="2"/>
  <c r="AB176" i="2"/>
  <c r="AA176" i="2"/>
  <c r="Z176" i="2"/>
  <c r="Y176" i="2"/>
  <c r="X176" i="2"/>
  <c r="AG175" i="2"/>
  <c r="AF175" i="2"/>
  <c r="AE175" i="2"/>
  <c r="AD175" i="2"/>
  <c r="AC175" i="2"/>
  <c r="AB175" i="2"/>
  <c r="AA175" i="2"/>
  <c r="Z175" i="2"/>
  <c r="Y175" i="2"/>
  <c r="X175" i="2"/>
  <c r="AG174" i="2"/>
  <c r="AF174" i="2"/>
  <c r="AE174" i="2"/>
  <c r="AD174" i="2"/>
  <c r="AC174" i="2"/>
  <c r="AB174" i="2"/>
  <c r="AA174" i="2"/>
  <c r="Z174" i="2"/>
  <c r="Y174" i="2"/>
  <c r="X174" i="2"/>
  <c r="AG172" i="2"/>
  <c r="AF172" i="2"/>
  <c r="AE172" i="2"/>
  <c r="AD172" i="2"/>
  <c r="AC172" i="2"/>
  <c r="AB172" i="2"/>
  <c r="AA172" i="2"/>
  <c r="Z172" i="2"/>
  <c r="Y172" i="2"/>
  <c r="X172" i="2"/>
  <c r="AG171" i="2"/>
  <c r="AF171" i="2"/>
  <c r="AE171" i="2"/>
  <c r="AD171" i="2"/>
  <c r="AC171" i="2"/>
  <c r="AB171" i="2"/>
  <c r="AA171" i="2"/>
  <c r="Z171" i="2"/>
  <c r="Y171" i="2"/>
  <c r="X171" i="2"/>
  <c r="AG170" i="2"/>
  <c r="AF170" i="2"/>
  <c r="AE170" i="2"/>
  <c r="AD170" i="2"/>
  <c r="AC170" i="2"/>
  <c r="AB170" i="2"/>
  <c r="AA170" i="2"/>
  <c r="Z170" i="2"/>
  <c r="Y170" i="2"/>
  <c r="X170" i="2"/>
  <c r="AG169" i="2"/>
  <c r="AF169" i="2"/>
  <c r="AE169" i="2"/>
  <c r="AD169" i="2"/>
  <c r="AC169" i="2"/>
  <c r="AB169" i="2"/>
  <c r="AA169" i="2"/>
  <c r="Z169" i="2"/>
  <c r="Y169" i="2"/>
  <c r="X169" i="2"/>
  <c r="AG168" i="2"/>
  <c r="AF168" i="2"/>
  <c r="AE168" i="2"/>
  <c r="AD168" i="2"/>
  <c r="AC168" i="2"/>
  <c r="AB168" i="2"/>
  <c r="AA168" i="2"/>
  <c r="Z168" i="2"/>
  <c r="Y168" i="2"/>
  <c r="X168" i="2"/>
  <c r="AG167" i="2"/>
  <c r="AF167" i="2"/>
  <c r="AE167" i="2"/>
  <c r="AD167" i="2"/>
  <c r="AC167" i="2"/>
  <c r="AB167" i="2"/>
  <c r="AA167" i="2"/>
  <c r="Z167" i="2"/>
  <c r="Y167" i="2"/>
  <c r="X167" i="2"/>
  <c r="AG166" i="2"/>
  <c r="AF166" i="2"/>
  <c r="AE166" i="2"/>
  <c r="AD166" i="2"/>
  <c r="AC166" i="2"/>
  <c r="AB166" i="2"/>
  <c r="AA166" i="2"/>
  <c r="Z166" i="2"/>
  <c r="Y166" i="2"/>
  <c r="X166" i="2"/>
  <c r="AG165" i="2"/>
  <c r="AF165" i="2"/>
  <c r="AE165" i="2"/>
  <c r="AD165" i="2"/>
  <c r="AC165" i="2"/>
  <c r="AB165" i="2"/>
  <c r="AA165" i="2"/>
  <c r="Z165" i="2"/>
  <c r="Y165" i="2"/>
  <c r="X165" i="2"/>
  <c r="AG164" i="2"/>
  <c r="AF164" i="2"/>
  <c r="AE164" i="2"/>
  <c r="AD164" i="2"/>
  <c r="AC164" i="2"/>
  <c r="AB164" i="2"/>
  <c r="AA164" i="2"/>
  <c r="Z164" i="2"/>
  <c r="Y164" i="2"/>
  <c r="X164" i="2"/>
  <c r="V183" i="2"/>
  <c r="V182" i="2"/>
  <c r="V181" i="2"/>
  <c r="V180" i="2"/>
  <c r="V179" i="2"/>
  <c r="V178" i="2"/>
  <c r="V177" i="2"/>
  <c r="V176" i="2"/>
  <c r="V175" i="2"/>
  <c r="V174" i="2"/>
  <c r="V172" i="2"/>
  <c r="V171" i="2"/>
  <c r="V170" i="2"/>
  <c r="V169" i="2"/>
  <c r="V168" i="2"/>
  <c r="V167" i="2"/>
  <c r="V166" i="2"/>
  <c r="V165" i="2"/>
  <c r="O183" i="2"/>
  <c r="N183" i="2"/>
  <c r="M183" i="2"/>
  <c r="L183" i="2"/>
  <c r="K183" i="2"/>
  <c r="J183" i="2"/>
  <c r="I183" i="2"/>
  <c r="H183" i="2"/>
  <c r="G183" i="2"/>
  <c r="F183" i="2"/>
  <c r="O182" i="2"/>
  <c r="N182" i="2"/>
  <c r="M182" i="2"/>
  <c r="L182" i="2"/>
  <c r="K182" i="2"/>
  <c r="J182" i="2"/>
  <c r="I182" i="2"/>
  <c r="H182" i="2"/>
  <c r="G182" i="2"/>
  <c r="F182" i="2"/>
  <c r="O181" i="2"/>
  <c r="N181" i="2"/>
  <c r="M181" i="2"/>
  <c r="L181" i="2"/>
  <c r="K181" i="2"/>
  <c r="J181" i="2"/>
  <c r="I181" i="2"/>
  <c r="H181" i="2"/>
  <c r="G181" i="2"/>
  <c r="F181" i="2"/>
  <c r="O180" i="2"/>
  <c r="N180" i="2"/>
  <c r="M180" i="2"/>
  <c r="L180" i="2"/>
  <c r="K180" i="2"/>
  <c r="J180" i="2"/>
  <c r="I180" i="2"/>
  <c r="H180" i="2"/>
  <c r="G180" i="2"/>
  <c r="F180" i="2"/>
  <c r="O179" i="2"/>
  <c r="N179" i="2"/>
  <c r="M179" i="2"/>
  <c r="L179" i="2"/>
  <c r="K179" i="2"/>
  <c r="J179" i="2"/>
  <c r="I179" i="2"/>
  <c r="H179" i="2"/>
  <c r="G179" i="2"/>
  <c r="F179" i="2"/>
  <c r="O178" i="2"/>
  <c r="N178" i="2"/>
  <c r="M178" i="2"/>
  <c r="L178" i="2"/>
  <c r="K178" i="2"/>
  <c r="J178" i="2"/>
  <c r="I178" i="2"/>
  <c r="H178" i="2"/>
  <c r="G178" i="2"/>
  <c r="F178" i="2"/>
  <c r="O177" i="2"/>
  <c r="N177" i="2"/>
  <c r="M177" i="2"/>
  <c r="L177" i="2"/>
  <c r="K177" i="2"/>
  <c r="J177" i="2"/>
  <c r="I177" i="2"/>
  <c r="H177" i="2"/>
  <c r="G177" i="2"/>
  <c r="F177" i="2"/>
  <c r="O176" i="2"/>
  <c r="N176" i="2"/>
  <c r="M176" i="2"/>
  <c r="L176" i="2"/>
  <c r="K176" i="2"/>
  <c r="J176" i="2"/>
  <c r="I176" i="2"/>
  <c r="H176" i="2"/>
  <c r="G176" i="2"/>
  <c r="F176" i="2"/>
  <c r="O175" i="2"/>
  <c r="N175" i="2"/>
  <c r="M175" i="2"/>
  <c r="L175" i="2"/>
  <c r="K175" i="2"/>
  <c r="J175" i="2"/>
  <c r="I175" i="2"/>
  <c r="H175" i="2"/>
  <c r="G175" i="2"/>
  <c r="F175" i="2"/>
  <c r="O174" i="2"/>
  <c r="N174" i="2"/>
  <c r="M174" i="2"/>
  <c r="L174" i="2"/>
  <c r="K174" i="2"/>
  <c r="J174" i="2"/>
  <c r="I174" i="2"/>
  <c r="H174" i="2"/>
  <c r="G174" i="2"/>
  <c r="F174" i="2"/>
  <c r="O172" i="2"/>
  <c r="N172" i="2"/>
  <c r="M172" i="2"/>
  <c r="L172" i="2"/>
  <c r="K172" i="2"/>
  <c r="J172" i="2"/>
  <c r="I172" i="2"/>
  <c r="H172" i="2"/>
  <c r="G172" i="2"/>
  <c r="F172" i="2"/>
  <c r="O171" i="2"/>
  <c r="N171" i="2"/>
  <c r="M171" i="2"/>
  <c r="L171" i="2"/>
  <c r="K171" i="2"/>
  <c r="J171" i="2"/>
  <c r="I171" i="2"/>
  <c r="H171" i="2"/>
  <c r="G171" i="2"/>
  <c r="F171" i="2"/>
  <c r="O170" i="2"/>
  <c r="N170" i="2"/>
  <c r="M170" i="2"/>
  <c r="L170" i="2"/>
  <c r="K170" i="2"/>
  <c r="J170" i="2"/>
  <c r="I170" i="2"/>
  <c r="H170" i="2"/>
  <c r="G170" i="2"/>
  <c r="F170" i="2"/>
  <c r="O169" i="2"/>
  <c r="N169" i="2"/>
  <c r="M169" i="2"/>
  <c r="L169" i="2"/>
  <c r="K169" i="2"/>
  <c r="J169" i="2"/>
  <c r="I169" i="2"/>
  <c r="H169" i="2"/>
  <c r="G169" i="2"/>
  <c r="F169" i="2"/>
  <c r="O168" i="2"/>
  <c r="N168" i="2"/>
  <c r="M168" i="2"/>
  <c r="L168" i="2"/>
  <c r="K168" i="2"/>
  <c r="J168" i="2"/>
  <c r="I168" i="2"/>
  <c r="H168" i="2"/>
  <c r="G168" i="2"/>
  <c r="F168" i="2"/>
  <c r="O167" i="2"/>
  <c r="N167" i="2"/>
  <c r="M167" i="2"/>
  <c r="L167" i="2"/>
  <c r="K167" i="2"/>
  <c r="J167" i="2"/>
  <c r="I167" i="2"/>
  <c r="H167" i="2"/>
  <c r="G167" i="2"/>
  <c r="F167" i="2"/>
  <c r="O166" i="2"/>
  <c r="N166" i="2"/>
  <c r="M166" i="2"/>
  <c r="L166" i="2"/>
  <c r="K166" i="2"/>
  <c r="J166" i="2"/>
  <c r="I166" i="2"/>
  <c r="H166" i="2"/>
  <c r="G166" i="2"/>
  <c r="F166" i="2"/>
  <c r="O165" i="2"/>
  <c r="N165" i="2"/>
  <c r="M165" i="2"/>
  <c r="L165" i="2"/>
  <c r="K165" i="2"/>
  <c r="J165" i="2"/>
  <c r="I165" i="2"/>
  <c r="H165" i="2"/>
  <c r="G165" i="2"/>
  <c r="F165" i="2"/>
  <c r="O164" i="2"/>
  <c r="N164" i="2"/>
  <c r="M164" i="2"/>
  <c r="L164" i="2"/>
  <c r="K164" i="2"/>
  <c r="J164" i="2"/>
  <c r="I164" i="2"/>
  <c r="H164" i="2"/>
  <c r="G164" i="2"/>
  <c r="F164" i="2"/>
  <c r="D183" i="2"/>
  <c r="D182" i="2"/>
  <c r="D181" i="2"/>
  <c r="D180" i="2"/>
  <c r="D179" i="2"/>
  <c r="D178" i="2"/>
  <c r="D177" i="2"/>
  <c r="D176" i="2"/>
  <c r="D175" i="2"/>
  <c r="D174" i="2"/>
  <c r="D172" i="2"/>
  <c r="D171" i="2"/>
  <c r="D170" i="2"/>
  <c r="D169" i="2"/>
  <c r="D168" i="2"/>
  <c r="D167" i="2"/>
  <c r="D166" i="2"/>
  <c r="D165" i="2"/>
  <c r="AG157" i="2"/>
  <c r="AF157" i="2"/>
  <c r="AE157" i="2"/>
  <c r="AD157" i="2"/>
  <c r="AC157" i="2"/>
  <c r="AB157" i="2"/>
  <c r="AA157" i="2"/>
  <c r="Z157" i="2"/>
  <c r="Y157" i="2"/>
  <c r="X157" i="2"/>
  <c r="AG156" i="2"/>
  <c r="AF156" i="2"/>
  <c r="AE156" i="2"/>
  <c r="AD156" i="2"/>
  <c r="AC156" i="2"/>
  <c r="AB156" i="2"/>
  <c r="AA156" i="2"/>
  <c r="Z156" i="2"/>
  <c r="Y156" i="2"/>
  <c r="X156" i="2"/>
  <c r="AG155" i="2"/>
  <c r="AF155" i="2"/>
  <c r="AE155" i="2"/>
  <c r="AD155" i="2"/>
  <c r="AC155" i="2"/>
  <c r="AB155" i="2"/>
  <c r="AA155" i="2"/>
  <c r="Z155" i="2"/>
  <c r="Y155" i="2"/>
  <c r="X155" i="2"/>
  <c r="AG154" i="2"/>
  <c r="AF154" i="2"/>
  <c r="AE154" i="2"/>
  <c r="AD154" i="2"/>
  <c r="AC154" i="2"/>
  <c r="AB154" i="2"/>
  <c r="AA154" i="2"/>
  <c r="Z154" i="2"/>
  <c r="Y154" i="2"/>
  <c r="X154" i="2"/>
  <c r="AG153" i="2"/>
  <c r="AF153" i="2"/>
  <c r="AE153" i="2"/>
  <c r="AD153" i="2"/>
  <c r="AC153" i="2"/>
  <c r="AB153" i="2"/>
  <c r="AA153" i="2"/>
  <c r="Z153" i="2"/>
  <c r="Y153" i="2"/>
  <c r="X153" i="2"/>
  <c r="AG152" i="2"/>
  <c r="AF152" i="2"/>
  <c r="AE152" i="2"/>
  <c r="AD152" i="2"/>
  <c r="AC152" i="2"/>
  <c r="AB152" i="2"/>
  <c r="AA152" i="2"/>
  <c r="Z152" i="2"/>
  <c r="Y152" i="2"/>
  <c r="X152" i="2"/>
  <c r="AG151" i="2"/>
  <c r="AF151" i="2"/>
  <c r="AE151" i="2"/>
  <c r="AD151" i="2"/>
  <c r="AC151" i="2"/>
  <c r="AB151" i="2"/>
  <c r="AA151" i="2"/>
  <c r="Z151" i="2"/>
  <c r="Y151" i="2"/>
  <c r="X151" i="2"/>
  <c r="AG150" i="2"/>
  <c r="AF150" i="2"/>
  <c r="AE150" i="2"/>
  <c r="AD150" i="2"/>
  <c r="AC150" i="2"/>
  <c r="AB150" i="2"/>
  <c r="AA150" i="2"/>
  <c r="Z150" i="2"/>
  <c r="Y150" i="2"/>
  <c r="X150" i="2"/>
  <c r="AG149" i="2"/>
  <c r="AF149" i="2"/>
  <c r="AE149" i="2"/>
  <c r="AD149" i="2"/>
  <c r="AC149" i="2"/>
  <c r="AB149" i="2"/>
  <c r="AA149" i="2"/>
  <c r="Z149" i="2"/>
  <c r="Y149" i="2"/>
  <c r="X149" i="2"/>
  <c r="AG148" i="2"/>
  <c r="AF148" i="2"/>
  <c r="AE148" i="2"/>
  <c r="AD148" i="2"/>
  <c r="AC148" i="2"/>
  <c r="AB148" i="2"/>
  <c r="AA148" i="2"/>
  <c r="Z148" i="2"/>
  <c r="Y148" i="2"/>
  <c r="X148" i="2"/>
  <c r="AG147" i="2"/>
  <c r="AF147" i="2"/>
  <c r="AE147" i="2"/>
  <c r="AD147" i="2"/>
  <c r="AC147" i="2"/>
  <c r="AB147" i="2"/>
  <c r="AA147" i="2"/>
  <c r="Z147" i="2"/>
  <c r="Y147" i="2"/>
  <c r="X147" i="2"/>
  <c r="AG146" i="2"/>
  <c r="AF146" i="2"/>
  <c r="AE146" i="2"/>
  <c r="AD146" i="2"/>
  <c r="AC146" i="2"/>
  <c r="AB146" i="2"/>
  <c r="AA146" i="2"/>
  <c r="Z146" i="2"/>
  <c r="Y146" i="2"/>
  <c r="X146" i="2"/>
  <c r="AG145" i="2"/>
  <c r="AF145" i="2"/>
  <c r="AE145" i="2"/>
  <c r="AD145" i="2"/>
  <c r="AC145" i="2"/>
  <c r="AB145" i="2"/>
  <c r="AA145" i="2"/>
  <c r="Z145" i="2"/>
  <c r="Y145" i="2"/>
  <c r="X145" i="2"/>
  <c r="AG143" i="2"/>
  <c r="AF143" i="2"/>
  <c r="AE143" i="2"/>
  <c r="AD143" i="2"/>
  <c r="AC143" i="2"/>
  <c r="AB143" i="2"/>
  <c r="AA143" i="2"/>
  <c r="Z143" i="2"/>
  <c r="Y143" i="2"/>
  <c r="X143" i="2"/>
  <c r="AG142" i="2"/>
  <c r="AF142" i="2"/>
  <c r="AE142" i="2"/>
  <c r="AD142" i="2"/>
  <c r="AC142" i="2"/>
  <c r="AB142" i="2"/>
  <c r="AA142" i="2"/>
  <c r="Z142" i="2"/>
  <c r="Y142" i="2"/>
  <c r="X142" i="2"/>
  <c r="AG141" i="2"/>
  <c r="AF141" i="2"/>
  <c r="AE141" i="2"/>
  <c r="AD141" i="2"/>
  <c r="AC141" i="2"/>
  <c r="AB141" i="2"/>
  <c r="AA141" i="2"/>
  <c r="Z141" i="2"/>
  <c r="Y141" i="2"/>
  <c r="X141" i="2"/>
  <c r="AG140" i="2"/>
  <c r="AF140" i="2"/>
  <c r="AE140" i="2"/>
  <c r="AD140" i="2"/>
  <c r="AC140" i="2"/>
  <c r="AB140" i="2"/>
  <c r="AA140" i="2"/>
  <c r="Z140" i="2"/>
  <c r="Y140" i="2"/>
  <c r="X140" i="2"/>
  <c r="AG139" i="2"/>
  <c r="AF139" i="2"/>
  <c r="AE139" i="2"/>
  <c r="AD139" i="2"/>
  <c r="AC139" i="2"/>
  <c r="AB139" i="2"/>
  <c r="AA139" i="2"/>
  <c r="Z139" i="2"/>
  <c r="Y139" i="2"/>
  <c r="X139" i="2"/>
  <c r="AG138" i="2"/>
  <c r="AF138" i="2"/>
  <c r="AE138" i="2"/>
  <c r="AD138" i="2"/>
  <c r="AC138" i="2"/>
  <c r="AB138" i="2"/>
  <c r="AA138" i="2"/>
  <c r="Z138" i="2"/>
  <c r="Y138" i="2"/>
  <c r="X138" i="2"/>
  <c r="AG137" i="2"/>
  <c r="AF137" i="2"/>
  <c r="AE137" i="2"/>
  <c r="AD137" i="2"/>
  <c r="AC137" i="2"/>
  <c r="AB137" i="2"/>
  <c r="AA137" i="2"/>
  <c r="Z137" i="2"/>
  <c r="Y137" i="2"/>
  <c r="X137" i="2"/>
  <c r="AG136" i="2"/>
  <c r="AF136" i="2"/>
  <c r="AE136" i="2"/>
  <c r="AD136" i="2"/>
  <c r="AC136" i="2"/>
  <c r="AB136" i="2"/>
  <c r="AA136" i="2"/>
  <c r="Z136" i="2"/>
  <c r="Y136" i="2"/>
  <c r="X136" i="2"/>
  <c r="AG135" i="2"/>
  <c r="AG158" i="2" s="1"/>
  <c r="AF135" i="2"/>
  <c r="AE135" i="2"/>
  <c r="AD135" i="2"/>
  <c r="AC135" i="2"/>
  <c r="AC158" i="2" s="1"/>
  <c r="AB135" i="2"/>
  <c r="AA135" i="2"/>
  <c r="Z135" i="2"/>
  <c r="Y135" i="2"/>
  <c r="Y158" i="2" s="1"/>
  <c r="X135" i="2"/>
  <c r="V157" i="2"/>
  <c r="V156" i="2"/>
  <c r="V155" i="2"/>
  <c r="V154" i="2"/>
  <c r="V153" i="2"/>
  <c r="V152" i="2"/>
  <c r="V151" i="2"/>
  <c r="V150" i="2"/>
  <c r="V149" i="2"/>
  <c r="V148" i="2"/>
  <c r="V147" i="2"/>
  <c r="V146" i="2"/>
  <c r="V145" i="2"/>
  <c r="V143" i="2"/>
  <c r="V142" i="2"/>
  <c r="V141" i="2"/>
  <c r="V140" i="2"/>
  <c r="V139" i="2"/>
  <c r="V138" i="2"/>
  <c r="V137" i="2"/>
  <c r="V136" i="2"/>
  <c r="O157" i="2"/>
  <c r="N157" i="2"/>
  <c r="M157" i="2"/>
  <c r="L157" i="2"/>
  <c r="K157" i="2"/>
  <c r="J157" i="2"/>
  <c r="I157" i="2"/>
  <c r="H157" i="2"/>
  <c r="G157" i="2"/>
  <c r="F157" i="2"/>
  <c r="O156" i="2"/>
  <c r="N156" i="2"/>
  <c r="M156" i="2"/>
  <c r="L156" i="2"/>
  <c r="K156" i="2"/>
  <c r="J156" i="2"/>
  <c r="I156" i="2"/>
  <c r="H156" i="2"/>
  <c r="G156" i="2"/>
  <c r="F156" i="2"/>
  <c r="O155" i="2"/>
  <c r="N155" i="2"/>
  <c r="M155" i="2"/>
  <c r="L155" i="2"/>
  <c r="K155" i="2"/>
  <c r="J155" i="2"/>
  <c r="I155" i="2"/>
  <c r="H155" i="2"/>
  <c r="G155" i="2"/>
  <c r="F155" i="2"/>
  <c r="O154" i="2"/>
  <c r="N154" i="2"/>
  <c r="M154" i="2"/>
  <c r="L154" i="2"/>
  <c r="K154" i="2"/>
  <c r="J154" i="2"/>
  <c r="I154" i="2"/>
  <c r="H154" i="2"/>
  <c r="G154" i="2"/>
  <c r="F154" i="2"/>
  <c r="O153" i="2"/>
  <c r="N153" i="2"/>
  <c r="M153" i="2"/>
  <c r="L153" i="2"/>
  <c r="K153" i="2"/>
  <c r="J153" i="2"/>
  <c r="I153" i="2"/>
  <c r="H153" i="2"/>
  <c r="G153" i="2"/>
  <c r="F153" i="2"/>
  <c r="O152" i="2"/>
  <c r="N152" i="2"/>
  <c r="M152" i="2"/>
  <c r="L152" i="2"/>
  <c r="K152" i="2"/>
  <c r="J152" i="2"/>
  <c r="I152" i="2"/>
  <c r="H152" i="2"/>
  <c r="G152" i="2"/>
  <c r="F152" i="2"/>
  <c r="O151" i="2"/>
  <c r="N151" i="2"/>
  <c r="M151" i="2"/>
  <c r="L151" i="2"/>
  <c r="K151" i="2"/>
  <c r="J151" i="2"/>
  <c r="I151" i="2"/>
  <c r="H151" i="2"/>
  <c r="G151" i="2"/>
  <c r="F151" i="2"/>
  <c r="O150" i="2"/>
  <c r="N150" i="2"/>
  <c r="M150" i="2"/>
  <c r="L150" i="2"/>
  <c r="K150" i="2"/>
  <c r="J150" i="2"/>
  <c r="I150" i="2"/>
  <c r="H150" i="2"/>
  <c r="G150" i="2"/>
  <c r="F150" i="2"/>
  <c r="O149" i="2"/>
  <c r="N149" i="2"/>
  <c r="M149" i="2"/>
  <c r="L149" i="2"/>
  <c r="K149" i="2"/>
  <c r="J149" i="2"/>
  <c r="I149" i="2"/>
  <c r="H149" i="2"/>
  <c r="G149" i="2"/>
  <c r="F149" i="2"/>
  <c r="O148" i="2"/>
  <c r="N148" i="2"/>
  <c r="M148" i="2"/>
  <c r="L148" i="2"/>
  <c r="K148" i="2"/>
  <c r="J148" i="2"/>
  <c r="I148" i="2"/>
  <c r="H148" i="2"/>
  <c r="G148" i="2"/>
  <c r="F148" i="2"/>
  <c r="O147" i="2"/>
  <c r="N147" i="2"/>
  <c r="M147" i="2"/>
  <c r="L147" i="2"/>
  <c r="K147" i="2"/>
  <c r="J147" i="2"/>
  <c r="I147" i="2"/>
  <c r="H147" i="2"/>
  <c r="G147" i="2"/>
  <c r="F147" i="2"/>
  <c r="O146" i="2"/>
  <c r="N146" i="2"/>
  <c r="M146" i="2"/>
  <c r="L146" i="2"/>
  <c r="K146" i="2"/>
  <c r="J146" i="2"/>
  <c r="I146" i="2"/>
  <c r="H146" i="2"/>
  <c r="G146" i="2"/>
  <c r="F146" i="2"/>
  <c r="O145" i="2"/>
  <c r="N145" i="2"/>
  <c r="M145" i="2"/>
  <c r="L145" i="2"/>
  <c r="K145" i="2"/>
  <c r="J145" i="2"/>
  <c r="I145" i="2"/>
  <c r="H145" i="2"/>
  <c r="G145" i="2"/>
  <c r="F145" i="2"/>
  <c r="O143" i="2"/>
  <c r="N143" i="2"/>
  <c r="M143" i="2"/>
  <c r="L143" i="2"/>
  <c r="K143" i="2"/>
  <c r="J143" i="2"/>
  <c r="I143" i="2"/>
  <c r="H143" i="2"/>
  <c r="G143" i="2"/>
  <c r="F143" i="2"/>
  <c r="O142" i="2"/>
  <c r="N142" i="2"/>
  <c r="M142" i="2"/>
  <c r="L142" i="2"/>
  <c r="K142" i="2"/>
  <c r="J142" i="2"/>
  <c r="I142" i="2"/>
  <c r="H142" i="2"/>
  <c r="G142" i="2"/>
  <c r="F142" i="2"/>
  <c r="O141" i="2"/>
  <c r="N141" i="2"/>
  <c r="M141" i="2"/>
  <c r="L141" i="2"/>
  <c r="K141" i="2"/>
  <c r="J141" i="2"/>
  <c r="I141" i="2"/>
  <c r="H141" i="2"/>
  <c r="G141" i="2"/>
  <c r="F141" i="2"/>
  <c r="O140" i="2"/>
  <c r="N140" i="2"/>
  <c r="M140" i="2"/>
  <c r="L140" i="2"/>
  <c r="K140" i="2"/>
  <c r="J140" i="2"/>
  <c r="I140" i="2"/>
  <c r="H140" i="2"/>
  <c r="G140" i="2"/>
  <c r="F140" i="2"/>
  <c r="O139" i="2"/>
  <c r="N139" i="2"/>
  <c r="M139" i="2"/>
  <c r="L139" i="2"/>
  <c r="K139" i="2"/>
  <c r="J139" i="2"/>
  <c r="I139" i="2"/>
  <c r="H139" i="2"/>
  <c r="G139" i="2"/>
  <c r="F139" i="2"/>
  <c r="O138" i="2"/>
  <c r="N138" i="2"/>
  <c r="M138" i="2"/>
  <c r="L138" i="2"/>
  <c r="K138" i="2"/>
  <c r="J138" i="2"/>
  <c r="I138" i="2"/>
  <c r="H138" i="2"/>
  <c r="G138" i="2"/>
  <c r="F138" i="2"/>
  <c r="O137" i="2"/>
  <c r="N137" i="2"/>
  <c r="M137" i="2"/>
  <c r="L137" i="2"/>
  <c r="K137" i="2"/>
  <c r="J137" i="2"/>
  <c r="I137" i="2"/>
  <c r="H137" i="2"/>
  <c r="G137" i="2"/>
  <c r="F137" i="2"/>
  <c r="O136" i="2"/>
  <c r="N136" i="2"/>
  <c r="M136" i="2"/>
  <c r="L136" i="2"/>
  <c r="K136" i="2"/>
  <c r="J136" i="2"/>
  <c r="I136" i="2"/>
  <c r="H136" i="2"/>
  <c r="G136" i="2"/>
  <c r="F136" i="2"/>
  <c r="O135" i="2"/>
  <c r="N135" i="2"/>
  <c r="M135" i="2"/>
  <c r="L135" i="2"/>
  <c r="K135" i="2"/>
  <c r="J135" i="2"/>
  <c r="I135" i="2"/>
  <c r="H135" i="2"/>
  <c r="G135" i="2"/>
  <c r="F135" i="2"/>
  <c r="D157" i="2"/>
  <c r="D156" i="2"/>
  <c r="D155" i="2"/>
  <c r="D154" i="2"/>
  <c r="D153" i="2"/>
  <c r="D152" i="2"/>
  <c r="D151" i="2"/>
  <c r="D150" i="2"/>
  <c r="D149" i="2"/>
  <c r="D148" i="2"/>
  <c r="D147" i="2"/>
  <c r="D146" i="2"/>
  <c r="D145" i="2"/>
  <c r="D143" i="2"/>
  <c r="D142" i="2"/>
  <c r="D141" i="2"/>
  <c r="D140" i="2"/>
  <c r="D139" i="2"/>
  <c r="D138" i="2"/>
  <c r="D137" i="2"/>
  <c r="D136" i="2"/>
  <c r="AG124" i="2"/>
  <c r="AF124" i="2"/>
  <c r="AE124" i="2"/>
  <c r="AD124" i="2"/>
  <c r="AC124" i="2"/>
  <c r="AB124" i="2"/>
  <c r="AA124" i="2"/>
  <c r="Z124" i="2"/>
  <c r="Y124" i="2"/>
  <c r="X124" i="2"/>
  <c r="AG123" i="2"/>
  <c r="AF123" i="2"/>
  <c r="AE123" i="2"/>
  <c r="AD123" i="2"/>
  <c r="AC123" i="2"/>
  <c r="AB123" i="2"/>
  <c r="AA123" i="2"/>
  <c r="Z123" i="2"/>
  <c r="Y123" i="2"/>
  <c r="X123" i="2"/>
  <c r="AG122" i="2"/>
  <c r="AF122" i="2"/>
  <c r="AE122" i="2"/>
  <c r="AD122" i="2"/>
  <c r="AC122" i="2"/>
  <c r="AB122" i="2"/>
  <c r="AA122" i="2"/>
  <c r="Z122" i="2"/>
  <c r="Y122" i="2"/>
  <c r="X122" i="2"/>
  <c r="AG121" i="2"/>
  <c r="AF121" i="2"/>
  <c r="AE121" i="2"/>
  <c r="AD121" i="2"/>
  <c r="AC121" i="2"/>
  <c r="AB121" i="2"/>
  <c r="AA121" i="2"/>
  <c r="Z121" i="2"/>
  <c r="Y121" i="2"/>
  <c r="X121" i="2"/>
  <c r="AG120" i="2"/>
  <c r="AF120" i="2"/>
  <c r="AE120" i="2"/>
  <c r="AD120" i="2"/>
  <c r="AC120" i="2"/>
  <c r="AB120" i="2"/>
  <c r="AA120" i="2"/>
  <c r="Z120" i="2"/>
  <c r="Y120" i="2"/>
  <c r="X120" i="2"/>
  <c r="AG119" i="2"/>
  <c r="AF119" i="2"/>
  <c r="AE119" i="2"/>
  <c r="AD119" i="2"/>
  <c r="AC119" i="2"/>
  <c r="AB119" i="2"/>
  <c r="AA119" i="2"/>
  <c r="Z119" i="2"/>
  <c r="Y119" i="2"/>
  <c r="X119" i="2"/>
  <c r="AG118" i="2"/>
  <c r="AF118" i="2"/>
  <c r="AE118" i="2"/>
  <c r="AD118" i="2"/>
  <c r="AC118" i="2"/>
  <c r="AB118" i="2"/>
  <c r="AA118" i="2"/>
  <c r="Z118" i="2"/>
  <c r="Y118" i="2"/>
  <c r="X118" i="2"/>
  <c r="AG117" i="2"/>
  <c r="AF117" i="2"/>
  <c r="AE117" i="2"/>
  <c r="AD117" i="2"/>
  <c r="AC117" i="2"/>
  <c r="AB117" i="2"/>
  <c r="AA117" i="2"/>
  <c r="Z117" i="2"/>
  <c r="Y117" i="2"/>
  <c r="X117" i="2"/>
  <c r="AG116" i="2"/>
  <c r="AF116" i="2"/>
  <c r="AE116" i="2"/>
  <c r="AD116" i="2"/>
  <c r="AC116" i="2"/>
  <c r="AB116" i="2"/>
  <c r="AA116" i="2"/>
  <c r="Z116" i="2"/>
  <c r="Y116" i="2"/>
  <c r="X116" i="2"/>
  <c r="AG115" i="2"/>
  <c r="AF115" i="2"/>
  <c r="AE115" i="2"/>
  <c r="AD115" i="2"/>
  <c r="AC115" i="2"/>
  <c r="AB115" i="2"/>
  <c r="AA115" i="2"/>
  <c r="Z115" i="2"/>
  <c r="Y115" i="2"/>
  <c r="X115" i="2"/>
  <c r="AG114" i="2"/>
  <c r="AF114" i="2"/>
  <c r="AE114" i="2"/>
  <c r="AD114" i="2"/>
  <c r="AC114" i="2"/>
  <c r="AB114" i="2"/>
  <c r="AA114" i="2"/>
  <c r="Z114" i="2"/>
  <c r="Y114" i="2"/>
  <c r="X114" i="2"/>
  <c r="AG112" i="2"/>
  <c r="AF112" i="2"/>
  <c r="AE112" i="2"/>
  <c r="AD112" i="2"/>
  <c r="AC112" i="2"/>
  <c r="AB112" i="2"/>
  <c r="AA112" i="2"/>
  <c r="Z112" i="2"/>
  <c r="Y112" i="2"/>
  <c r="X112" i="2"/>
  <c r="AG111" i="2"/>
  <c r="AF111" i="2"/>
  <c r="AE111" i="2"/>
  <c r="AD111" i="2"/>
  <c r="AC111" i="2"/>
  <c r="AB111" i="2"/>
  <c r="AA111" i="2"/>
  <c r="Z111" i="2"/>
  <c r="Y111" i="2"/>
  <c r="X111" i="2"/>
  <c r="AG110" i="2"/>
  <c r="AF110" i="2"/>
  <c r="AE110" i="2"/>
  <c r="AD110" i="2"/>
  <c r="AC110" i="2"/>
  <c r="AB110" i="2"/>
  <c r="AA110" i="2"/>
  <c r="Z110" i="2"/>
  <c r="Y110" i="2"/>
  <c r="X110" i="2"/>
  <c r="AG109" i="2"/>
  <c r="AF109" i="2"/>
  <c r="AE109" i="2"/>
  <c r="AD109" i="2"/>
  <c r="AC109" i="2"/>
  <c r="AB109" i="2"/>
  <c r="AA109" i="2"/>
  <c r="Z109" i="2"/>
  <c r="Y109" i="2"/>
  <c r="X109" i="2"/>
  <c r="AG108" i="2"/>
  <c r="AF108" i="2"/>
  <c r="AE108" i="2"/>
  <c r="AD108" i="2"/>
  <c r="AC108" i="2"/>
  <c r="AB108" i="2"/>
  <c r="AA108" i="2"/>
  <c r="Z108" i="2"/>
  <c r="Y108" i="2"/>
  <c r="X108" i="2"/>
  <c r="AG107" i="2"/>
  <c r="AF107" i="2"/>
  <c r="AE107" i="2"/>
  <c r="AD107" i="2"/>
  <c r="AC107" i="2"/>
  <c r="AB107" i="2"/>
  <c r="AA107" i="2"/>
  <c r="Z107" i="2"/>
  <c r="Y107" i="2"/>
  <c r="X107" i="2"/>
  <c r="AG106" i="2"/>
  <c r="AF106" i="2"/>
  <c r="AE106" i="2"/>
  <c r="AD106" i="2"/>
  <c r="AC106" i="2"/>
  <c r="AB106" i="2"/>
  <c r="AA106" i="2"/>
  <c r="Z106" i="2"/>
  <c r="Y106" i="2"/>
  <c r="X106" i="2"/>
  <c r="AG105" i="2"/>
  <c r="AF105" i="2"/>
  <c r="AE105" i="2"/>
  <c r="AD105" i="2"/>
  <c r="AC105" i="2"/>
  <c r="AB105" i="2"/>
  <c r="AA105" i="2"/>
  <c r="Z105" i="2"/>
  <c r="Y105" i="2"/>
  <c r="X105" i="2"/>
  <c r="AG104" i="2"/>
  <c r="AF104" i="2"/>
  <c r="AE104" i="2"/>
  <c r="AD104" i="2"/>
  <c r="AC104" i="2"/>
  <c r="AB104" i="2"/>
  <c r="AA104" i="2"/>
  <c r="Z104" i="2"/>
  <c r="Y104" i="2"/>
  <c r="X104" i="2"/>
  <c r="V124" i="2"/>
  <c r="V123" i="2"/>
  <c r="V122" i="2"/>
  <c r="V121" i="2"/>
  <c r="V120" i="2"/>
  <c r="V119" i="2"/>
  <c r="V118" i="2"/>
  <c r="V117" i="2"/>
  <c r="V116" i="2"/>
  <c r="V115" i="2"/>
  <c r="V114" i="2"/>
  <c r="V112" i="2"/>
  <c r="V111" i="2"/>
  <c r="V110" i="2"/>
  <c r="V109" i="2"/>
  <c r="V108" i="2"/>
  <c r="V107" i="2"/>
  <c r="V106" i="2"/>
  <c r="V105" i="2"/>
  <c r="D124" i="2"/>
  <c r="D123" i="2"/>
  <c r="D122" i="2"/>
  <c r="D121" i="2"/>
  <c r="D120" i="2"/>
  <c r="D119" i="2"/>
  <c r="D118" i="2"/>
  <c r="D117" i="2"/>
  <c r="D116" i="2"/>
  <c r="D115" i="2"/>
  <c r="D114" i="2"/>
  <c r="D112" i="2"/>
  <c r="D111" i="2"/>
  <c r="D110" i="2"/>
  <c r="D109" i="2"/>
  <c r="D108" i="2"/>
  <c r="D107" i="2"/>
  <c r="D106" i="2"/>
  <c r="D105" i="2"/>
  <c r="O124" i="2"/>
  <c r="N124" i="2"/>
  <c r="M124" i="2"/>
  <c r="L124" i="2"/>
  <c r="K124" i="2"/>
  <c r="J124" i="2"/>
  <c r="I124" i="2"/>
  <c r="H124" i="2"/>
  <c r="G124" i="2"/>
  <c r="F124" i="2"/>
  <c r="O123" i="2"/>
  <c r="N123" i="2"/>
  <c r="M123" i="2"/>
  <c r="L123" i="2"/>
  <c r="K123" i="2"/>
  <c r="J123" i="2"/>
  <c r="I123" i="2"/>
  <c r="H123" i="2"/>
  <c r="G123" i="2"/>
  <c r="F123" i="2"/>
  <c r="O122" i="2"/>
  <c r="N122" i="2"/>
  <c r="M122" i="2"/>
  <c r="L122" i="2"/>
  <c r="K122" i="2"/>
  <c r="J122" i="2"/>
  <c r="I122" i="2"/>
  <c r="H122" i="2"/>
  <c r="G122" i="2"/>
  <c r="F122" i="2"/>
  <c r="O121" i="2"/>
  <c r="N121" i="2"/>
  <c r="M121" i="2"/>
  <c r="L121" i="2"/>
  <c r="K121" i="2"/>
  <c r="J121" i="2"/>
  <c r="I121" i="2"/>
  <c r="H121" i="2"/>
  <c r="G121" i="2"/>
  <c r="F121" i="2"/>
  <c r="O120" i="2"/>
  <c r="N120" i="2"/>
  <c r="M120" i="2"/>
  <c r="L120" i="2"/>
  <c r="K120" i="2"/>
  <c r="J120" i="2"/>
  <c r="I120" i="2"/>
  <c r="H120" i="2"/>
  <c r="G120" i="2"/>
  <c r="F120" i="2"/>
  <c r="O119" i="2"/>
  <c r="N119" i="2"/>
  <c r="M119" i="2"/>
  <c r="L119" i="2"/>
  <c r="K119" i="2"/>
  <c r="J119" i="2"/>
  <c r="I119" i="2"/>
  <c r="H119" i="2"/>
  <c r="G119" i="2"/>
  <c r="F119" i="2"/>
  <c r="O118" i="2"/>
  <c r="N118" i="2"/>
  <c r="M118" i="2"/>
  <c r="L118" i="2"/>
  <c r="K118" i="2"/>
  <c r="J118" i="2"/>
  <c r="I118" i="2"/>
  <c r="H118" i="2"/>
  <c r="G118" i="2"/>
  <c r="F118" i="2"/>
  <c r="O117" i="2"/>
  <c r="N117" i="2"/>
  <c r="M117" i="2"/>
  <c r="L117" i="2"/>
  <c r="K117" i="2"/>
  <c r="J117" i="2"/>
  <c r="I117" i="2"/>
  <c r="H117" i="2"/>
  <c r="G117" i="2"/>
  <c r="F117" i="2"/>
  <c r="O116" i="2"/>
  <c r="N116" i="2"/>
  <c r="M116" i="2"/>
  <c r="L116" i="2"/>
  <c r="K116" i="2"/>
  <c r="J116" i="2"/>
  <c r="I116" i="2"/>
  <c r="H116" i="2"/>
  <c r="G116" i="2"/>
  <c r="F116" i="2"/>
  <c r="O115" i="2"/>
  <c r="N115" i="2"/>
  <c r="M115" i="2"/>
  <c r="L115" i="2"/>
  <c r="K115" i="2"/>
  <c r="J115" i="2"/>
  <c r="I115" i="2"/>
  <c r="H115" i="2"/>
  <c r="G115" i="2"/>
  <c r="F115" i="2"/>
  <c r="O114" i="2"/>
  <c r="N114" i="2"/>
  <c r="M114" i="2"/>
  <c r="L114" i="2"/>
  <c r="K114" i="2"/>
  <c r="J114" i="2"/>
  <c r="I114" i="2"/>
  <c r="H114" i="2"/>
  <c r="G114" i="2"/>
  <c r="F114" i="2"/>
  <c r="O112" i="2"/>
  <c r="N112" i="2"/>
  <c r="M112" i="2"/>
  <c r="L112" i="2"/>
  <c r="K112" i="2"/>
  <c r="J112" i="2"/>
  <c r="I112" i="2"/>
  <c r="H112" i="2"/>
  <c r="G112" i="2"/>
  <c r="F112" i="2"/>
  <c r="O111" i="2"/>
  <c r="N111" i="2"/>
  <c r="M111" i="2"/>
  <c r="L111" i="2"/>
  <c r="K111" i="2"/>
  <c r="J111" i="2"/>
  <c r="I111" i="2"/>
  <c r="H111" i="2"/>
  <c r="G111" i="2"/>
  <c r="F111" i="2"/>
  <c r="O110" i="2"/>
  <c r="N110" i="2"/>
  <c r="M110" i="2"/>
  <c r="L110" i="2"/>
  <c r="K110" i="2"/>
  <c r="J110" i="2"/>
  <c r="I110" i="2"/>
  <c r="H110" i="2"/>
  <c r="G110" i="2"/>
  <c r="F110" i="2"/>
  <c r="O109" i="2"/>
  <c r="N109" i="2"/>
  <c r="M109" i="2"/>
  <c r="L109" i="2"/>
  <c r="K109" i="2"/>
  <c r="J109" i="2"/>
  <c r="I109" i="2"/>
  <c r="H109" i="2"/>
  <c r="G109" i="2"/>
  <c r="F109" i="2"/>
  <c r="O108" i="2"/>
  <c r="N108" i="2"/>
  <c r="M108" i="2"/>
  <c r="L108" i="2"/>
  <c r="K108" i="2"/>
  <c r="J108" i="2"/>
  <c r="I108" i="2"/>
  <c r="H108" i="2"/>
  <c r="G108" i="2"/>
  <c r="F108" i="2"/>
  <c r="O107" i="2"/>
  <c r="N107" i="2"/>
  <c r="M107" i="2"/>
  <c r="L107" i="2"/>
  <c r="K107" i="2"/>
  <c r="J107" i="2"/>
  <c r="I107" i="2"/>
  <c r="H107" i="2"/>
  <c r="G107" i="2"/>
  <c r="F107" i="2"/>
  <c r="O106" i="2"/>
  <c r="N106" i="2"/>
  <c r="M106" i="2"/>
  <c r="L106" i="2"/>
  <c r="K106" i="2"/>
  <c r="J106" i="2"/>
  <c r="I106" i="2"/>
  <c r="H106" i="2"/>
  <c r="G106" i="2"/>
  <c r="F106" i="2"/>
  <c r="O105" i="2"/>
  <c r="N105" i="2"/>
  <c r="M105" i="2"/>
  <c r="L105" i="2"/>
  <c r="K105" i="2"/>
  <c r="J105" i="2"/>
  <c r="I105" i="2"/>
  <c r="H105" i="2"/>
  <c r="G105" i="2"/>
  <c r="F105" i="2"/>
  <c r="O104" i="2"/>
  <c r="N104" i="2"/>
  <c r="M104" i="2"/>
  <c r="L104" i="2"/>
  <c r="K104" i="2"/>
  <c r="J104" i="2"/>
  <c r="I104" i="2"/>
  <c r="H104" i="2"/>
  <c r="G104" i="2"/>
  <c r="F104" i="2"/>
  <c r="E124" i="2"/>
  <c r="C124" i="2"/>
  <c r="E123" i="2"/>
  <c r="C123" i="2"/>
  <c r="E122" i="2"/>
  <c r="C122" i="2"/>
  <c r="E121" i="2"/>
  <c r="C121" i="2"/>
  <c r="E120" i="2"/>
  <c r="C120" i="2"/>
  <c r="H26" i="2"/>
  <c r="P26" i="6" l="1"/>
  <c r="AH173" i="2"/>
  <c r="P14" i="6"/>
  <c r="Q17" i="6"/>
  <c r="Q16" i="6"/>
  <c r="X158" i="2"/>
  <c r="AB158" i="2"/>
  <c r="AF158" i="2"/>
  <c r="AH144" i="2"/>
  <c r="Z158" i="2"/>
  <c r="AD158" i="2"/>
  <c r="AA158" i="2"/>
  <c r="AE158" i="2"/>
  <c r="G158" i="2"/>
  <c r="I158" i="2"/>
  <c r="K158" i="2"/>
  <c r="M158" i="2"/>
  <c r="O158" i="2"/>
  <c r="F158" i="2"/>
  <c r="H158" i="2"/>
  <c r="J158" i="2"/>
  <c r="L158" i="2"/>
  <c r="N158" i="2"/>
  <c r="G128" i="2"/>
  <c r="G129" i="2" s="1"/>
  <c r="I128" i="2"/>
  <c r="I129" i="2" s="1"/>
  <c r="K128" i="2"/>
  <c r="K129" i="2" s="1"/>
  <c r="M128" i="2"/>
  <c r="M129" i="2" s="1"/>
  <c r="O128" i="2"/>
  <c r="O129" i="2" s="1"/>
  <c r="F128" i="2"/>
  <c r="F129" i="2" s="1"/>
  <c r="H128" i="2"/>
  <c r="H129" i="2" s="1"/>
  <c r="J128" i="2"/>
  <c r="J129" i="2" s="1"/>
  <c r="L128" i="2"/>
  <c r="L129" i="2" s="1"/>
  <c r="N128" i="2"/>
  <c r="N129" i="2" s="1"/>
  <c r="P120" i="2"/>
  <c r="P121" i="2"/>
  <c r="P124" i="2"/>
  <c r="P122" i="2"/>
  <c r="P123" i="2"/>
  <c r="W124" i="2"/>
  <c r="U124" i="2"/>
  <c r="W123" i="2"/>
  <c r="U123" i="2"/>
  <c r="W122" i="2"/>
  <c r="U122" i="2"/>
  <c r="W121" i="2"/>
  <c r="U121" i="2"/>
  <c r="W120" i="2"/>
  <c r="U120" i="2"/>
  <c r="A124" i="2"/>
  <c r="S124" i="2" s="1"/>
  <c r="A123" i="2"/>
  <c r="S123" i="2" s="1"/>
  <c r="A94" i="2"/>
  <c r="A25" i="6" s="1"/>
  <c r="A93" i="2"/>
  <c r="A24" i="6" s="1"/>
  <c r="H33" i="2"/>
  <c r="H23" i="2"/>
  <c r="H32" i="2"/>
  <c r="H31" i="2"/>
  <c r="H30" i="2"/>
  <c r="H29" i="2"/>
  <c r="H28" i="2"/>
  <c r="H27" i="2"/>
  <c r="H25" i="2"/>
  <c r="H24" i="2"/>
  <c r="H22" i="2"/>
  <c r="H21" i="2"/>
  <c r="H20" i="2"/>
  <c r="H19" i="2"/>
  <c r="H18" i="2"/>
  <c r="H17" i="2"/>
  <c r="H16" i="2"/>
  <c r="H15" i="2"/>
  <c r="H14" i="2"/>
  <c r="AH183" i="2"/>
  <c r="W183" i="2"/>
  <c r="U183" i="2"/>
  <c r="S183" i="2"/>
  <c r="E183" i="2"/>
  <c r="C183" i="2"/>
  <c r="A183" i="2"/>
  <c r="W182" i="2"/>
  <c r="U182" i="2"/>
  <c r="S182" i="2"/>
  <c r="E182" i="2"/>
  <c r="C182" i="2"/>
  <c r="A182" i="2"/>
  <c r="W181" i="2"/>
  <c r="U181" i="2"/>
  <c r="S181" i="2"/>
  <c r="E181" i="2"/>
  <c r="C181" i="2"/>
  <c r="A181" i="2"/>
  <c r="W180" i="2"/>
  <c r="U180" i="2"/>
  <c r="S180" i="2"/>
  <c r="E180" i="2"/>
  <c r="C180" i="2"/>
  <c r="A180" i="2"/>
  <c r="S157" i="2"/>
  <c r="S156" i="2"/>
  <c r="S155" i="2"/>
  <c r="AH157" i="2"/>
  <c r="W157" i="2"/>
  <c r="U157" i="2"/>
  <c r="T157" i="2"/>
  <c r="AH156" i="2"/>
  <c r="W156" i="2"/>
  <c r="U156" i="2"/>
  <c r="T156" i="2"/>
  <c r="AH155" i="2"/>
  <c r="W155" i="2"/>
  <c r="U155" i="2"/>
  <c r="T155" i="2"/>
  <c r="T158" i="2" s="1"/>
  <c r="AH154" i="2"/>
  <c r="W154" i="2"/>
  <c r="U154" i="2"/>
  <c r="W153" i="2"/>
  <c r="U153" i="2"/>
  <c r="W152" i="2"/>
  <c r="U152" i="2"/>
  <c r="W151" i="2"/>
  <c r="U151" i="2"/>
  <c r="S154" i="2"/>
  <c r="S153" i="2"/>
  <c r="S152" i="2"/>
  <c r="S151" i="2"/>
  <c r="A154" i="2"/>
  <c r="E157" i="2"/>
  <c r="C157" i="2"/>
  <c r="B157" i="2"/>
  <c r="E156" i="2"/>
  <c r="C156" i="2"/>
  <c r="B156" i="2"/>
  <c r="E155" i="2"/>
  <c r="C155" i="2"/>
  <c r="B155" i="2"/>
  <c r="E154" i="2"/>
  <c r="C154" i="2"/>
  <c r="H35" i="2"/>
  <c r="H34" i="2"/>
  <c r="E153" i="2"/>
  <c r="C153" i="2"/>
  <c r="E152" i="2"/>
  <c r="C152" i="2"/>
  <c r="E151" i="2"/>
  <c r="C151" i="2"/>
  <c r="Q26" i="6" l="1"/>
  <c r="Q8" i="6"/>
  <c r="Q12" i="6"/>
  <c r="Q11" i="6"/>
  <c r="Q24" i="6"/>
  <c r="Q18" i="6"/>
  <c r="Q23" i="6"/>
  <c r="Q7" i="6"/>
  <c r="Q10" i="6"/>
  <c r="Q13" i="6"/>
  <c r="Q15" i="6"/>
  <c r="Q14" i="6"/>
  <c r="Q5" i="6"/>
  <c r="Q21" i="6"/>
  <c r="Q20" i="6"/>
  <c r="Q25" i="6"/>
  <c r="Q19" i="6"/>
  <c r="Q22" i="6"/>
  <c r="Q6" i="6"/>
  <c r="Q9" i="6"/>
  <c r="AH120" i="2"/>
  <c r="AH121" i="2"/>
  <c r="B158" i="2"/>
  <c r="P157" i="2"/>
  <c r="AH124" i="2"/>
  <c r="P151" i="2"/>
  <c r="P154" i="2"/>
  <c r="AH122" i="2"/>
  <c r="AH123" i="2"/>
  <c r="P181" i="2"/>
  <c r="P155" i="2"/>
  <c r="P156" i="2"/>
  <c r="P180" i="2"/>
  <c r="P182" i="2"/>
  <c r="P183" i="2"/>
  <c r="P152" i="2"/>
  <c r="P153" i="2"/>
  <c r="U125" i="2"/>
  <c r="A89" i="2"/>
  <c r="A20" i="6" s="1"/>
  <c r="A92" i="2"/>
  <c r="A23" i="6" s="1"/>
  <c r="D8" i="18" l="1"/>
  <c r="F8" i="18" s="1"/>
  <c r="H8" i="18" s="1"/>
  <c r="M63" i="2" l="1"/>
  <c r="M66" i="2"/>
  <c r="M65" i="2"/>
  <c r="M64" i="2"/>
  <c r="C308" i="2"/>
  <c r="C307" i="2"/>
  <c r="T270" i="2"/>
  <c r="U271" i="2"/>
  <c r="T271" i="2"/>
  <c r="V272" i="2"/>
  <c r="U272" i="2"/>
  <c r="T272" i="2"/>
  <c r="W273" i="2"/>
  <c r="V273" i="2"/>
  <c r="U273" i="2"/>
  <c r="T273" i="2"/>
  <c r="X274" i="2"/>
  <c r="W274" i="2"/>
  <c r="V274" i="2"/>
  <c r="U274" i="2"/>
  <c r="T274" i="2"/>
  <c r="Y275" i="2"/>
  <c r="X275" i="2"/>
  <c r="W275" i="2"/>
  <c r="V275" i="2"/>
  <c r="U275" i="2"/>
  <c r="T275" i="2"/>
  <c r="Z276" i="2"/>
  <c r="Y276" i="2"/>
  <c r="X276" i="2"/>
  <c r="W276" i="2"/>
  <c r="V276" i="2"/>
  <c r="U276" i="2"/>
  <c r="T276" i="2"/>
  <c r="AA277" i="2"/>
  <c r="Z277" i="2"/>
  <c r="Y277" i="2"/>
  <c r="X277" i="2"/>
  <c r="W277" i="2"/>
  <c r="V277" i="2"/>
  <c r="U277" i="2"/>
  <c r="T277" i="2"/>
  <c r="AB278" i="2"/>
  <c r="AA278" i="2"/>
  <c r="Z278" i="2"/>
  <c r="Y278" i="2"/>
  <c r="X278" i="2"/>
  <c r="W278" i="2"/>
  <c r="V278" i="2"/>
  <c r="U278" i="2"/>
  <c r="T278" i="2"/>
  <c r="AC279" i="2"/>
  <c r="AB279" i="2"/>
  <c r="AA279" i="2"/>
  <c r="Z279" i="2"/>
  <c r="Y279" i="2"/>
  <c r="X279" i="2"/>
  <c r="W279" i="2"/>
  <c r="V279" i="2"/>
  <c r="U279" i="2"/>
  <c r="T279" i="2"/>
  <c r="AD280" i="2"/>
  <c r="AC280" i="2"/>
  <c r="AB280" i="2"/>
  <c r="AA280" i="2"/>
  <c r="Z280" i="2"/>
  <c r="Y280" i="2"/>
  <c r="X280" i="2"/>
  <c r="W280" i="2"/>
  <c r="V280" i="2"/>
  <c r="U280" i="2"/>
  <c r="T280" i="2"/>
  <c r="AE281" i="2"/>
  <c r="AD281" i="2"/>
  <c r="AC281" i="2"/>
  <c r="AB281" i="2"/>
  <c r="AA281" i="2"/>
  <c r="Z281" i="2"/>
  <c r="Y281" i="2"/>
  <c r="X281" i="2"/>
  <c r="W281" i="2"/>
  <c r="V281" i="2"/>
  <c r="U281" i="2"/>
  <c r="T281" i="2"/>
  <c r="AF281" i="2"/>
  <c r="AE280" i="2"/>
  <c r="AD279" i="2"/>
  <c r="AC278" i="2"/>
  <c r="AB277" i="2"/>
  <c r="AA276" i="2"/>
  <c r="Z275" i="2"/>
  <c r="Y274" i="2"/>
  <c r="X273" i="2"/>
  <c r="W272" i="2"/>
  <c r="V271" i="2"/>
  <c r="U270" i="2"/>
  <c r="T269" i="2"/>
  <c r="M281" i="2"/>
  <c r="L281" i="2"/>
  <c r="K281" i="2"/>
  <c r="J281" i="2"/>
  <c r="I281" i="2"/>
  <c r="H281" i="2"/>
  <c r="G281" i="2"/>
  <c r="F281" i="2"/>
  <c r="E281" i="2"/>
  <c r="D281" i="2"/>
  <c r="C281" i="2"/>
  <c r="B281" i="2"/>
  <c r="L280" i="2"/>
  <c r="K280" i="2"/>
  <c r="J280" i="2"/>
  <c r="I280" i="2"/>
  <c r="H280" i="2"/>
  <c r="G280" i="2"/>
  <c r="F280" i="2"/>
  <c r="E280" i="2"/>
  <c r="D280" i="2"/>
  <c r="C280" i="2"/>
  <c r="B280" i="2"/>
  <c r="K279" i="2"/>
  <c r="J279" i="2"/>
  <c r="I279" i="2"/>
  <c r="H279" i="2"/>
  <c r="G279" i="2"/>
  <c r="F279" i="2"/>
  <c r="E279" i="2"/>
  <c r="D279" i="2"/>
  <c r="C279" i="2"/>
  <c r="B279" i="2"/>
  <c r="J278" i="2"/>
  <c r="I278" i="2"/>
  <c r="H278" i="2"/>
  <c r="G278" i="2"/>
  <c r="F278" i="2"/>
  <c r="E278" i="2"/>
  <c r="D278" i="2"/>
  <c r="C278" i="2"/>
  <c r="B278" i="2"/>
  <c r="I277" i="2"/>
  <c r="H277" i="2"/>
  <c r="G277" i="2"/>
  <c r="F277" i="2"/>
  <c r="E277" i="2"/>
  <c r="D277" i="2"/>
  <c r="C277" i="2"/>
  <c r="B277" i="2"/>
  <c r="H276" i="2"/>
  <c r="G276" i="2"/>
  <c r="F276" i="2"/>
  <c r="E276" i="2"/>
  <c r="D276" i="2"/>
  <c r="C276" i="2"/>
  <c r="B276" i="2"/>
  <c r="G275" i="2"/>
  <c r="F275" i="2"/>
  <c r="E275" i="2"/>
  <c r="D275" i="2"/>
  <c r="C275" i="2"/>
  <c r="B275" i="2"/>
  <c r="F274" i="2"/>
  <c r="E274" i="2"/>
  <c r="D274" i="2"/>
  <c r="C274" i="2"/>
  <c r="B274" i="2"/>
  <c r="E273" i="2"/>
  <c r="D273" i="2"/>
  <c r="C273" i="2"/>
  <c r="B273" i="2"/>
  <c r="D272" i="2"/>
  <c r="C272" i="2"/>
  <c r="B272" i="2"/>
  <c r="C271" i="2"/>
  <c r="B271" i="2"/>
  <c r="B270" i="2"/>
  <c r="N281" i="2"/>
  <c r="M280" i="2"/>
  <c r="L279" i="2"/>
  <c r="K278" i="2"/>
  <c r="AG279" i="2"/>
  <c r="AG278" i="2"/>
  <c r="AF278" i="2"/>
  <c r="AG277" i="2"/>
  <c r="AF277" i="2"/>
  <c r="AE277" i="2"/>
  <c r="AG276" i="2"/>
  <c r="AF276" i="2"/>
  <c r="AE276" i="2"/>
  <c r="AD276" i="2"/>
  <c r="AG275" i="2"/>
  <c r="AF275" i="2"/>
  <c r="AE275" i="2"/>
  <c r="AD275" i="2"/>
  <c r="AC275" i="2"/>
  <c r="AG274" i="2"/>
  <c r="AF274" i="2"/>
  <c r="AE274" i="2"/>
  <c r="AD274" i="2"/>
  <c r="AC274" i="2"/>
  <c r="AB274" i="2"/>
  <c r="AG273" i="2"/>
  <c r="AF273" i="2"/>
  <c r="AE273" i="2"/>
  <c r="AD273" i="2"/>
  <c r="AC273" i="2"/>
  <c r="AB273" i="2"/>
  <c r="AA273" i="2"/>
  <c r="AG272" i="2"/>
  <c r="AF272" i="2"/>
  <c r="AE272" i="2"/>
  <c r="AD272" i="2"/>
  <c r="AC272" i="2"/>
  <c r="AB272" i="2"/>
  <c r="AA272" i="2"/>
  <c r="Z272" i="2"/>
  <c r="AG271" i="2"/>
  <c r="AF271" i="2"/>
  <c r="AE271" i="2"/>
  <c r="AD271" i="2"/>
  <c r="AC271" i="2"/>
  <c r="AB271" i="2"/>
  <c r="AA271" i="2"/>
  <c r="Z271" i="2"/>
  <c r="Y271" i="2"/>
  <c r="AG270" i="2"/>
  <c r="AF270" i="2"/>
  <c r="AE270" i="2"/>
  <c r="AD270" i="2"/>
  <c r="AC270" i="2"/>
  <c r="AB270" i="2"/>
  <c r="AA270" i="2"/>
  <c r="Z270" i="2"/>
  <c r="Y270" i="2"/>
  <c r="X270" i="2"/>
  <c r="AG269" i="2"/>
  <c r="AF269" i="2"/>
  <c r="AE269" i="2"/>
  <c r="AD269" i="2"/>
  <c r="AC269" i="2"/>
  <c r="AB269" i="2"/>
  <c r="AA269" i="2"/>
  <c r="Z269" i="2"/>
  <c r="Y269" i="2"/>
  <c r="X269" i="2"/>
  <c r="W269" i="2"/>
  <c r="AG268" i="2"/>
  <c r="AF268" i="2"/>
  <c r="AE268" i="2"/>
  <c r="AD268" i="2"/>
  <c r="AC268" i="2"/>
  <c r="AB268" i="2"/>
  <c r="AA268" i="2"/>
  <c r="Z268" i="2"/>
  <c r="Y268" i="2"/>
  <c r="X268" i="2"/>
  <c r="W268" i="2"/>
  <c r="V268" i="2"/>
  <c r="AG280" i="2"/>
  <c r="AF279" i="2"/>
  <c r="AE278" i="2"/>
  <c r="AD277" i="2"/>
  <c r="AC276" i="2"/>
  <c r="AB275" i="2"/>
  <c r="AA274" i="2"/>
  <c r="Z273" i="2"/>
  <c r="Y272" i="2"/>
  <c r="X271" i="2"/>
  <c r="W270" i="2"/>
  <c r="V269" i="2"/>
  <c r="AG293" i="2"/>
  <c r="AF293" i="2"/>
  <c r="AE293" i="2"/>
  <c r="AD293" i="2"/>
  <c r="AC293" i="2"/>
  <c r="AB293" i="2"/>
  <c r="AA293" i="2"/>
  <c r="Z293" i="2"/>
  <c r="Y293" i="2"/>
  <c r="X293" i="2"/>
  <c r="W293" i="2"/>
  <c r="V293" i="2"/>
  <c r="U293" i="2"/>
  <c r="T293" i="2"/>
  <c r="AG265" i="2"/>
  <c r="AG288" i="2" s="1"/>
  <c r="AF265" i="2"/>
  <c r="AF288" i="2" s="1"/>
  <c r="AE265" i="2"/>
  <c r="AE288" i="2" s="1"/>
  <c r="AD265" i="2"/>
  <c r="AD288" i="2" s="1"/>
  <c r="AC265" i="2"/>
  <c r="AC288" i="2" s="1"/>
  <c r="AB265" i="2"/>
  <c r="AB288" i="2" s="1"/>
  <c r="AA265" i="2"/>
  <c r="AA288" i="2" s="1"/>
  <c r="Z265" i="2"/>
  <c r="Z288" i="2" s="1"/>
  <c r="Y265" i="2"/>
  <c r="Y288" i="2" s="1"/>
  <c r="X265" i="2"/>
  <c r="X288" i="2" s="1"/>
  <c r="W265" i="2"/>
  <c r="W288" i="2" s="1"/>
  <c r="V265" i="2"/>
  <c r="V288" i="2" s="1"/>
  <c r="U265" i="2"/>
  <c r="U288" i="2" s="1"/>
  <c r="T265" i="2"/>
  <c r="T288" i="2" s="1"/>
  <c r="AH186" i="2"/>
  <c r="AH185" i="2"/>
  <c r="U185" i="2"/>
  <c r="AH184" i="2"/>
  <c r="U184" i="2"/>
  <c r="T186" i="2"/>
  <c r="T185" i="2"/>
  <c r="P186" i="2"/>
  <c r="P185" i="2"/>
  <c r="C185" i="2"/>
  <c r="P184" i="2"/>
  <c r="C184" i="2"/>
  <c r="B186" i="2"/>
  <c r="B185" i="2"/>
  <c r="W179" i="2"/>
  <c r="U179" i="2"/>
  <c r="W178" i="2"/>
  <c r="U178" i="2"/>
  <c r="W177" i="2"/>
  <c r="U177" i="2"/>
  <c r="W176" i="2"/>
  <c r="U176" i="2"/>
  <c r="W175" i="2"/>
  <c r="U175" i="2"/>
  <c r="W174" i="2"/>
  <c r="U174" i="2"/>
  <c r="W172" i="2"/>
  <c r="U172" i="2"/>
  <c r="W171" i="2"/>
  <c r="U171" i="2"/>
  <c r="W170" i="2"/>
  <c r="U170" i="2"/>
  <c r="W169" i="2"/>
  <c r="U169" i="2"/>
  <c r="W168" i="2"/>
  <c r="U168" i="2"/>
  <c r="W167" i="2"/>
  <c r="U167" i="2"/>
  <c r="W166" i="2"/>
  <c r="U166" i="2"/>
  <c r="W165" i="2"/>
  <c r="U165" i="2"/>
  <c r="W164" i="2"/>
  <c r="V164" i="2"/>
  <c r="U164" i="2"/>
  <c r="W150" i="2"/>
  <c r="U150" i="2"/>
  <c r="W149" i="2"/>
  <c r="U149" i="2"/>
  <c r="W148" i="2"/>
  <c r="U148" i="2"/>
  <c r="W147" i="2"/>
  <c r="U147" i="2"/>
  <c r="W146" i="2"/>
  <c r="U146" i="2"/>
  <c r="W145" i="2"/>
  <c r="U145" i="2"/>
  <c r="W143" i="2"/>
  <c r="U143" i="2"/>
  <c r="W142" i="2"/>
  <c r="U142" i="2"/>
  <c r="W141" i="2"/>
  <c r="U141" i="2"/>
  <c r="W140" i="2"/>
  <c r="U140" i="2"/>
  <c r="W139" i="2"/>
  <c r="U139" i="2"/>
  <c r="W138" i="2"/>
  <c r="U138" i="2"/>
  <c r="W137" i="2"/>
  <c r="U137" i="2"/>
  <c r="W136" i="2"/>
  <c r="U136" i="2"/>
  <c r="W135" i="2"/>
  <c r="V135" i="2"/>
  <c r="V158" i="2" s="1"/>
  <c r="U135" i="2"/>
  <c r="K54" i="2"/>
  <c r="K53" i="2"/>
  <c r="V185" i="2" s="1"/>
  <c r="K52" i="2"/>
  <c r="K48" i="2"/>
  <c r="C309" i="2" s="1"/>
  <c r="S179" i="2"/>
  <c r="S178" i="2"/>
  <c r="S177" i="2"/>
  <c r="S176" i="2"/>
  <c r="S175" i="2"/>
  <c r="S174" i="2"/>
  <c r="S172" i="2"/>
  <c r="S171" i="2"/>
  <c r="S170" i="2"/>
  <c r="S169" i="2"/>
  <c r="S168" i="2"/>
  <c r="S167" i="2"/>
  <c r="S166" i="2"/>
  <c r="S165" i="2"/>
  <c r="S164" i="2"/>
  <c r="S150" i="2"/>
  <c r="S149" i="2"/>
  <c r="S148" i="2"/>
  <c r="S147" i="2"/>
  <c r="S146" i="2"/>
  <c r="S145" i="2"/>
  <c r="S143" i="2"/>
  <c r="S142" i="2"/>
  <c r="S141" i="2"/>
  <c r="S140" i="2"/>
  <c r="S139" i="2"/>
  <c r="S138" i="2"/>
  <c r="S137" i="2"/>
  <c r="S136" i="2"/>
  <c r="S135" i="2"/>
  <c r="AG133" i="2"/>
  <c r="AG162" i="2" s="1"/>
  <c r="AF133" i="2"/>
  <c r="AF162" i="2" s="1"/>
  <c r="AE133" i="2"/>
  <c r="AE162" i="2" s="1"/>
  <c r="AD133" i="2"/>
  <c r="AD162" i="2" s="1"/>
  <c r="AC133" i="2"/>
  <c r="AC162" i="2" s="1"/>
  <c r="AB133" i="2"/>
  <c r="AB162" i="2" s="1"/>
  <c r="AA133" i="2"/>
  <c r="AA162" i="2" s="1"/>
  <c r="Z133" i="2"/>
  <c r="Z162" i="2" s="1"/>
  <c r="Y133" i="2"/>
  <c r="Y162" i="2" s="1"/>
  <c r="X133" i="2"/>
  <c r="X162" i="2" s="1"/>
  <c r="W133" i="2"/>
  <c r="W162" i="2" s="1"/>
  <c r="V133" i="2"/>
  <c r="V162" i="2" s="1"/>
  <c r="U133" i="2"/>
  <c r="U162" i="2" s="1"/>
  <c r="T133" i="2"/>
  <c r="T162" i="2" s="1"/>
  <c r="W158" i="2" l="1"/>
  <c r="U158" i="2"/>
  <c r="U186" i="2"/>
  <c r="U188" i="2" s="1"/>
  <c r="W186" i="2"/>
  <c r="W188" i="2" s="1"/>
  <c r="W267" i="2" s="1"/>
  <c r="W282" i="2" s="1"/>
  <c r="W284" i="2" s="1"/>
  <c r="W290" i="2" s="1"/>
  <c r="AD188" i="2"/>
  <c r="AD267" i="2" s="1"/>
  <c r="AD282" i="2" s="1"/>
  <c r="AD284" i="2" s="1"/>
  <c r="AD290" i="2" s="1"/>
  <c r="AD301" i="2" s="1"/>
  <c r="Z188" i="2"/>
  <c r="X188" i="2"/>
  <c r="X267" i="2" s="1"/>
  <c r="X282" i="2" s="1"/>
  <c r="X284" i="2" s="1"/>
  <c r="X290" i="2" s="1"/>
  <c r="X301" i="2" s="1"/>
  <c r="AB188" i="2"/>
  <c r="AF188" i="2"/>
  <c r="AF267" i="2" s="1"/>
  <c r="AF282" i="2" s="1"/>
  <c r="AF284" i="2" s="1"/>
  <c r="AF290" i="2" s="1"/>
  <c r="AF301" i="2" s="1"/>
  <c r="M68" i="2"/>
  <c r="C310" i="2" s="1"/>
  <c r="Y188" i="2"/>
  <c r="AA188" i="2"/>
  <c r="AC188" i="2"/>
  <c r="AC267" i="2" s="1"/>
  <c r="AC282" i="2" s="1"/>
  <c r="AC284" i="2" s="1"/>
  <c r="AC290" i="2" s="1"/>
  <c r="AC301" i="2" s="1"/>
  <c r="AE188" i="2"/>
  <c r="AE267" i="2" s="1"/>
  <c r="AE282" i="2" s="1"/>
  <c r="AE284" i="2" s="1"/>
  <c r="AE290" i="2" s="1"/>
  <c r="AG188" i="2"/>
  <c r="V188" i="2"/>
  <c r="V267" i="2" s="1"/>
  <c r="V282" i="2" s="1"/>
  <c r="V284" i="2" s="1"/>
  <c r="V290" i="2" s="1"/>
  <c r="V301" i="2" s="1"/>
  <c r="T184" i="2"/>
  <c r="T188" i="2" s="1"/>
  <c r="I48" i="2"/>
  <c r="AG267" i="2" l="1"/>
  <c r="AG282" i="2" s="1"/>
  <c r="AG284" i="2" s="1"/>
  <c r="Z267" i="2"/>
  <c r="Z282" i="2" s="1"/>
  <c r="Z284" i="2" s="1"/>
  <c r="Z290" i="2" s="1"/>
  <c r="Z301" i="2" s="1"/>
  <c r="T267" i="2"/>
  <c r="T282" i="2" s="1"/>
  <c r="T284" i="2" s="1"/>
  <c r="T290" i="2" s="1"/>
  <c r="U267" i="2"/>
  <c r="AA267" i="2"/>
  <c r="AA282" i="2" s="1"/>
  <c r="AA284" i="2" s="1"/>
  <c r="AA290" i="2" s="1"/>
  <c r="AA294" i="2" s="1"/>
  <c r="Y267" i="2"/>
  <c r="Y282" i="2" s="1"/>
  <c r="Y284" i="2" s="1"/>
  <c r="Y290" i="2" s="1"/>
  <c r="Y301" i="2" s="1"/>
  <c r="AB267" i="2"/>
  <c r="AB282" i="2" s="1"/>
  <c r="AB284" i="2" s="1"/>
  <c r="AB290" i="2" s="1"/>
  <c r="AB294" i="2" s="1"/>
  <c r="AE294" i="2"/>
  <c r="AE301" i="2"/>
  <c r="W294" i="2"/>
  <c r="W301" i="2"/>
  <c r="U268" i="2"/>
  <c r="U282" i="2" s="1"/>
  <c r="U284" i="2" s="1"/>
  <c r="U290" i="2" s="1"/>
  <c r="AC294" i="2"/>
  <c r="V294" i="2"/>
  <c r="AD294" i="2"/>
  <c r="X294" i="2"/>
  <c r="AF294" i="2"/>
  <c r="I53" i="2"/>
  <c r="D185" i="2" s="1"/>
  <c r="I54" i="2"/>
  <c r="B4" i="6"/>
  <c r="C186" i="2" l="1"/>
  <c r="E186" i="2"/>
  <c r="Z294" i="2"/>
  <c r="Y294" i="2"/>
  <c r="AB301" i="2"/>
  <c r="AA301" i="2"/>
  <c r="U294" i="2"/>
  <c r="U301" i="2"/>
  <c r="T294" i="2"/>
  <c r="T301" i="2"/>
  <c r="U126" i="2"/>
  <c r="T127" i="2"/>
  <c r="T126" i="2"/>
  <c r="J53" i="2"/>
  <c r="V126" i="2" s="1"/>
  <c r="J54" i="2"/>
  <c r="J52" i="2"/>
  <c r="T125" i="2" s="1"/>
  <c r="I52" i="2"/>
  <c r="G184" i="2" s="1"/>
  <c r="A1" i="6"/>
  <c r="U127" i="2" l="1"/>
  <c r="W127" i="2"/>
  <c r="AH127" i="2" s="1"/>
  <c r="B184" i="2"/>
  <c r="A20" i="5"/>
  <c r="A19" i="5"/>
  <c r="A18" i="5"/>
  <c r="A17" i="5"/>
  <c r="A16" i="5"/>
  <c r="A15" i="5"/>
  <c r="A14" i="5"/>
  <c r="A13" i="5"/>
  <c r="A12" i="5"/>
  <c r="A11" i="5"/>
  <c r="A10" i="5"/>
  <c r="A9" i="5"/>
  <c r="A8" i="5"/>
  <c r="A40" i="5"/>
  <c r="A39" i="5"/>
  <c r="A38" i="5"/>
  <c r="A37" i="5"/>
  <c r="A36" i="5"/>
  <c r="A35" i="5"/>
  <c r="A34" i="5"/>
  <c r="A33" i="5"/>
  <c r="A32" i="5"/>
  <c r="A31" i="5"/>
  <c r="A30" i="5"/>
  <c r="A29" i="5"/>
  <c r="A28" i="5"/>
  <c r="F293" i="2"/>
  <c r="G293" i="2"/>
  <c r="H293" i="2"/>
  <c r="I293" i="2"/>
  <c r="J293" i="2"/>
  <c r="K293" i="2"/>
  <c r="L293" i="2"/>
  <c r="M293" i="2"/>
  <c r="N293" i="2"/>
  <c r="O293" i="2"/>
  <c r="C258" i="2"/>
  <c r="D258" i="2"/>
  <c r="E258" i="2"/>
  <c r="F258" i="2"/>
  <c r="G258" i="2"/>
  <c r="H258" i="2"/>
  <c r="I258" i="2"/>
  <c r="J258" i="2"/>
  <c r="K258" i="2"/>
  <c r="L258" i="2"/>
  <c r="M258" i="2"/>
  <c r="N258" i="2"/>
  <c r="O258" i="2"/>
  <c r="B258" i="2"/>
  <c r="J43" i="2"/>
  <c r="L63" i="2"/>
  <c r="F4" i="11" s="1"/>
  <c r="K63" i="2"/>
  <c r="I4" i="11" s="1"/>
  <c r="L64" i="2"/>
  <c r="F5" i="11" s="1"/>
  <c r="A165" i="2"/>
  <c r="A166" i="2"/>
  <c r="A167" i="2"/>
  <c r="A168" i="2"/>
  <c r="A169" i="2"/>
  <c r="A170" i="2"/>
  <c r="A171" i="2"/>
  <c r="A172" i="2"/>
  <c r="A174" i="2"/>
  <c r="A175" i="2"/>
  <c r="A176" i="2"/>
  <c r="A177" i="2"/>
  <c r="A178" i="2"/>
  <c r="A179" i="2"/>
  <c r="A164" i="2"/>
  <c r="A153" i="2"/>
  <c r="A136" i="2"/>
  <c r="A137" i="2"/>
  <c r="A138" i="2"/>
  <c r="A139" i="2"/>
  <c r="A140" i="2"/>
  <c r="A141" i="2"/>
  <c r="A142" i="2"/>
  <c r="A143" i="2"/>
  <c r="A145" i="2"/>
  <c r="A146" i="2"/>
  <c r="A147" i="2"/>
  <c r="A148" i="2"/>
  <c r="A149" i="2"/>
  <c r="A150" i="2"/>
  <c r="A151" i="2"/>
  <c r="A152" i="2"/>
  <c r="A135" i="2"/>
  <c r="A105" i="2"/>
  <c r="S105" i="2" s="1"/>
  <c r="A106" i="2"/>
  <c r="S106" i="2" s="1"/>
  <c r="A107" i="2"/>
  <c r="S107" i="2" s="1"/>
  <c r="A108" i="2"/>
  <c r="S108" i="2" s="1"/>
  <c r="A109" i="2"/>
  <c r="S109" i="2" s="1"/>
  <c r="A110" i="2"/>
  <c r="S110" i="2" s="1"/>
  <c r="A111" i="2"/>
  <c r="S111" i="2" s="1"/>
  <c r="A112" i="2"/>
  <c r="S112" i="2" s="1"/>
  <c r="S113" i="2"/>
  <c r="A114" i="2"/>
  <c r="S114" i="2" s="1"/>
  <c r="A115" i="2"/>
  <c r="S115" i="2" s="1"/>
  <c r="A116" i="2"/>
  <c r="S116" i="2" s="1"/>
  <c r="A117" i="2"/>
  <c r="S117" i="2" s="1"/>
  <c r="A118" i="2"/>
  <c r="S118" i="2" s="1"/>
  <c r="A119" i="2"/>
  <c r="S119" i="2" s="1"/>
  <c r="A120" i="2"/>
  <c r="S120" i="2" s="1"/>
  <c r="A121" i="2"/>
  <c r="S121" i="2" s="1"/>
  <c r="A122" i="2"/>
  <c r="S122" i="2" s="1"/>
  <c r="A104" i="2"/>
  <c r="S104" i="2" s="1"/>
  <c r="A75" i="2"/>
  <c r="A6" i="6" s="1"/>
  <c r="A76" i="2"/>
  <c r="A7" i="6" s="1"/>
  <c r="A77" i="2"/>
  <c r="A8" i="6" s="1"/>
  <c r="A78" i="2"/>
  <c r="A9" i="6" s="1"/>
  <c r="A79" i="2"/>
  <c r="A10" i="6" s="1"/>
  <c r="A80" i="2"/>
  <c r="A11" i="6" s="1"/>
  <c r="A81" i="2"/>
  <c r="A12" i="6" s="1"/>
  <c r="A82" i="2"/>
  <c r="A13" i="6" s="1"/>
  <c r="A84" i="2"/>
  <c r="A15" i="6" s="1"/>
  <c r="A85" i="2"/>
  <c r="A16" i="6" s="1"/>
  <c r="A86" i="2"/>
  <c r="A17" i="6" s="1"/>
  <c r="A87" i="2"/>
  <c r="A18" i="6" s="1"/>
  <c r="A88" i="2"/>
  <c r="A19" i="6" s="1"/>
  <c r="A90" i="2"/>
  <c r="A21" i="6" s="1"/>
  <c r="A91" i="2"/>
  <c r="A22" i="6" s="1"/>
  <c r="A74" i="2"/>
  <c r="H5" i="11"/>
  <c r="H6" i="11"/>
  <c r="H7" i="11"/>
  <c r="G5" i="11"/>
  <c r="G6" i="11"/>
  <c r="G7" i="11"/>
  <c r="E5" i="11"/>
  <c r="E6" i="11"/>
  <c r="E7" i="11"/>
  <c r="C5" i="11"/>
  <c r="C6" i="11"/>
  <c r="C7" i="11"/>
  <c r="B5" i="11"/>
  <c r="B6" i="11"/>
  <c r="B7" i="11"/>
  <c r="M98" i="2"/>
  <c r="L65" i="2"/>
  <c r="F6" i="11" s="1"/>
  <c r="L66" i="2"/>
  <c r="F7" i="11" s="1"/>
  <c r="B309" i="2"/>
  <c r="D271" i="2"/>
  <c r="E269" i="2"/>
  <c r="E272" i="2"/>
  <c r="F268" i="2"/>
  <c r="F269" i="2"/>
  <c r="F270" i="2"/>
  <c r="F271" i="2"/>
  <c r="F273" i="2"/>
  <c r="G268" i="2"/>
  <c r="G269" i="2"/>
  <c r="G271" i="2"/>
  <c r="G272" i="2"/>
  <c r="G274" i="2"/>
  <c r="H268" i="2"/>
  <c r="H269" i="2"/>
  <c r="H270" i="2"/>
  <c r="H271" i="2"/>
  <c r="H272" i="2"/>
  <c r="H273" i="2"/>
  <c r="H275" i="2"/>
  <c r="I268" i="2"/>
  <c r="I269" i="2"/>
  <c r="I270" i="2"/>
  <c r="I271" i="2"/>
  <c r="I272" i="2"/>
  <c r="I273" i="2"/>
  <c r="I274" i="2"/>
  <c r="I276" i="2"/>
  <c r="J268" i="2"/>
  <c r="J269" i="2"/>
  <c r="J270" i="2"/>
  <c r="J271" i="2"/>
  <c r="J272" i="2"/>
  <c r="J273" i="2"/>
  <c r="J274" i="2"/>
  <c r="J275" i="2"/>
  <c r="J277" i="2"/>
  <c r="K268" i="2"/>
  <c r="K269" i="2"/>
  <c r="K270" i="2"/>
  <c r="K271" i="2"/>
  <c r="K272" i="2"/>
  <c r="K273" i="2"/>
  <c r="K274" i="2"/>
  <c r="K275" i="2"/>
  <c r="K276" i="2"/>
  <c r="L268" i="2"/>
  <c r="L269" i="2"/>
  <c r="L270" i="2"/>
  <c r="L271" i="2"/>
  <c r="L272" i="2"/>
  <c r="L273" i="2"/>
  <c r="L274" i="2"/>
  <c r="L275" i="2"/>
  <c r="L276" i="2"/>
  <c r="L277" i="2"/>
  <c r="M268" i="2"/>
  <c r="M269" i="2"/>
  <c r="M270" i="2"/>
  <c r="M271" i="2"/>
  <c r="M272" i="2"/>
  <c r="M273" i="2"/>
  <c r="M274" i="2"/>
  <c r="M275" i="2"/>
  <c r="M276" i="2"/>
  <c r="M277" i="2"/>
  <c r="M278" i="2"/>
  <c r="N268" i="2"/>
  <c r="N269" i="2"/>
  <c r="N270" i="2"/>
  <c r="N271" i="2"/>
  <c r="N272" i="2"/>
  <c r="N273" i="2"/>
  <c r="N274" i="2"/>
  <c r="N275" i="2"/>
  <c r="N276" i="2"/>
  <c r="N277" i="2"/>
  <c r="N278" i="2"/>
  <c r="N279" i="2"/>
  <c r="O268" i="2"/>
  <c r="O269" i="2"/>
  <c r="O270" i="2"/>
  <c r="O271" i="2"/>
  <c r="O272" i="2"/>
  <c r="O273" i="2"/>
  <c r="O274" i="2"/>
  <c r="O275" i="2"/>
  <c r="O276" i="2"/>
  <c r="O277" i="2"/>
  <c r="O278" i="2"/>
  <c r="O279" i="2"/>
  <c r="O280" i="2"/>
  <c r="C164" i="2"/>
  <c r="D164" i="2"/>
  <c r="E164" i="2"/>
  <c r="C165" i="2"/>
  <c r="E165" i="2"/>
  <c r="C166" i="2"/>
  <c r="E166" i="2"/>
  <c r="C167" i="2"/>
  <c r="E167" i="2"/>
  <c r="C168" i="2"/>
  <c r="E168" i="2"/>
  <c r="C169" i="2"/>
  <c r="E169" i="2"/>
  <c r="C170" i="2"/>
  <c r="E170" i="2"/>
  <c r="C171" i="2"/>
  <c r="E171" i="2"/>
  <c r="C172" i="2"/>
  <c r="E172" i="2"/>
  <c r="C174" i="2"/>
  <c r="E174" i="2"/>
  <c r="C175" i="2"/>
  <c r="E175" i="2"/>
  <c r="C176" i="2"/>
  <c r="E176" i="2"/>
  <c r="C177" i="2"/>
  <c r="E177" i="2"/>
  <c r="C178" i="2"/>
  <c r="E178" i="2"/>
  <c r="C179" i="2"/>
  <c r="E179" i="2"/>
  <c r="D135" i="2"/>
  <c r="C135" i="2"/>
  <c r="E135" i="2"/>
  <c r="C136" i="2"/>
  <c r="E136" i="2"/>
  <c r="C137" i="2"/>
  <c r="E137" i="2"/>
  <c r="C138" i="2"/>
  <c r="E138" i="2"/>
  <c r="C139" i="2"/>
  <c r="E139" i="2"/>
  <c r="C140" i="2"/>
  <c r="E140" i="2"/>
  <c r="C141" i="2"/>
  <c r="E141" i="2"/>
  <c r="C142" i="2"/>
  <c r="E142" i="2"/>
  <c r="C143" i="2"/>
  <c r="E143" i="2"/>
  <c r="C145" i="2"/>
  <c r="E145" i="2"/>
  <c r="C146" i="2"/>
  <c r="E146" i="2"/>
  <c r="C147" i="2"/>
  <c r="E147" i="2"/>
  <c r="C148" i="2"/>
  <c r="E148" i="2"/>
  <c r="C149" i="2"/>
  <c r="E149" i="2"/>
  <c r="C150" i="2"/>
  <c r="E150" i="2"/>
  <c r="U104" i="2"/>
  <c r="V104" i="2"/>
  <c r="W104" i="2"/>
  <c r="U105" i="2"/>
  <c r="W105" i="2"/>
  <c r="U106" i="2"/>
  <c r="W106" i="2"/>
  <c r="U107" i="2"/>
  <c r="W107" i="2"/>
  <c r="U108" i="2"/>
  <c r="W108" i="2"/>
  <c r="U109" i="2"/>
  <c r="W109" i="2"/>
  <c r="U110" i="2"/>
  <c r="W110" i="2"/>
  <c r="U111" i="2"/>
  <c r="W111" i="2"/>
  <c r="U112" i="2"/>
  <c r="W112" i="2"/>
  <c r="U114" i="2"/>
  <c r="W114" i="2"/>
  <c r="U115" i="2"/>
  <c r="W115" i="2"/>
  <c r="U116" i="2"/>
  <c r="W116" i="2"/>
  <c r="U117" i="2"/>
  <c r="W117" i="2"/>
  <c r="U118" i="2"/>
  <c r="W118" i="2"/>
  <c r="U119" i="2"/>
  <c r="W119" i="2"/>
  <c r="C104" i="2"/>
  <c r="D104" i="2"/>
  <c r="D128" i="2" s="1"/>
  <c r="E104" i="2"/>
  <c r="C105" i="2"/>
  <c r="E105" i="2"/>
  <c r="C106" i="2"/>
  <c r="E106" i="2"/>
  <c r="C107" i="2"/>
  <c r="E107" i="2"/>
  <c r="C108" i="2"/>
  <c r="E108" i="2"/>
  <c r="C109" i="2"/>
  <c r="E109" i="2"/>
  <c r="C110" i="2"/>
  <c r="E110" i="2"/>
  <c r="C111" i="2"/>
  <c r="E111" i="2"/>
  <c r="C112" i="2"/>
  <c r="E112" i="2"/>
  <c r="C114" i="2"/>
  <c r="E114" i="2"/>
  <c r="C115" i="2"/>
  <c r="E115" i="2"/>
  <c r="C116" i="2"/>
  <c r="E116" i="2"/>
  <c r="C117" i="2"/>
  <c r="E117" i="2"/>
  <c r="C118" i="2"/>
  <c r="E118" i="2"/>
  <c r="C119" i="2"/>
  <c r="E119" i="2"/>
  <c r="K64" i="2"/>
  <c r="I5" i="11" s="1"/>
  <c r="G4" i="11"/>
  <c r="E4" i="11"/>
  <c r="C4" i="11"/>
  <c r="A4" i="10"/>
  <c r="B241" i="2"/>
  <c r="B242" i="2"/>
  <c r="B243" i="2"/>
  <c r="B244" i="2"/>
  <c r="B245" i="2"/>
  <c r="B246" i="2"/>
  <c r="B247" i="2"/>
  <c r="B248" i="2"/>
  <c r="B249" i="2"/>
  <c r="B250" i="2"/>
  <c r="B251" i="2"/>
  <c r="B252" i="2"/>
  <c r="C242" i="2"/>
  <c r="C243" i="2"/>
  <c r="C244" i="2"/>
  <c r="C245" i="2"/>
  <c r="C246" i="2"/>
  <c r="C247" i="2"/>
  <c r="C248" i="2"/>
  <c r="C249" i="2"/>
  <c r="C250" i="2"/>
  <c r="C251" i="2"/>
  <c r="C252" i="2"/>
  <c r="D242" i="2"/>
  <c r="D243" i="2"/>
  <c r="D244" i="2"/>
  <c r="D245" i="2"/>
  <c r="D246" i="2"/>
  <c r="D247" i="2"/>
  <c r="D248" i="2"/>
  <c r="D249" i="2"/>
  <c r="D250" i="2"/>
  <c r="D251" i="2"/>
  <c r="D252" i="2"/>
  <c r="E240" i="2"/>
  <c r="E243" i="2"/>
  <c r="E244" i="2"/>
  <c r="E245" i="2"/>
  <c r="E246" i="2"/>
  <c r="E247" i="2"/>
  <c r="E248" i="2"/>
  <c r="E249" i="2"/>
  <c r="E250" i="2"/>
  <c r="E251" i="2"/>
  <c r="E252" i="2"/>
  <c r="F239" i="2"/>
  <c r="F240" i="2"/>
  <c r="F241" i="2"/>
  <c r="F242" i="2"/>
  <c r="F244" i="2"/>
  <c r="F245" i="2"/>
  <c r="F246" i="2"/>
  <c r="F247" i="2"/>
  <c r="F248" i="2"/>
  <c r="F249" i="2"/>
  <c r="F250" i="2"/>
  <c r="F251" i="2"/>
  <c r="F252" i="2"/>
  <c r="G239" i="2"/>
  <c r="G240" i="2"/>
  <c r="G242" i="2"/>
  <c r="G243" i="2"/>
  <c r="G245" i="2"/>
  <c r="G246" i="2"/>
  <c r="G247" i="2"/>
  <c r="G248" i="2"/>
  <c r="G249" i="2"/>
  <c r="G250" i="2"/>
  <c r="G251" i="2"/>
  <c r="G252" i="2"/>
  <c r="H239" i="2"/>
  <c r="H240" i="2"/>
  <c r="H241" i="2"/>
  <c r="H242" i="2"/>
  <c r="H243" i="2"/>
  <c r="H244" i="2"/>
  <c r="H246" i="2"/>
  <c r="H247" i="2"/>
  <c r="H248" i="2"/>
  <c r="H249" i="2"/>
  <c r="H250" i="2"/>
  <c r="H251" i="2"/>
  <c r="H252" i="2"/>
  <c r="I239" i="2"/>
  <c r="I240" i="2"/>
  <c r="I241" i="2"/>
  <c r="I242" i="2"/>
  <c r="I243" i="2"/>
  <c r="I244" i="2"/>
  <c r="I245" i="2"/>
  <c r="I247" i="2"/>
  <c r="I248" i="2"/>
  <c r="I249" i="2"/>
  <c r="I250" i="2"/>
  <c r="I251" i="2"/>
  <c r="I252" i="2"/>
  <c r="J239" i="2"/>
  <c r="J240" i="2"/>
  <c r="J241" i="2"/>
  <c r="J242" i="2"/>
  <c r="J243" i="2"/>
  <c r="J244" i="2"/>
  <c r="J245" i="2"/>
  <c r="J246" i="2"/>
  <c r="J248" i="2"/>
  <c r="J249" i="2"/>
  <c r="J250" i="2"/>
  <c r="J251" i="2"/>
  <c r="J252" i="2"/>
  <c r="K239" i="2"/>
  <c r="K240" i="2"/>
  <c r="K241" i="2"/>
  <c r="K242" i="2"/>
  <c r="K243" i="2"/>
  <c r="K244" i="2"/>
  <c r="K245" i="2"/>
  <c r="K246" i="2"/>
  <c r="K247" i="2"/>
  <c r="K249" i="2"/>
  <c r="K250" i="2"/>
  <c r="K251" i="2"/>
  <c r="K252" i="2"/>
  <c r="L239" i="2"/>
  <c r="L240" i="2"/>
  <c r="L241" i="2"/>
  <c r="L242" i="2"/>
  <c r="L243" i="2"/>
  <c r="L244" i="2"/>
  <c r="L245" i="2"/>
  <c r="L246" i="2"/>
  <c r="L247" i="2"/>
  <c r="L248" i="2"/>
  <c r="L250" i="2"/>
  <c r="L251" i="2"/>
  <c r="L252" i="2"/>
  <c r="M239" i="2"/>
  <c r="M240" i="2"/>
  <c r="M241" i="2"/>
  <c r="M242" i="2"/>
  <c r="M243" i="2"/>
  <c r="M244" i="2"/>
  <c r="M245" i="2"/>
  <c r="M246" i="2"/>
  <c r="M247" i="2"/>
  <c r="M248" i="2"/>
  <c r="M249" i="2"/>
  <c r="M251" i="2"/>
  <c r="M252" i="2"/>
  <c r="N239" i="2"/>
  <c r="N240" i="2"/>
  <c r="N241" i="2"/>
  <c r="N242" i="2"/>
  <c r="N243" i="2"/>
  <c r="N244" i="2"/>
  <c r="N245" i="2"/>
  <c r="N246" i="2"/>
  <c r="N247" i="2"/>
  <c r="N248" i="2"/>
  <c r="N249" i="2"/>
  <c r="N250" i="2"/>
  <c r="N252" i="2"/>
  <c r="O239" i="2"/>
  <c r="O240" i="2"/>
  <c r="O241" i="2"/>
  <c r="O242" i="2"/>
  <c r="O243" i="2"/>
  <c r="O244" i="2"/>
  <c r="O245" i="2"/>
  <c r="O246" i="2"/>
  <c r="O247" i="2"/>
  <c r="O248" i="2"/>
  <c r="O249" i="2"/>
  <c r="O250" i="2"/>
  <c r="O251" i="2"/>
  <c r="K65" i="2"/>
  <c r="I6" i="11" s="1"/>
  <c r="K66" i="2"/>
  <c r="I7" i="11" s="1"/>
  <c r="B102" i="2"/>
  <c r="B133" i="2" s="1"/>
  <c r="E133" i="2"/>
  <c r="G133" i="2"/>
  <c r="H133" i="2"/>
  <c r="I133" i="2"/>
  <c r="K133" i="2"/>
  <c r="L133" i="2"/>
  <c r="C133" i="2"/>
  <c r="D133" i="2"/>
  <c r="F133" i="2"/>
  <c r="M133" i="2"/>
  <c r="N133" i="2"/>
  <c r="O133" i="2"/>
  <c r="B98" i="2"/>
  <c r="B217" i="2" s="1"/>
  <c r="C218" i="2" s="1"/>
  <c r="B307" i="2"/>
  <c r="J133" i="2"/>
  <c r="L98" i="2"/>
  <c r="L218" i="2"/>
  <c r="L219" i="2"/>
  <c r="L220" i="2"/>
  <c r="L221" i="2"/>
  <c r="L222" i="2"/>
  <c r="L223" i="2"/>
  <c r="L224" i="2"/>
  <c r="L225" i="2"/>
  <c r="L226" i="2"/>
  <c r="L227" i="2"/>
  <c r="M218" i="2"/>
  <c r="M219" i="2"/>
  <c r="M220" i="2"/>
  <c r="M221" i="2"/>
  <c r="M222" i="2"/>
  <c r="M223" i="2"/>
  <c r="M224" i="2"/>
  <c r="M225" i="2"/>
  <c r="M226" i="2"/>
  <c r="M227" i="2"/>
  <c r="N98" i="2"/>
  <c r="N218" i="2"/>
  <c r="N219" i="2"/>
  <c r="N220" i="2"/>
  <c r="N221" i="2"/>
  <c r="N222" i="2"/>
  <c r="N223" i="2"/>
  <c r="N224" i="2"/>
  <c r="N225" i="2"/>
  <c r="N226" i="2"/>
  <c r="N227" i="2"/>
  <c r="O98" i="2"/>
  <c r="O218" i="2"/>
  <c r="O219" i="2"/>
  <c r="O220" i="2"/>
  <c r="O221" i="2"/>
  <c r="O222" i="2"/>
  <c r="O223" i="2"/>
  <c r="O224" i="2"/>
  <c r="O225" i="2"/>
  <c r="O226" i="2"/>
  <c r="O227" i="2"/>
  <c r="K98" i="2"/>
  <c r="K218" i="2"/>
  <c r="K219" i="2"/>
  <c r="K220" i="2"/>
  <c r="K221" i="2"/>
  <c r="K222" i="2"/>
  <c r="K223" i="2"/>
  <c r="K224" i="2"/>
  <c r="K225" i="2"/>
  <c r="K226" i="2"/>
  <c r="O230" i="2"/>
  <c r="N229" i="2"/>
  <c r="O229" i="2"/>
  <c r="M228" i="2"/>
  <c r="N228" i="2"/>
  <c r="O228" i="2"/>
  <c r="N231" i="2"/>
  <c r="M230" i="2"/>
  <c r="M231" i="2"/>
  <c r="L229" i="2"/>
  <c r="L230" i="2"/>
  <c r="L231" i="2"/>
  <c r="K231" i="2"/>
  <c r="K230" i="2"/>
  <c r="K229" i="2"/>
  <c r="K228" i="2"/>
  <c r="B228" i="2"/>
  <c r="C228" i="2"/>
  <c r="D228" i="2"/>
  <c r="E228" i="2"/>
  <c r="F228" i="2"/>
  <c r="G228" i="2"/>
  <c r="H228" i="2"/>
  <c r="I228" i="2"/>
  <c r="J228" i="2"/>
  <c r="B229" i="2"/>
  <c r="C229" i="2"/>
  <c r="D229" i="2"/>
  <c r="E229" i="2"/>
  <c r="F229" i="2"/>
  <c r="G229" i="2"/>
  <c r="H229" i="2"/>
  <c r="I229" i="2"/>
  <c r="J229" i="2"/>
  <c r="B230" i="2"/>
  <c r="C230" i="2"/>
  <c r="D230" i="2"/>
  <c r="E230" i="2"/>
  <c r="F230" i="2"/>
  <c r="G230" i="2"/>
  <c r="H230" i="2"/>
  <c r="I230" i="2"/>
  <c r="J230" i="2"/>
  <c r="B231" i="2"/>
  <c r="C231" i="2"/>
  <c r="D231" i="2"/>
  <c r="E231" i="2"/>
  <c r="F231" i="2"/>
  <c r="G231" i="2"/>
  <c r="H231" i="2"/>
  <c r="I231" i="2"/>
  <c r="J231" i="2"/>
  <c r="J98" i="2"/>
  <c r="E43" i="2"/>
  <c r="B308" i="2" s="1"/>
  <c r="E17" i="3"/>
  <c r="J218" i="2"/>
  <c r="J219" i="2"/>
  <c r="J220" i="2"/>
  <c r="J221" i="2"/>
  <c r="J222" i="2"/>
  <c r="J223" i="2"/>
  <c r="J224" i="2"/>
  <c r="J225" i="2"/>
  <c r="J227" i="2"/>
  <c r="I218" i="2"/>
  <c r="I219" i="2"/>
  <c r="I220" i="2"/>
  <c r="I221" i="2"/>
  <c r="I222" i="2"/>
  <c r="I223" i="2"/>
  <c r="I224" i="2"/>
  <c r="I98" i="2"/>
  <c r="I226" i="2"/>
  <c r="I227" i="2"/>
  <c r="H98" i="2"/>
  <c r="H218" i="2"/>
  <c r="H219" i="2"/>
  <c r="H220" i="2"/>
  <c r="H221" i="2"/>
  <c r="F98" i="2"/>
  <c r="H222" i="2"/>
  <c r="G98" i="2"/>
  <c r="H223" i="2"/>
  <c r="H225" i="2"/>
  <c r="H226" i="2"/>
  <c r="H227" i="2"/>
  <c r="G218" i="2"/>
  <c r="G219" i="2"/>
  <c r="G220" i="2"/>
  <c r="G221" i="2"/>
  <c r="G222" i="2"/>
  <c r="G224" i="2"/>
  <c r="G225" i="2"/>
  <c r="G226" i="2"/>
  <c r="G227" i="2"/>
  <c r="F218" i="2"/>
  <c r="F219" i="2"/>
  <c r="F220" i="2"/>
  <c r="F221" i="2"/>
  <c r="F223" i="2"/>
  <c r="F224" i="2"/>
  <c r="F225" i="2"/>
  <c r="F226" i="2"/>
  <c r="F227" i="2"/>
  <c r="E98" i="2"/>
  <c r="E218" i="2"/>
  <c r="E219" i="2"/>
  <c r="D98" i="2"/>
  <c r="E220" i="2"/>
  <c r="E222" i="2"/>
  <c r="E223" i="2"/>
  <c r="E224" i="2"/>
  <c r="E225" i="2"/>
  <c r="E226" i="2"/>
  <c r="E227" i="2"/>
  <c r="D221" i="2"/>
  <c r="D222" i="2"/>
  <c r="D223" i="2"/>
  <c r="D224" i="2"/>
  <c r="D225" i="2"/>
  <c r="D226" i="2"/>
  <c r="D227" i="2"/>
  <c r="C98" i="2"/>
  <c r="C220" i="2"/>
  <c r="C221" i="2"/>
  <c r="C222" i="2"/>
  <c r="C223" i="2"/>
  <c r="C224" i="2"/>
  <c r="C225" i="2"/>
  <c r="C226" i="2"/>
  <c r="C227" i="2"/>
  <c r="B219" i="2"/>
  <c r="B220" i="2"/>
  <c r="B221" i="2"/>
  <c r="B222" i="2"/>
  <c r="B223" i="2"/>
  <c r="B224" i="2"/>
  <c r="B225" i="2"/>
  <c r="B226" i="2"/>
  <c r="B227" i="2"/>
  <c r="S18" i="3"/>
  <c r="S19" i="3" s="1"/>
  <c r="S20" i="3" s="1"/>
  <c r="S21" i="3" s="1"/>
  <c r="E241" i="2"/>
  <c r="AH126" i="2"/>
  <c r="E270" i="2"/>
  <c r="J162" i="2" l="1"/>
  <c r="M162" i="2"/>
  <c r="L162" i="2"/>
  <c r="G162" i="2"/>
  <c r="M217" i="2"/>
  <c r="M232" i="2" s="1"/>
  <c r="M260" i="2" s="1"/>
  <c r="A5" i="6"/>
  <c r="G217" i="2"/>
  <c r="G232" i="2" s="1"/>
  <c r="G260" i="2" s="1"/>
  <c r="H162" i="2"/>
  <c r="F217" i="2"/>
  <c r="F232" i="2" s="1"/>
  <c r="F260" i="2" s="1"/>
  <c r="I217" i="2"/>
  <c r="I232" i="2" s="1"/>
  <c r="I260" i="2" s="1"/>
  <c r="J217" i="2"/>
  <c r="J232" i="2" s="1"/>
  <c r="J260" i="2" s="1"/>
  <c r="N217" i="2"/>
  <c r="N232" i="2" s="1"/>
  <c r="N260" i="2" s="1"/>
  <c r="F162" i="2"/>
  <c r="K162" i="2"/>
  <c r="K217" i="2"/>
  <c r="N162" i="2"/>
  <c r="H217" i="2"/>
  <c r="O217" i="2"/>
  <c r="O232" i="2" s="1"/>
  <c r="O260" i="2" s="1"/>
  <c r="L217" i="2"/>
  <c r="O162" i="2"/>
  <c r="I162" i="2"/>
  <c r="D217" i="2"/>
  <c r="D158" i="2"/>
  <c r="C217" i="2"/>
  <c r="D219" i="2" s="1"/>
  <c r="E217" i="2"/>
  <c r="C162" i="2"/>
  <c r="E162" i="2"/>
  <c r="D162" i="2"/>
  <c r="B162" i="2"/>
  <c r="E158" i="2"/>
  <c r="C158" i="2"/>
  <c r="E128" i="2"/>
  <c r="E129" i="2" s="1"/>
  <c r="C128" i="2"/>
  <c r="P98" i="2"/>
  <c r="AH152" i="2"/>
  <c r="AH181" i="2"/>
  <c r="AH153" i="2"/>
  <c r="AH182" i="2"/>
  <c r="AH151" i="2"/>
  <c r="AH180" i="2"/>
  <c r="G188" i="2"/>
  <c r="AH118" i="2"/>
  <c r="P141" i="2"/>
  <c r="P149" i="2"/>
  <c r="P174" i="2"/>
  <c r="P176" i="2"/>
  <c r="H188" i="2"/>
  <c r="P179" i="2"/>
  <c r="O188" i="2"/>
  <c r="K188" i="2"/>
  <c r="L188" i="2"/>
  <c r="P171" i="2"/>
  <c r="P169" i="2"/>
  <c r="P167" i="2"/>
  <c r="P165" i="2"/>
  <c r="L68" i="2"/>
  <c r="B310" i="2" s="1"/>
  <c r="B6" i="5" s="1"/>
  <c r="AA128" i="2"/>
  <c r="P136" i="2"/>
  <c r="P178" i="2"/>
  <c r="P177" i="2"/>
  <c r="M188" i="2"/>
  <c r="I188" i="2"/>
  <c r="E188" i="2"/>
  <c r="N188" i="2"/>
  <c r="J188" i="2"/>
  <c r="F188" i="2"/>
  <c r="P164" i="2"/>
  <c r="P118" i="2"/>
  <c r="AD128" i="2"/>
  <c r="AD129" i="2" s="1"/>
  <c r="P135" i="2"/>
  <c r="AH125" i="2"/>
  <c r="P166" i="2"/>
  <c r="V128" i="2"/>
  <c r="V129" i="2" s="1"/>
  <c r="AE128" i="2"/>
  <c r="AE129" i="2" s="1"/>
  <c r="W128" i="2"/>
  <c r="W129" i="2" s="1"/>
  <c r="P116" i="2"/>
  <c r="AH114" i="2"/>
  <c r="P107" i="2"/>
  <c r="P115" i="2"/>
  <c r="AH116" i="2"/>
  <c r="P137" i="2"/>
  <c r="Z128" i="2"/>
  <c r="AG128" i="2"/>
  <c r="P147" i="2"/>
  <c r="AH111" i="2"/>
  <c r="AH109" i="2"/>
  <c r="AH107" i="2"/>
  <c r="AH179" i="2"/>
  <c r="AH150" i="2"/>
  <c r="AH177" i="2"/>
  <c r="AH148" i="2"/>
  <c r="AH175" i="2"/>
  <c r="AH146" i="2"/>
  <c r="AH171" i="2"/>
  <c r="AH142" i="2"/>
  <c r="AH169" i="2"/>
  <c r="AH140" i="2"/>
  <c r="AH167" i="2"/>
  <c r="AH138" i="2"/>
  <c r="AH165" i="2"/>
  <c r="AH136" i="2"/>
  <c r="AH178" i="2"/>
  <c r="AH149" i="2"/>
  <c r="AH176" i="2"/>
  <c r="AH147" i="2"/>
  <c r="AH174" i="2"/>
  <c r="AH145" i="2"/>
  <c r="AH172" i="2"/>
  <c r="AH143" i="2"/>
  <c r="AH170" i="2"/>
  <c r="AH141" i="2"/>
  <c r="AH168" i="2"/>
  <c r="AH139" i="2"/>
  <c r="AH166" i="2"/>
  <c r="AH137" i="2"/>
  <c r="AG290" i="2"/>
  <c r="AG301" i="2" s="1"/>
  <c r="AH164" i="2"/>
  <c r="AH135" i="2"/>
  <c r="B3" i="5"/>
  <c r="P175" i="2"/>
  <c r="P109" i="2"/>
  <c r="P105" i="2"/>
  <c r="P119" i="2"/>
  <c r="P117" i="2"/>
  <c r="AH119" i="2"/>
  <c r="AH117" i="2"/>
  <c r="P172" i="2"/>
  <c r="P170" i="2"/>
  <c r="P168" i="2"/>
  <c r="P143" i="2"/>
  <c r="P139" i="2"/>
  <c r="P145" i="2"/>
  <c r="P111" i="2"/>
  <c r="P114" i="2"/>
  <c r="P112" i="2"/>
  <c r="P110" i="2"/>
  <c r="P108" i="2"/>
  <c r="AH115" i="2"/>
  <c r="P106" i="2"/>
  <c r="AF128" i="2"/>
  <c r="AF129" i="2" s="1"/>
  <c r="AB128" i="2"/>
  <c r="AB129" i="2" s="1"/>
  <c r="X128" i="2"/>
  <c r="X129" i="2" s="1"/>
  <c r="AH112" i="2"/>
  <c r="AH110" i="2"/>
  <c r="AH106" i="2"/>
  <c r="AH105" i="2"/>
  <c r="P104" i="2"/>
  <c r="P142" i="2"/>
  <c r="P140" i="2"/>
  <c r="P138" i="2"/>
  <c r="P150" i="2"/>
  <c r="P148" i="2"/>
  <c r="P146" i="2"/>
  <c r="AH104" i="2"/>
  <c r="AC128" i="2"/>
  <c r="AC129" i="2" s="1"/>
  <c r="Y128" i="2"/>
  <c r="AH108" i="2"/>
  <c r="U128" i="2"/>
  <c r="U129" i="2" s="1"/>
  <c r="T128" i="2"/>
  <c r="T129" i="2" s="1"/>
  <c r="B129" i="2"/>
  <c r="B232" i="2"/>
  <c r="B260" i="2" s="1"/>
  <c r="D218" i="2"/>
  <c r="C188" i="2"/>
  <c r="B188" i="2"/>
  <c r="H232" i="2"/>
  <c r="H260" i="2" s="1"/>
  <c r="K232" i="2"/>
  <c r="K260" i="2" s="1"/>
  <c r="F8" i="11"/>
  <c r="I8" i="11"/>
  <c r="K68" i="2"/>
  <c r="D310" i="2" s="1"/>
  <c r="G6" i="5" s="1"/>
  <c r="L232" i="2"/>
  <c r="L260" i="2" s="1"/>
  <c r="B4" i="5"/>
  <c r="C232" i="2"/>
  <c r="C260" i="2" s="1"/>
  <c r="E232" i="2"/>
  <c r="E260" i="2" s="1"/>
  <c r="D188" i="2"/>
  <c r="B5" i="5"/>
  <c r="D232" i="2" l="1"/>
  <c r="D260" i="2" s="1"/>
  <c r="F193" i="2"/>
  <c r="F215" i="2" s="1"/>
  <c r="F236" i="2" s="1"/>
  <c r="F265" i="2" s="1"/>
  <c r="F288" i="2" s="1"/>
  <c r="I193" i="2"/>
  <c r="I215" i="2" s="1"/>
  <c r="I236" i="2" s="1"/>
  <c r="I265" i="2" s="1"/>
  <c r="I288" i="2" s="1"/>
  <c r="N193" i="2"/>
  <c r="N215" i="2" s="1"/>
  <c r="N236" i="2" s="1"/>
  <c r="N265" i="2" s="1"/>
  <c r="N288" i="2" s="1"/>
  <c r="L193" i="2"/>
  <c r="L215" i="2" s="1"/>
  <c r="L236" i="2" s="1"/>
  <c r="L265" i="2" s="1"/>
  <c r="L288" i="2" s="1"/>
  <c r="K193" i="2"/>
  <c r="K215" i="2" s="1"/>
  <c r="K236" i="2" s="1"/>
  <c r="K265" i="2" s="1"/>
  <c r="K288" i="2" s="1"/>
  <c r="H193" i="2"/>
  <c r="H215" i="2" s="1"/>
  <c r="H236" i="2" s="1"/>
  <c r="H265" i="2" s="1"/>
  <c r="H288" i="2" s="1"/>
  <c r="G193" i="2"/>
  <c r="G215" i="2" s="1"/>
  <c r="G236" i="2" s="1"/>
  <c r="G265" i="2" s="1"/>
  <c r="G288" i="2" s="1"/>
  <c r="M193" i="2"/>
  <c r="M215" i="2" s="1"/>
  <c r="M236" i="2" s="1"/>
  <c r="M265" i="2" s="1"/>
  <c r="M288" i="2" s="1"/>
  <c r="O193" i="2"/>
  <c r="O215" i="2" s="1"/>
  <c r="O236" i="2" s="1"/>
  <c r="O265" i="2" s="1"/>
  <c r="O288" i="2" s="1"/>
  <c r="J193" i="2"/>
  <c r="J215" i="2" s="1"/>
  <c r="J236" i="2" s="1"/>
  <c r="J265" i="2" s="1"/>
  <c r="J288" i="2" s="1"/>
  <c r="AH158" i="2"/>
  <c r="B193" i="2"/>
  <c r="B215" i="2" s="1"/>
  <c r="B236" i="2" s="1"/>
  <c r="B265" i="2" s="1"/>
  <c r="B288" i="2" s="1"/>
  <c r="D193" i="2"/>
  <c r="D215" i="2" s="1"/>
  <c r="D236" i="2" s="1"/>
  <c r="D265" i="2" s="1"/>
  <c r="D288" i="2" s="1"/>
  <c r="E193" i="2"/>
  <c r="E215" i="2" s="1"/>
  <c r="E236" i="2" s="1"/>
  <c r="E265" i="2" s="1"/>
  <c r="E288" i="2" s="1"/>
  <c r="C193" i="2"/>
  <c r="C215" i="2" s="1"/>
  <c r="C236" i="2" s="1"/>
  <c r="C265" i="2" s="1"/>
  <c r="C288" i="2" s="1"/>
  <c r="J267" i="2"/>
  <c r="J282" i="2" s="1"/>
  <c r="J284" i="2" s="1"/>
  <c r="J290" i="2" s="1"/>
  <c r="J301" i="2" s="1"/>
  <c r="B15" i="5" s="1"/>
  <c r="M267" i="2"/>
  <c r="M282" i="2" s="1"/>
  <c r="M284" i="2" s="1"/>
  <c r="M290" i="2" s="1"/>
  <c r="M301" i="2" s="1"/>
  <c r="B18" i="5" s="1"/>
  <c r="C267" i="2"/>
  <c r="F267" i="2"/>
  <c r="F282" i="2" s="1"/>
  <c r="F284" i="2" s="1"/>
  <c r="F290" i="2" s="1"/>
  <c r="F301" i="2" s="1"/>
  <c r="B11" i="5" s="1"/>
  <c r="P158" i="2"/>
  <c r="P128" i="2"/>
  <c r="P129" i="2" s="1"/>
  <c r="H267" i="2"/>
  <c r="H282" i="2" s="1"/>
  <c r="H284" i="2" s="1"/>
  <c r="H290" i="2" s="1"/>
  <c r="H301" i="2" s="1"/>
  <c r="B13" i="5" s="1"/>
  <c r="N267" i="2"/>
  <c r="N282" i="2" s="1"/>
  <c r="N284" i="2" s="1"/>
  <c r="N290" i="2" s="1"/>
  <c r="N301" i="2" s="1"/>
  <c r="B19" i="5" s="1"/>
  <c r="I267" i="2"/>
  <c r="I282" i="2" s="1"/>
  <c r="I284" i="2" s="1"/>
  <c r="I290" i="2" s="1"/>
  <c r="I301" i="2" s="1"/>
  <c r="B14" i="5" s="1"/>
  <c r="D267" i="2"/>
  <c r="K267" i="2"/>
  <c r="K282" i="2" s="1"/>
  <c r="K284" i="2" s="1"/>
  <c r="K290" i="2" s="1"/>
  <c r="K301" i="2" s="1"/>
  <c r="B16" i="5" s="1"/>
  <c r="G267" i="2"/>
  <c r="E267" i="2"/>
  <c r="O267" i="2"/>
  <c r="O282" i="2" s="1"/>
  <c r="O284" i="2" s="1"/>
  <c r="O290" i="2" s="1"/>
  <c r="O301" i="2" s="1"/>
  <c r="B20" i="5" s="1"/>
  <c r="L267" i="2"/>
  <c r="L282" i="2" s="1"/>
  <c r="L284" i="2" s="1"/>
  <c r="L290" i="2" s="1"/>
  <c r="L301" i="2" s="1"/>
  <c r="B17" i="5" s="1"/>
  <c r="D129" i="2"/>
  <c r="M238" i="2"/>
  <c r="M253" i="2" s="1"/>
  <c r="M255" i="2" s="1"/>
  <c r="M261" i="2" s="1"/>
  <c r="AA129" i="2"/>
  <c r="C238" i="2"/>
  <c r="E238" i="2"/>
  <c r="Z129" i="2"/>
  <c r="Y129" i="2"/>
  <c r="J238" i="2"/>
  <c r="J253" i="2" s="1"/>
  <c r="J255" i="2" s="1"/>
  <c r="J289" i="2" s="1"/>
  <c r="J300" i="2" s="1"/>
  <c r="L238" i="2"/>
  <c r="L253" i="2" s="1"/>
  <c r="L255" i="2" s="1"/>
  <c r="AD289" i="2" s="1"/>
  <c r="H238" i="2"/>
  <c r="H253" i="2" s="1"/>
  <c r="H255" i="2" s="1"/>
  <c r="Z289" i="2" s="1"/>
  <c r="Z291" i="2" s="1"/>
  <c r="Z302" i="2" s="1"/>
  <c r="D238" i="2"/>
  <c r="AG129" i="2"/>
  <c r="K238" i="2"/>
  <c r="K253" i="2" s="1"/>
  <c r="K255" i="2" s="1"/>
  <c r="AC289" i="2" s="1"/>
  <c r="C129" i="2"/>
  <c r="O238" i="2"/>
  <c r="O253" i="2" s="1"/>
  <c r="O255" i="2" s="1"/>
  <c r="AG289" i="2" s="1"/>
  <c r="AG300" i="2" s="1"/>
  <c r="AH128" i="2"/>
  <c r="AH129" i="2" s="1"/>
  <c r="P188" i="2"/>
  <c r="AH188" i="2"/>
  <c r="F238" i="2"/>
  <c r="F253" i="2" s="1"/>
  <c r="F255" i="2" s="1"/>
  <c r="X289" i="2" s="1"/>
  <c r="B267" i="2"/>
  <c r="N238" i="2"/>
  <c r="N253" i="2" s="1"/>
  <c r="N255" i="2" s="1"/>
  <c r="AF289" i="2" s="1"/>
  <c r="I238" i="2"/>
  <c r="I253" i="2" s="1"/>
  <c r="I255" i="2" s="1"/>
  <c r="AA289" i="2" s="1"/>
  <c r="AG294" i="2"/>
  <c r="G238" i="2"/>
  <c r="B238" i="2"/>
  <c r="J294" i="2" l="1"/>
  <c r="M294" i="2"/>
  <c r="F294" i="2"/>
  <c r="H294" i="2"/>
  <c r="N294" i="2"/>
  <c r="I294" i="2"/>
  <c r="K294" i="2"/>
  <c r="L294" i="2"/>
  <c r="O294" i="2"/>
  <c r="L289" i="2"/>
  <c r="L300" i="2" s="1"/>
  <c r="I289" i="2"/>
  <c r="I300" i="2" s="1"/>
  <c r="M289" i="2"/>
  <c r="M300" i="2" s="1"/>
  <c r="AE289" i="2"/>
  <c r="AE291" i="2" s="1"/>
  <c r="AE302" i="2" s="1"/>
  <c r="K261" i="2"/>
  <c r="K289" i="2"/>
  <c r="K300" i="2" s="1"/>
  <c r="L261" i="2"/>
  <c r="F289" i="2"/>
  <c r="F300" i="2" s="1"/>
  <c r="AB289" i="2"/>
  <c r="AB291" i="2" s="1"/>
  <c r="AB302" i="2" s="1"/>
  <c r="H289" i="2"/>
  <c r="H300" i="2" s="1"/>
  <c r="Z300" i="2"/>
  <c r="J261" i="2"/>
  <c r="H261" i="2"/>
  <c r="J291" i="2"/>
  <c r="J302" i="2" s="1"/>
  <c r="N261" i="2"/>
  <c r="O289" i="2"/>
  <c r="O300" i="2" s="1"/>
  <c r="O261" i="2"/>
  <c r="AG291" i="2"/>
  <c r="AG302" i="2" s="1"/>
  <c r="I261" i="2"/>
  <c r="F261" i="2"/>
  <c r="N289" i="2"/>
  <c r="N300" i="2" s="1"/>
  <c r="AC291" i="2"/>
  <c r="AC302" i="2" s="1"/>
  <c r="AC300" i="2"/>
  <c r="AD291" i="2"/>
  <c r="AD302" i="2" s="1"/>
  <c r="AD300" i="2"/>
  <c r="AA291" i="2"/>
  <c r="AA302" i="2" s="1"/>
  <c r="AA300" i="2"/>
  <c r="X291" i="2"/>
  <c r="X302" i="2" s="1"/>
  <c r="X300" i="2"/>
  <c r="AF291" i="2"/>
  <c r="AF302" i="2" s="1"/>
  <c r="AF300" i="2"/>
  <c r="B37" i="5"/>
  <c r="B40" i="5"/>
  <c r="B38" i="5"/>
  <c r="B36" i="5"/>
  <c r="B33" i="5"/>
  <c r="B35" i="5"/>
  <c r="B31" i="5"/>
  <c r="B34" i="5"/>
  <c r="B39" i="5"/>
  <c r="I291" i="2" l="1"/>
  <c r="I302" i="2" s="1"/>
  <c r="AE300" i="2"/>
  <c r="L291" i="2"/>
  <c r="L302" i="2" s="1"/>
  <c r="K291" i="2"/>
  <c r="K302" i="2" s="1"/>
  <c r="M291" i="2"/>
  <c r="M302" i="2" s="1"/>
  <c r="F291" i="2"/>
  <c r="F302" i="2" s="1"/>
  <c r="H291" i="2"/>
  <c r="H302" i="2" s="1"/>
  <c r="AB300" i="2"/>
  <c r="N291" i="2"/>
  <c r="N302" i="2" s="1"/>
  <c r="O291" i="2"/>
  <c r="O302" i="2" s="1"/>
  <c r="B240" i="2"/>
  <c r="B253" i="2" s="1"/>
  <c r="B255" i="2" s="1"/>
  <c r="B269" i="2"/>
  <c r="B282" i="2" s="1"/>
  <c r="B284" i="2" s="1"/>
  <c r="E268" i="2" s="1"/>
  <c r="E282" i="2" s="1"/>
  <c r="E284" i="2" s="1"/>
  <c r="E290" i="2" l="1"/>
  <c r="B289" i="2"/>
  <c r="B300" i="2" s="1"/>
  <c r="T289" i="2"/>
  <c r="E239" i="2"/>
  <c r="E253" i="2" s="1"/>
  <c r="E255" i="2" s="1"/>
  <c r="B290" i="2"/>
  <c r="B301" i="2" s="1"/>
  <c r="D268" i="2"/>
  <c r="B261" i="2"/>
  <c r="D239" i="2"/>
  <c r="C268" i="2"/>
  <c r="C239" i="2"/>
  <c r="T291" i="2" l="1"/>
  <c r="T302" i="2" s="1"/>
  <c r="T300" i="2"/>
  <c r="AH301" i="2" s="1"/>
  <c r="C311" i="2" s="1"/>
  <c r="C313" i="2" s="1"/>
  <c r="E37" i="3" s="1"/>
  <c r="W289" i="2"/>
  <c r="E261" i="2"/>
  <c r="E289" i="2"/>
  <c r="E300" i="2" s="1"/>
  <c r="E301" i="2"/>
  <c r="E294" i="2"/>
  <c r="B7" i="5"/>
  <c r="B27" i="5" s="1"/>
  <c r="B294" i="2"/>
  <c r="B291" i="2"/>
  <c r="B302" i="2" s="1"/>
  <c r="G270" i="2"/>
  <c r="G282" i="2" s="1"/>
  <c r="G284" i="2" s="1"/>
  <c r="G290" i="2" s="1"/>
  <c r="C270" i="2"/>
  <c r="C282" i="2" s="1"/>
  <c r="C284" i="2" s="1"/>
  <c r="D269" i="2" s="1"/>
  <c r="D282" i="2" s="1"/>
  <c r="D284" i="2" s="1"/>
  <c r="C241" i="2"/>
  <c r="C253" i="2" s="1"/>
  <c r="C255" i="2" s="1"/>
  <c r="E39" i="3" l="1"/>
  <c r="E38" i="3"/>
  <c r="E291" i="2"/>
  <c r="W291" i="2"/>
  <c r="W302" i="2" s="1"/>
  <c r="W300" i="2"/>
  <c r="B10" i="5"/>
  <c r="B30" i="5" s="1"/>
  <c r="D240" i="2"/>
  <c r="D253" i="2" s="1"/>
  <c r="D255" i="2" s="1"/>
  <c r="V289" i="2" s="1"/>
  <c r="U289" i="2"/>
  <c r="G241" i="2"/>
  <c r="G253" i="2" s="1"/>
  <c r="G255" i="2" s="1"/>
  <c r="Y289" i="2" s="1"/>
  <c r="D290" i="2"/>
  <c r="D301" i="2" s="1"/>
  <c r="B293" i="2"/>
  <c r="C290" i="2"/>
  <c r="C301" i="2" s="1"/>
  <c r="C289" i="2"/>
  <c r="C300" i="2" s="1"/>
  <c r="C261" i="2"/>
  <c r="G301" i="2"/>
  <c r="G294" i="2"/>
  <c r="E302" i="2" l="1"/>
  <c r="E293" i="2"/>
  <c r="E41" i="3"/>
  <c r="E42" i="3"/>
  <c r="D289" i="2"/>
  <c r="D300" i="2" s="1"/>
  <c r="V291" i="2"/>
  <c r="V302" i="2" s="1"/>
  <c r="V300" i="2"/>
  <c r="U291" i="2"/>
  <c r="U302" i="2" s="1"/>
  <c r="U300" i="2"/>
  <c r="D261" i="2"/>
  <c r="Y291" i="2"/>
  <c r="Y302" i="2" s="1"/>
  <c r="Y300" i="2"/>
  <c r="D294" i="2"/>
  <c r="B12" i="5"/>
  <c r="B32" i="5" s="1"/>
  <c r="G289" i="2"/>
  <c r="G261" i="2"/>
  <c r="B9" i="5"/>
  <c r="B29" i="5" s="1"/>
  <c r="C291" i="2"/>
  <c r="C294" i="2"/>
  <c r="B8" i="5"/>
  <c r="P301" i="2"/>
  <c r="D291" i="2" l="1"/>
  <c r="D302" i="2" s="1"/>
  <c r="C302" i="2"/>
  <c r="C293" i="2"/>
  <c r="AH300" i="2"/>
  <c r="AH302" i="2" s="1"/>
  <c r="D293" i="2"/>
  <c r="G300" i="2"/>
  <c r="P300" i="2" s="1"/>
  <c r="D311" i="2" s="1"/>
  <c r="G291" i="2"/>
  <c r="G302" i="2" s="1"/>
  <c r="B311" i="2"/>
  <c r="B28" i="5"/>
  <c r="B21" i="5"/>
  <c r="B22" i="5"/>
  <c r="D313" i="2" l="1"/>
  <c r="C315" i="2" s="1"/>
  <c r="G7" i="5"/>
  <c r="P302" i="2"/>
  <c r="C5" i="5"/>
  <c r="C4" i="5"/>
  <c r="C6" i="5"/>
  <c r="C16" i="5"/>
  <c r="C13" i="5"/>
  <c r="C14" i="5"/>
  <c r="C17" i="5"/>
  <c r="C20" i="5"/>
  <c r="C18" i="5"/>
  <c r="C9" i="5"/>
  <c r="C12" i="5"/>
  <c r="C15" i="5"/>
  <c r="C10" i="5"/>
  <c r="C11" i="5"/>
  <c r="C19" i="5"/>
  <c r="C3" i="5"/>
  <c r="C7" i="5"/>
  <c r="B313" i="2"/>
  <c r="E10" i="3" s="1"/>
  <c r="C21" i="5"/>
  <c r="C8" i="5"/>
  <c r="E14" i="3" l="1"/>
  <c r="E18" i="3" s="1"/>
  <c r="E40" i="3" s="1"/>
  <c r="J38" i="3" s="1"/>
  <c r="J39" i="3"/>
  <c r="J35" i="3"/>
  <c r="J40" i="3"/>
  <c r="J30" i="3"/>
  <c r="E20" i="3"/>
  <c r="E23" i="3"/>
  <c r="B315" i="2"/>
  <c r="E11" i="3"/>
  <c r="C22" i="5"/>
  <c r="K40" i="3" l="1"/>
  <c r="K15" i="3"/>
  <c r="L15" i="3" s="1"/>
  <c r="K21" i="3"/>
  <c r="L21" i="3" s="1"/>
  <c r="K19" i="3"/>
  <c r="L19" i="3" s="1"/>
  <c r="J31" i="3"/>
  <c r="K17" i="3"/>
  <c r="L17" i="3" s="1"/>
  <c r="J19" i="3"/>
  <c r="J17" i="3"/>
  <c r="J15" i="3"/>
  <c r="J9" i="3"/>
  <c r="J21" i="3"/>
  <c r="E12" i="3"/>
  <c r="E19" i="3" s="1"/>
  <c r="K13" i="3" s="1"/>
  <c r="L13" i="3" s="1"/>
  <c r="J13" i="3" l="1"/>
  <c r="E21" i="3"/>
  <c r="E22" i="3" s="1"/>
  <c r="K11" i="3" l="1"/>
  <c r="J11" i="3"/>
  <c r="J24" i="3" s="1"/>
  <c r="N16" i="3" l="1"/>
  <c r="K24" i="3"/>
  <c r="L11" i="3"/>
  <c r="L24" i="3" s="1"/>
  <c r="N23" i="3" l="1"/>
  <c r="N14" i="3"/>
  <c r="N22" i="3"/>
  <c r="N13" i="3"/>
  <c r="N15" i="3"/>
  <c r="N11" i="3"/>
  <c r="N18" i="3"/>
  <c r="N12" i="3"/>
  <c r="O16" i="3" l="1"/>
  <c r="U21" i="3" l="1"/>
  <c r="V21" i="3" s="1"/>
  <c r="W21" i="3" s="1"/>
  <c r="N30" i="3" s="1"/>
  <c r="U19" i="3"/>
  <c r="V19" i="3" s="1"/>
  <c r="W19" i="3" s="1"/>
  <c r="N28" i="3" s="1"/>
  <c r="U17" i="3"/>
  <c r="V17" i="3" s="1"/>
  <c r="W17" i="3" s="1"/>
  <c r="N26" i="3" s="1"/>
  <c r="U20" i="3"/>
  <c r="V20" i="3" s="1"/>
  <c r="W20" i="3" s="1"/>
  <c r="N29" i="3" s="1"/>
  <c r="U18" i="3"/>
  <c r="V18" i="3" s="1"/>
  <c r="W18" i="3" s="1"/>
  <c r="N27" i="3" s="1"/>
  <c r="N19" i="3"/>
  <c r="N20" i="3"/>
  <c r="O20"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Pratt, Al</author>
  </authors>
  <commentList>
    <comment ref="A296" authorId="0" shapeId="0" xr:uid="{00000000-0006-0000-0200-000001000000}">
      <text>
        <r>
          <rPr>
            <b/>
            <sz val="8"/>
            <color indexed="81"/>
            <rFont val="Tahoma"/>
            <family val="2"/>
          </rPr>
          <t>Critical input for proper routing</t>
        </r>
      </text>
    </comment>
    <comment ref="S296" authorId="0" shapeId="0" xr:uid="{00000000-0006-0000-0200-000002000000}">
      <text>
        <r>
          <rPr>
            <b/>
            <sz val="8"/>
            <color indexed="81"/>
            <rFont val="Tahoma"/>
            <family val="2"/>
          </rPr>
          <t>Critical input for proper routing</t>
        </r>
      </text>
    </comment>
  </commentList>
</comments>
</file>

<file path=xl/sharedStrings.xml><?xml version="1.0" encoding="utf-8"?>
<sst xmlns="http://schemas.openxmlformats.org/spreadsheetml/2006/main" count="1494" uniqueCount="735">
  <si>
    <t>EXPORT MODEL VARIABLES AND INPUT RANGES</t>
  </si>
  <si>
    <t>DESCRIPTION</t>
  </si>
  <si>
    <t>HIGH</t>
  </si>
  <si>
    <t>MEDIUM</t>
  </si>
  <si>
    <t>LOW</t>
  </si>
  <si>
    <t>Standard Water Yield</t>
  </si>
  <si>
    <t>Precipitation</t>
  </si>
  <si>
    <t>Runoff Coefficient</t>
  </si>
  <si>
    <t>Portion of rainfall converted to overland flow</t>
  </si>
  <si>
    <t xml:space="preserve">Increases with steeper slope and lowered permeability </t>
  </si>
  <si>
    <t>Baseflow Coefficient</t>
  </si>
  <si>
    <t>Portion of rainfall converted to baseflow</t>
  </si>
  <si>
    <t>Increases with flatter slope and higher permeability</t>
  </si>
  <si>
    <t>PHOSPHORUS EXPORT (KG/HA/YR)</t>
  </si>
  <si>
    <t>NITROGEN EXPORT (KG/HA/YR)</t>
  </si>
  <si>
    <t>LAND USES</t>
  </si>
  <si>
    <t>MAXIMUM</t>
  </si>
  <si>
    <t>MEAN</t>
  </si>
  <si>
    <t>MEDIAN</t>
  </si>
  <si>
    <t>MINIMUM</t>
  </si>
  <si>
    <t>Urban 1 (LDR)</t>
  </si>
  <si>
    <t>Low density residential (&gt;1 ac lots)</t>
  </si>
  <si>
    <t>Urban 2 (MDR/Hwy)</t>
  </si>
  <si>
    <t>Medium density residential (0.3-0.9 ac lots) + highway corridors</t>
  </si>
  <si>
    <t>Urban 3 (HDR/Com)</t>
  </si>
  <si>
    <t>High density residential (&lt;0.3 ac lots) + commercial</t>
  </si>
  <si>
    <t>Urban 4 (Ind)</t>
  </si>
  <si>
    <t xml:space="preserve">Industrial </t>
  </si>
  <si>
    <t>Urban 5 (P/I/R/C)</t>
  </si>
  <si>
    <t>Park, Institutional, Recreational or Cemetery</t>
  </si>
  <si>
    <t>Agric 1 (Cvr Crop)</t>
  </si>
  <si>
    <t>Agricultural with cover crops (minimal bare soil)</t>
  </si>
  <si>
    <t>Agric 2 (Row Crop)</t>
  </si>
  <si>
    <t>Agricultural with row crops (some bare soil)</t>
  </si>
  <si>
    <t>Agric 3 (Grazing)</t>
  </si>
  <si>
    <t>Agricultural pasture with livestock</t>
  </si>
  <si>
    <t>Agric 4 (Feedlot)</t>
  </si>
  <si>
    <t xml:space="preserve">Concentrated livestock holding area </t>
  </si>
  <si>
    <t>Forest 1 (Upland)</t>
  </si>
  <si>
    <t>Land with tree canopy over upland soils and vegetation</t>
  </si>
  <si>
    <t>Forest 2 (Wetland)</t>
  </si>
  <si>
    <t>Land with tree canopy over wetland soils and vegetation</t>
  </si>
  <si>
    <t>Open 1 (Wetland/Lake)</t>
  </si>
  <si>
    <t>Open wetland or lake area (no substantial canopy)</t>
  </si>
  <si>
    <t>Open 2 (Meadow)</t>
  </si>
  <si>
    <t>Open meadow area (no clearly wetland, but no canopy)</t>
  </si>
  <si>
    <t>Open 3 (Barren)</t>
  </si>
  <si>
    <t>Mining or construction areas, largely bare soils</t>
  </si>
  <si>
    <t>Other 1</t>
  </si>
  <si>
    <t>Define:</t>
  </si>
  <si>
    <t>Other 2</t>
  </si>
  <si>
    <t>Other 3</t>
  </si>
  <si>
    <t>OTHER AREAL SOURCES</t>
  </si>
  <si>
    <t>Wet and dry deposition from aerial sources</t>
  </si>
  <si>
    <t xml:space="preserve">   from Forested Area</t>
  </si>
  <si>
    <t>Deposition originating in largely forested area</t>
  </si>
  <si>
    <t xml:space="preserve">   from Agricultural/Rural Area</t>
  </si>
  <si>
    <t>Deposition originating in largely agricultural area</t>
  </si>
  <si>
    <t xml:space="preserve">   from Urban/Industrial Area</t>
  </si>
  <si>
    <t>Deposition originating in largely urban area</t>
  </si>
  <si>
    <t>Internal Loading</t>
  </si>
  <si>
    <t>Release from sediments or macrophytes, oxic or anoxic</t>
  </si>
  <si>
    <t>NON-AREAL SOURCES</t>
  </si>
  <si>
    <t xml:space="preserve">Waterfowl </t>
  </si>
  <si>
    <t>Direct inputs from birds (kg/bird/yr)</t>
  </si>
  <si>
    <t>Point Sources</t>
  </si>
  <si>
    <t>Direct discharge from facility</t>
  </si>
  <si>
    <t xml:space="preserve">   Wastewater - primary treatment (ppm)</t>
  </si>
  <si>
    <t xml:space="preserve">   Wastewater - secondary treatment (ppm)</t>
  </si>
  <si>
    <t xml:space="preserve">   Wastewater - tertiary treatment (ppm)</t>
  </si>
  <si>
    <t xml:space="preserve">   Cooling water (ppm)</t>
  </si>
  <si>
    <t>EXPORT MODEL INPUT AND CALCULATIONS</t>
  </si>
  <si>
    <t>COEFFICIENTS</t>
  </si>
  <si>
    <t>P Export</t>
  </si>
  <si>
    <t>Coefficient</t>
  </si>
  <si>
    <t>LAND USE</t>
  </si>
  <si>
    <t>(Fraction)</t>
  </si>
  <si>
    <t>(kg/ha/yr)</t>
  </si>
  <si>
    <t>Affected</t>
  </si>
  <si>
    <t>Lake</t>
  </si>
  <si>
    <t>Area (ha)</t>
  </si>
  <si>
    <t>Number of</t>
  </si>
  <si>
    <t>Volume</t>
  </si>
  <si>
    <t>P Load</t>
  </si>
  <si>
    <t>Source Units</t>
  </si>
  <si>
    <t>(cu.m/yr)</t>
  </si>
  <si>
    <t>(kg/unit/yr)</t>
  </si>
  <si>
    <t>(ppm)</t>
  </si>
  <si>
    <t>Basin in which Point Source occurs (0=NO  1=YES)</t>
  </si>
  <si>
    <t>BASIN 1</t>
  </si>
  <si>
    <t>BASIN 2</t>
  </si>
  <si>
    <t>BASIN 3</t>
  </si>
  <si>
    <t>BASIN 9</t>
  </si>
  <si>
    <t>BASIN AREAS</t>
  </si>
  <si>
    <t>TOTAL</t>
  </si>
  <si>
    <t>AREA (HA)</t>
  </si>
  <si>
    <t>WATER LOAD GENERATION: RUNOFF</t>
  </si>
  <si>
    <t>WATER LOAD GENERATION: BASEFLOW</t>
  </si>
  <si>
    <t>(CU.M/YR)</t>
  </si>
  <si>
    <t>LOAD GENERATION: RUNOFF P</t>
  </si>
  <si>
    <t>(KG/YR)</t>
  </si>
  <si>
    <t>LOAD GENERATION: BASEFLOW P</t>
  </si>
  <si>
    <t>1=YES  0=NO  XXX=BLANK</t>
  </si>
  <si>
    <t xml:space="preserve">INDIVIDUAL BASIN </t>
  </si>
  <si>
    <t>BASIN 1 OUTPUT</t>
  </si>
  <si>
    <t>XXX</t>
  </si>
  <si>
    <t>BASIN 2 OUTPUT</t>
  </si>
  <si>
    <t>BASIN 3 OUTPUT</t>
  </si>
  <si>
    <t>BASIN 4  OUTPUT</t>
  </si>
  <si>
    <t>BASIN 5 OUTPUT</t>
  </si>
  <si>
    <t>BASIN 6 OUTPUT</t>
  </si>
  <si>
    <t>BASIN 7 OUTPUT</t>
  </si>
  <si>
    <t>BASIN 8 OUTPUT</t>
  </si>
  <si>
    <t>BASIN 9 OUTPUT</t>
  </si>
  <si>
    <t>BASIN 10 OUTPUT</t>
  </si>
  <si>
    <t>WATER ROUTING AND ATTENUATION</t>
  </si>
  <si>
    <t>SOURCE</t>
  </si>
  <si>
    <t>CUMULATIVE TOTAL</t>
  </si>
  <si>
    <t>BASIN ATTENUATION</t>
  </si>
  <si>
    <t>OUTPUT VOLUME</t>
  </si>
  <si>
    <t>LOAD ROUTING AND ATTENUATION: PHOSPHORUS</t>
  </si>
  <si>
    <t>BASIN 1 INDIVIDUAL</t>
  </si>
  <si>
    <t>OUTPUT LOAD</t>
  </si>
  <si>
    <t>LOAD AND CONCENTRATION SUMMARY: PHOSPHORUS</t>
  </si>
  <si>
    <t>OUTPUT (CU.M/YR)</t>
  </si>
  <si>
    <t>OUTPUT (KG/YR)</t>
  </si>
  <si>
    <t>OUTPUT (MG/L)</t>
  </si>
  <si>
    <t>TERMINAL DISCHARGE?</t>
  </si>
  <si>
    <t>LOAD TO RESOURCE</t>
  </si>
  <si>
    <t xml:space="preserve">   WATER (CU.M/YR)</t>
  </si>
  <si>
    <t xml:space="preserve">   PHOSPHORUS (KG/YR)</t>
  </si>
  <si>
    <t xml:space="preserve">   PHOSPHORUS (MG/L)</t>
  </si>
  <si>
    <t>DIRECT LOADS TO LAKE</t>
  </si>
  <si>
    <t>TOTAL INPUT CONC. (MG/L)</t>
  </si>
  <si>
    <t>IN-LAKE MODELS FOR PREDICTING CONCENTRATIONS: Current Conditions</t>
  </si>
  <si>
    <t>THE TERMS</t>
  </si>
  <si>
    <t>THE MODELS</t>
  </si>
  <si>
    <t>PREDICTED CHL AND WATER CLARITY</t>
  </si>
  <si>
    <t>PHOSPHORUS</t>
  </si>
  <si>
    <t>PRED.</t>
  </si>
  <si>
    <t>PERMIS.</t>
  </si>
  <si>
    <t>CRITICAL</t>
  </si>
  <si>
    <t xml:space="preserve">CONC. </t>
  </si>
  <si>
    <t>SYMBOL</t>
  </si>
  <si>
    <t>PARAMETER</t>
  </si>
  <si>
    <t>UNITS</t>
  </si>
  <si>
    <t>DERIVATION</t>
  </si>
  <si>
    <t>VALUE</t>
  </si>
  <si>
    <t>NAME</t>
  </si>
  <si>
    <t>FORMULA</t>
  </si>
  <si>
    <t>(ppb)</t>
  </si>
  <si>
    <t>MODEL</t>
  </si>
  <si>
    <t>Value</t>
  </si>
  <si>
    <t>TP</t>
  </si>
  <si>
    <t xml:space="preserve">Lake Total Phosphorus Conc.  </t>
  </si>
  <si>
    <t>ppb</t>
  </si>
  <si>
    <t>From in-lake models</t>
  </si>
  <si>
    <t>To Be Predicted</t>
  </si>
  <si>
    <t>Mass Balance</t>
  </si>
  <si>
    <t>TP=L/(Z(F))*1000</t>
  </si>
  <si>
    <t>KG</t>
  </si>
  <si>
    <t>Phosphorus Load to Lake</t>
  </si>
  <si>
    <t>kg/yr</t>
  </si>
  <si>
    <t>From export model</t>
  </si>
  <si>
    <t>(Maximum Conc.)</t>
  </si>
  <si>
    <t>Mean Chlorophyll (ug/L)</t>
  </si>
  <si>
    <t>L</t>
  </si>
  <si>
    <t>g P/m2/yr</t>
  </si>
  <si>
    <t>KG*1000/A</t>
  </si>
  <si>
    <t>Kirchner-Dillon 1975</t>
  </si>
  <si>
    <t>TP=L(1-Rp)/(Z(F))*1000</t>
  </si>
  <si>
    <t xml:space="preserve">   Dillon and Rigler 1974</t>
  </si>
  <si>
    <t>TPin</t>
  </si>
  <si>
    <t xml:space="preserve">Influent (Inflow) Total Phosphorus </t>
  </si>
  <si>
    <t>(K-D)</t>
  </si>
  <si>
    <t xml:space="preserve">   Jones and Bachmann 1976</t>
  </si>
  <si>
    <t>TPout</t>
  </si>
  <si>
    <t xml:space="preserve">Effluent (Outlet) Total Phosphorus </t>
  </si>
  <si>
    <t>From data, if available</t>
  </si>
  <si>
    <t>Enter Value (TP out)</t>
  </si>
  <si>
    <t>Vollenweider 1975</t>
  </si>
  <si>
    <t>TP=L/(Z(S+F))*1000</t>
  </si>
  <si>
    <t xml:space="preserve">   Oglesby and Schaffner 1978</t>
  </si>
  <si>
    <t>I</t>
  </si>
  <si>
    <t>Inflow</t>
  </si>
  <si>
    <t>m3/yr</t>
  </si>
  <si>
    <t>(V)</t>
  </si>
  <si>
    <t xml:space="preserve">   Modified Vollenweider 1982</t>
  </si>
  <si>
    <t>A</t>
  </si>
  <si>
    <t>Lake Area</t>
  </si>
  <si>
    <t>m2</t>
  </si>
  <si>
    <t>From data</t>
  </si>
  <si>
    <t>Larsen-Mercier 1976</t>
  </si>
  <si>
    <t>TP=L(1-Rlm)/(Z(F))*1000</t>
  </si>
  <si>
    <t>V</t>
  </si>
  <si>
    <t>Lake Volume</t>
  </si>
  <si>
    <t>m3</t>
  </si>
  <si>
    <t>Enter Value (V)</t>
  </si>
  <si>
    <t>(L-M)</t>
  </si>
  <si>
    <t xml:space="preserve">   Modified Vollenweider (TP) 1982</t>
  </si>
  <si>
    <t>Z</t>
  </si>
  <si>
    <t>Mean Depth</t>
  </si>
  <si>
    <t>m</t>
  </si>
  <si>
    <t>Volume/area</t>
  </si>
  <si>
    <t>Jones-Bachmann 1976</t>
  </si>
  <si>
    <t>TP=0.84(L)/(Z(0.65+F))*1000</t>
  </si>
  <si>
    <t xml:space="preserve">   Vollenweider (CHL) 1982</t>
  </si>
  <si>
    <t>F</t>
  </si>
  <si>
    <t>Flushing Rate</t>
  </si>
  <si>
    <t>flushings/yr</t>
  </si>
  <si>
    <t>Inflow/volume</t>
  </si>
  <si>
    <t>(J-B)</t>
  </si>
  <si>
    <t xml:space="preserve">   Modified Jones, Rast and Lee 1979</t>
  </si>
  <si>
    <t>S</t>
  </si>
  <si>
    <t>Suspended Fraction</t>
  </si>
  <si>
    <t>no units</t>
  </si>
  <si>
    <t>Effluent TP/Influent TP</t>
  </si>
  <si>
    <t>Secchi Transparency (M)</t>
  </si>
  <si>
    <t>Qs</t>
  </si>
  <si>
    <t>Areal Water Load</t>
  </si>
  <si>
    <t>m/yr</t>
  </si>
  <si>
    <t>Z(F)</t>
  </si>
  <si>
    <t>Average of Model Values</t>
  </si>
  <si>
    <r>
      <t>Oglesby and Schaffner 1978</t>
    </r>
    <r>
      <rPr>
        <b/>
        <sz val="10"/>
        <rFont val="Arial"/>
        <family val="2"/>
      </rPr>
      <t xml:space="preserve"> (Avg)</t>
    </r>
  </si>
  <si>
    <t>Vs</t>
  </si>
  <si>
    <t>Settling Velocity</t>
  </si>
  <si>
    <t>Z(S)</t>
  </si>
  <si>
    <t>(without mass balance)</t>
  </si>
  <si>
    <r>
      <t xml:space="preserve">Modified Vollenweider 1982 </t>
    </r>
    <r>
      <rPr>
        <b/>
        <sz val="10"/>
        <rFont val="Arial"/>
        <family val="2"/>
      </rPr>
      <t>(Max)</t>
    </r>
  </si>
  <si>
    <t>Rp</t>
  </si>
  <si>
    <t>Retention Coefficient (settling rate)</t>
  </si>
  <si>
    <t>((Vs+13.2)/2)/(((Vs+13.2)/2)+Qs)</t>
  </si>
  <si>
    <t>Rlm</t>
  </si>
  <si>
    <t>Retention Coefficient (flushing rate)</t>
  </si>
  <si>
    <t>1/(1+F^0.5)</t>
  </si>
  <si>
    <t>From Vollenweider 1968</t>
  </si>
  <si>
    <t>Bachmann 1980</t>
  </si>
  <si>
    <t xml:space="preserve">BASIN EXPORT COEFFICIENT </t>
  </si>
  <si>
    <t>HYDROLOGIC VARIABLE</t>
  </si>
  <si>
    <t>BASIN 4</t>
  </si>
  <si>
    <t>BASIN 5</t>
  </si>
  <si>
    <t>BASIN 6</t>
  </si>
  <si>
    <t>BASIN 7</t>
  </si>
  <si>
    <t>BASIN 8</t>
  </si>
  <si>
    <t>BASIN 10</t>
  </si>
  <si>
    <t>RUNOFF EXPORT COEFF.</t>
  </si>
  <si>
    <t>Mean</t>
  </si>
  <si>
    <t>Reckhow General (1977)</t>
  </si>
  <si>
    <t>TP=L/(11.6+1.2(Z(F)))*1000</t>
  </si>
  <si>
    <t>(Rg)</t>
  </si>
  <si>
    <t>Peak Chlorophyll (ug/L)</t>
  </si>
  <si>
    <t xml:space="preserve">   Carlson 1977</t>
  </si>
  <si>
    <t>ln(std dev of C)</t>
  </si>
  <si>
    <t>Threshold level</t>
  </si>
  <si>
    <t>Z*</t>
  </si>
  <si>
    <t>Normsdist</t>
  </si>
  <si>
    <t>Freq.</t>
  </si>
  <si>
    <t>P SOURCE</t>
  </si>
  <si>
    <t>REFERENCES</t>
  </si>
  <si>
    <t xml:space="preserve">               Brezonik, P.L. 1973. Nutrient Sources and Cycling in Natural Waters. EPA 660/3-73-002. Washington DC.</t>
  </si>
  <si>
    <t xml:space="preserve">               Reckhow, K.H., M.N. Beaulac, and J.T. Simpson. 1980. Modeling phosphorus loading and Pond response under uncertainty: a manual and compilation of export coefficients. EPA 440/5-80-011, US-EPA, Washington, D.C.</t>
  </si>
  <si>
    <t xml:space="preserve">               Scherer, N.M., H.L. Gibbons, K.B. Stoops &amp; M. Muller. 1995.  Phosphorus loading of an urban Pond by bird droppings.  Pond and Reserv. Manage. 11(4):317-327.</t>
  </si>
  <si>
    <t xml:space="preserve">               Sopper, W.E. and H.W. Lull. 1970.  Streamflow Characteristics of the Northeastern United States. Bulletin 766. Penn State Agricultural Experiment Station, University Park, PA</t>
  </si>
  <si>
    <t xml:space="preserve">               Dunn, T. and L.B. Leopold. 1978. Water in Environmental Planning. W.H. Freeman and Company, San Francisco, CA</t>
  </si>
  <si>
    <t xml:space="preserve">               Gould, D.J. &amp; M.R. Fletcher.  1978.  Gull droppings and their effects on water quality.  Wat. Res.  12:  665-672.</t>
  </si>
  <si>
    <t>Sopper and Lull 1970, Higgins and Colonell 1971</t>
  </si>
  <si>
    <t>Dunn and Leopold 1978</t>
  </si>
  <si>
    <t xml:space="preserve">               Higgins, G.R. and J.M. Colonell. 1970. Hydrologic Factors in the Determination of Watershed Yields. Publication #20. WRRC, UMASS, Amherst, MA.</t>
  </si>
  <si>
    <t xml:space="preserve">               Manny, B.A., R. G. Wetzel &amp; W. C. Johnson.  1975.  Annual contribution of carbon, nitrogen and phosphorus by migrant Canada geese to a hardwater Pond.  Verh. Int. Ver. Limnol.  19:  949-951.</t>
  </si>
  <si>
    <t>Spreadsheet name:</t>
  </si>
  <si>
    <t>Program name/version:</t>
  </si>
  <si>
    <t>Project name:</t>
  </si>
  <si>
    <t>Project number:</t>
  </si>
  <si>
    <t>Date created:</t>
  </si>
  <si>
    <t>Created by:</t>
  </si>
  <si>
    <t>QA date and initials:</t>
  </si>
  <si>
    <t>Description</t>
  </si>
  <si>
    <t>Record of changes and updates:</t>
  </si>
  <si>
    <t>Date</t>
  </si>
  <si>
    <t>Made by</t>
  </si>
  <si>
    <t>Comment</t>
  </si>
  <si>
    <t>Worksheets</t>
  </si>
  <si>
    <t>Sheet name</t>
  </si>
  <si>
    <t>Created</t>
  </si>
  <si>
    <t>Description of contents</t>
  </si>
  <si>
    <t>Reference Variables</t>
  </si>
  <si>
    <t>Calculations</t>
  </si>
  <si>
    <t>Predictions</t>
  </si>
  <si>
    <t>Variable Sources and Assumptions</t>
  </si>
  <si>
    <t>Variable name</t>
  </si>
  <si>
    <t>Unit</t>
  </si>
  <si>
    <t>Source</t>
  </si>
  <si>
    <t>Watershed Export Model Input and Calculations</t>
  </si>
  <si>
    <t>Predicts In-lake Water Quality Parameters</t>
  </si>
  <si>
    <t>NOAA Precipitation Records through 2008</t>
  </si>
  <si>
    <t>Brezonik 1973, Uttormark et al. 1974, Gould &amp; Fletcher  1978, Portnoy 1990, Manny et al. 1975, Scherer et al. 1995</t>
  </si>
  <si>
    <t>Domestic Wastewater Inputs</t>
  </si>
  <si>
    <t xml:space="preserve">               Uttormark, P.D., J.D. Chapin, and K.M. Green. 1974. Estimating Nutrient Loadings of Lakes from Non-Point Sources. U.S. EPA. EPA 660/3-74-020. 112pp.</t>
  </si>
  <si>
    <t>STD. WATER YIELD (CFSM)</t>
  </si>
  <si>
    <t>PRECIPITATION (METERS)</t>
  </si>
  <si>
    <t>Direct Atmospheric Deposition</t>
  </si>
  <si>
    <r>
      <t xml:space="preserve">               Portnoy. J.W. 1990.  Gull contribution of P &amp; N to a Cape Cod Kettle pond.  </t>
    </r>
    <r>
      <rPr>
        <sz val="10"/>
        <rFont val="Arial"/>
        <family val="2"/>
      </rPr>
      <t>Hydrobiologia.</t>
    </r>
    <r>
      <rPr>
        <sz val="10"/>
        <rFont val="Arial"/>
        <family val="2"/>
      </rPr>
      <t xml:space="preserve">  202: 61-69.</t>
    </r>
  </si>
  <si>
    <t>PHOSPHORUS AND NITROGEN EXPORT COEFFICIENTS FOR RUNOFF</t>
  </si>
  <si>
    <t>PHOSPHORUS AND NITROGEN EXPORT COEFFICIENTS FOR BASEFLOW</t>
  </si>
  <si>
    <t>SEPTIC SYSTEM INPUTS</t>
  </si>
  <si>
    <t>P Conc.</t>
  </si>
  <si>
    <t>DIRECT SEPTIC SYSTEM LOAD</t>
  </si>
  <si>
    <t>PHOSPHORUS INPUT</t>
  </si>
  <si>
    <t>NITROGEN INPUT</t>
  </si>
  <si>
    <t>Rate of water yield in CFSM by watershed</t>
  </si>
  <si>
    <t>Annual rainfall in meters</t>
  </si>
  <si>
    <t>Concentration (ppm)</t>
  </si>
  <si>
    <t xml:space="preserve">People per dwelling </t>
  </si>
  <si>
    <t>Days of occupancy per year</t>
  </si>
  <si>
    <t>Attenuation factor (portion that reaches lake)</t>
  </si>
  <si>
    <t xml:space="preserve">   Group 1 Septic Systems</t>
  </si>
  <si>
    <t xml:space="preserve">   Group 2 Septic Systems</t>
  </si>
  <si>
    <t xml:space="preserve">   Group 3 Septic Systems</t>
  </si>
  <si>
    <t xml:space="preserve">   Group 4 Septic Systems</t>
  </si>
  <si>
    <t>Days of Occupancy/Yr</t>
  </si>
  <si>
    <t>Number of Dwellings</t>
  </si>
  <si>
    <t>Number of People per Dwelling</t>
  </si>
  <si>
    <t>P Conc. (ppm)</t>
  </si>
  <si>
    <t>P Load (kg/yr)</t>
  </si>
  <si>
    <t>Cubic meters of water per person per day</t>
  </si>
  <si>
    <t>P Attenuation Factor</t>
  </si>
  <si>
    <t xml:space="preserve">   Total Septic System Loading</t>
  </si>
  <si>
    <t>Water Load (cu.m/yr)</t>
  </si>
  <si>
    <t>Water per Person per Day (cu.m)</t>
  </si>
  <si>
    <t>WATER (CU.M/YR)</t>
  </si>
  <si>
    <t xml:space="preserve">   ATMOSPHERIC </t>
  </si>
  <si>
    <t xml:space="preserve">   INTERNAL </t>
  </si>
  <si>
    <t xml:space="preserve">   WATERFOWL </t>
  </si>
  <si>
    <t xml:space="preserve">   SEPTIC SYSTEM </t>
  </si>
  <si>
    <t xml:space="preserve">WATERSHED LOAD </t>
  </si>
  <si>
    <t>P  (KG/YR)</t>
  </si>
  <si>
    <t>P Load/Unit</t>
  </si>
  <si>
    <t>N Load/Unit</t>
  </si>
  <si>
    <t>(kg/yr)</t>
  </si>
  <si>
    <t>(from coeff)</t>
  </si>
  <si>
    <t xml:space="preserve">Period of </t>
  </si>
  <si>
    <t xml:space="preserve">Release </t>
  </si>
  <si>
    <t>(days)</t>
  </si>
  <si>
    <t>Release</t>
  </si>
  <si>
    <t>(mg/m2/day)</t>
  </si>
  <si>
    <t xml:space="preserve">P Rate of </t>
  </si>
  <si>
    <t>(from rate)</t>
  </si>
  <si>
    <t>PHOSPHORUS EXPORT (MG/M2/YR)</t>
  </si>
  <si>
    <t>NITROGEN EXPORT (MG/M2/YR)</t>
  </si>
  <si>
    <t>Cells shaded like this are notes to aid processing</t>
  </si>
  <si>
    <t>Nurnberg 1984, Nurnberg and LaZerte 2004, unpublished AECOM data</t>
  </si>
  <si>
    <t>Reckhow et al. 1980, Dillon et al. 1991</t>
  </si>
  <si>
    <t>Omernik 1976, Reckhow et al. 1980, Frink 1991, Sharpley et al. 1992, Line et al. 1998, Clark et al. 2000, Rohm et al. 2002, unpublished AECOM data</t>
  </si>
  <si>
    <t xml:space="preserve">Uttormark et al. 1974, Mitchell et al. 1989, Miller et al. 1997, AECOM Unpublished Data, some reliance on runoff references as well </t>
  </si>
  <si>
    <t xml:space="preserve">               Line, D.E., W.A. Harman and G.D. Jennings. 1998. Comparing sampling schemes for monitoring pollutant export from a dairy pasture. JAWRA 34:1265-1273</t>
  </si>
  <si>
    <t xml:space="preserve">               Sharpley, A.N., S.J. Smith, O.R. Jones, W.A. Berg, and G.A. Coleman. 1992. The transport of bioavailable phosphorus in agricultural runoff. J. Environ. Qual. 21:30-35.</t>
  </si>
  <si>
    <t xml:space="preserve">               Clark, G.M., D.K. Mueller and M.A. Mast. 2000. Nutrient concentrations and yields in undeveloped stream basins of the United States. JAWRA 36:849-860.</t>
  </si>
  <si>
    <t xml:space="preserve">               Miller, C.V., J.M. Dennis, S.W. Ator and J.W. Brakebill. 1997. Nutrients in streams during baseflow in selected environmental settings of the Potomac River basin. JAWRA 33:1155-1171.</t>
  </si>
  <si>
    <t xml:space="preserve">               Frink, C. 1991. Estimating nutrient exports to estuaries. J. Environ. Quality 20:717-724.</t>
  </si>
  <si>
    <t xml:space="preserve">               Omernik, J.M. 1976. The influence of land use on stream nutrient levels. EPA-600/3-76-014. USEPA, Corvallis, OR.</t>
  </si>
  <si>
    <t xml:space="preserve">               Nurnberg, G.K.  and B. LaZerte. 2004. Modeling the effect of development on internal phosphorus load in nutrient-poor lakes. Wat. Resour. Res. 40:W01105, doi:10.1029/2003WR002410.</t>
  </si>
  <si>
    <t xml:space="preserve">               Nurnberg, G.K.  1984.  The prediction of internal phosphorus load in lakes with anoxic hypolimnia.  Limnol. Oceanogr. 29:111-124</t>
  </si>
  <si>
    <t xml:space="preserve">               Mitchell, D.F, K.J. Wagner, W.J. Monagle, and G.A. Beluzo.  1989.  Pond and Reservoir Management.  5:121-128.</t>
  </si>
  <si>
    <t xml:space="preserve">               Dillon, P.J., L.A. Molot and W.A. Schneider. 1991. Phosphorus and nitrogen export from forested stream catchments in central Ontario. J. Environ. Quality 20:857-864.</t>
  </si>
  <si>
    <t xml:space="preserve">               Rohm, C.M., J.A. Omernik, A.J. Woods, and J.L. Stoddard. 2002. Regional characteristics of nutrient concentrations in streams and their application to nutrient criteria development. JAWRA 38:213-239.</t>
  </si>
  <si>
    <t>(duration of anoxia must be specified)</t>
  </si>
  <si>
    <r>
      <t xml:space="preserve">Probability of Chl &gt;10 ug/L </t>
    </r>
    <r>
      <rPr>
        <b/>
        <sz val="10"/>
        <rFont val="Arial"/>
        <family val="2"/>
      </rPr>
      <t>(% of time)</t>
    </r>
  </si>
  <si>
    <r>
      <t xml:space="preserve">Probability of Chl &gt;15 ug/L </t>
    </r>
    <r>
      <rPr>
        <b/>
        <sz val="10"/>
        <rFont val="Arial"/>
        <family val="2"/>
      </rPr>
      <t>(% of time)</t>
    </r>
  </si>
  <si>
    <r>
      <t xml:space="preserve">Probability of Chl &gt;20 ug/L </t>
    </r>
    <r>
      <rPr>
        <b/>
        <sz val="10"/>
        <rFont val="Arial"/>
        <family val="2"/>
      </rPr>
      <t>(% of time)</t>
    </r>
  </si>
  <si>
    <r>
      <t xml:space="preserve">Probability of Chl &gt;30 ug/L </t>
    </r>
    <r>
      <rPr>
        <b/>
        <sz val="10"/>
        <rFont val="Arial"/>
        <family val="2"/>
      </rPr>
      <t>(% of time)</t>
    </r>
  </si>
  <si>
    <r>
      <t xml:space="preserve">Probability of Chl &gt;40 ug/L </t>
    </r>
    <r>
      <rPr>
        <b/>
        <sz val="10"/>
        <rFont val="Arial"/>
        <family val="2"/>
      </rPr>
      <t>(% of time)</t>
    </r>
  </si>
  <si>
    <t>Reality Check from Flow Data</t>
  </si>
  <si>
    <t>Reality Check from Areal Yield X Basin Area</t>
  </si>
  <si>
    <t xml:space="preserve">Precip </t>
  </si>
  <si>
    <t>CALCULATED CONC./MEASURED CONC.</t>
  </si>
  <si>
    <t>TOTAL (CU.M/YR)</t>
  </si>
  <si>
    <t>TOTAL (CFS)</t>
  </si>
  <si>
    <t xml:space="preserve">ROUTING PATTERN </t>
  </si>
  <si>
    <t>(Basin in left hand column passes through basin in column below if indicated by a 1)</t>
  </si>
  <si>
    <t>LOAD SUMMARY</t>
  </si>
  <si>
    <t>AREAL SOURCES</t>
  </si>
  <si>
    <t>TOTALS</t>
  </si>
  <si>
    <t>CUMULATIVE DRAINAGE AREAS</t>
  </si>
  <si>
    <t>Measured</t>
  </si>
  <si>
    <t>Measured Value</t>
  </si>
  <si>
    <t>(mean, median, other)</t>
  </si>
  <si>
    <t>For calculation with # of days and areal release</t>
  </si>
  <si>
    <t>APPLICATION NOTES</t>
  </si>
  <si>
    <t>Increases with increasing runoff; range will vary substantially by region; NE range shown</t>
  </si>
  <si>
    <t>Range will vary substantially by region; NE range shown. Also, while values will vary by year, model is focused on longer term, steady state conditions</t>
  </si>
  <si>
    <t>All urban lands given same range; differences between and within them result from differences in lawn area (increased coeff with increased lawn area), fertlizer use (increased coeff with increased use, tends to be linked to lawn area), soils (increased coeff with less permeable soils), slope (increased coeff with increased slope), and application of local BMPs (decreased coeff with LID technique application or fertilizer regulations).</t>
  </si>
  <si>
    <t>Increases with animal density, slope, lack of vegetative cover, imperviousness of soils.</t>
  </si>
  <si>
    <t>Increases with fertilizer use, slope, duration of open conditions, and lack of conservation tillage application.</t>
  </si>
  <si>
    <t>Increases with animal density, slope, and lack of manure management practices.</t>
  </si>
  <si>
    <t xml:space="preserve">Increases with decreased canopy layer, ground cover, or soil permeability, and with increased slope. </t>
  </si>
  <si>
    <t>Increases with greater channelization of flows, slope, flushing effect and pH.</t>
  </si>
  <si>
    <t>Increases with decreased detention time, increased pH.</t>
  </si>
  <si>
    <t>Increases with decreased ground cover and increased slope.</t>
  </si>
  <si>
    <t>Increases with increased slope and lack of depression area storage.</t>
  </si>
  <si>
    <t>P increases mainly with soil permeability and higher ground water table. N increases mainly with presence of on-site wastewater disposal systems and decreases with dilution from rainfall or uncontaminated water inputs.</t>
  </si>
  <si>
    <t>Increases with fertilizer use, soil permeability, flushing from irrigation.</t>
  </si>
  <si>
    <t>Increases with animal density and duration of use, soil permeability.</t>
  </si>
  <si>
    <t>Increases with animal density and duration of use, lack of manure handling techniques, increased soil permeability.</t>
  </si>
  <si>
    <t>Increases with increased baseflow through area.</t>
  </si>
  <si>
    <t>Increases with increased soil permeability, high water table and groundwater anoxia.</t>
  </si>
  <si>
    <t>Increases with increased sources. However, note that contributory area is likely to be much larger than the immediate watershed, and requires consideration of regional sources and wind direction.</t>
  </si>
  <si>
    <t>Increases with available sediment P and N (forms assessed by extraction assays) and anoxia.</t>
  </si>
  <si>
    <t>Increases with bird size.</t>
  </si>
  <si>
    <t>Varies by treatment technology and details within treatment (e.g., holding time, chemical additions).</t>
  </si>
  <si>
    <t>Varies by tank sizing and leachfield features</t>
  </si>
  <si>
    <t>Increases with increasing soil permeability, high ground water table, anoxia.</t>
  </si>
  <si>
    <t>(Total land area associated with routed water and nutrients)</t>
  </si>
  <si>
    <t xml:space="preserve">Jones, J. and R. Bachmann. 1976. Prediction of Phosphorus and Chlorophyll Levels in Lakes. JWPCF 48:2176-2184. </t>
  </si>
  <si>
    <t xml:space="preserve">Kirchner, W. and P. Dillon. 1975. An Empirical Method of Estimating the Retention of Phosphorus in Lakes. Water Resourc. Res. 11:182-183. </t>
  </si>
  <si>
    <t xml:space="preserve">Larsen, D. and H. Mercier. 1976. Phosphorus Retention Capacity of Lakes. J. Fish. Res. Bd. Can. 33:1742-1750. </t>
  </si>
  <si>
    <t xml:space="preserve">Reckhow, K. 1977. Phosphorus Models for Lake Management. Ph.D. Dissertation, Harvard University, Cambridge, MA. </t>
  </si>
  <si>
    <t>Vollenweider, R.A. 1975. Input-output models with special references to the phosphorus loading concept in limnology. Schweiz. Z. Hydrol. 37:53-62.</t>
  </si>
  <si>
    <t>Vollenweider, R. 1982. Eutrophication of Waters: Monitoring, Assessment and Control. OECD, Paris.</t>
  </si>
  <si>
    <r>
      <t>Walker.  W.W. 1984. Statistical bases for mean chlorophyll-a criteria. Pages 57-62 in Lake and Reservoir Management – Practical Applications. Proceedings of the 4</t>
    </r>
    <r>
      <rPr>
        <vertAlign val="superscript"/>
        <sz val="10"/>
        <rFont val="Arial"/>
        <family val="2"/>
      </rPr>
      <t>th</t>
    </r>
    <r>
      <rPr>
        <sz val="10"/>
        <rFont val="Arial"/>
        <family val="2"/>
      </rPr>
      <t xml:space="preserve"> annual NALMS symposium. USEPA, Washington, DC</t>
    </r>
  </si>
  <si>
    <t>Oglesby, R.T. and W.R. Schaffner. 1978. Phosphorus Loadings to Lakes and some of their responses. Part 2. Regression Models of Summer Phytoplankton Standing Crops, Winter Total P, and Transparency of New York Lakes with Phosphorus Loadings. Limnol. Oceanogr. 23:135-145.</t>
  </si>
  <si>
    <t xml:space="preserve">               Metcalf &amp; Eddy, Inc.  1991.  3rd ed.  Wastewater Engineering Treatment, Disposal and Reuse.  Tchobanoglous, G. and F.L. Burton.  McGraw-Hill, Inc.:  New York.</t>
  </si>
  <si>
    <t>Metcalf &amp; Eddy 1991, DMR data from EPA for many WWTF</t>
  </si>
  <si>
    <t>Metcalf &amp; Eddy 1991</t>
  </si>
  <si>
    <r>
      <t xml:space="preserve">Jones, R.A., W. Rast and G.F. Lee. 1979. Relationship between summer mean and summer maximum chlorophyll </t>
    </r>
    <r>
      <rPr>
        <i/>
        <sz val="10"/>
        <color indexed="8"/>
        <rFont val="Arial"/>
        <family val="2"/>
      </rPr>
      <t>a</t>
    </r>
    <r>
      <rPr>
        <sz val="10"/>
        <color indexed="8"/>
        <rFont val="Arial"/>
        <family val="2"/>
      </rPr>
      <t xml:space="preserve"> concentrations in lakes. Env. Sci. &amp; Technol. 13:869-870.</t>
    </r>
  </si>
  <si>
    <t xml:space="preserve">Dillon, P.J. and F.H. Rigler. 1974. The Phosphorus-Chlorophyll Relationship in Lakes. Limnol. Oceanogr. 19:767-773. </t>
  </si>
  <si>
    <t>Carlson, R. 1977.  A Trophic State Index for Lakes. Limnol. and Oceanogr.  22:261-369 Mifflin Co., NY.</t>
  </si>
  <si>
    <t>Reference variables and sources</t>
  </si>
  <si>
    <t>Forest 4 (Wetland)</t>
  </si>
  <si>
    <t>Forest 3 (Mixed)</t>
  </si>
  <si>
    <t>BASIN 11</t>
  </si>
  <si>
    <t>BASIN 12</t>
  </si>
  <si>
    <t>BASIN 13</t>
  </si>
  <si>
    <t>BASIN 14</t>
  </si>
  <si>
    <t>median</t>
  </si>
  <si>
    <t>mean</t>
  </si>
  <si>
    <t>BASIN 11 OUTPUT</t>
  </si>
  <si>
    <t>BASIN 12 OUTPUT</t>
  </si>
  <si>
    <t>BASIN 13 OUTPUT</t>
  </si>
  <si>
    <t>BASIN 14 OUTPUT</t>
  </si>
  <si>
    <t>TP INPUTS</t>
  </si>
  <si>
    <t>Modeled Current TP Loading (kg/yr)</t>
  </si>
  <si>
    <t>% of Total Load</t>
  </si>
  <si>
    <t>WATER BUDGET</t>
  </si>
  <si>
    <t>Atmospheric</t>
  </si>
  <si>
    <t>Internal</t>
  </si>
  <si>
    <t>Waterfowl</t>
  </si>
  <si>
    <t>Septic Systems</t>
  </si>
  <si>
    <t>Total</t>
  </si>
  <si>
    <t>Area (Hectares)</t>
  </si>
  <si>
    <t>Units</t>
  </si>
  <si>
    <t xml:space="preserve">Low </t>
  </si>
  <si>
    <t>Med</t>
  </si>
  <si>
    <t>High</t>
  </si>
  <si>
    <t>Baseflow fraction</t>
  </si>
  <si>
    <t>Runoff fraction</t>
  </si>
  <si>
    <t>Runoff Fraction</t>
  </si>
  <si>
    <t>Baseflow Fraction</t>
  </si>
  <si>
    <t>Transportation</t>
  </si>
  <si>
    <t>Agriculture</t>
  </si>
  <si>
    <t>Water</t>
  </si>
  <si>
    <t>Runoff P export coefficient range</t>
  </si>
  <si>
    <t>Runoff P export coefficient used</t>
  </si>
  <si>
    <t>Baseflow P export coefficient range</t>
  </si>
  <si>
    <t>Baseflow P export coefficient used</t>
  </si>
  <si>
    <t xml:space="preserve">Category </t>
  </si>
  <si>
    <t>People/ Dwelling</t>
  </si>
  <si>
    <t>TP Atten Factor</t>
  </si>
  <si>
    <t>Mean TP Conc (mg/L)</t>
  </si>
  <si>
    <t># of Days</t>
  </si>
  <si>
    <t>Total Septic System Loading</t>
  </si>
  <si>
    <r>
      <t>M</t>
    </r>
    <r>
      <rPr>
        <b/>
        <vertAlign val="superscript"/>
        <sz val="10"/>
        <rFont val="Arial"/>
        <family val="2"/>
      </rPr>
      <t>3</t>
    </r>
    <r>
      <rPr>
        <b/>
        <sz val="10"/>
        <rFont val="Arial"/>
        <family val="2"/>
      </rPr>
      <t>/YR</t>
    </r>
  </si>
  <si>
    <t>Water (cu. m/day)</t>
  </si>
  <si>
    <t># of Dwellings</t>
  </si>
  <si>
    <t>Condition</t>
  </si>
  <si>
    <t>Year Round Residential New or Upgraded Septics</t>
  </si>
  <si>
    <r>
      <t>Water Load (m</t>
    </r>
    <r>
      <rPr>
        <b/>
        <vertAlign val="superscript"/>
        <sz val="10"/>
        <rFont val="Arial"/>
        <family val="2"/>
      </rPr>
      <t>3</t>
    </r>
    <r>
      <rPr>
        <b/>
        <sz val="10"/>
        <rFont val="Arial"/>
        <family val="2"/>
      </rPr>
      <t>/yr)</t>
    </r>
  </si>
  <si>
    <t>Year Round Residential Old Septics</t>
  </si>
  <si>
    <t>Seasonal Residential New or Upgraded Septics</t>
  </si>
  <si>
    <t>Seasonal Residential Old Septics</t>
  </si>
  <si>
    <t>Aerial Basis</t>
  </si>
  <si>
    <t>P EXPORT COEFFICIENTS FOR RUNOFF- ADDITIONAL NH SOURCES</t>
  </si>
  <si>
    <t>OTHER</t>
  </si>
  <si>
    <t>Q25</t>
  </si>
  <si>
    <t>Q75</t>
  </si>
  <si>
    <t>COEF USED</t>
  </si>
  <si>
    <t>Agric (Hayland Non-Manure)</t>
  </si>
  <si>
    <t>Hayland (Non-Manure)</t>
  </si>
  <si>
    <t>Dennis and Sage 1981- ME TMDL</t>
  </si>
  <si>
    <t>Agric 4  (Hayland)</t>
  </si>
  <si>
    <t>Hayland</t>
  </si>
  <si>
    <t>Schloss et al. 2000-Table 5: DES, 1992, Newfound Study</t>
  </si>
  <si>
    <t>Forest 1 (Mostly Deciduous)</t>
  </si>
  <si>
    <t>Schloss et al. 2000- Table 4-Mostly Deciduous</t>
  </si>
  <si>
    <t>Forest 2 (Coniferous)</t>
  </si>
  <si>
    <t>Schloss et al. 2000- Table 4- Non-deciduous</t>
  </si>
  <si>
    <t>Schloss et al. 2000- Table 4-Non-deciduous</t>
  </si>
  <si>
    <t>Forested Wetland</t>
  </si>
  <si>
    <t>Schloss et al. 2000-Table 4:  Mixed Forest (Forest &amp; Wetlands)</t>
  </si>
  <si>
    <t>Open 1 (Wetland/Pond)</t>
  </si>
  <si>
    <t>Open wetland or Pond area (no substantial canopy)</t>
  </si>
  <si>
    <t>Schloss et al. 2000- Table 5- NH DES &amp; UNH Studies- Chocorua</t>
  </si>
  <si>
    <t>TP load (kg/ha/yr)</t>
  </si>
  <si>
    <t>20% greater than mean (sample time correction)</t>
  </si>
  <si>
    <t xml:space="preserve">Total Precip </t>
  </si>
  <si>
    <t>Retained</t>
  </si>
  <si>
    <t>(fraction)</t>
  </si>
  <si>
    <t>Excel 2007</t>
  </si>
  <si>
    <t>Coefficients -see Reference Variables worksheet</t>
  </si>
  <si>
    <t>Cells shaded like this must have values entered or verified (Site Specific Factors)</t>
  </si>
  <si>
    <t>Calculated Flow / Measured Flow</t>
  </si>
  <si>
    <t>Calculated Flow / Flow from Areal Yield</t>
  </si>
  <si>
    <t>REALITY CHECK CONC. (median)</t>
  </si>
  <si>
    <t>Septic System Grouping                                                                  (by occupancy or location)</t>
  </si>
  <si>
    <t>YES</t>
  </si>
  <si>
    <t>Watershed Total</t>
  </si>
  <si>
    <t>LAKE NAME:</t>
  </si>
  <si>
    <t xml:space="preserve">Percent of </t>
  </si>
  <si>
    <t>Contribution</t>
  </si>
  <si>
    <t>P and Q</t>
  </si>
  <si>
    <t>TOTAL LOAD TO LAKE                                 (Watershed + direct loads)</t>
  </si>
  <si>
    <t xml:space="preserve">Forest 2 </t>
  </si>
  <si>
    <t>see below - additional sources (NH)</t>
  </si>
  <si>
    <t>DWK</t>
  </si>
  <si>
    <t>added Nurnberg model to empirical lake models in Calculations sheet and Predicted WQ table</t>
  </si>
  <si>
    <t>Nurnberg (1998)</t>
  </si>
  <si>
    <t>TP=(L/Z(F))(1-(15/(18+Z(F)))) * 1000</t>
  </si>
  <si>
    <t>(N)</t>
  </si>
  <si>
    <t>Permissible Load (g/m2/yr)</t>
  </si>
  <si>
    <t>Lp=10^(0.501503(log(Z(F)))-1.0018)</t>
  </si>
  <si>
    <t>Critical Load (g/m2/yr)</t>
  </si>
  <si>
    <t>Lc=2(Cp)</t>
  </si>
  <si>
    <t>Nurnberg, G. 1998. Prediction of annual and seasonal phosphorus concentrations in stratified and polymictic lakes.  Limnol. Oceanogr., 43(7), 1544-1552.</t>
  </si>
  <si>
    <t>P content of feces (1.87% of dry weight) (Scherer et. al 1995)</t>
  </si>
  <si>
    <t>P content of feces (% of dry weight)</t>
  </si>
  <si>
    <t>kg</t>
  </si>
  <si>
    <t>Percent of</t>
  </si>
  <si>
    <t>year</t>
  </si>
  <si>
    <t>core</t>
  </si>
  <si>
    <t>epi</t>
  </si>
  <si>
    <t>hypo</t>
  </si>
  <si>
    <t>mean/core</t>
  </si>
  <si>
    <t>total P</t>
  </si>
  <si>
    <t>Time</t>
  </si>
  <si>
    <t>Chlor a</t>
  </si>
  <si>
    <t>Secchi</t>
  </si>
  <si>
    <t>(meters)</t>
  </si>
  <si>
    <t>(ug/L)</t>
  </si>
  <si>
    <t>LOAD GENERATION: RUNOFF N</t>
  </si>
  <si>
    <t>LOAD GENERATION: BASEFLOW N</t>
  </si>
  <si>
    <t>N Export</t>
  </si>
  <si>
    <t>BASEFLOW EXPORT COEF</t>
  </si>
  <si>
    <t>N Load</t>
  </si>
  <si>
    <t xml:space="preserve">N Rate of </t>
  </si>
  <si>
    <t>N Conc.</t>
  </si>
  <si>
    <t>LOAD ROUTING AND ATTENUATION: NITROGEN</t>
  </si>
  <si>
    <t>LOAD AND CONCENTRATION SUMMARY: NITROGEN</t>
  </si>
  <si>
    <t xml:space="preserve">   NITROGEN (KG/YR)</t>
  </si>
  <si>
    <t xml:space="preserve">   NITROGEN (MG/L)</t>
  </si>
  <si>
    <t>N (KG/YR)</t>
  </si>
  <si>
    <t>N Conc. (ppm)</t>
  </si>
  <si>
    <t>N Attenuation Factor</t>
  </si>
  <si>
    <t>N Load (kg/yr)</t>
  </si>
  <si>
    <t>NITROGEN</t>
  </si>
  <si>
    <t>TN=L/(Z(F))*1000</t>
  </si>
  <si>
    <t>TN</t>
  </si>
  <si>
    <t xml:space="preserve">Lake Total Nitrogen Conc.  </t>
  </si>
  <si>
    <t>Dependent Variable</t>
  </si>
  <si>
    <t>Nitrogen Load to Lake</t>
  </si>
  <si>
    <t>L1</t>
  </si>
  <si>
    <t>g N/m2/yr</t>
  </si>
  <si>
    <t>TN=L/(Z(C1+F))*1000</t>
  </si>
  <si>
    <t>L2</t>
  </si>
  <si>
    <t>mg N/m2/yr</t>
  </si>
  <si>
    <t>KG*1000000/A</t>
  </si>
  <si>
    <t>TN=L/(Z(C2+F))*1000</t>
  </si>
  <si>
    <t>C1</t>
  </si>
  <si>
    <t>Coefficient of Attenuation, from F</t>
  </si>
  <si>
    <t>fraction/yr</t>
  </si>
  <si>
    <t>2.7183^(0.5541(ln(F))-0.367)</t>
  </si>
  <si>
    <t>TN=L/(Z(C3+F))*1000</t>
  </si>
  <si>
    <t>C2</t>
  </si>
  <si>
    <t>Coefficient of Attenuation, from L</t>
  </si>
  <si>
    <t>2.7183^(0.71(ln(L2))-6.426)</t>
  </si>
  <si>
    <t>C3</t>
  </si>
  <si>
    <t>Coefficient of Attenuation, from L/Z</t>
  </si>
  <si>
    <t>2.7183^(0.594(ln(L2/Z))-4.144)</t>
  </si>
  <si>
    <t>Reality Check Conc.</t>
  </si>
  <si>
    <t>Enter Value (A)</t>
  </si>
  <si>
    <t xml:space="preserve">   NH DES 2009</t>
  </si>
  <si>
    <t>added NH chlor a model to template Trowbridge, Phillip. 2009. Assessment of Chlorophyll-a and Phosphorus in New Hampshire Lakes for Nutrient Criteria Development., New Hampshire Department of Environmental Services, Concord, NH. Pub. No. R-WD-09-29</t>
  </si>
  <si>
    <t>Hutchinson Environmental Sciences Ltd.  2014.  Managing New urban Development in Phosphorus-Sensitive Watersheds.  Prepared for Nattawasaga Valley Conservation Authority.</t>
  </si>
  <si>
    <t>Source for Table 1.</t>
  </si>
  <si>
    <t>Internal load calculation from hypolimnetic accumulation of TP</t>
  </si>
  <si>
    <t>September hypolimnetic TP concentration</t>
  </si>
  <si>
    <t>Accumulated TP</t>
  </si>
  <si>
    <r>
      <t>volume of hypolimnion</t>
    </r>
    <r>
      <rPr>
        <b/>
        <vertAlign val="superscript"/>
        <sz val="10"/>
        <rFont val="Arial"/>
        <family val="2"/>
      </rPr>
      <t>1</t>
    </r>
  </si>
  <si>
    <t>Hypolimnetic TP mass accumulation</t>
  </si>
  <si>
    <r>
      <t>Adjustment for particulate vs dissolved</t>
    </r>
    <r>
      <rPr>
        <b/>
        <vertAlign val="superscript"/>
        <sz val="10"/>
        <rFont val="Arial"/>
        <family val="2"/>
      </rPr>
      <t>2</t>
    </r>
  </si>
  <si>
    <t>Internal load</t>
  </si>
  <si>
    <t>ug/l</t>
  </si>
  <si>
    <t>liters</t>
  </si>
  <si>
    <t>% fraction</t>
  </si>
  <si>
    <t>Notes,</t>
  </si>
  <si>
    <r>
      <rPr>
        <vertAlign val="superscript"/>
        <sz val="10"/>
        <rFont val="Arial"/>
        <family val="2"/>
      </rPr>
      <t>2</t>
    </r>
    <r>
      <rPr>
        <sz val="10"/>
        <rFont val="Arial"/>
        <family val="2"/>
      </rPr>
      <t xml:space="preserve"> volume of hypolimnion below ___ meters used</t>
    </r>
  </si>
  <si>
    <r>
      <rPr>
        <vertAlign val="superscript"/>
        <sz val="10"/>
        <rFont val="Arial"/>
        <family val="2"/>
      </rPr>
      <t>3</t>
    </r>
    <r>
      <rPr>
        <sz val="10"/>
        <rFont val="Arial"/>
        <family val="2"/>
      </rPr>
      <t xml:space="preserve"> adjustment factor assumes that __% of TP in hypolimnion is particulate and came from epilimnion</t>
    </r>
  </si>
  <si>
    <t>P Export Coef kg/Ha/yr</t>
  </si>
  <si>
    <t>Low Density Residential</t>
  </si>
  <si>
    <t>Central NH</t>
  </si>
  <si>
    <t>Concord NH-DES</t>
  </si>
  <si>
    <t>NHDES data</t>
  </si>
  <si>
    <t>Lake Loading Response Model_LLRM_ver2015.xls</t>
  </si>
  <si>
    <t>Cropland</t>
  </si>
  <si>
    <t>Pasture</t>
  </si>
  <si>
    <t>Forest</t>
  </si>
  <si>
    <t>Non-Forested Wetland</t>
  </si>
  <si>
    <t>Open Land</t>
  </si>
  <si>
    <t>Participation Recreation</t>
  </si>
  <si>
    <t>High Density Residential</t>
  </si>
  <si>
    <t>Medium Density Residential</t>
  </si>
  <si>
    <t>Commercial</t>
  </si>
  <si>
    <t>Waste Disposal</t>
  </si>
  <si>
    <t>Urban Public/Institutional</t>
  </si>
  <si>
    <t>Cemetery</t>
  </si>
  <si>
    <t>Orchard</t>
  </si>
  <si>
    <t>Nursery</t>
  </si>
  <si>
    <t>Very Low Density Residential</t>
  </si>
  <si>
    <t>Brushland/Successional</t>
  </si>
  <si>
    <t>Atmospheric Export Coeff from Newfound study</t>
  </si>
  <si>
    <t xml:space="preserve">Urban 1 </t>
  </si>
  <si>
    <t>Low density residential development</t>
  </si>
  <si>
    <t>Tarpey, Patricia E. 2013. "Linking Watershed and Sub-basin Characteristics to In-lake TP Concentrations in the Lake Winnipesaukee Watershed, New Hampshire." M.S. Thesis. Plymouth State University</t>
  </si>
  <si>
    <t>hayfields, row crops, pasture</t>
  </si>
  <si>
    <t>all forest types (mixed)</t>
  </si>
  <si>
    <t>changed calc of max chlor to reflect average of model values for Chlor a</t>
  </si>
  <si>
    <t>Landcover type</t>
  </si>
  <si>
    <t>Sea/estuary</t>
  </si>
  <si>
    <t>Inland water</t>
  </si>
  <si>
    <t>Beach and Coastal Bare</t>
  </si>
  <si>
    <t>Salt Marsh</t>
  </si>
  <si>
    <t>Grass Heath</t>
  </si>
  <si>
    <t>Mown/grazed turf</t>
  </si>
  <si>
    <t>Meadow/verge/semi-natural</t>
  </si>
  <si>
    <t>Bracken</t>
  </si>
  <si>
    <t>Dense Shrub heath</t>
  </si>
  <si>
    <t>Scrub/orchard</t>
  </si>
  <si>
    <t>Deciduous woodland</t>
  </si>
  <si>
    <t>Coniferous woodland</t>
  </si>
  <si>
    <t>Tilled land</t>
  </si>
  <si>
    <t>Suburban/rural development</t>
  </si>
  <si>
    <t>Continuous urban</t>
  </si>
  <si>
    <t>Inland bare ground</t>
  </si>
  <si>
    <t>Lowland bog</t>
  </si>
  <si>
    <t>Open shrub heath</t>
  </si>
  <si>
    <t>Unclassified</t>
  </si>
  <si>
    <t>Phosphorus Source</t>
  </si>
  <si>
    <t>Export Coefficients</t>
  </si>
  <si>
    <t>Cattle</t>
  </si>
  <si>
    <t>g/head/yr</t>
  </si>
  <si>
    <t>Horses</t>
  </si>
  <si>
    <t>Pigs</t>
  </si>
  <si>
    <t>Sheep</t>
  </si>
  <si>
    <t>Sewage Treatment Works</t>
  </si>
  <si>
    <t>kg/ca/yr</t>
  </si>
  <si>
    <t>Johnes 1996 Table</t>
  </si>
  <si>
    <t>Source for Johnes Table</t>
  </si>
  <si>
    <t>Johnes, P.J. (1996).  Evaluation and management of the impact of land use change on the nitrogen and phosphorus load delivered to surface waters: the export coefficient modelling approach.  Journal of Hydrology.  183:323-349.</t>
  </si>
  <si>
    <t>added Johnes coefficient Table to reference variables tab</t>
  </si>
  <si>
    <t>repaired bloom probability table -calc of z statistic was incorrectly calling on wrong cell.</t>
  </si>
  <si>
    <t>repaired runoff P table to pick up several land use categories</t>
  </si>
  <si>
    <t>SCENARIO</t>
  </si>
  <si>
    <t>Watershed 5</t>
  </si>
  <si>
    <t>Watershed 6</t>
  </si>
  <si>
    <t>Watershed 7</t>
  </si>
  <si>
    <t>Watershed 8</t>
  </si>
  <si>
    <t>Watershed 9</t>
  </si>
  <si>
    <t>Watershed 10</t>
  </si>
  <si>
    <t>Watershed 11</t>
  </si>
  <si>
    <t>Watershed 12</t>
  </si>
  <si>
    <t>Watershed 13</t>
  </si>
  <si>
    <t>Watershed 14</t>
  </si>
  <si>
    <t>Watershed 1</t>
  </si>
  <si>
    <t>Watershed 2</t>
  </si>
  <si>
    <t>Watershed 3</t>
  </si>
  <si>
    <t>Watershed 4</t>
  </si>
  <si>
    <r>
      <t xml:space="preserve">               Schloss, Jeffrey A. and Robert C. Craycraft. 2013. Final Report: </t>
    </r>
    <r>
      <rPr>
        <b/>
        <sz val="11"/>
        <rFont val="Calibri"/>
        <family val="2"/>
      </rPr>
      <t>Newfound</t>
    </r>
    <r>
      <rPr>
        <b/>
        <sz val="12"/>
        <rFont val="Calibri"/>
        <family val="2"/>
      </rPr>
      <t xml:space="preserve"> Lake Water Quality Modeling: September 2013. UNH Center for Freshwater Biology, UNH Cooperative Extension and UNH Center for Freshwater Biology, University of New Hampshire. Durham, NH. CFB Report # 2013-09-DES-02. </t>
    </r>
  </si>
  <si>
    <t>Schloss and Craycraft 2013</t>
  </si>
  <si>
    <t>Added table titles to automatically generated tables</t>
  </si>
  <si>
    <t>from Feb From 2017 NH Small MS4 General Permit</t>
  </si>
  <si>
    <t>Source for MS4 Table:</t>
  </si>
  <si>
    <t>USEPA 2017. General Permits for Stormwater Discharges from Small Municipal Separate Storm Sewer Systems.  Appendix F.  Boston, MA</t>
  </si>
  <si>
    <r>
      <t>Mean STD Water Yield -</t>
    </r>
    <r>
      <rPr>
        <sz val="10"/>
        <color rgb="FFFF0000"/>
        <rFont val="Arial"/>
        <family val="2"/>
      </rPr>
      <t xml:space="preserve">from USGS gages </t>
    </r>
  </si>
  <si>
    <t>Atmospheric Deposition</t>
  </si>
  <si>
    <t>phosphorus added directly to lake surface (kg/ha/yr)</t>
  </si>
  <si>
    <t>Schloss, Jeffrey A. and Robert C. Craycraft. 2013. Final Report: Newfound Lake Water Quality Modeling: September 2013. UNH Center for Freshwater Biology, UNH Cooperative Extension and UNH Center for Freshwater Biology, University of New Hampshire. Durham, NH. CFB Report # 2013-09-DES-02.</t>
  </si>
  <si>
    <t>For Northeast United States</t>
  </si>
  <si>
    <t>NOTE: Precipitation runoff and baseflow coefficients will sum to &lt;1.0 due to evaporation and transpiration</t>
  </si>
  <si>
    <t>PS-2</t>
  </si>
  <si>
    <t>PS-3</t>
  </si>
  <si>
    <t>Typically 0.5 for NH</t>
  </si>
  <si>
    <t>direct precip to lake surface minus evaporation</t>
  </si>
  <si>
    <t>Attenuation factor determines the amount that passes through.  For septics, frequently assume 10-20% for phosphorus which equates to 0.1 to 0.2 attenuation</t>
  </si>
  <si>
    <t>PS-1</t>
  </si>
  <si>
    <t>% direct rainfall to lake surface that leaves lake via outlet(Precip -Evap) (%)</t>
  </si>
  <si>
    <t>Added examples of maps, tables and graphics</t>
  </si>
  <si>
    <t>Bloom Probability (Walker 1984)</t>
  </si>
  <si>
    <t>Bloom freq. calc. (Walker 1984)</t>
  </si>
  <si>
    <t>Station</t>
  </si>
  <si>
    <t>Flow</t>
  </si>
  <si>
    <t>(cu M/yr)</t>
  </si>
  <si>
    <t>Annual P load</t>
  </si>
  <si>
    <t>(kg)</t>
  </si>
  <si>
    <t>In-lake Water Quality Data (these data are to be used for model calibration)</t>
  </si>
  <si>
    <t>Tributary Water Quality Data (these data are to be used for model calibration, if available)</t>
  </si>
  <si>
    <t>Percentage</t>
  </si>
  <si>
    <t>LLRM Land Use</t>
  </si>
  <si>
    <t>There are a number of ways to calculate internal load.  One such method is provided below.  Document the method used in this worksheet and use the resultant load in the calculations sheet.</t>
  </si>
  <si>
    <r>
      <t>Pre-stratification water column TP concentration</t>
    </r>
    <r>
      <rPr>
        <b/>
        <vertAlign val="superscript"/>
        <sz val="10"/>
        <rFont val="Arial"/>
        <family val="2"/>
      </rPr>
      <t>1</t>
    </r>
  </si>
  <si>
    <r>
      <t>1</t>
    </r>
    <r>
      <rPr>
        <sz val="10"/>
        <rFont val="Arial"/>
        <family val="2"/>
      </rPr>
      <t xml:space="preserve"> September epilimnetic TP concentration can be used if early season data are not available.  Ideally, concentration at spring turnover would be used.</t>
    </r>
  </si>
  <si>
    <t xml:space="preserve">Water quality and quantity data and summary statistics are found in this worksheet.   </t>
  </si>
  <si>
    <t>Number of waterfowl</t>
  </si>
  <si>
    <t>Ducks</t>
  </si>
  <si>
    <t>Geese</t>
  </si>
  <si>
    <t>Gulls</t>
  </si>
  <si>
    <t>Annual dry weight of droppings</t>
  </si>
  <si>
    <t>Daily dry weight of droppings</t>
  </si>
  <si>
    <t>Days present</t>
  </si>
  <si>
    <t>Waterfowl loading calculations should be entered in this spreadsheet.   Method of calculation will vary depending on data available.</t>
  </si>
  <si>
    <t>Other</t>
  </si>
  <si>
    <t>Nitrogen routine added to model</t>
  </si>
  <si>
    <t>Remember to change internal load reference in cell B308 to J43 if using a rate rather than an export coefficient!</t>
  </si>
  <si>
    <t>See sheet on waterfowl calcs for source and assumptions.  Default value for waterfowl is 0.2 kg/bird/yr</t>
  </si>
  <si>
    <t>Graphics and Tables</t>
  </si>
  <si>
    <t xml:space="preserve">Golf course P runoff - 0.51 kg/ha/yr </t>
  </si>
  <si>
    <t>Nutrient Load Generated by Storm Event Runoff from a Golf Course Watershed
 King K.W., J. C. Balogh, K. L. Hughes, and R. D. Harmel. 2007. Nutrient Load Generated by Storm Event Runoff from a Golf Course Watershed. J. Environ. Qual. 36:1021–1030</t>
  </si>
  <si>
    <t>NHDES 2009. Assessment of Chlorophyll-a and Phosphorus in New Hampshire Lakes for Nutrient Criteria Development.  Concord, 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</si>
</sst>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
    <numFmt numFmtId="165" formatCode="0.000"/>
    <numFmt numFmtId="166" formatCode="0.0%"/>
    <numFmt numFmtId="167" formatCode="[$-409]d\-mmm\-yy;@"/>
    <numFmt numFmtId="168" formatCode="0.00000000000"/>
    <numFmt numFmtId="169" formatCode="_(* #,##0_);_(* \(#,##0\);_(* &quot;-&quot;??_);_(@_)"/>
    <numFmt numFmtId="170" formatCode="0.0000"/>
  </numFmts>
  <fonts count="47" x14ac:knownFonts="1">
    <font>
      <sz val="10"/>
      <name val="Arial"/>
    </font>
    <font>
      <b/>
      <sz val="10"/>
      <name val="Arial"/>
      <family val="2"/>
    </font>
    <font>
      <b/>
      <i/>
      <sz val="10"/>
      <name val="Arial"/>
      <family val="2"/>
    </font>
    <font>
      <sz val="10"/>
      <name val="Arial"/>
      <family val="2"/>
    </font>
    <font>
      <b/>
      <sz val="14"/>
      <name val="MS Sans Serif"/>
      <family val="2"/>
    </font>
    <font>
      <b/>
      <i/>
      <sz val="10"/>
      <name val="MS Sans Serif"/>
      <family val="2"/>
    </font>
    <font>
      <b/>
      <sz val="10"/>
      <name val="MS Sans Serif"/>
      <family val="2"/>
    </font>
    <font>
      <sz val="8"/>
      <name val="MS Sans Serif"/>
      <family val="2"/>
    </font>
    <font>
      <sz val="10"/>
      <name val="MS Sans Serif"/>
      <family val="2"/>
    </font>
    <font>
      <sz val="8"/>
      <name val="Arial"/>
      <family val="2"/>
    </font>
    <font>
      <sz val="10"/>
      <name val="Arial"/>
      <family val="2"/>
    </font>
    <font>
      <b/>
      <sz val="14"/>
      <name val="Arial"/>
      <family val="2"/>
    </font>
    <font>
      <b/>
      <sz val="10"/>
      <name val="Arial"/>
      <family val="2"/>
    </font>
    <font>
      <sz val="10"/>
      <name val="Comic Sans MS"/>
      <family val="4"/>
    </font>
    <font>
      <b/>
      <sz val="10"/>
      <color indexed="9"/>
      <name val="Arial"/>
      <family val="2"/>
    </font>
    <font>
      <sz val="10"/>
      <color indexed="9"/>
      <name val="Arial"/>
      <family val="2"/>
    </font>
    <font>
      <i/>
      <sz val="10"/>
      <name val="Arial"/>
      <family val="2"/>
    </font>
    <font>
      <sz val="9"/>
      <name val="Arial"/>
      <family val="2"/>
    </font>
    <font>
      <sz val="10"/>
      <color indexed="9"/>
      <name val="Arial"/>
      <family val="2"/>
    </font>
    <font>
      <i/>
      <sz val="9"/>
      <name val="Arial"/>
      <family val="2"/>
    </font>
    <font>
      <sz val="9"/>
      <name val="Arial"/>
      <family val="2"/>
    </font>
    <font>
      <sz val="10"/>
      <name val="Arial"/>
      <family val="2"/>
    </font>
    <font>
      <sz val="10"/>
      <color indexed="8"/>
      <name val="Arial"/>
      <family val="2"/>
    </font>
    <font>
      <vertAlign val="superscript"/>
      <sz val="10"/>
      <name val="Arial"/>
      <family val="2"/>
    </font>
    <font>
      <i/>
      <sz val="10"/>
      <color indexed="8"/>
      <name val="Arial"/>
      <family val="2"/>
    </font>
    <font>
      <sz val="8"/>
      <name val="Arial"/>
      <family val="2"/>
    </font>
    <font>
      <b/>
      <vertAlign val="superscript"/>
      <sz val="10"/>
      <name val="Arial"/>
      <family val="2"/>
    </font>
    <font>
      <b/>
      <sz val="9"/>
      <name val="Arial"/>
      <family val="2"/>
    </font>
    <font>
      <sz val="14"/>
      <name val="Arial"/>
      <family val="2"/>
    </font>
    <font>
      <sz val="9"/>
      <color indexed="8"/>
      <name val="Arial"/>
      <family val="2"/>
    </font>
    <font>
      <b/>
      <sz val="12"/>
      <name val="Arial"/>
      <family val="2"/>
    </font>
    <font>
      <b/>
      <sz val="8"/>
      <color indexed="81"/>
      <name val="Tahoma"/>
      <family val="2"/>
    </font>
    <font>
      <b/>
      <sz val="14"/>
      <color indexed="50"/>
      <name val="Arial"/>
      <family val="2"/>
    </font>
    <font>
      <b/>
      <sz val="11"/>
      <name val="Arial"/>
      <family val="2"/>
    </font>
    <font>
      <sz val="11"/>
      <name val="Arial"/>
      <family val="2"/>
    </font>
    <font>
      <b/>
      <sz val="11"/>
      <color theme="1"/>
      <name val="Calibri"/>
      <family val="2"/>
      <scheme val="minor"/>
    </font>
    <font>
      <b/>
      <sz val="12"/>
      <color theme="1"/>
      <name val="Arial"/>
      <family val="2"/>
    </font>
    <font>
      <sz val="10"/>
      <color rgb="FFFF0000"/>
      <name val="Arial"/>
      <family val="2"/>
    </font>
    <font>
      <sz val="20"/>
      <color rgb="FFFF0000"/>
      <name val="Arial"/>
      <family val="2"/>
    </font>
    <font>
      <b/>
      <i/>
      <sz val="10"/>
      <name val="MS Sans Serif"/>
    </font>
    <font>
      <sz val="8"/>
      <name val="MS Sans Serif"/>
    </font>
    <font>
      <b/>
      <sz val="10"/>
      <name val="MS Sans Serif"/>
    </font>
    <font>
      <sz val="10"/>
      <name val="MS Sans Serif"/>
    </font>
    <font>
      <sz val="11"/>
      <color rgb="FF1F497D"/>
      <name val="Calibri"/>
      <family val="2"/>
    </font>
    <font>
      <b/>
      <sz val="11"/>
      <name val="Calibri"/>
      <family val="2"/>
    </font>
    <font>
      <b/>
      <sz val="12"/>
      <name val="Calibri"/>
      <family val="2"/>
    </font>
    <font>
      <sz val="10"/>
      <name val="Times New Roman"/>
      <family val="1"/>
    </font>
  </fonts>
  <fills count="13">
    <fill>
      <patternFill patternType="none"/>
    </fill>
    <fill>
      <patternFill patternType="gray125"/>
    </fill>
    <fill>
      <patternFill patternType="solid">
        <fgColor indexed="54"/>
        <bgColor indexed="64"/>
      </patternFill>
    </fill>
    <fill>
      <patternFill patternType="solid">
        <fgColor indexed="13"/>
        <bgColor indexed="64"/>
      </patternFill>
    </fill>
    <fill>
      <patternFill patternType="solid">
        <fgColor indexed="41"/>
        <bgColor indexed="64"/>
      </patternFill>
    </fill>
    <fill>
      <patternFill patternType="solid">
        <fgColor indexed="4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69FFFF"/>
        <bgColor indexed="64"/>
      </patternFill>
    </fill>
    <fill>
      <patternFill patternType="solid">
        <fgColor theme="5" tint="0.59999389629810485"/>
        <bgColor indexed="64"/>
      </patternFill>
    </fill>
    <fill>
      <patternFill patternType="solid">
        <fgColor theme="0"/>
        <bgColor indexed="64"/>
      </patternFill>
    </fill>
  </fills>
  <borders count="4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style="thin">
        <color indexed="22"/>
      </bottom>
      <diagonal/>
    </border>
    <border>
      <left style="thin">
        <color indexed="64"/>
      </left>
      <right/>
      <top/>
      <bottom/>
      <diagonal/>
    </border>
    <border>
      <left/>
      <right style="thin">
        <color indexed="64"/>
      </right>
      <top style="thin">
        <color indexed="22"/>
      </top>
      <bottom style="thin">
        <color indexed="22"/>
      </bottom>
      <diagonal/>
    </border>
    <border>
      <left/>
      <right style="thin">
        <color indexed="64"/>
      </right>
      <top/>
      <bottom/>
      <diagonal/>
    </border>
    <border>
      <left/>
      <right style="thin">
        <color indexed="64"/>
      </right>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22"/>
      </bottom>
      <diagonal/>
    </border>
    <border>
      <left/>
      <right/>
      <top style="thin">
        <color indexed="64"/>
      </top>
      <bottom style="thin">
        <color indexed="22"/>
      </bottom>
      <diagonal/>
    </border>
    <border>
      <left style="thin">
        <color indexed="64"/>
      </left>
      <right/>
      <top style="thin">
        <color indexed="22"/>
      </top>
      <bottom style="thin">
        <color indexed="22"/>
      </bottom>
      <diagonal/>
    </border>
    <border>
      <left/>
      <right/>
      <top style="thin">
        <color indexed="22"/>
      </top>
      <bottom style="thin">
        <color indexed="22"/>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medium">
        <color indexed="50"/>
      </left>
      <right/>
      <top style="medium">
        <color indexed="50"/>
      </top>
      <bottom/>
      <diagonal/>
    </border>
    <border>
      <left/>
      <right/>
      <top style="medium">
        <color indexed="50"/>
      </top>
      <bottom/>
      <diagonal/>
    </border>
    <border>
      <left/>
      <right style="medium">
        <color indexed="50"/>
      </right>
      <top style="medium">
        <color indexed="50"/>
      </top>
      <bottom/>
      <diagonal/>
    </border>
    <border>
      <left style="medium">
        <color indexed="50"/>
      </left>
      <right/>
      <top/>
      <bottom/>
      <diagonal/>
    </border>
    <border>
      <left/>
      <right style="medium">
        <color indexed="50"/>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thin">
        <color indexed="64"/>
      </left>
      <right style="medium">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s>
  <cellStyleXfs count="2">
    <xf numFmtId="0" fontId="0" fillId="0" borderId="0"/>
    <xf numFmtId="43" fontId="3" fillId="0" borderId="0" applyFont="0" applyFill="0" applyBorder="0" applyAlignment="0" applyProtection="0"/>
  </cellStyleXfs>
  <cellXfs count="473">
    <xf numFmtId="0" fontId="0" fillId="0" borderId="0" xfId="0"/>
    <xf numFmtId="0" fontId="0" fillId="0" borderId="0" xfId="0" applyAlignment="1">
      <alignment horizontal="center"/>
    </xf>
    <xf numFmtId="2" fontId="0" fillId="0" borderId="0" xfId="0" applyNumberFormat="1"/>
    <xf numFmtId="164" fontId="0" fillId="0" borderId="0" xfId="0" applyNumberFormat="1"/>
    <xf numFmtId="1" fontId="0" fillId="0" borderId="0" xfId="0" applyNumberFormat="1"/>
    <xf numFmtId="2" fontId="0" fillId="0" borderId="0" xfId="0" applyNumberFormat="1" applyAlignment="1">
      <alignment horizontal="center"/>
    </xf>
    <xf numFmtId="165" fontId="0" fillId="0" borderId="0" xfId="0" applyNumberFormat="1"/>
    <xf numFmtId="164" fontId="0" fillId="0" borderId="0" xfId="0" applyNumberFormat="1" applyAlignment="1">
      <alignment horizontal="center"/>
    </xf>
    <xf numFmtId="0" fontId="4" fillId="0" borderId="0" xfId="0" applyFont="1"/>
    <xf numFmtId="0" fontId="5" fillId="0" borderId="0" xfId="0" applyFont="1"/>
    <xf numFmtId="0" fontId="6" fillId="0" borderId="0" xfId="0" applyFont="1" applyAlignment="1">
      <alignment horizontal="centerContinuous"/>
    </xf>
    <xf numFmtId="0" fontId="6" fillId="0" borderId="0" xfId="0" applyFont="1" applyAlignment="1">
      <alignment horizontal="center"/>
    </xf>
    <xf numFmtId="0" fontId="7" fillId="0" borderId="0" xfId="0" applyFont="1"/>
    <xf numFmtId="0" fontId="8" fillId="0" borderId="0" xfId="0" applyFont="1" applyAlignment="1">
      <alignment horizontal="center"/>
    </xf>
    <xf numFmtId="0" fontId="8" fillId="0" borderId="0" xfId="0" applyFont="1" applyAlignment="1">
      <alignment horizontal="left"/>
    </xf>
    <xf numFmtId="0" fontId="9" fillId="0" borderId="0" xfId="0" applyFont="1" applyAlignment="1">
      <alignment horizontal="center"/>
    </xf>
    <xf numFmtId="0" fontId="7" fillId="0" borderId="0" xfId="0" applyFont="1" applyAlignment="1">
      <alignment horizontal="center"/>
    </xf>
    <xf numFmtId="0" fontId="11" fillId="0" borderId="0" xfId="0" applyFont="1"/>
    <xf numFmtId="0" fontId="1" fillId="0" borderId="0" xfId="0" applyFont="1"/>
    <xf numFmtId="0" fontId="5" fillId="0" borderId="0" xfId="0" applyFont="1" applyAlignment="1">
      <alignment horizontal="center"/>
    </xf>
    <xf numFmtId="1" fontId="8" fillId="0" borderId="0" xfId="0" applyNumberFormat="1" applyFont="1" applyAlignment="1">
      <alignment horizontal="center"/>
    </xf>
    <xf numFmtId="0" fontId="12" fillId="0" borderId="0" xfId="0" applyFont="1"/>
    <xf numFmtId="1" fontId="0" fillId="0" borderId="0" xfId="0" applyNumberFormat="1" applyAlignment="1">
      <alignment horizontal="center"/>
    </xf>
    <xf numFmtId="0" fontId="10" fillId="0" borderId="0" xfId="0" applyFont="1"/>
    <xf numFmtId="165" fontId="0" fillId="0" borderId="0" xfId="0" applyNumberFormat="1" applyAlignment="1">
      <alignment horizontal="center"/>
    </xf>
    <xf numFmtId="166" fontId="0" fillId="0" borderId="0" xfId="0" applyNumberFormat="1"/>
    <xf numFmtId="0" fontId="14" fillId="2" borderId="1" xfId="0" applyFont="1" applyFill="1" applyBorder="1"/>
    <xf numFmtId="0" fontId="15" fillId="2" borderId="2" xfId="0" applyFont="1" applyFill="1" applyBorder="1" applyAlignment="1">
      <alignment horizontal="center"/>
    </xf>
    <xf numFmtId="0" fontId="16" fillId="0" borderId="3" xfId="0" applyFont="1" applyBorder="1"/>
    <xf numFmtId="0" fontId="14" fillId="2" borderId="4" xfId="0" applyFont="1" applyFill="1" applyBorder="1"/>
    <xf numFmtId="0" fontId="15" fillId="2" borderId="0" xfId="0" applyFont="1" applyFill="1" applyAlignment="1">
      <alignment horizontal="center"/>
    </xf>
    <xf numFmtId="0" fontId="0" fillId="0" borderId="5" xfId="0" applyBorder="1"/>
    <xf numFmtId="0" fontId="15" fillId="2" borderId="4" xfId="0" applyFont="1" applyFill="1" applyBorder="1"/>
    <xf numFmtId="0" fontId="0" fillId="0" borderId="6" xfId="0" applyBorder="1"/>
    <xf numFmtId="0" fontId="15" fillId="0" borderId="6" xfId="0" applyFont="1" applyBorder="1"/>
    <xf numFmtId="0" fontId="14" fillId="2" borderId="4" xfId="0" applyFont="1" applyFill="1" applyBorder="1" applyAlignment="1">
      <alignment vertical="top"/>
    </xf>
    <xf numFmtId="0" fontId="17" fillId="0" borderId="6" xfId="0" applyFont="1" applyBorder="1" applyAlignment="1">
      <alignment vertical="top" wrapText="1"/>
    </xf>
    <xf numFmtId="0" fontId="15" fillId="2" borderId="6" xfId="0" applyFont="1" applyFill="1" applyBorder="1"/>
    <xf numFmtId="0" fontId="15" fillId="2" borderId="8" xfId="0" applyFont="1" applyFill="1" applyBorder="1"/>
    <xf numFmtId="0" fontId="15" fillId="2" borderId="9" xfId="0" applyFont="1" applyFill="1" applyBorder="1" applyAlignment="1">
      <alignment horizontal="center"/>
    </xf>
    <xf numFmtId="0" fontId="15" fillId="2" borderId="10" xfId="0" applyFont="1" applyFill="1" applyBorder="1"/>
    <xf numFmtId="14" fontId="0" fillId="0" borderId="11" xfId="0" applyNumberFormat="1" applyBorder="1" applyAlignment="1">
      <alignment horizontal="center"/>
    </xf>
    <xf numFmtId="0" fontId="0" fillId="0" borderId="12" xfId="0" applyBorder="1" applyAlignment="1">
      <alignment horizontal="center"/>
    </xf>
    <xf numFmtId="0" fontId="0" fillId="0" borderId="3" xfId="0" applyBorder="1" applyAlignment="1">
      <alignment wrapText="1"/>
    </xf>
    <xf numFmtId="14" fontId="0" fillId="0" borderId="13" xfId="0" applyNumberFormat="1" applyBorder="1" applyAlignment="1">
      <alignment horizontal="center"/>
    </xf>
    <xf numFmtId="0" fontId="0" fillId="0" borderId="14" xfId="0" applyBorder="1" applyAlignment="1">
      <alignment horizontal="center"/>
    </xf>
    <xf numFmtId="0" fontId="0" fillId="0" borderId="5" xfId="0" applyBorder="1" applyAlignment="1">
      <alignment wrapText="1"/>
    </xf>
    <xf numFmtId="14" fontId="0" fillId="0" borderId="4" xfId="0" applyNumberFormat="1" applyBorder="1" applyAlignment="1">
      <alignment horizontal="center"/>
    </xf>
    <xf numFmtId="0" fontId="3" fillId="0" borderId="0" xfId="0" applyFont="1" applyAlignment="1">
      <alignment horizontal="center"/>
    </xf>
    <xf numFmtId="0" fontId="0" fillId="0" borderId="6" xfId="0" applyBorder="1" applyAlignment="1">
      <alignment wrapText="1"/>
    </xf>
    <xf numFmtId="14" fontId="0" fillId="0" borderId="4" xfId="0" applyNumberFormat="1" applyBorder="1"/>
    <xf numFmtId="0" fontId="18" fillId="2" borderId="0" xfId="0" applyFont="1" applyFill="1" applyAlignment="1">
      <alignment horizontal="center"/>
    </xf>
    <xf numFmtId="0" fontId="18" fillId="2" borderId="6" xfId="0" applyFont="1" applyFill="1" applyBorder="1"/>
    <xf numFmtId="0" fontId="18" fillId="2" borderId="8" xfId="0" applyFont="1" applyFill="1" applyBorder="1"/>
    <xf numFmtId="0" fontId="18" fillId="2" borderId="9" xfId="0" applyFont="1" applyFill="1" applyBorder="1" applyAlignment="1">
      <alignment horizontal="center"/>
    </xf>
    <xf numFmtId="0" fontId="18" fillId="2" borderId="10" xfId="0" applyFont="1" applyFill="1" applyBorder="1"/>
    <xf numFmtId="0" fontId="19" fillId="0" borderId="13" xfId="0" applyFont="1" applyBorder="1" applyAlignment="1">
      <alignment vertical="top"/>
    </xf>
    <xf numFmtId="167" fontId="20" fillId="0" borderId="14" xfId="0" applyNumberFormat="1" applyFont="1" applyBorder="1" applyAlignment="1">
      <alignment horizontal="center" vertical="top"/>
    </xf>
    <xf numFmtId="0" fontId="16" fillId="0" borderId="4" xfId="0" applyFont="1" applyBorder="1"/>
    <xf numFmtId="14" fontId="16" fillId="0" borderId="4" xfId="0" applyNumberFormat="1" applyFont="1" applyBorder="1"/>
    <xf numFmtId="0" fontId="3" fillId="0" borderId="4" xfId="0" applyFont="1" applyBorder="1"/>
    <xf numFmtId="0" fontId="3" fillId="0" borderId="6" xfId="0" applyFont="1" applyBorder="1" applyAlignment="1">
      <alignment wrapText="1"/>
    </xf>
    <xf numFmtId="0" fontId="3" fillId="0" borderId="13" xfId="0" applyFont="1" applyBorder="1"/>
    <xf numFmtId="0" fontId="3" fillId="0" borderId="14" xfId="0" applyFont="1" applyBorder="1" applyAlignment="1">
      <alignment horizontal="center"/>
    </xf>
    <xf numFmtId="2" fontId="3" fillId="0" borderId="6" xfId="0" applyNumberFormat="1" applyFont="1" applyBorder="1" applyAlignment="1">
      <alignment vertical="center" wrapText="1"/>
    </xf>
    <xf numFmtId="0" fontId="15" fillId="0" borderId="0" xfId="0" applyFont="1" applyAlignment="1">
      <alignment horizontal="center"/>
    </xf>
    <xf numFmtId="0" fontId="3" fillId="0" borderId="15" xfId="0" applyFont="1" applyBorder="1"/>
    <xf numFmtId="0" fontId="3" fillId="0" borderId="16" xfId="0" applyFont="1" applyBorder="1" applyAlignment="1">
      <alignment horizontal="center"/>
    </xf>
    <xf numFmtId="0" fontId="3" fillId="0" borderId="17" xfId="0" applyFont="1" applyBorder="1" applyAlignment="1">
      <alignment wrapText="1"/>
    </xf>
    <xf numFmtId="0" fontId="3" fillId="0" borderId="0" xfId="0" applyFont="1"/>
    <xf numFmtId="2" fontId="0" fillId="0" borderId="0" xfId="0" applyNumberFormat="1" applyAlignment="1">
      <alignment horizontal="left"/>
    </xf>
    <xf numFmtId="2" fontId="12" fillId="0" borderId="0" xfId="0" applyNumberFormat="1" applyFont="1" applyAlignment="1">
      <alignment horizontal="center"/>
    </xf>
    <xf numFmtId="0" fontId="0" fillId="0" borderId="0" xfId="0" applyAlignment="1">
      <alignment wrapText="1"/>
    </xf>
    <xf numFmtId="0" fontId="0" fillId="0" borderId="0" xfId="0" applyAlignment="1">
      <alignment horizontal="center" wrapText="1"/>
    </xf>
    <xf numFmtId="0" fontId="10" fillId="0" borderId="0" xfId="0" applyFont="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21" fillId="0" borderId="0" xfId="0" applyFont="1"/>
    <xf numFmtId="0" fontId="21" fillId="0" borderId="0" xfId="0" applyFont="1" applyAlignment="1">
      <alignment horizontal="centerContinuous"/>
    </xf>
    <xf numFmtId="0" fontId="21" fillId="0" borderId="0" xfId="0" applyFont="1" applyAlignment="1">
      <alignment horizontal="center"/>
    </xf>
    <xf numFmtId="2" fontId="21" fillId="0" borderId="0" xfId="0" applyNumberFormat="1" applyFont="1"/>
    <xf numFmtId="165" fontId="21" fillId="0" borderId="0" xfId="0" applyNumberFormat="1" applyFont="1"/>
    <xf numFmtId="2" fontId="21" fillId="0" borderId="0" xfId="0" applyNumberFormat="1" applyFont="1" applyAlignment="1">
      <alignment horizontal="center" wrapText="1"/>
    </xf>
    <xf numFmtId="0" fontId="21" fillId="0" borderId="0" xfId="0" applyFont="1" applyAlignment="1">
      <alignment horizontal="left" vertical="center" wrapText="1"/>
    </xf>
    <xf numFmtId="2" fontId="21" fillId="0" borderId="0" xfId="0" applyNumberFormat="1" applyFont="1" applyAlignment="1">
      <alignment horizontal="center"/>
    </xf>
    <xf numFmtId="0" fontId="21" fillId="0" borderId="0" xfId="0" applyFont="1" applyAlignment="1">
      <alignment horizontal="left"/>
    </xf>
    <xf numFmtId="0" fontId="10" fillId="0" borderId="0" xfId="0" applyFont="1" applyAlignment="1">
      <alignment horizontal="left"/>
    </xf>
    <xf numFmtId="0" fontId="13" fillId="0" borderId="0" xfId="0" applyFont="1" applyAlignment="1">
      <alignment horizontal="left"/>
    </xf>
    <xf numFmtId="2" fontId="10" fillId="0" borderId="0" xfId="0" applyNumberFormat="1" applyFont="1" applyAlignment="1">
      <alignment horizontal="right"/>
    </xf>
    <xf numFmtId="2" fontId="10" fillId="0" borderId="0" xfId="0" applyNumberFormat="1" applyFont="1"/>
    <xf numFmtId="2" fontId="10" fillId="0" borderId="0" xfId="0" applyNumberFormat="1" applyFont="1" applyAlignment="1">
      <alignment horizontal="center"/>
    </xf>
    <xf numFmtId="0" fontId="10" fillId="0" borderId="21" xfId="0" applyFont="1" applyBorder="1"/>
    <xf numFmtId="0" fontId="10" fillId="0" borderId="21" xfId="0" applyFont="1" applyBorder="1" applyAlignment="1">
      <alignment horizontal="center" wrapText="1"/>
    </xf>
    <xf numFmtId="0" fontId="0" fillId="0" borderId="21" xfId="0" applyBorder="1"/>
    <xf numFmtId="0" fontId="10" fillId="0" borderId="18" xfId="0" applyFont="1" applyBorder="1" applyAlignment="1">
      <alignment horizontal="center"/>
    </xf>
    <xf numFmtId="0" fontId="10" fillId="0" borderId="20" xfId="0" applyFont="1" applyBorder="1" applyAlignment="1">
      <alignment horizontal="center"/>
    </xf>
    <xf numFmtId="0" fontId="7" fillId="3" borderId="0" xfId="0" applyFont="1" applyFill="1"/>
    <xf numFmtId="0" fontId="8" fillId="3" borderId="0" xfId="0" applyFont="1" applyFill="1" applyAlignment="1">
      <alignment horizontal="center"/>
    </xf>
    <xf numFmtId="0" fontId="0" fillId="3" borderId="0" xfId="0" applyFill="1" applyAlignment="1">
      <alignment horizontal="center"/>
    </xf>
    <xf numFmtId="0" fontId="0" fillId="3" borderId="0" xfId="0" applyFill="1" applyAlignment="1">
      <alignment horizontal="centerContinuous"/>
    </xf>
    <xf numFmtId="0" fontId="10" fillId="0" borderId="19" xfId="0" applyFont="1" applyBorder="1" applyAlignment="1">
      <alignment horizontal="center"/>
    </xf>
    <xf numFmtId="0" fontId="21" fillId="0" borderId="0" xfId="0" applyFont="1" applyAlignment="1">
      <alignment wrapText="1"/>
    </xf>
    <xf numFmtId="0" fontId="21" fillId="0" borderId="0" xfId="0" applyFont="1" applyAlignment="1">
      <alignment horizontal="center" wrapText="1"/>
    </xf>
    <xf numFmtId="0" fontId="0" fillId="0" borderId="0" xfId="0" applyAlignment="1">
      <alignment horizontal="left"/>
    </xf>
    <xf numFmtId="0" fontId="22" fillId="0" borderId="0" xfId="0" applyFont="1" applyAlignment="1">
      <alignment horizontal="left" indent="4"/>
    </xf>
    <xf numFmtId="0" fontId="10" fillId="0" borderId="0" xfId="0" applyFont="1" applyAlignment="1">
      <alignment horizontal="left" indent="4"/>
    </xf>
    <xf numFmtId="0" fontId="22" fillId="0" borderId="0" xfId="0" applyFont="1"/>
    <xf numFmtId="0" fontId="10" fillId="0" borderId="5" xfId="0" applyFont="1" applyBorder="1" applyAlignment="1">
      <alignment vertical="top" wrapText="1"/>
    </xf>
    <xf numFmtId="164" fontId="0" fillId="4" borderId="21" xfId="0" applyNumberFormat="1" applyFill="1" applyBorder="1" applyAlignment="1">
      <alignment horizontal="center"/>
    </xf>
    <xf numFmtId="0" fontId="20" fillId="0" borderId="0" xfId="0" applyFont="1" applyAlignment="1">
      <alignment horizontal="center" wrapText="1"/>
    </xf>
    <xf numFmtId="0" fontId="20" fillId="0" borderId="0" xfId="0" applyFont="1" applyAlignment="1">
      <alignment horizontal="center"/>
    </xf>
    <xf numFmtId="0" fontId="0" fillId="0" borderId="0" xfId="0" applyAlignment="1">
      <alignment vertical="center" wrapText="1"/>
    </xf>
    <xf numFmtId="164" fontId="10" fillId="0" borderId="10" xfId="0" applyNumberFormat="1" applyFont="1" applyBorder="1" applyAlignment="1">
      <alignment horizontal="center"/>
    </xf>
    <xf numFmtId="164" fontId="0" fillId="0" borderId="21" xfId="0" applyNumberFormat="1" applyBorder="1" applyAlignment="1">
      <alignment horizontal="center"/>
    </xf>
    <xf numFmtId="0" fontId="10" fillId="0" borderId="10" xfId="0" applyFont="1" applyBorder="1" applyAlignment="1">
      <alignment horizontal="center" wrapText="1"/>
    </xf>
    <xf numFmtId="0" fontId="10" fillId="0" borderId="21" xfId="0" applyFont="1" applyBorder="1" applyAlignment="1">
      <alignment horizontal="center"/>
    </xf>
    <xf numFmtId="3" fontId="0" fillId="0" borderId="21" xfId="0" applyNumberFormat="1" applyBorder="1"/>
    <xf numFmtId="3" fontId="0" fillId="0" borderId="0" xfId="0" applyNumberFormat="1"/>
    <xf numFmtId="0" fontId="12" fillId="0" borderId="22" xfId="0" applyFont="1" applyBorder="1" applyAlignment="1">
      <alignment horizontal="center" vertical="center"/>
    </xf>
    <xf numFmtId="0" fontId="12" fillId="0" borderId="23" xfId="0" applyFont="1" applyBorder="1" applyAlignment="1">
      <alignment horizontal="center" vertical="center"/>
    </xf>
    <xf numFmtId="2" fontId="0" fillId="0" borderId="21" xfId="0" applyNumberFormat="1" applyBorder="1" applyAlignment="1">
      <alignment horizontal="center"/>
    </xf>
    <xf numFmtId="0" fontId="12" fillId="0" borderId="0" xfId="0" applyFont="1" applyAlignment="1">
      <alignment horizontal="center"/>
    </xf>
    <xf numFmtId="168" fontId="12" fillId="0" borderId="0" xfId="0" applyNumberFormat="1" applyFont="1" applyAlignment="1">
      <alignment horizontal="center" wrapText="1"/>
    </xf>
    <xf numFmtId="2" fontId="28" fillId="0" borderId="0" xfId="0" applyNumberFormat="1" applyFont="1"/>
    <xf numFmtId="0" fontId="29" fillId="0" borderId="0" xfId="0" applyFont="1" applyAlignment="1">
      <alignment horizontal="center" wrapText="1"/>
    </xf>
    <xf numFmtId="0" fontId="27" fillId="0" borderId="0" xfId="0" applyFont="1" applyAlignment="1">
      <alignment horizontal="center"/>
    </xf>
    <xf numFmtId="0" fontId="27" fillId="0" borderId="0" xfId="0" applyFont="1" applyAlignment="1">
      <alignment horizontal="center" wrapText="1"/>
    </xf>
    <xf numFmtId="0" fontId="20" fillId="0" borderId="0" xfId="0" applyFont="1"/>
    <xf numFmtId="0" fontId="20" fillId="0" borderId="0" xfId="0" applyFont="1" applyAlignment="1">
      <alignment wrapText="1"/>
    </xf>
    <xf numFmtId="1" fontId="10" fillId="0" borderId="21" xfId="0" applyNumberFormat="1" applyFont="1" applyBorder="1" applyAlignment="1">
      <alignment horizontal="center"/>
    </xf>
    <xf numFmtId="0" fontId="0" fillId="0" borderId="21" xfId="0" applyBorder="1" applyAlignment="1">
      <alignment horizontal="center"/>
    </xf>
    <xf numFmtId="2" fontId="3" fillId="0" borderId="21" xfId="0" applyNumberFormat="1" applyFont="1" applyBorder="1" applyAlignment="1">
      <alignment horizontal="center"/>
    </xf>
    <xf numFmtId="0" fontId="12" fillId="0" borderId="21" xfId="0" applyFont="1" applyBorder="1" applyAlignment="1">
      <alignment horizontal="left"/>
    </xf>
    <xf numFmtId="0" fontId="12" fillId="0" borderId="21" xfId="0" applyFont="1" applyBorder="1" applyAlignment="1">
      <alignment horizontal="center" wrapText="1"/>
    </xf>
    <xf numFmtId="0" fontId="28" fillId="0" borderId="0" xfId="0" applyFont="1"/>
    <xf numFmtId="0" fontId="28" fillId="0" borderId="0" xfId="0" applyFont="1" applyAlignment="1">
      <alignment horizontal="center"/>
    </xf>
    <xf numFmtId="165" fontId="28" fillId="0" borderId="0" xfId="0" applyNumberFormat="1" applyFont="1"/>
    <xf numFmtId="0" fontId="12" fillId="0" borderId="0" xfId="0" applyFont="1" applyAlignment="1">
      <alignment horizontal="center" vertical="center"/>
    </xf>
    <xf numFmtId="164" fontId="20" fillId="0" borderId="4" xfId="0" applyNumberFormat="1" applyFont="1" applyBorder="1" applyAlignment="1">
      <alignment horizontal="left"/>
    </xf>
    <xf numFmtId="0" fontId="20" fillId="0" borderId="21" xfId="0" applyFont="1" applyBorder="1" applyAlignment="1">
      <alignment horizontal="center"/>
    </xf>
    <xf numFmtId="2" fontId="0" fillId="0" borderId="0" xfId="0" applyNumberFormat="1" applyAlignment="1">
      <alignment wrapText="1"/>
    </xf>
    <xf numFmtId="0" fontId="3" fillId="0" borderId="1" xfId="0" applyFont="1" applyBorder="1"/>
    <xf numFmtId="0" fontId="3" fillId="0" borderId="12" xfId="0" applyFont="1" applyBorder="1" applyAlignment="1">
      <alignment horizontal="center"/>
    </xf>
    <xf numFmtId="0" fontId="3" fillId="0" borderId="27" xfId="0" applyFont="1" applyBorder="1" applyAlignment="1">
      <alignment wrapText="1"/>
    </xf>
    <xf numFmtId="0" fontId="3" fillId="0" borderId="0" xfId="0" applyFont="1" applyAlignment="1">
      <alignment horizontal="left"/>
    </xf>
    <xf numFmtId="164" fontId="12" fillId="0" borderId="0" xfId="0" applyNumberFormat="1" applyFont="1" applyAlignment="1">
      <alignment horizontal="center"/>
    </xf>
    <xf numFmtId="1" fontId="12" fillId="0" borderId="0" xfId="0" applyNumberFormat="1" applyFont="1" applyAlignment="1">
      <alignment horizontal="center"/>
    </xf>
    <xf numFmtId="0" fontId="3" fillId="0" borderId="16" xfId="0" applyFont="1" applyBorder="1"/>
    <xf numFmtId="164" fontId="0" fillId="0" borderId="16" xfId="0" applyNumberFormat="1" applyBorder="1" applyAlignment="1">
      <alignment horizontal="center"/>
    </xf>
    <xf numFmtId="0" fontId="35" fillId="0" borderId="0" xfId="0" applyFont="1" applyAlignment="1">
      <alignment wrapText="1"/>
    </xf>
    <xf numFmtId="0" fontId="35" fillId="0" borderId="0" xfId="0" applyFont="1"/>
    <xf numFmtId="0" fontId="0" fillId="0" borderId="16" xfId="0" applyBorder="1" applyAlignment="1">
      <alignment horizontal="center"/>
    </xf>
    <xf numFmtId="0" fontId="12" fillId="0" borderId="16" xfId="0" applyFont="1" applyBorder="1"/>
    <xf numFmtId="0" fontId="12" fillId="0" borderId="9" xfId="0" applyFont="1" applyBorder="1"/>
    <xf numFmtId="2" fontId="12" fillId="0" borderId="9" xfId="0" applyNumberFormat="1" applyFont="1" applyBorder="1" applyAlignment="1">
      <alignment horizontal="center" wrapText="1"/>
    </xf>
    <xf numFmtId="0" fontId="12" fillId="0" borderId="9" xfId="0" applyFont="1" applyBorder="1" applyAlignment="1">
      <alignment horizontal="center" wrapText="1"/>
    </xf>
    <xf numFmtId="164" fontId="12" fillId="0" borderId="9" xfId="0" applyNumberFormat="1" applyFont="1" applyBorder="1" applyAlignment="1">
      <alignment horizontal="center" wrapText="1"/>
    </xf>
    <xf numFmtId="0" fontId="12" fillId="0" borderId="8" xfId="0" applyFont="1" applyBorder="1" applyAlignment="1">
      <alignment horizontal="center" wrapText="1"/>
    </xf>
    <xf numFmtId="0" fontId="0" fillId="0" borderId="4" xfId="0" applyBorder="1" applyAlignment="1">
      <alignment horizontal="center"/>
    </xf>
    <xf numFmtId="0" fontId="0" fillId="0" borderId="15" xfId="0" applyBorder="1" applyAlignment="1">
      <alignment horizontal="center"/>
    </xf>
    <xf numFmtId="0" fontId="0" fillId="0" borderId="4" xfId="0" applyBorder="1"/>
    <xf numFmtId="164" fontId="12" fillId="0" borderId="10" xfId="0" applyNumberFormat="1" applyFont="1" applyBorder="1" applyAlignment="1">
      <alignment horizontal="center" wrapText="1"/>
    </xf>
    <xf numFmtId="169" fontId="0" fillId="0" borderId="6" xfId="1" applyNumberFormat="1" applyFont="1" applyBorder="1" applyAlignment="1">
      <alignment horizontal="center" vertical="center"/>
    </xf>
    <xf numFmtId="169" fontId="0" fillId="0" borderId="17" xfId="1" applyNumberFormat="1" applyFont="1" applyBorder="1" applyAlignment="1">
      <alignment horizontal="center" vertical="center"/>
    </xf>
    <xf numFmtId="164" fontId="21" fillId="0" borderId="0" xfId="0" applyNumberFormat="1" applyFont="1" applyAlignment="1">
      <alignment horizontal="center"/>
    </xf>
    <xf numFmtId="165" fontId="21" fillId="0" borderId="0" xfId="0" applyNumberFormat="1" applyFont="1" applyAlignment="1">
      <alignment horizontal="center"/>
    </xf>
    <xf numFmtId="0" fontId="12" fillId="0" borderId="9" xfId="0" applyFont="1" applyBorder="1" applyAlignment="1">
      <alignment horizontal="center" vertical="center" wrapText="1"/>
    </xf>
    <xf numFmtId="2" fontId="12" fillId="0" borderId="9" xfId="0" applyNumberFormat="1" applyFont="1" applyBorder="1" applyAlignment="1">
      <alignment horizontal="center" vertical="center" wrapText="1"/>
    </xf>
    <xf numFmtId="165" fontId="0" fillId="0" borderId="16" xfId="0" applyNumberFormat="1" applyBorder="1" applyAlignment="1">
      <alignment horizontal="center"/>
    </xf>
    <xf numFmtId="0" fontId="32" fillId="0" borderId="29" xfId="0" applyFont="1" applyBorder="1"/>
    <xf numFmtId="0" fontId="3" fillId="0" borderId="30" xfId="0" applyFont="1" applyBorder="1"/>
    <xf numFmtId="2" fontId="28" fillId="0" borderId="30" xfId="0" applyNumberFormat="1" applyFont="1" applyBorder="1" applyAlignment="1">
      <alignment horizontal="center"/>
    </xf>
    <xf numFmtId="2" fontId="3" fillId="0" borderId="30" xfId="0" applyNumberFormat="1" applyFont="1" applyBorder="1" applyAlignment="1">
      <alignment horizontal="center"/>
    </xf>
    <xf numFmtId="2" fontId="28" fillId="0" borderId="30" xfId="0" applyNumberFormat="1" applyFont="1" applyBorder="1"/>
    <xf numFmtId="2" fontId="28" fillId="0" borderId="31" xfId="0" applyNumberFormat="1" applyFont="1" applyBorder="1"/>
    <xf numFmtId="0" fontId="0" fillId="0" borderId="32" xfId="0" applyBorder="1"/>
    <xf numFmtId="0" fontId="3" fillId="5" borderId="33" xfId="0" applyFont="1" applyFill="1" applyBorder="1" applyAlignment="1">
      <alignment horizontal="centerContinuous"/>
    </xf>
    <xf numFmtId="0" fontId="12" fillId="0" borderId="9" xfId="0" applyFont="1" applyBorder="1" applyAlignment="1">
      <alignment horizontal="center" vertical="center"/>
    </xf>
    <xf numFmtId="164" fontId="0" fillId="4" borderId="21" xfId="0" applyNumberFormat="1" applyFill="1" applyBorder="1" applyAlignment="1" applyProtection="1">
      <alignment horizontal="center"/>
      <protection locked="0"/>
    </xf>
    <xf numFmtId="2" fontId="0" fillId="4" borderId="21" xfId="0" applyNumberFormat="1" applyFill="1" applyBorder="1" applyAlignment="1" applyProtection="1">
      <alignment horizontal="center"/>
      <protection locked="0"/>
    </xf>
    <xf numFmtId="2" fontId="0" fillId="4" borderId="21" xfId="0" applyNumberFormat="1" applyFill="1" applyBorder="1" applyProtection="1">
      <protection locked="0"/>
    </xf>
    <xf numFmtId="0" fontId="0" fillId="4" borderId="21" xfId="0" applyFill="1" applyBorder="1" applyProtection="1">
      <protection locked="0"/>
    </xf>
    <xf numFmtId="0" fontId="10" fillId="0" borderId="21" xfId="0" applyFont="1" applyBorder="1" applyProtection="1">
      <protection locked="0"/>
    </xf>
    <xf numFmtId="0" fontId="10" fillId="0" borderId="21" xfId="0" applyFont="1" applyBorder="1" applyAlignment="1" applyProtection="1">
      <alignment horizontal="center"/>
      <protection locked="0"/>
    </xf>
    <xf numFmtId="2" fontId="10" fillId="4" borderId="21" xfId="0" applyNumberFormat="1" applyFont="1" applyFill="1" applyBorder="1" applyAlignment="1" applyProtection="1">
      <alignment horizontal="center"/>
      <protection locked="0"/>
    </xf>
    <xf numFmtId="0" fontId="10" fillId="4" borderId="21" xfId="0" applyFont="1" applyFill="1" applyBorder="1" applyAlignment="1" applyProtection="1">
      <alignment horizontal="center"/>
      <protection locked="0"/>
    </xf>
    <xf numFmtId="0" fontId="0" fillId="4" borderId="21" xfId="0" applyFill="1" applyBorder="1" applyAlignment="1" applyProtection="1">
      <alignment horizontal="center"/>
      <protection locked="0"/>
    </xf>
    <xf numFmtId="0" fontId="0" fillId="0" borderId="0" xfId="0" applyProtection="1">
      <protection locked="0"/>
    </xf>
    <xf numFmtId="164" fontId="0" fillId="4" borderId="21" xfId="0" applyNumberFormat="1" applyFill="1" applyBorder="1" applyProtection="1">
      <protection locked="0"/>
    </xf>
    <xf numFmtId="0" fontId="0" fillId="0" borderId="18" xfId="0" applyBorder="1"/>
    <xf numFmtId="0" fontId="3" fillId="0" borderId="21" xfId="0" applyFont="1" applyBorder="1"/>
    <xf numFmtId="0" fontId="0" fillId="0" borderId="20" xfId="0" applyBorder="1"/>
    <xf numFmtId="0" fontId="0" fillId="0" borderId="2" xfId="0" applyBorder="1"/>
    <xf numFmtId="0" fontId="3" fillId="0" borderId="19" xfId="0" applyFont="1" applyBorder="1" applyAlignment="1">
      <alignment horizontal="center"/>
    </xf>
    <xf numFmtId="2" fontId="0" fillId="0" borderId="8" xfId="0" applyNumberFormat="1" applyBorder="1" applyAlignment="1">
      <alignment horizontal="center"/>
    </xf>
    <xf numFmtId="0" fontId="0" fillId="0" borderId="0" xfId="0" applyAlignment="1" applyProtection="1">
      <alignment horizontal="center"/>
      <protection locked="0"/>
    </xf>
    <xf numFmtId="0" fontId="12" fillId="0" borderId="21" xfId="0" applyFont="1" applyBorder="1"/>
    <xf numFmtId="1" fontId="10" fillId="0" borderId="10" xfId="0" applyNumberFormat="1" applyFont="1" applyBorder="1" applyAlignment="1">
      <alignment horizontal="center"/>
    </xf>
    <xf numFmtId="164" fontId="10" fillId="0" borderId="21" xfId="0" applyNumberFormat="1" applyFont="1" applyBorder="1" applyAlignment="1">
      <alignment horizontal="center"/>
    </xf>
    <xf numFmtId="165" fontId="0" fillId="0" borderId="21" xfId="0" applyNumberFormat="1" applyBorder="1"/>
    <xf numFmtId="2" fontId="0" fillId="0" borderId="21" xfId="0" applyNumberFormat="1" applyBorder="1"/>
    <xf numFmtId="164" fontId="0" fillId="0" borderId="21" xfId="0" applyNumberFormat="1" applyBorder="1"/>
    <xf numFmtId="0" fontId="12" fillId="0" borderId="0" xfId="0" applyFont="1" applyAlignment="1">
      <alignment horizontal="right"/>
    </xf>
    <xf numFmtId="0" fontId="3" fillId="0" borderId="5" xfId="0" applyFont="1" applyBorder="1"/>
    <xf numFmtId="0" fontId="3" fillId="0" borderId="6" xfId="0" applyFont="1" applyBorder="1"/>
    <xf numFmtId="0" fontId="3" fillId="0" borderId="21" xfId="0" applyFont="1" applyBorder="1" applyAlignment="1">
      <alignment horizontal="left"/>
    </xf>
    <xf numFmtId="0" fontId="3" fillId="5" borderId="21" xfId="0" applyFont="1" applyFill="1" applyBorder="1" applyAlignment="1">
      <alignment horizontal="center"/>
    </xf>
    <xf numFmtId="0" fontId="3" fillId="0" borderId="21" xfId="0" applyFont="1" applyBorder="1" applyAlignment="1">
      <alignment vertical="center"/>
    </xf>
    <xf numFmtId="0" fontId="3" fillId="0" borderId="21" xfId="0" applyFont="1" applyBorder="1" applyAlignment="1">
      <alignment vertical="center" wrapText="1"/>
    </xf>
    <xf numFmtId="2" fontId="3" fillId="5" borderId="21" xfId="0" applyNumberFormat="1" applyFont="1" applyFill="1" applyBorder="1" applyAlignment="1">
      <alignment horizontal="center" vertical="center"/>
    </xf>
    <xf numFmtId="0" fontId="3" fillId="5" borderId="21" xfId="0" applyFont="1" applyFill="1" applyBorder="1" applyAlignment="1">
      <alignment horizontal="center" vertical="center"/>
    </xf>
    <xf numFmtId="0" fontId="3" fillId="0" borderId="21" xfId="0" applyFont="1" applyBorder="1" applyAlignment="1">
      <alignment wrapText="1"/>
    </xf>
    <xf numFmtId="2" fontId="3" fillId="5" borderId="21" xfId="0" applyNumberFormat="1" applyFont="1" applyFill="1" applyBorder="1" applyAlignment="1">
      <alignment horizontal="center"/>
    </xf>
    <xf numFmtId="165" fontId="3" fillId="5" borderId="21" xfId="0" applyNumberFormat="1" applyFont="1" applyFill="1" applyBorder="1" applyAlignment="1">
      <alignment horizontal="center"/>
    </xf>
    <xf numFmtId="2" fontId="0" fillId="0" borderId="21" xfId="0" applyNumberFormat="1" applyBorder="1" applyAlignment="1" applyProtection="1">
      <alignment horizontal="center"/>
      <protection locked="0"/>
    </xf>
    <xf numFmtId="0" fontId="10" fillId="0" borderId="9" xfId="0" applyFont="1" applyBorder="1" applyAlignment="1">
      <alignment horizontal="center"/>
    </xf>
    <xf numFmtId="0" fontId="3" fillId="0" borderId="41" xfId="0" applyFont="1" applyBorder="1" applyAlignment="1">
      <alignment horizontal="center"/>
    </xf>
    <xf numFmtId="0" fontId="3" fillId="0" borderId="37" xfId="0" applyFont="1" applyBorder="1" applyAlignment="1">
      <alignment horizontal="center"/>
    </xf>
    <xf numFmtId="0" fontId="3" fillId="0" borderId="39" xfId="0" applyFont="1" applyBorder="1" applyAlignment="1">
      <alignment horizontal="center"/>
    </xf>
    <xf numFmtId="0" fontId="0" fillId="0" borderId="28" xfId="0" applyBorder="1" applyAlignment="1">
      <alignment horizontal="center"/>
    </xf>
    <xf numFmtId="0" fontId="0" fillId="0" borderId="36" xfId="0" applyBorder="1" applyAlignment="1">
      <alignment horizontal="center"/>
    </xf>
    <xf numFmtId="0" fontId="0" fillId="0" borderId="26" xfId="0" applyBorder="1" applyAlignment="1">
      <alignment horizontal="center"/>
    </xf>
    <xf numFmtId="0" fontId="0" fillId="0" borderId="40" xfId="0" applyBorder="1" applyAlignment="1">
      <alignment horizontal="center"/>
    </xf>
    <xf numFmtId="0" fontId="0" fillId="0" borderId="34" xfId="0" applyBorder="1" applyAlignment="1">
      <alignment horizontal="center"/>
    </xf>
    <xf numFmtId="0" fontId="0" fillId="0" borderId="35" xfId="0" applyBorder="1" applyAlignment="1">
      <alignment horizontal="center"/>
    </xf>
    <xf numFmtId="2" fontId="0" fillId="0" borderId="42" xfId="0" applyNumberFormat="1" applyBorder="1" applyAlignment="1">
      <alignment horizontal="center"/>
    </xf>
    <xf numFmtId="2" fontId="0" fillId="8" borderId="25" xfId="0" applyNumberFormat="1" applyFill="1" applyBorder="1" applyAlignment="1" applyProtection="1">
      <alignment horizontal="center"/>
      <protection locked="0"/>
    </xf>
    <xf numFmtId="2" fontId="0" fillId="8" borderId="24" xfId="0" applyNumberFormat="1" applyFill="1" applyBorder="1" applyAlignment="1" applyProtection="1">
      <alignment horizontal="center"/>
      <protection locked="0"/>
    </xf>
    <xf numFmtId="165" fontId="0" fillId="8" borderId="24" xfId="0" applyNumberFormat="1" applyFill="1" applyBorder="1" applyAlignment="1" applyProtection="1">
      <alignment horizontal="center"/>
      <protection locked="0"/>
    </xf>
    <xf numFmtId="0" fontId="3" fillId="8" borderId="24" xfId="0" applyFont="1" applyFill="1" applyBorder="1" applyAlignment="1" applyProtection="1">
      <alignment horizontal="center" wrapText="1"/>
      <protection locked="0"/>
    </xf>
    <xf numFmtId="2" fontId="10" fillId="0" borderId="16" xfId="0" applyNumberFormat="1" applyFont="1" applyBorder="1" applyAlignment="1" applyProtection="1">
      <alignment horizontal="center"/>
      <protection locked="0"/>
    </xf>
    <xf numFmtId="2" fontId="10" fillId="0" borderId="16" xfId="0" applyNumberFormat="1" applyFont="1" applyBorder="1" applyProtection="1">
      <protection locked="0"/>
    </xf>
    <xf numFmtId="0" fontId="10" fillId="0" borderId="0" xfId="0" applyFont="1" applyProtection="1">
      <protection locked="0"/>
    </xf>
    <xf numFmtId="0" fontId="10" fillId="0" borderId="0" xfId="0" applyFont="1" applyAlignment="1" applyProtection="1">
      <alignment horizontal="center"/>
      <protection locked="0"/>
    </xf>
    <xf numFmtId="0" fontId="3" fillId="0" borderId="4" xfId="0" applyFont="1" applyBorder="1" applyAlignment="1" applyProtection="1">
      <alignment horizontal="center"/>
      <protection locked="0"/>
    </xf>
    <xf numFmtId="1" fontId="0" fillId="0" borderId="4" xfId="0" applyNumberFormat="1" applyBorder="1" applyAlignment="1" applyProtection="1">
      <alignment horizontal="center"/>
      <protection locked="0"/>
    </xf>
    <xf numFmtId="1" fontId="0" fillId="0" borderId="0" xfId="0" applyNumberFormat="1" applyProtection="1">
      <protection locked="0"/>
    </xf>
    <xf numFmtId="0" fontId="0" fillId="0" borderId="4" xfId="0" applyBorder="1" applyProtection="1">
      <protection locked="0"/>
    </xf>
    <xf numFmtId="166" fontId="0" fillId="0" borderId="0" xfId="0" applyNumberFormat="1" applyAlignment="1" applyProtection="1">
      <alignment horizontal="center"/>
      <protection locked="0"/>
    </xf>
    <xf numFmtId="0" fontId="0" fillId="0" borderId="0" xfId="0" applyAlignment="1" applyProtection="1">
      <alignment wrapText="1"/>
      <protection locked="0"/>
    </xf>
    <xf numFmtId="0" fontId="3" fillId="0" borderId="0" xfId="0" applyFont="1" applyAlignment="1" applyProtection="1">
      <alignment wrapText="1"/>
      <protection locked="0"/>
    </xf>
    <xf numFmtId="0" fontId="10" fillId="0" borderId="0" xfId="0" applyFont="1" applyAlignment="1" applyProtection="1">
      <alignment horizontal="center" wrapText="1"/>
      <protection locked="0"/>
    </xf>
    <xf numFmtId="164" fontId="0" fillId="0" borderId="0" xfId="0" applyNumberFormat="1" applyProtection="1">
      <protection locked="0"/>
    </xf>
    <xf numFmtId="2" fontId="10" fillId="0" borderId="0" xfId="0" applyNumberFormat="1" applyFont="1" applyProtection="1">
      <protection locked="0"/>
    </xf>
    <xf numFmtId="164" fontId="10" fillId="0" borderId="0" xfId="0" applyNumberFormat="1" applyFont="1" applyProtection="1">
      <protection locked="0"/>
    </xf>
    <xf numFmtId="0" fontId="3" fillId="0" borderId="0" xfId="0" applyFont="1" applyProtection="1">
      <protection locked="0"/>
    </xf>
    <xf numFmtId="2" fontId="10" fillId="0" borderId="0" xfId="0" applyNumberFormat="1" applyFont="1" applyAlignment="1" applyProtection="1">
      <alignment horizontal="center"/>
      <protection locked="0"/>
    </xf>
    <xf numFmtId="1" fontId="0" fillId="0" borderId="21" xfId="0" applyNumberFormat="1" applyBorder="1" applyAlignment="1">
      <alignment horizontal="center"/>
    </xf>
    <xf numFmtId="1" fontId="0" fillId="0" borderId="21" xfId="0" applyNumberFormat="1" applyBorder="1"/>
    <xf numFmtId="1" fontId="0" fillId="0" borderId="21" xfId="0" applyNumberFormat="1" applyBorder="1" applyAlignment="1">
      <alignment horizontal="right"/>
    </xf>
    <xf numFmtId="164" fontId="12" fillId="0" borderId="21" xfId="0" applyNumberFormat="1" applyFont="1" applyBorder="1"/>
    <xf numFmtId="0" fontId="10" fillId="10" borderId="19" xfId="0" applyFont="1" applyFill="1" applyBorder="1" applyAlignment="1">
      <alignment horizontal="center"/>
    </xf>
    <xf numFmtId="0" fontId="10" fillId="10" borderId="19" xfId="0" applyFont="1" applyFill="1" applyBorder="1" applyAlignment="1" applyProtection="1">
      <alignment horizontal="center"/>
      <protection locked="0"/>
    </xf>
    <xf numFmtId="2" fontId="12" fillId="0" borderId="21" xfId="0" applyNumberFormat="1" applyFont="1" applyBorder="1"/>
    <xf numFmtId="164" fontId="0" fillId="0" borderId="21" xfId="0" applyNumberFormat="1" applyBorder="1" applyAlignment="1">
      <alignment vertical="center"/>
    </xf>
    <xf numFmtId="0" fontId="0" fillId="0" borderId="15" xfId="0" applyBorder="1"/>
    <xf numFmtId="0" fontId="0" fillId="0" borderId="16" xfId="0" applyBorder="1"/>
    <xf numFmtId="0" fontId="3" fillId="0" borderId="16" xfId="0" applyFont="1" applyBorder="1" applyAlignment="1">
      <alignment horizontal="right" vertical="center"/>
    </xf>
    <xf numFmtId="164" fontId="0" fillId="0" borderId="21" xfId="0" applyNumberFormat="1" applyBorder="1" applyAlignment="1">
      <alignment horizontal="right"/>
    </xf>
    <xf numFmtId="1" fontId="0" fillId="0" borderId="21" xfId="0" applyNumberFormat="1" applyBorder="1" applyAlignment="1">
      <alignment vertical="center"/>
    </xf>
    <xf numFmtId="165" fontId="0" fillId="0" borderId="21" xfId="0" applyNumberFormat="1" applyBorder="1" applyAlignment="1">
      <alignment vertical="center"/>
    </xf>
    <xf numFmtId="0" fontId="0" fillId="0" borderId="21" xfId="0" applyBorder="1" applyAlignment="1">
      <alignment vertical="center"/>
    </xf>
    <xf numFmtId="2" fontId="0" fillId="0" borderId="21" xfId="0" applyNumberFormat="1" applyBorder="1" applyAlignment="1">
      <alignment horizontal="center" vertical="center"/>
    </xf>
    <xf numFmtId="164" fontId="0" fillId="0" borderId="21" xfId="0" applyNumberFormat="1" applyBorder="1" applyAlignment="1">
      <alignment horizontal="center" vertical="center"/>
    </xf>
    <xf numFmtId="165" fontId="0" fillId="0" borderId="21" xfId="0" applyNumberFormat="1" applyBorder="1" applyAlignment="1">
      <alignment horizontal="center" vertical="center"/>
    </xf>
    <xf numFmtId="37" fontId="0" fillId="0" borderId="21" xfId="1" applyNumberFormat="1" applyFont="1" applyBorder="1" applyAlignment="1">
      <alignment horizontal="center" vertical="center"/>
    </xf>
    <xf numFmtId="0" fontId="0" fillId="0" borderId="19" xfId="0" applyBorder="1"/>
    <xf numFmtId="0" fontId="34" fillId="0" borderId="0" xfId="0" applyFont="1" applyProtection="1">
      <protection locked="0"/>
    </xf>
    <xf numFmtId="2" fontId="0" fillId="0" borderId="0" xfId="0" applyNumberFormat="1" applyProtection="1">
      <protection locked="0"/>
    </xf>
    <xf numFmtId="165" fontId="0" fillId="0" borderId="0" xfId="0" applyNumberFormat="1" applyProtection="1">
      <protection locked="0"/>
    </xf>
    <xf numFmtId="0" fontId="33" fillId="7" borderId="8" xfId="0" applyFont="1" applyFill="1" applyBorder="1"/>
    <xf numFmtId="0" fontId="34" fillId="7" borderId="9" xfId="0" applyFont="1" applyFill="1" applyBorder="1"/>
    <xf numFmtId="0" fontId="34" fillId="7" borderId="10" xfId="0" applyFont="1" applyFill="1" applyBorder="1"/>
    <xf numFmtId="0" fontId="33" fillId="7" borderId="20" xfId="0" applyFont="1" applyFill="1" applyBorder="1" applyAlignment="1">
      <alignment wrapText="1"/>
    </xf>
    <xf numFmtId="0" fontId="33" fillId="7" borderId="20" xfId="0" applyFont="1" applyFill="1" applyBorder="1" applyAlignment="1">
      <alignment horizontal="center" wrapText="1"/>
    </xf>
    <xf numFmtId="164" fontId="34" fillId="7" borderId="21" xfId="0" applyNumberFormat="1" applyFont="1" applyFill="1" applyBorder="1"/>
    <xf numFmtId="164" fontId="34" fillId="7" borderId="18" xfId="0" applyNumberFormat="1" applyFont="1" applyFill="1" applyBorder="1"/>
    <xf numFmtId="164" fontId="34" fillId="7" borderId="8" xfId="0" applyNumberFormat="1" applyFont="1" applyFill="1" applyBorder="1"/>
    <xf numFmtId="164" fontId="34" fillId="7" borderId="19" xfId="0" applyNumberFormat="1" applyFont="1" applyFill="1" applyBorder="1" applyAlignment="1">
      <alignment vertical="center" wrapText="1"/>
    </xf>
    <xf numFmtId="0" fontId="34" fillId="7" borderId="8" xfId="0" applyFont="1" applyFill="1" applyBorder="1"/>
    <xf numFmtId="0" fontId="34" fillId="7" borderId="20" xfId="0" applyFont="1" applyFill="1" applyBorder="1"/>
    <xf numFmtId="164" fontId="34" fillId="7" borderId="21" xfId="0" applyNumberFormat="1" applyFont="1" applyFill="1" applyBorder="1" applyAlignment="1">
      <alignment horizontal="center"/>
    </xf>
    <xf numFmtId="3" fontId="34" fillId="7" borderId="21" xfId="0" applyNumberFormat="1" applyFont="1" applyFill="1" applyBorder="1" applyAlignment="1">
      <alignment horizontal="center"/>
    </xf>
    <xf numFmtId="164" fontId="34" fillId="7" borderId="18" xfId="0" applyNumberFormat="1" applyFont="1" applyFill="1" applyBorder="1" applyAlignment="1">
      <alignment horizontal="center"/>
    </xf>
    <xf numFmtId="3" fontId="34" fillId="7" borderId="18" xfId="0" applyNumberFormat="1" applyFont="1" applyFill="1" applyBorder="1" applyAlignment="1">
      <alignment horizontal="center"/>
    </xf>
    <xf numFmtId="164" fontId="34" fillId="7" borderId="9" xfId="0" applyNumberFormat="1" applyFont="1" applyFill="1" applyBorder="1" applyAlignment="1">
      <alignment horizontal="center"/>
    </xf>
    <xf numFmtId="3" fontId="34" fillId="7" borderId="10" xfId="0" applyNumberFormat="1" applyFont="1" applyFill="1" applyBorder="1" applyAlignment="1">
      <alignment horizontal="center"/>
    </xf>
    <xf numFmtId="164" fontId="34" fillId="7" borderId="19" xfId="0" applyNumberFormat="1" applyFont="1" applyFill="1" applyBorder="1" applyAlignment="1">
      <alignment horizontal="center" vertical="center"/>
    </xf>
    <xf numFmtId="3" fontId="34" fillId="7" borderId="19" xfId="0" applyNumberFormat="1" applyFont="1" applyFill="1" applyBorder="1" applyAlignment="1">
      <alignment horizontal="center" vertical="center"/>
    </xf>
    <xf numFmtId="0" fontId="34" fillId="7" borderId="9" xfId="0" applyFont="1" applyFill="1" applyBorder="1" applyAlignment="1">
      <alignment horizontal="center"/>
    </xf>
    <xf numFmtId="0" fontId="34" fillId="7" borderId="10" xfId="0" applyFont="1" applyFill="1" applyBorder="1" applyAlignment="1">
      <alignment horizontal="center"/>
    </xf>
    <xf numFmtId="165" fontId="34" fillId="7" borderId="20" xfId="0" applyNumberFormat="1" applyFont="1" applyFill="1" applyBorder="1" applyAlignment="1">
      <alignment horizontal="center"/>
    </xf>
    <xf numFmtId="0" fontId="34" fillId="7" borderId="20" xfId="0" applyFont="1" applyFill="1" applyBorder="1" applyAlignment="1">
      <alignment horizontal="center"/>
    </xf>
    <xf numFmtId="164" fontId="0" fillId="0" borderId="9" xfId="0" applyNumberFormat="1" applyBorder="1" applyAlignment="1">
      <alignment horizontal="center"/>
    </xf>
    <xf numFmtId="2" fontId="0" fillId="0" borderId="0" xfId="0" applyNumberFormat="1" applyAlignment="1" applyProtection="1">
      <alignment horizontal="center"/>
      <protection locked="0"/>
    </xf>
    <xf numFmtId="0" fontId="20" fillId="0" borderId="0" xfId="0" applyFont="1" applyAlignment="1" applyProtection="1">
      <alignment horizontal="center"/>
      <protection locked="0"/>
    </xf>
    <xf numFmtId="165" fontId="0" fillId="0" borderId="0" xfId="0" applyNumberFormat="1" applyAlignment="1" applyProtection="1">
      <alignment horizontal="center"/>
      <protection locked="0"/>
    </xf>
    <xf numFmtId="0" fontId="0" fillId="0" borderId="0" xfId="0" applyAlignment="1" applyProtection="1">
      <alignment vertical="center" wrapText="1"/>
      <protection locked="0"/>
    </xf>
    <xf numFmtId="2" fontId="3" fillId="0" borderId="0" xfId="0" applyNumberFormat="1" applyFont="1" applyAlignment="1" applyProtection="1">
      <alignment horizontal="center"/>
      <protection locked="0"/>
    </xf>
    <xf numFmtId="0" fontId="20" fillId="0" borderId="0" xfId="0" applyFont="1" applyAlignment="1" applyProtection="1">
      <alignment horizontal="center" wrapText="1"/>
      <protection locked="0"/>
    </xf>
    <xf numFmtId="0" fontId="0" fillId="0" borderId="0" xfId="0" applyAlignment="1" applyProtection="1">
      <alignment horizontal="left"/>
      <protection locked="0"/>
    </xf>
    <xf numFmtId="0" fontId="3" fillId="10" borderId="0" xfId="0" applyFont="1" applyFill="1" applyProtection="1">
      <protection locked="0"/>
    </xf>
    <xf numFmtId="0" fontId="0" fillId="10" borderId="0" xfId="0" applyFill="1" applyProtection="1">
      <protection locked="0"/>
    </xf>
    <xf numFmtId="0" fontId="0" fillId="6" borderId="0" xfId="0" applyFill="1" applyProtection="1">
      <protection locked="0"/>
    </xf>
    <xf numFmtId="0" fontId="3" fillId="8" borderId="0" xfId="0" applyFont="1" applyFill="1" applyProtection="1">
      <protection locked="0"/>
    </xf>
    <xf numFmtId="0" fontId="0" fillId="8" borderId="0" xfId="0" applyFill="1" applyProtection="1">
      <protection locked="0"/>
    </xf>
    <xf numFmtId="2" fontId="0" fillId="9" borderId="21" xfId="0" applyNumberFormat="1" applyFill="1" applyBorder="1" applyAlignment="1" applyProtection="1">
      <alignment horizontal="center"/>
      <protection locked="0"/>
    </xf>
    <xf numFmtId="0" fontId="0" fillId="0" borderId="38" xfId="0" applyBorder="1" applyAlignment="1">
      <alignment horizontal="center"/>
    </xf>
    <xf numFmtId="164" fontId="0" fillId="0" borderId="42" xfId="0" applyNumberFormat="1" applyBorder="1"/>
    <xf numFmtId="165" fontId="0" fillId="0" borderId="43" xfId="0" applyNumberFormat="1" applyBorder="1"/>
    <xf numFmtId="0" fontId="10" fillId="0" borderId="19" xfId="0" applyFont="1" applyBorder="1" applyAlignment="1" applyProtection="1">
      <alignment horizontal="left"/>
      <protection locked="0"/>
    </xf>
    <xf numFmtId="0" fontId="12" fillId="0" borderId="21" xfId="0" applyFont="1" applyBorder="1" applyAlignment="1">
      <alignment vertical="center"/>
    </xf>
    <xf numFmtId="0" fontId="0" fillId="4" borderId="21" xfId="0" applyFill="1" applyBorder="1" applyAlignment="1" applyProtection="1">
      <alignment horizontal="center" vertical="center"/>
      <protection locked="0"/>
    </xf>
    <xf numFmtId="0" fontId="0" fillId="0" borderId="0" xfId="0" applyAlignment="1" applyProtection="1">
      <alignment vertical="center"/>
      <protection locked="0"/>
    </xf>
    <xf numFmtId="0" fontId="0" fillId="0" borderId="0" xfId="0" applyAlignment="1">
      <alignment vertical="center"/>
    </xf>
    <xf numFmtId="0" fontId="3" fillId="10" borderId="19" xfId="0" applyFont="1" applyFill="1" applyBorder="1" applyAlignment="1" applyProtection="1">
      <alignment horizontal="center"/>
      <protection locked="0"/>
    </xf>
    <xf numFmtId="0" fontId="3" fillId="0" borderId="9" xfId="0" applyFont="1" applyBorder="1" applyAlignment="1">
      <alignment horizontal="left"/>
    </xf>
    <xf numFmtId="1" fontId="0" fillId="0" borderId="9" xfId="0" applyNumberFormat="1" applyBorder="1" applyAlignment="1">
      <alignment horizontal="center"/>
    </xf>
    <xf numFmtId="0" fontId="30" fillId="0" borderId="0" xfId="0" applyFont="1" applyAlignment="1">
      <alignment horizontal="right"/>
    </xf>
    <xf numFmtId="0" fontId="0" fillId="0" borderId="25" xfId="0" applyBorder="1"/>
    <xf numFmtId="9" fontId="0" fillId="10" borderId="21" xfId="0" applyNumberFormat="1" applyFill="1" applyBorder="1" applyAlignment="1" applyProtection="1">
      <alignment horizontal="center" vertical="center"/>
      <protection locked="0"/>
    </xf>
    <xf numFmtId="0" fontId="3" fillId="10" borderId="21" xfId="0" applyFont="1" applyFill="1" applyBorder="1" applyProtection="1">
      <protection locked="0"/>
    </xf>
    <xf numFmtId="170" fontId="10" fillId="4" borderId="21" xfId="0" applyNumberFormat="1" applyFont="1" applyFill="1" applyBorder="1" applyAlignment="1" applyProtection="1">
      <alignment horizontal="center"/>
      <protection locked="0"/>
    </xf>
    <xf numFmtId="3" fontId="0" fillId="0" borderId="21" xfId="0" applyNumberFormat="1" applyBorder="1" applyAlignment="1">
      <alignment horizontal="center"/>
    </xf>
    <xf numFmtId="3" fontId="0" fillId="0" borderId="42" xfId="0" applyNumberFormat="1" applyBorder="1"/>
    <xf numFmtId="2" fontId="3" fillId="0" borderId="21" xfId="0" applyNumberFormat="1" applyFont="1" applyBorder="1" applyAlignment="1">
      <alignment horizontal="center" vertical="center"/>
    </xf>
    <xf numFmtId="165" fontId="0" fillId="4" borderId="21" xfId="0" applyNumberFormat="1" applyFill="1" applyBorder="1" applyAlignment="1" applyProtection="1">
      <alignment horizontal="center" vertical="center"/>
      <protection locked="0"/>
    </xf>
    <xf numFmtId="17" fontId="3" fillId="0" borderId="7" xfId="0" applyNumberFormat="1" applyFont="1" applyBorder="1" applyAlignment="1">
      <alignment horizontal="left"/>
    </xf>
    <xf numFmtId="0" fontId="27" fillId="0" borderId="1" xfId="0" applyFont="1" applyBorder="1" applyAlignment="1">
      <alignment horizontal="center"/>
    </xf>
    <xf numFmtId="0" fontId="27" fillId="0" borderId="2" xfId="0" applyFont="1" applyBorder="1" applyAlignment="1">
      <alignment horizontal="center" wrapText="1"/>
    </xf>
    <xf numFmtId="0" fontId="12" fillId="0" borderId="10" xfId="0" applyFont="1" applyBorder="1" applyAlignment="1">
      <alignment horizontal="center" vertical="center"/>
    </xf>
    <xf numFmtId="166" fontId="0" fillId="0" borderId="0" xfId="0" applyNumberFormat="1" applyProtection="1">
      <protection locked="0"/>
    </xf>
    <xf numFmtId="0" fontId="0" fillId="0" borderId="0" xfId="0" applyAlignment="1">
      <alignment horizontal="right"/>
    </xf>
    <xf numFmtId="2" fontId="0" fillId="11" borderId="0" xfId="0" applyNumberFormat="1" applyFill="1" applyAlignment="1">
      <alignment horizontal="center"/>
    </xf>
    <xf numFmtId="164" fontId="3" fillId="0" borderId="21" xfId="0" applyNumberFormat="1" applyFont="1" applyBorder="1" applyAlignment="1">
      <alignment horizontal="center"/>
    </xf>
    <xf numFmtId="0" fontId="1" fillId="0" borderId="16" xfId="0" applyFont="1" applyBorder="1" applyAlignment="1">
      <alignment horizontal="center"/>
    </xf>
    <xf numFmtId="0" fontId="1" fillId="0" borderId="0" xfId="0" applyFont="1" applyAlignment="1">
      <alignment horizontal="center"/>
    </xf>
    <xf numFmtId="0" fontId="37" fillId="0" borderId="0" xfId="0" applyFont="1"/>
    <xf numFmtId="0" fontId="37" fillId="0" borderId="0" xfId="0" applyFont="1" applyProtection="1">
      <protection locked="0"/>
    </xf>
    <xf numFmtId="164" fontId="37" fillId="0" borderId="0" xfId="0" applyNumberFormat="1" applyFont="1" applyProtection="1">
      <protection locked="0"/>
    </xf>
    <xf numFmtId="0" fontId="10" fillId="10" borderId="21" xfId="0" applyFont="1" applyFill="1" applyBorder="1"/>
    <xf numFmtId="14" fontId="0" fillId="0" borderId="0" xfId="0" applyNumberFormat="1"/>
    <xf numFmtId="20" fontId="0" fillId="0" borderId="0" xfId="0" applyNumberFormat="1"/>
    <xf numFmtId="17" fontId="0" fillId="0" borderId="0" xfId="0" applyNumberFormat="1"/>
    <xf numFmtId="2" fontId="0" fillId="8" borderId="9" xfId="0" applyNumberFormat="1" applyFill="1" applyBorder="1" applyAlignment="1" applyProtection="1">
      <alignment horizontal="center"/>
      <protection locked="0"/>
    </xf>
    <xf numFmtId="0" fontId="3" fillId="8" borderId="9" xfId="0" applyFont="1" applyFill="1" applyBorder="1" applyAlignment="1" applyProtection="1">
      <alignment horizontal="center" wrapText="1"/>
      <protection locked="0"/>
    </xf>
    <xf numFmtId="165" fontId="0" fillId="8" borderId="9" xfId="0" applyNumberFormat="1" applyFill="1" applyBorder="1" applyAlignment="1" applyProtection="1">
      <alignment horizontal="center"/>
      <protection locked="0"/>
    </xf>
    <xf numFmtId="165" fontId="0" fillId="8" borderId="44" xfId="0" applyNumberFormat="1" applyFill="1" applyBorder="1" applyAlignment="1" applyProtection="1">
      <alignment horizontal="center"/>
      <protection locked="0"/>
    </xf>
    <xf numFmtId="0" fontId="0" fillId="0" borderId="21" xfId="0" applyBorder="1" applyProtection="1">
      <protection locked="0"/>
    </xf>
    <xf numFmtId="2" fontId="3" fillId="0" borderId="0" xfId="0" applyNumberFormat="1" applyFont="1" applyAlignment="1">
      <alignment horizontal="center"/>
    </xf>
    <xf numFmtId="2" fontId="10" fillId="12" borderId="0" xfId="0" applyNumberFormat="1" applyFont="1" applyFill="1" applyAlignment="1">
      <alignment horizontal="center"/>
    </xf>
    <xf numFmtId="0" fontId="10" fillId="12" borderId="0" xfId="0" applyFont="1" applyFill="1" applyAlignment="1" applyProtection="1">
      <alignment horizontal="center"/>
      <protection locked="0"/>
    </xf>
    <xf numFmtId="2" fontId="10" fillId="12" borderId="0" xfId="0" applyNumberFormat="1" applyFont="1" applyFill="1" applyAlignment="1" applyProtection="1">
      <alignment horizontal="center"/>
      <protection locked="0"/>
    </xf>
    <xf numFmtId="2" fontId="3" fillId="12" borderId="0" xfId="0" applyNumberFormat="1" applyFont="1" applyFill="1" applyAlignment="1">
      <alignment horizontal="center"/>
    </xf>
    <xf numFmtId="0" fontId="0" fillId="0" borderId="10" xfId="0" applyBorder="1" applyAlignment="1" applyProtection="1">
      <alignment horizontal="center"/>
      <protection locked="0"/>
    </xf>
    <xf numFmtId="0" fontId="3" fillId="0" borderId="0" xfId="0" applyFont="1" applyAlignment="1" applyProtection="1">
      <alignment horizontal="center"/>
      <protection locked="0"/>
    </xf>
    <xf numFmtId="0" fontId="10" fillId="4" borderId="10" xfId="0" applyFont="1" applyFill="1" applyBorder="1" applyAlignment="1" applyProtection="1">
      <alignment horizontal="center"/>
      <protection locked="0"/>
    </xf>
    <xf numFmtId="0" fontId="3" fillId="0" borderId="21" xfId="0" applyFont="1" applyBorder="1" applyAlignment="1">
      <alignment horizontal="center" wrapText="1"/>
    </xf>
    <xf numFmtId="0" fontId="38" fillId="0" borderId="0" xfId="0" applyFont="1"/>
    <xf numFmtId="0" fontId="39" fillId="0" borderId="0" xfId="0" applyFont="1" applyAlignment="1">
      <alignment horizontal="center"/>
    </xf>
    <xf numFmtId="0" fontId="40" fillId="0" borderId="0" xfId="0" applyFont="1"/>
    <xf numFmtId="0" fontId="41" fillId="0" borderId="0" xfId="0" applyFont="1" applyAlignment="1">
      <alignment horizontal="center"/>
    </xf>
    <xf numFmtId="0" fontId="42" fillId="0" borderId="0" xfId="0" applyFont="1" applyAlignment="1">
      <alignment horizontal="center"/>
    </xf>
    <xf numFmtId="0" fontId="42" fillId="0" borderId="0" xfId="0" applyFont="1" applyAlignment="1">
      <alignment horizontal="left"/>
    </xf>
    <xf numFmtId="1" fontId="3" fillId="0" borderId="0" xfId="0" applyNumberFormat="1" applyFont="1" applyAlignment="1">
      <alignment horizontal="right"/>
    </xf>
    <xf numFmtId="0" fontId="7" fillId="6" borderId="0" xfId="0" applyFont="1" applyFill="1"/>
    <xf numFmtId="0" fontId="0" fillId="10" borderId="0" xfId="0" applyFill="1"/>
    <xf numFmtId="0" fontId="1" fillId="0" borderId="21" xfId="0" applyFont="1" applyBorder="1"/>
    <xf numFmtId="0" fontId="21" fillId="0" borderId="0" xfId="0" applyFont="1" applyAlignment="1">
      <alignment horizontal="left" vertical="top" wrapText="1"/>
    </xf>
    <xf numFmtId="0" fontId="43" fillId="0" borderId="0" xfId="0" applyFont="1" applyAlignment="1">
      <alignment vertical="center"/>
    </xf>
    <xf numFmtId="3" fontId="3" fillId="0" borderId="0" xfId="0" applyNumberFormat="1" applyFont="1" applyAlignment="1">
      <alignment horizontal="center"/>
    </xf>
    <xf numFmtId="0" fontId="23" fillId="0" borderId="0" xfId="0" applyFont="1" applyAlignment="1">
      <alignment horizontal="left"/>
    </xf>
    <xf numFmtId="2" fontId="3" fillId="0" borderId="0" xfId="0" applyNumberFormat="1" applyFont="1" applyAlignment="1">
      <alignment horizontal="center" vertical="center" wrapText="1"/>
    </xf>
    <xf numFmtId="164" fontId="37" fillId="4" borderId="21" xfId="0" applyNumberFormat="1" applyFont="1" applyFill="1" applyBorder="1" applyAlignment="1" applyProtection="1">
      <alignment horizontal="center"/>
      <protection locked="0"/>
    </xf>
    <xf numFmtId="165" fontId="37" fillId="4" borderId="21" xfId="0" applyNumberFormat="1" applyFont="1" applyFill="1" applyBorder="1" applyAlignment="1" applyProtection="1">
      <alignment horizontal="center" vertical="center"/>
      <protection locked="0"/>
    </xf>
    <xf numFmtId="0" fontId="37" fillId="0" borderId="20" xfId="0" applyFont="1" applyBorder="1" applyAlignment="1">
      <alignment horizontal="center"/>
    </xf>
    <xf numFmtId="0" fontId="1" fillId="0" borderId="0" xfId="0" applyFont="1" applyAlignment="1">
      <alignment horizontal="right"/>
    </xf>
    <xf numFmtId="2" fontId="3" fillId="8" borderId="24" xfId="0" applyNumberFormat="1" applyFont="1" applyFill="1" applyBorder="1" applyAlignment="1" applyProtection="1">
      <alignment horizontal="center"/>
      <protection locked="0"/>
    </xf>
    <xf numFmtId="0" fontId="1" fillId="0" borderId="0" xfId="0" applyFont="1" applyAlignment="1">
      <alignment horizontal="centerContinuous"/>
    </xf>
    <xf numFmtId="170" fontId="3" fillId="4" borderId="21" xfId="0" applyNumberFormat="1" applyFont="1" applyFill="1" applyBorder="1" applyAlignment="1" applyProtection="1">
      <alignment horizontal="center"/>
      <protection locked="0"/>
    </xf>
    <xf numFmtId="3" fontId="3" fillId="4" borderId="21" xfId="0" applyNumberFormat="1" applyFont="1" applyFill="1" applyBorder="1" applyAlignment="1" applyProtection="1">
      <alignment horizontal="center"/>
      <protection locked="0"/>
    </xf>
    <xf numFmtId="0" fontId="3" fillId="4" borderId="21" xfId="0" applyFont="1" applyFill="1" applyBorder="1" applyAlignment="1" applyProtection="1">
      <alignment horizontal="center"/>
      <protection locked="0"/>
    </xf>
    <xf numFmtId="2" fontId="3" fillId="4" borderId="21" xfId="0" applyNumberFormat="1" applyFont="1" applyFill="1" applyBorder="1" applyAlignment="1" applyProtection="1">
      <alignment horizontal="center"/>
      <protection locked="0"/>
    </xf>
    <xf numFmtId="0" fontId="3" fillId="0" borderId="0" xfId="0" applyFont="1" applyAlignment="1">
      <alignment horizontal="center" wrapText="1"/>
    </xf>
    <xf numFmtId="164" fontId="3" fillId="0" borderId="0" xfId="0" applyNumberFormat="1" applyFont="1" applyProtection="1">
      <protection locked="0"/>
    </xf>
    <xf numFmtId="0" fontId="10" fillId="0" borderId="18" xfId="0" applyFont="1" applyBorder="1" applyAlignment="1">
      <alignment vertical="center"/>
    </xf>
    <xf numFmtId="0" fontId="10" fillId="0" borderId="19" xfId="0" applyFont="1" applyBorder="1" applyAlignment="1">
      <alignment vertical="center"/>
    </xf>
    <xf numFmtId="0" fontId="10" fillId="0" borderId="20" xfId="0" applyFont="1" applyBorder="1" applyAlignment="1">
      <alignment vertical="center"/>
    </xf>
    <xf numFmtId="164" fontId="3" fillId="4" borderId="21" xfId="0" applyNumberFormat="1" applyFont="1" applyFill="1" applyBorder="1" applyAlignment="1" applyProtection="1">
      <alignment horizontal="center"/>
      <protection locked="0"/>
    </xf>
    <xf numFmtId="164" fontId="3" fillId="4" borderId="20" xfId="0" applyNumberFormat="1" applyFont="1" applyFill="1" applyBorder="1" applyAlignment="1" applyProtection="1">
      <alignment horizontal="center"/>
      <protection locked="0"/>
    </xf>
    <xf numFmtId="2" fontId="46" fillId="10" borderId="21" xfId="0" applyNumberFormat="1" applyFont="1" applyFill="1" applyBorder="1" applyAlignment="1">
      <alignment horizontal="center" vertical="center"/>
    </xf>
    <xf numFmtId="2" fontId="3" fillId="10" borderId="21" xfId="0" applyNumberFormat="1" applyFont="1" applyFill="1" applyBorder="1" applyAlignment="1">
      <alignment horizontal="center"/>
    </xf>
    <xf numFmtId="164" fontId="3" fillId="10" borderId="20" xfId="0" applyNumberFormat="1" applyFont="1" applyFill="1" applyBorder="1" applyAlignment="1" applyProtection="1">
      <alignment horizontal="center"/>
      <protection locked="0"/>
    </xf>
    <xf numFmtId="1" fontId="3" fillId="0" borderId="0" xfId="0" applyNumberFormat="1" applyFont="1"/>
    <xf numFmtId="165" fontId="3" fillId="11" borderId="0" xfId="0" applyNumberFormat="1" applyFont="1" applyFill="1"/>
    <xf numFmtId="0" fontId="3" fillId="4" borderId="21" xfId="0" applyFont="1" applyFill="1" applyBorder="1" applyProtection="1">
      <protection locked="0"/>
    </xf>
    <xf numFmtId="3" fontId="3" fillId="10" borderId="21" xfId="0" applyNumberFormat="1" applyFont="1" applyFill="1" applyBorder="1"/>
    <xf numFmtId="3" fontId="3" fillId="4" borderId="21" xfId="0" applyNumberFormat="1" applyFont="1" applyFill="1" applyBorder="1" applyProtection="1">
      <protection locked="0"/>
    </xf>
    <xf numFmtId="165" fontId="3" fillId="0" borderId="0" xfId="0" applyNumberFormat="1" applyFont="1"/>
    <xf numFmtId="0" fontId="0" fillId="0" borderId="1" xfId="0" applyBorder="1"/>
    <xf numFmtId="0" fontId="6" fillId="0" borderId="2" xfId="0" applyFont="1" applyBorder="1" applyAlignment="1">
      <alignment horizontal="left"/>
    </xf>
    <xf numFmtId="0" fontId="0" fillId="0" borderId="27" xfId="0" applyBorder="1"/>
    <xf numFmtId="165" fontId="0" fillId="0" borderId="6" xfId="0" applyNumberFormat="1" applyBorder="1" applyAlignment="1">
      <alignment horizontal="center"/>
    </xf>
    <xf numFmtId="165" fontId="0" fillId="0" borderId="6" xfId="0" applyNumberFormat="1" applyBorder="1"/>
    <xf numFmtId="164" fontId="0" fillId="0" borderId="4" xfId="0" applyNumberFormat="1" applyBorder="1"/>
    <xf numFmtId="164" fontId="0" fillId="0" borderId="15" xfId="0" applyNumberFormat="1" applyBorder="1"/>
    <xf numFmtId="165" fontId="0" fillId="0" borderId="16" xfId="0" applyNumberFormat="1" applyBorder="1"/>
    <xf numFmtId="165" fontId="0" fillId="0" borderId="17" xfId="0" applyNumberFormat="1" applyBorder="1"/>
    <xf numFmtId="0" fontId="6" fillId="0" borderId="4" xfId="0" applyFont="1" applyBorder="1"/>
    <xf numFmtId="0" fontId="1" fillId="0" borderId="4" xfId="0" applyFont="1" applyBorder="1"/>
    <xf numFmtId="0" fontId="3" fillId="12" borderId="4" xfId="0" applyFont="1" applyFill="1" applyBorder="1"/>
    <xf numFmtId="3" fontId="0" fillId="0" borderId="0" xfId="0" applyNumberFormat="1" applyAlignment="1">
      <alignment horizontal="center"/>
    </xf>
    <xf numFmtId="164" fontId="3" fillId="0" borderId="0" xfId="0" applyNumberFormat="1" applyFont="1"/>
    <xf numFmtId="3" fontId="0" fillId="0" borderId="25" xfId="0" applyNumberFormat="1" applyBorder="1"/>
    <xf numFmtId="168" fontId="1" fillId="0" borderId="0" xfId="0" applyNumberFormat="1" applyFont="1" applyAlignment="1">
      <alignment horizontal="center" wrapText="1"/>
    </xf>
    <xf numFmtId="164" fontId="20" fillId="0" borderId="4" xfId="0" applyNumberFormat="1" applyFont="1" applyBorder="1" applyAlignment="1">
      <alignment horizontal="center"/>
    </xf>
    <xf numFmtId="164" fontId="20" fillId="0" borderId="1" xfId="0" applyNumberFormat="1" applyFont="1" applyBorder="1" applyAlignment="1">
      <alignment horizontal="center"/>
    </xf>
    <xf numFmtId="164" fontId="20" fillId="0" borderId="15" xfId="0" applyNumberFormat="1" applyFont="1" applyBorder="1" applyAlignment="1">
      <alignment horizontal="center"/>
    </xf>
    <xf numFmtId="164" fontId="0" fillId="0" borderId="18" xfId="0" applyNumberForma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0" fontId="12" fillId="0" borderId="0" xfId="0" applyFont="1" applyAlignment="1">
      <alignment horizontal="left"/>
    </xf>
    <xf numFmtId="0" fontId="3" fillId="0" borderId="4" xfId="0" applyFont="1" applyBorder="1" applyAlignment="1">
      <alignment horizontal="center" vertical="center" wrapText="1"/>
    </xf>
    <xf numFmtId="2" fontId="3" fillId="0" borderId="4" xfId="0" applyNumberFormat="1" applyFont="1" applyBorder="1" applyAlignment="1">
      <alignment horizontal="center" vertical="center" wrapText="1"/>
    </xf>
    <xf numFmtId="0" fontId="1" fillId="0" borderId="8" xfId="0" applyFont="1" applyBorder="1" applyAlignment="1">
      <alignment horizontal="center" vertical="center"/>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3" fillId="0" borderId="1" xfId="0" applyFont="1" applyBorder="1" applyAlignment="1">
      <alignment horizontal="center" vertical="center"/>
    </xf>
    <xf numFmtId="0" fontId="3" fillId="0" borderId="4" xfId="0" applyFont="1" applyBorder="1" applyAlignment="1">
      <alignment horizontal="center" vertical="center"/>
    </xf>
    <xf numFmtId="0" fontId="3" fillId="0" borderId="18" xfId="0" applyFont="1" applyBorder="1" applyAlignment="1">
      <alignment horizontal="center"/>
    </xf>
    <xf numFmtId="0" fontId="3" fillId="0" borderId="15" xfId="0" applyFont="1" applyBorder="1" applyAlignment="1">
      <alignment horizontal="center" vertical="center" wrapText="1"/>
    </xf>
    <xf numFmtId="0" fontId="3" fillId="0" borderId="20" xfId="0" applyFont="1" applyBorder="1" applyAlignment="1">
      <alignment horizontal="center" vertical="center"/>
    </xf>
    <xf numFmtId="2" fontId="3" fillId="0" borderId="15" xfId="0" applyNumberFormat="1" applyFont="1" applyBorder="1" applyAlignment="1">
      <alignment horizontal="center" vertical="center" wrapText="1"/>
    </xf>
    <xf numFmtId="0" fontId="3" fillId="0" borderId="20" xfId="0" applyFont="1" applyBorder="1" applyAlignment="1">
      <alignment horizontal="center" vertical="center" wrapText="1"/>
    </xf>
    <xf numFmtId="0" fontId="3" fillId="0" borderId="15" xfId="0" applyFont="1" applyBorder="1" applyAlignment="1">
      <alignment horizontal="center" vertical="center"/>
    </xf>
    <xf numFmtId="0" fontId="3" fillId="0" borderId="20" xfId="0" applyFont="1" applyBorder="1" applyAlignment="1">
      <alignment horizontal="center"/>
    </xf>
    <xf numFmtId="165" fontId="3" fillId="0" borderId="0" xfId="0" applyNumberFormat="1" applyFont="1" applyAlignment="1">
      <alignment horizontal="center"/>
    </xf>
    <xf numFmtId="0" fontId="3" fillId="0" borderId="0" xfId="0" applyFont="1" applyAlignment="1">
      <alignment wrapText="1"/>
    </xf>
    <xf numFmtId="0" fontId="21" fillId="0" borderId="0" xfId="0" applyFont="1" applyAlignment="1">
      <alignment horizontal="center" wrapText="1"/>
    </xf>
    <xf numFmtId="0" fontId="21" fillId="0" borderId="0" xfId="0" applyFont="1" applyAlignment="1">
      <alignment horizontal="center" vertical="center" wrapText="1"/>
    </xf>
    <xf numFmtId="0" fontId="21" fillId="0" borderId="0" xfId="0" applyFont="1" applyAlignment="1">
      <alignment horizontal="left" vertical="top" wrapText="1"/>
    </xf>
    <xf numFmtId="0" fontId="21" fillId="0" borderId="0" xfId="0" applyFont="1" applyAlignment="1">
      <alignment horizontal="left" wrapText="1"/>
    </xf>
    <xf numFmtId="2" fontId="21" fillId="0" borderId="0" xfId="0" applyNumberFormat="1" applyFont="1" applyAlignment="1">
      <alignment horizontal="center" vertical="center" wrapText="1"/>
    </xf>
    <xf numFmtId="0" fontId="28" fillId="5" borderId="0" xfId="0" applyFont="1" applyFill="1" applyAlignment="1">
      <alignment horizontal="center"/>
    </xf>
    <xf numFmtId="0" fontId="21" fillId="0" borderId="0" xfId="0" applyFont="1" applyAlignment="1">
      <alignment horizontal="center"/>
    </xf>
    <xf numFmtId="0" fontId="36" fillId="10" borderId="8" xfId="0" applyFont="1" applyFill="1" applyBorder="1" applyAlignment="1">
      <alignment horizontal="center"/>
    </xf>
    <xf numFmtId="0" fontId="36" fillId="10" borderId="10" xfId="0" applyFont="1" applyFill="1" applyBorder="1" applyAlignment="1">
      <alignment horizontal="center"/>
    </xf>
    <xf numFmtId="0" fontId="0" fillId="0" borderId="18" xfId="0" applyBorder="1" applyAlignment="1">
      <alignment horizontal="left" vertical="center"/>
    </xf>
    <xf numFmtId="0" fontId="0" fillId="0" borderId="19" xfId="0" applyBorder="1" applyAlignment="1">
      <alignment horizontal="left" vertical="center"/>
    </xf>
    <xf numFmtId="0" fontId="0" fillId="0" borderId="20" xfId="0" applyBorder="1" applyAlignment="1">
      <alignment horizontal="left" vertical="center"/>
    </xf>
    <xf numFmtId="0" fontId="0" fillId="0" borderId="18" xfId="0" applyBorder="1" applyAlignment="1">
      <alignment horizontal="center"/>
    </xf>
    <xf numFmtId="0" fontId="0" fillId="0" borderId="20" xfId="0"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0" fillId="3" borderId="10" xfId="0" applyFill="1" applyBorder="1" applyAlignment="1">
      <alignment horizontal="center"/>
    </xf>
    <xf numFmtId="0" fontId="0" fillId="0" borderId="27" xfId="0" applyBorder="1" applyAlignment="1">
      <alignment horizontal="left" vertical="center"/>
    </xf>
    <xf numFmtId="0" fontId="0" fillId="0" borderId="6" xfId="0" applyBorder="1" applyAlignment="1">
      <alignment horizontal="left" vertical="center"/>
    </xf>
    <xf numFmtId="0" fontId="0" fillId="0" borderId="17" xfId="0" applyBorder="1" applyAlignment="1">
      <alignment horizontal="left" vertical="center"/>
    </xf>
    <xf numFmtId="0" fontId="3" fillId="10" borderId="8" xfId="0" applyFont="1" applyFill="1" applyBorder="1" applyAlignment="1">
      <alignment horizontal="center"/>
    </xf>
    <xf numFmtId="0" fontId="0" fillId="10" borderId="10" xfId="0" applyFill="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5" fillId="0" borderId="9" xfId="0" applyFont="1" applyBorder="1" applyAlignment="1">
      <alignment horizontal="center"/>
    </xf>
    <xf numFmtId="0" fontId="5" fillId="0" borderId="8" xfId="0" applyFont="1" applyBorder="1" applyAlignment="1">
      <alignment horizontal="center"/>
    </xf>
    <xf numFmtId="0" fontId="2" fillId="0" borderId="16" xfId="0" applyFont="1" applyBorder="1" applyAlignment="1">
      <alignment horizontal="center"/>
    </xf>
    <xf numFmtId="0" fontId="12" fillId="0" borderId="0" xfId="0" applyFont="1" applyAlignment="1">
      <alignment horizontal="center"/>
    </xf>
    <xf numFmtId="0" fontId="27" fillId="0" borderId="8" xfId="0" applyFont="1" applyBorder="1" applyAlignment="1">
      <alignment horizontal="center"/>
    </xf>
    <xf numFmtId="0" fontId="27" fillId="0" borderId="9" xfId="0" applyFont="1" applyBorder="1" applyAlignment="1">
      <alignment horizontal="center"/>
    </xf>
    <xf numFmtId="0" fontId="27" fillId="0" borderId="10" xfId="0" applyFont="1" applyBorder="1" applyAlignment="1">
      <alignment horizontal="center"/>
    </xf>
  </cellXfs>
  <cellStyles count="2">
    <cellStyle name="Comma" xfId="1" builtinId="3"/>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9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1</xdr:col>
      <xdr:colOff>368300</xdr:colOff>
      <xdr:row>143</xdr:row>
      <xdr:rowOff>18372</xdr:rowOff>
    </xdr:from>
    <xdr:to>
      <xdr:col>6</xdr:col>
      <xdr:colOff>1009650</xdr:colOff>
      <xdr:row>164</xdr:row>
      <xdr:rowOff>25399</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82800" y="30472972"/>
          <a:ext cx="8274050" cy="34741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205</xdr:row>
      <xdr:rowOff>0</xdr:rowOff>
    </xdr:from>
    <xdr:to>
      <xdr:col>6</xdr:col>
      <xdr:colOff>857250</xdr:colOff>
      <xdr:row>234</xdr:row>
      <xdr:rowOff>114300</xdr:rowOff>
    </xdr:to>
    <xdr:pic>
      <xdr:nvPicPr>
        <xdr:cNvPr id="4" name="Picture 3">
          <a:extLst>
            <a:ext uri="{FF2B5EF4-FFF2-40B4-BE49-F238E27FC236}">
              <a16:creationId xmlns:a16="http://schemas.microsoft.com/office/drawing/2014/main" id="{D5F10AF4-B651-430E-AB03-39B31EB93E9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0" y="41062275"/>
          <a:ext cx="8486775" cy="4810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161438</xdr:colOff>
      <xdr:row>15</xdr:row>
      <xdr:rowOff>53340</xdr:rowOff>
    </xdr:from>
    <xdr:to>
      <xdr:col>16</xdr:col>
      <xdr:colOff>47448</xdr:colOff>
      <xdr:row>18</xdr:row>
      <xdr:rowOff>0</xdr:rowOff>
    </xdr:to>
    <xdr:pic>
      <xdr:nvPicPr>
        <xdr:cNvPr id="6145" name="Picture 1">
          <a:extLst>
            <a:ext uri="{FF2B5EF4-FFF2-40B4-BE49-F238E27FC236}">
              <a16:creationId xmlns:a16="http://schemas.microsoft.com/office/drawing/2014/main" id="{00000000-0008-0000-1000-0000011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96918" y="2232660"/>
          <a:ext cx="9070015" cy="44958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3:C59"/>
  <sheetViews>
    <sheetView topLeftCell="A49" workbookViewId="0">
      <selection activeCell="E31" sqref="E31"/>
    </sheetView>
  </sheetViews>
  <sheetFormatPr defaultRowHeight="12.75" x14ac:dyDescent="0.2"/>
  <cols>
    <col min="1" max="1" width="25.42578125" customWidth="1"/>
    <col min="2" max="2" width="10.140625" style="1" bestFit="1" customWidth="1"/>
    <col min="3" max="3" width="94.42578125" customWidth="1"/>
  </cols>
  <sheetData>
    <row r="3" spans="1:3" x14ac:dyDescent="0.2">
      <c r="A3" s="26" t="s">
        <v>269</v>
      </c>
      <c r="B3" s="27"/>
      <c r="C3" s="28" t="s">
        <v>610</v>
      </c>
    </row>
    <row r="4" spans="1:3" x14ac:dyDescent="0.2">
      <c r="A4" s="29" t="s">
        <v>270</v>
      </c>
      <c r="B4" s="30"/>
      <c r="C4" s="204" t="s">
        <v>506</v>
      </c>
    </row>
    <row r="5" spans="1:3" x14ac:dyDescent="0.2">
      <c r="A5" s="29" t="s">
        <v>271</v>
      </c>
      <c r="B5" s="30"/>
      <c r="C5" s="31"/>
    </row>
    <row r="6" spans="1:3" x14ac:dyDescent="0.2">
      <c r="A6" s="29" t="s">
        <v>272</v>
      </c>
      <c r="B6" s="30"/>
      <c r="C6" s="31"/>
    </row>
    <row r="7" spans="1:3" x14ac:dyDescent="0.2">
      <c r="A7" s="32"/>
      <c r="B7" s="30"/>
      <c r="C7" s="33"/>
    </row>
    <row r="8" spans="1:3" x14ac:dyDescent="0.2">
      <c r="A8" s="32" t="s">
        <v>273</v>
      </c>
      <c r="B8" s="30"/>
      <c r="C8" s="328">
        <v>41552</v>
      </c>
    </row>
    <row r="9" spans="1:3" x14ac:dyDescent="0.2">
      <c r="A9" s="32" t="s">
        <v>274</v>
      </c>
      <c r="B9" s="30"/>
      <c r="C9" s="31"/>
    </row>
    <row r="10" spans="1:3" x14ac:dyDescent="0.2">
      <c r="A10" s="32" t="s">
        <v>275</v>
      </c>
      <c r="B10" s="30"/>
      <c r="C10" s="31"/>
    </row>
    <row r="11" spans="1:3" x14ac:dyDescent="0.2">
      <c r="A11" s="32"/>
      <c r="B11" s="30"/>
      <c r="C11" s="34"/>
    </row>
    <row r="12" spans="1:3" x14ac:dyDescent="0.2">
      <c r="A12" s="35" t="s">
        <v>276</v>
      </c>
      <c r="B12" s="30"/>
      <c r="C12" s="36"/>
    </row>
    <row r="13" spans="1:3" x14ac:dyDescent="0.2">
      <c r="A13" s="32"/>
      <c r="B13" s="30"/>
      <c r="C13" s="37"/>
    </row>
    <row r="14" spans="1:3" x14ac:dyDescent="0.2">
      <c r="A14" s="32"/>
      <c r="B14" s="30"/>
      <c r="C14" s="37"/>
    </row>
    <row r="15" spans="1:3" x14ac:dyDescent="0.2">
      <c r="A15" s="29" t="s">
        <v>277</v>
      </c>
      <c r="B15" s="30"/>
      <c r="C15" s="37"/>
    </row>
    <row r="16" spans="1:3" x14ac:dyDescent="0.2">
      <c r="A16" s="38" t="s">
        <v>278</v>
      </c>
      <c r="B16" s="39" t="s">
        <v>279</v>
      </c>
      <c r="C16" s="40" t="s">
        <v>280</v>
      </c>
    </row>
    <row r="17" spans="1:3" ht="22.15" customHeight="1" x14ac:dyDescent="0.2">
      <c r="A17" s="41">
        <v>40878</v>
      </c>
      <c r="B17" s="42" t="s">
        <v>522</v>
      </c>
      <c r="C17" s="43" t="s">
        <v>523</v>
      </c>
    </row>
    <row r="18" spans="1:3" ht="22.9" customHeight="1" x14ac:dyDescent="0.2">
      <c r="A18" s="44">
        <v>41553</v>
      </c>
      <c r="B18" s="45" t="s">
        <v>522</v>
      </c>
      <c r="C18" s="46" t="s">
        <v>728</v>
      </c>
    </row>
    <row r="19" spans="1:3" ht="38.25" x14ac:dyDescent="0.2">
      <c r="A19" s="47">
        <v>41872</v>
      </c>
      <c r="B19" s="48" t="s">
        <v>522</v>
      </c>
      <c r="C19" s="49" t="s">
        <v>589</v>
      </c>
    </row>
    <row r="20" spans="1:3" x14ac:dyDescent="0.2">
      <c r="A20" s="47">
        <v>42481</v>
      </c>
      <c r="B20" s="48" t="s">
        <v>522</v>
      </c>
      <c r="C20" s="61" t="s">
        <v>633</v>
      </c>
    </row>
    <row r="21" spans="1:3" x14ac:dyDescent="0.2">
      <c r="A21" s="47">
        <v>42564</v>
      </c>
      <c r="B21" s="48" t="s">
        <v>522</v>
      </c>
      <c r="C21" s="61" t="s">
        <v>666</v>
      </c>
    </row>
    <row r="22" spans="1:3" x14ac:dyDescent="0.2">
      <c r="A22" s="47">
        <v>42639</v>
      </c>
      <c r="B22" s="48" t="s">
        <v>522</v>
      </c>
      <c r="C22" s="61" t="s">
        <v>667</v>
      </c>
    </row>
    <row r="23" spans="1:3" x14ac:dyDescent="0.2">
      <c r="A23" s="47">
        <v>42650</v>
      </c>
      <c r="B23" s="48" t="s">
        <v>522</v>
      </c>
      <c r="C23" s="61" t="s">
        <v>668</v>
      </c>
    </row>
    <row r="24" spans="1:3" x14ac:dyDescent="0.2">
      <c r="A24" s="47">
        <v>43007</v>
      </c>
      <c r="B24" s="48" t="s">
        <v>522</v>
      </c>
      <c r="C24" s="61" t="s">
        <v>686</v>
      </c>
    </row>
    <row r="25" spans="1:3" x14ac:dyDescent="0.2">
      <c r="A25" s="47">
        <v>43550</v>
      </c>
      <c r="B25" s="48" t="s">
        <v>522</v>
      </c>
      <c r="C25" s="49" t="s">
        <v>703</v>
      </c>
    </row>
    <row r="26" spans="1:3" x14ac:dyDescent="0.2">
      <c r="A26" s="47"/>
      <c r="B26" s="48"/>
      <c r="C26" s="49"/>
    </row>
    <row r="27" spans="1:3" x14ac:dyDescent="0.2">
      <c r="A27" s="47"/>
      <c r="B27" s="48"/>
      <c r="C27" s="49"/>
    </row>
    <row r="28" spans="1:3" x14ac:dyDescent="0.2">
      <c r="A28" s="50"/>
      <c r="B28" s="48"/>
      <c r="C28" s="49"/>
    </row>
    <row r="29" spans="1:3" x14ac:dyDescent="0.2">
      <c r="A29" s="50"/>
      <c r="B29" s="48"/>
      <c r="C29" s="49"/>
    </row>
    <row r="30" spans="1:3" x14ac:dyDescent="0.2">
      <c r="A30" s="29" t="s">
        <v>281</v>
      </c>
      <c r="B30" s="51"/>
      <c r="C30" s="52"/>
    </row>
    <row r="31" spans="1:3" x14ac:dyDescent="0.2">
      <c r="A31" s="53" t="s">
        <v>282</v>
      </c>
      <c r="B31" s="54" t="s">
        <v>283</v>
      </c>
      <c r="C31" s="55" t="s">
        <v>284</v>
      </c>
    </row>
    <row r="32" spans="1:3" x14ac:dyDescent="0.2">
      <c r="A32" s="56" t="s">
        <v>285</v>
      </c>
      <c r="B32" s="57">
        <v>39995</v>
      </c>
      <c r="C32" s="108" t="s">
        <v>426</v>
      </c>
    </row>
    <row r="33" spans="1:3" x14ac:dyDescent="0.2">
      <c r="A33" s="58" t="s">
        <v>286</v>
      </c>
      <c r="B33" s="57">
        <v>39995</v>
      </c>
      <c r="C33" s="33" t="s">
        <v>292</v>
      </c>
    </row>
    <row r="34" spans="1:3" x14ac:dyDescent="0.2">
      <c r="A34" s="58" t="s">
        <v>287</v>
      </c>
      <c r="B34" s="57">
        <v>39995</v>
      </c>
      <c r="C34" s="33" t="s">
        <v>293</v>
      </c>
    </row>
    <row r="35" spans="1:3" x14ac:dyDescent="0.2">
      <c r="A35" s="58"/>
      <c r="B35" s="57"/>
      <c r="C35" s="205"/>
    </row>
    <row r="36" spans="1:3" x14ac:dyDescent="0.2">
      <c r="A36" s="59"/>
      <c r="B36" s="57"/>
      <c r="C36" s="61"/>
    </row>
    <row r="37" spans="1:3" x14ac:dyDescent="0.2">
      <c r="A37" s="59"/>
      <c r="B37" s="57"/>
      <c r="C37" s="49"/>
    </row>
    <row r="38" spans="1:3" x14ac:dyDescent="0.2">
      <c r="A38" s="59"/>
      <c r="B38" s="57"/>
      <c r="C38" s="49"/>
    </row>
    <row r="39" spans="1:3" x14ac:dyDescent="0.2">
      <c r="A39" s="29" t="s">
        <v>288</v>
      </c>
      <c r="B39" s="30"/>
      <c r="C39" s="37"/>
    </row>
    <row r="40" spans="1:3" x14ac:dyDescent="0.2">
      <c r="A40" s="32" t="s">
        <v>289</v>
      </c>
      <c r="B40" s="30" t="s">
        <v>290</v>
      </c>
      <c r="C40" s="37" t="s">
        <v>291</v>
      </c>
    </row>
    <row r="41" spans="1:3" x14ac:dyDescent="0.2">
      <c r="A41" s="142"/>
      <c r="B41" s="143"/>
      <c r="C41" s="144"/>
    </row>
    <row r="42" spans="1:3" x14ac:dyDescent="0.2">
      <c r="A42" s="62"/>
      <c r="B42" s="63"/>
      <c r="C42" s="61"/>
    </row>
    <row r="43" spans="1:3" x14ac:dyDescent="0.2">
      <c r="A43" s="60"/>
      <c r="B43" s="48"/>
      <c r="C43" s="61"/>
    </row>
    <row r="44" spans="1:3" x14ac:dyDescent="0.2">
      <c r="A44" s="60"/>
      <c r="B44" s="48"/>
      <c r="C44" s="61"/>
    </row>
    <row r="45" spans="1:3" x14ac:dyDescent="0.2">
      <c r="A45" s="60"/>
      <c r="B45" s="48"/>
      <c r="C45" s="61"/>
    </row>
    <row r="46" spans="1:3" x14ac:dyDescent="0.2">
      <c r="A46" s="60"/>
      <c r="B46" s="48"/>
      <c r="C46" s="61"/>
    </row>
    <row r="47" spans="1:3" x14ac:dyDescent="0.2">
      <c r="A47" s="60"/>
      <c r="B47" s="48"/>
      <c r="C47" s="61"/>
    </row>
    <row r="48" spans="1:3" x14ac:dyDescent="0.2">
      <c r="A48" s="60"/>
      <c r="B48" s="48"/>
      <c r="C48" s="64"/>
    </row>
    <row r="49" spans="1:3" x14ac:dyDescent="0.2">
      <c r="A49" s="60"/>
      <c r="C49" s="64"/>
    </row>
    <row r="50" spans="1:3" x14ac:dyDescent="0.2">
      <c r="A50" s="60"/>
      <c r="B50" s="65"/>
      <c r="C50" s="61"/>
    </row>
    <row r="51" spans="1:3" x14ac:dyDescent="0.2">
      <c r="A51" s="60"/>
      <c r="B51" s="48"/>
      <c r="C51" s="61"/>
    </row>
    <row r="52" spans="1:3" x14ac:dyDescent="0.2">
      <c r="A52" s="60"/>
      <c r="B52" s="48"/>
      <c r="C52" s="61"/>
    </row>
    <row r="53" spans="1:3" x14ac:dyDescent="0.2">
      <c r="A53" s="62"/>
      <c r="B53" s="63"/>
      <c r="C53" s="61"/>
    </row>
    <row r="54" spans="1:3" x14ac:dyDescent="0.2">
      <c r="A54" s="66"/>
      <c r="B54" s="67"/>
      <c r="C54" s="68"/>
    </row>
    <row r="55" spans="1:3" x14ac:dyDescent="0.2">
      <c r="A55" s="69"/>
      <c r="B55" s="48"/>
      <c r="C55" s="69"/>
    </row>
    <row r="56" spans="1:3" x14ac:dyDescent="0.2">
      <c r="A56" s="69"/>
      <c r="B56" s="48"/>
    </row>
    <row r="57" spans="1:3" x14ac:dyDescent="0.2">
      <c r="A57" s="69"/>
      <c r="B57" s="48"/>
      <c r="C57" s="69"/>
    </row>
    <row r="58" spans="1:3" x14ac:dyDescent="0.2">
      <c r="A58" s="69"/>
      <c r="B58" s="48"/>
      <c r="C58" s="69"/>
    </row>
    <row r="59" spans="1:3" x14ac:dyDescent="0.2">
      <c r="A59" s="69"/>
      <c r="B59" s="48"/>
      <c r="C59" s="69"/>
    </row>
  </sheetData>
  <phoneticPr fontId="0" type="noConversion"/>
  <printOptions gridLines="1" gridLinesSet="0"/>
  <pageMargins left="0.75" right="0.75" top="1" bottom="1" header="0.5" footer="0.5"/>
  <pageSetup orientation="portrait" r:id="rId1"/>
  <headerFooter alignWithMargins="0">
    <oddHeader>&amp;A</oddHeader>
    <oddFoote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V60"/>
  <sheetViews>
    <sheetView zoomScale="70" zoomScaleNormal="70" workbookViewId="0">
      <selection activeCell="Q35" sqref="Q35"/>
    </sheetView>
  </sheetViews>
  <sheetFormatPr defaultRowHeight="12.75" x14ac:dyDescent="0.2"/>
  <cols>
    <col min="1" max="1" width="38.5703125" customWidth="1"/>
    <col min="2" max="2" width="12.140625" customWidth="1"/>
    <col min="3" max="3" width="11.28515625" customWidth="1"/>
    <col min="4" max="4" width="12.7109375" customWidth="1"/>
    <col min="5" max="5" width="11.28515625" customWidth="1"/>
    <col min="6" max="6" width="11.42578125" customWidth="1"/>
    <col min="7" max="7" width="11.7109375" customWidth="1"/>
    <col min="8" max="8" width="11.140625" customWidth="1"/>
    <col min="9" max="9" width="12.140625" customWidth="1"/>
    <col min="10" max="10" width="11.5703125" customWidth="1"/>
    <col min="11" max="11" width="12" customWidth="1"/>
    <col min="12" max="12" width="11.5703125" customWidth="1"/>
    <col min="13" max="13" width="12.140625" customWidth="1"/>
    <col min="14" max="14" width="12" customWidth="1"/>
    <col min="15" max="15" width="12.140625" customWidth="1"/>
    <col min="17" max="17" width="13.42578125" customWidth="1"/>
  </cols>
  <sheetData>
    <row r="1" spans="1:22" x14ac:dyDescent="0.2">
      <c r="A1" s="21" t="str">
        <f>"Land Use Categories by "&amp;Calculations!B4&amp;" Subwatersheds"</f>
        <v>Land Use Categories by  Subwatersheds</v>
      </c>
    </row>
    <row r="3" spans="1:22" x14ac:dyDescent="0.2">
      <c r="A3" s="140"/>
      <c r="B3" s="470" t="s">
        <v>448</v>
      </c>
      <c r="C3" s="471"/>
      <c r="D3" s="471"/>
      <c r="E3" s="471"/>
      <c r="F3" s="471"/>
      <c r="G3" s="471"/>
      <c r="H3" s="471"/>
      <c r="I3" s="471"/>
      <c r="J3" s="471"/>
      <c r="K3" s="471"/>
      <c r="L3" s="471"/>
      <c r="M3" s="471"/>
      <c r="N3" s="471"/>
      <c r="O3" s="472"/>
      <c r="R3" s="469"/>
      <c r="S3" s="469"/>
      <c r="T3" s="469"/>
    </row>
    <row r="4" spans="1:22" ht="43.9" customHeight="1" x14ac:dyDescent="0.2">
      <c r="A4" s="329" t="str">
        <f>Calculations!A71</f>
        <v>LAND USE</v>
      </c>
      <c r="B4" s="330" t="str">
        <f>IF(Calculations!B71&lt;&gt;"",Calculations!B71,"")</f>
        <v>Watershed 1</v>
      </c>
      <c r="C4" s="330" t="str">
        <f>IF(Calculations!C71&lt;&gt;"",Calculations!C71,"")</f>
        <v>Watershed 2</v>
      </c>
      <c r="D4" s="330" t="str">
        <f>IF(Calculations!D71&lt;&gt;"",Calculations!D71,"")</f>
        <v>Watershed 3</v>
      </c>
      <c r="E4" s="330" t="str">
        <f>IF(Calculations!E71&lt;&gt;"",Calculations!E71,"")</f>
        <v>Watershed 4</v>
      </c>
      <c r="F4" s="330" t="str">
        <f>IF(Calculations!F71&lt;&gt;"",Calculations!F71,"")</f>
        <v>Watershed 5</v>
      </c>
      <c r="G4" s="330" t="str">
        <f>IF(Calculations!G71&lt;&gt;"",Calculations!G71,"")</f>
        <v>Watershed 6</v>
      </c>
      <c r="H4" s="330" t="str">
        <f>IF(Calculations!H71&lt;&gt;"",Calculations!H71,"")</f>
        <v>Watershed 7</v>
      </c>
      <c r="I4" s="330" t="str">
        <f>IF(Calculations!I71&lt;&gt;"",Calculations!I71,"")</f>
        <v>Watershed 8</v>
      </c>
      <c r="J4" s="330" t="str">
        <f>IF(Calculations!J71&lt;&gt;"",Calculations!J71,"")</f>
        <v>Watershed 9</v>
      </c>
      <c r="K4" s="330" t="str">
        <f>IF(Calculations!K71&lt;&gt;"",Calculations!K71,"")</f>
        <v>Watershed 10</v>
      </c>
      <c r="L4" s="330" t="str">
        <f>IF(Calculations!L71&lt;&gt;"",Calculations!L71,"")</f>
        <v>Watershed 11</v>
      </c>
      <c r="M4" s="330" t="str">
        <f>IF(Calculations!M71&lt;&gt;"",Calculations!M71,"")</f>
        <v>Watershed 12</v>
      </c>
      <c r="N4" s="330" t="str">
        <f>IF(Calculations!N71&lt;&gt;"",Calculations!N71,"")</f>
        <v>Watershed 13</v>
      </c>
      <c r="O4" s="330" t="str">
        <f>IF(Calculations!O71&lt;&gt;"",Calculations!O71,"")</f>
        <v>Watershed 14</v>
      </c>
      <c r="P4" s="330" t="str">
        <f>IF(Calculations!P71&lt;&gt;"",Calculations!P71,"")</f>
        <v>TOTAL</v>
      </c>
      <c r="Q4" s="415" t="s">
        <v>713</v>
      </c>
      <c r="R4" s="415"/>
      <c r="S4" s="123"/>
      <c r="T4" s="123"/>
      <c r="U4" s="123"/>
      <c r="V4" s="123"/>
    </row>
    <row r="5" spans="1:22" x14ac:dyDescent="0.2">
      <c r="A5" s="139" t="str">
        <f>Calculations!A74</f>
        <v>Cropland</v>
      </c>
      <c r="B5" s="417">
        <f>Calculations!B74</f>
        <v>0</v>
      </c>
      <c r="C5" s="417">
        <f>Calculations!C74</f>
        <v>0</v>
      </c>
      <c r="D5" s="417">
        <f>Calculations!D74</f>
        <v>0</v>
      </c>
      <c r="E5" s="417">
        <f>Calculations!E74</f>
        <v>0</v>
      </c>
      <c r="F5" s="417">
        <f>Calculations!F74</f>
        <v>0</v>
      </c>
      <c r="G5" s="417">
        <f>Calculations!G74</f>
        <v>0</v>
      </c>
      <c r="H5" s="417">
        <f>Calculations!H74</f>
        <v>0</v>
      </c>
      <c r="I5" s="417">
        <f>Calculations!I74</f>
        <v>0</v>
      </c>
      <c r="J5" s="417">
        <f>Calculations!J74</f>
        <v>0</v>
      </c>
      <c r="K5" s="417">
        <f>Calculations!K74</f>
        <v>0</v>
      </c>
      <c r="L5" s="417">
        <f>Calculations!L74</f>
        <v>0</v>
      </c>
      <c r="M5" s="417">
        <f>Calculations!M74</f>
        <v>0</v>
      </c>
      <c r="N5" s="417">
        <f>Calculations!N74</f>
        <v>0</v>
      </c>
      <c r="O5" s="417">
        <f>Calculations!O74</f>
        <v>0</v>
      </c>
      <c r="P5" s="417">
        <f>Calculations!P74</f>
        <v>0</v>
      </c>
      <c r="Q5" s="419" t="e">
        <f>P5/P$26*100</f>
        <v>#DIV/0!</v>
      </c>
      <c r="R5" s="3"/>
      <c r="S5" s="3"/>
      <c r="T5" s="3"/>
      <c r="U5" s="3"/>
      <c r="V5" s="3"/>
    </row>
    <row r="6" spans="1:22" x14ac:dyDescent="0.2">
      <c r="A6" s="139" t="str">
        <f>Calculations!A75</f>
        <v>Pasture</v>
      </c>
      <c r="B6" s="416">
        <f>Calculations!B75</f>
        <v>0</v>
      </c>
      <c r="C6" s="416">
        <f>Calculations!C75</f>
        <v>0</v>
      </c>
      <c r="D6" s="416">
        <f>Calculations!D75</f>
        <v>0</v>
      </c>
      <c r="E6" s="416">
        <f>Calculations!E75</f>
        <v>0</v>
      </c>
      <c r="F6" s="416">
        <f>Calculations!F75</f>
        <v>0</v>
      </c>
      <c r="G6" s="416">
        <f>Calculations!G75</f>
        <v>0</v>
      </c>
      <c r="H6" s="416">
        <f>Calculations!H75</f>
        <v>0</v>
      </c>
      <c r="I6" s="416">
        <f>Calculations!I75</f>
        <v>0</v>
      </c>
      <c r="J6" s="416">
        <f>Calculations!J75</f>
        <v>0</v>
      </c>
      <c r="K6" s="416">
        <f>Calculations!K75</f>
        <v>0</v>
      </c>
      <c r="L6" s="416">
        <f>Calculations!L75</f>
        <v>0</v>
      </c>
      <c r="M6" s="416">
        <f>Calculations!M75</f>
        <v>0</v>
      </c>
      <c r="N6" s="416">
        <f>Calculations!N75</f>
        <v>0</v>
      </c>
      <c r="O6" s="416">
        <f>Calculations!O75</f>
        <v>0</v>
      </c>
      <c r="P6" s="416">
        <f>Calculations!P75</f>
        <v>0</v>
      </c>
      <c r="Q6" s="420" t="e">
        <f t="shared" ref="Q6:Q26" si="0">P6/P$26*100</f>
        <v>#DIV/0!</v>
      </c>
      <c r="R6" s="3"/>
      <c r="S6" s="3"/>
      <c r="T6" s="3"/>
      <c r="U6" s="3"/>
      <c r="V6" s="3"/>
    </row>
    <row r="7" spans="1:22" x14ac:dyDescent="0.2">
      <c r="A7" s="139" t="str">
        <f>Calculations!A76</f>
        <v>Forest</v>
      </c>
      <c r="B7" s="416">
        <f>Calculations!B76</f>
        <v>0</v>
      </c>
      <c r="C7" s="416">
        <f>Calculations!C76</f>
        <v>0</v>
      </c>
      <c r="D7" s="416">
        <f>Calculations!D76</f>
        <v>0</v>
      </c>
      <c r="E7" s="416">
        <f>Calculations!E76</f>
        <v>0</v>
      </c>
      <c r="F7" s="416">
        <f>Calculations!F76</f>
        <v>0</v>
      </c>
      <c r="G7" s="416">
        <f>Calculations!G76</f>
        <v>0</v>
      </c>
      <c r="H7" s="416">
        <f>Calculations!H76</f>
        <v>0</v>
      </c>
      <c r="I7" s="416">
        <f>Calculations!I76</f>
        <v>0</v>
      </c>
      <c r="J7" s="416">
        <f>Calculations!J76</f>
        <v>0</v>
      </c>
      <c r="K7" s="416">
        <f>Calculations!K76</f>
        <v>0</v>
      </c>
      <c r="L7" s="416">
        <f>Calculations!L76</f>
        <v>0</v>
      </c>
      <c r="M7" s="416">
        <f>Calculations!M76</f>
        <v>0</v>
      </c>
      <c r="N7" s="416">
        <f>Calculations!N76</f>
        <v>0</v>
      </c>
      <c r="O7" s="416">
        <f>Calculations!O76</f>
        <v>0</v>
      </c>
      <c r="P7" s="416">
        <f>Calculations!P76</f>
        <v>0</v>
      </c>
      <c r="Q7" s="420" t="e">
        <f t="shared" si="0"/>
        <v>#DIV/0!</v>
      </c>
      <c r="R7" s="3"/>
      <c r="S7" s="3"/>
      <c r="T7" s="3"/>
      <c r="U7" s="3"/>
      <c r="V7" s="3"/>
    </row>
    <row r="8" spans="1:22" x14ac:dyDescent="0.2">
      <c r="A8" s="139" t="str">
        <f>Calculations!A77</f>
        <v>Non-Forested Wetland</v>
      </c>
      <c r="B8" s="416">
        <f>Calculations!B77</f>
        <v>0</v>
      </c>
      <c r="C8" s="416">
        <f>Calculations!C77</f>
        <v>0</v>
      </c>
      <c r="D8" s="416">
        <f>Calculations!D77</f>
        <v>0</v>
      </c>
      <c r="E8" s="416">
        <f>Calculations!E77</f>
        <v>0</v>
      </c>
      <c r="F8" s="416">
        <f>Calculations!F77</f>
        <v>0</v>
      </c>
      <c r="G8" s="416">
        <f>Calculations!G77</f>
        <v>0</v>
      </c>
      <c r="H8" s="416">
        <f>Calculations!H77</f>
        <v>0</v>
      </c>
      <c r="I8" s="416">
        <f>Calculations!I77</f>
        <v>0</v>
      </c>
      <c r="J8" s="416">
        <f>Calculations!J77</f>
        <v>0</v>
      </c>
      <c r="K8" s="416">
        <f>Calculations!K77</f>
        <v>0</v>
      </c>
      <c r="L8" s="416">
        <f>Calculations!L77</f>
        <v>0</v>
      </c>
      <c r="M8" s="416">
        <f>Calculations!M77</f>
        <v>0</v>
      </c>
      <c r="N8" s="416">
        <f>Calculations!N77</f>
        <v>0</v>
      </c>
      <c r="O8" s="416">
        <f>Calculations!O77</f>
        <v>0</v>
      </c>
      <c r="P8" s="416">
        <v>0</v>
      </c>
      <c r="Q8" s="420" t="e">
        <f t="shared" si="0"/>
        <v>#DIV/0!</v>
      </c>
      <c r="R8" s="3"/>
      <c r="S8" s="3"/>
      <c r="T8" s="3"/>
      <c r="U8" s="3"/>
      <c r="V8" s="3"/>
    </row>
    <row r="9" spans="1:22" x14ac:dyDescent="0.2">
      <c r="A9" s="139" t="str">
        <f>Calculations!A78</f>
        <v>Open Land</v>
      </c>
      <c r="B9" s="416">
        <f>Calculations!B78</f>
        <v>0</v>
      </c>
      <c r="C9" s="416">
        <f>Calculations!C78</f>
        <v>0</v>
      </c>
      <c r="D9" s="416">
        <f>Calculations!D78</f>
        <v>0</v>
      </c>
      <c r="E9" s="416">
        <f>Calculations!E78</f>
        <v>0</v>
      </c>
      <c r="F9" s="416">
        <f>Calculations!F78</f>
        <v>0</v>
      </c>
      <c r="G9" s="416">
        <f>Calculations!G78</f>
        <v>0</v>
      </c>
      <c r="H9" s="416">
        <f>Calculations!H78</f>
        <v>0</v>
      </c>
      <c r="I9" s="416">
        <f>Calculations!I78</f>
        <v>0</v>
      </c>
      <c r="J9" s="416">
        <f>Calculations!J78</f>
        <v>0</v>
      </c>
      <c r="K9" s="416">
        <f>Calculations!K78</f>
        <v>0</v>
      </c>
      <c r="L9" s="416">
        <f>Calculations!L78</f>
        <v>0</v>
      </c>
      <c r="M9" s="416">
        <f>Calculations!M78</f>
        <v>0</v>
      </c>
      <c r="N9" s="416">
        <f>Calculations!N78</f>
        <v>0</v>
      </c>
      <c r="O9" s="416">
        <f>Calculations!O78</f>
        <v>0</v>
      </c>
      <c r="P9" s="416">
        <f>Calculations!P78</f>
        <v>0</v>
      </c>
      <c r="Q9" s="420" t="e">
        <f t="shared" si="0"/>
        <v>#DIV/0!</v>
      </c>
      <c r="R9" s="3"/>
      <c r="S9" s="3"/>
      <c r="T9" s="3"/>
      <c r="U9" s="3"/>
      <c r="V9" s="3"/>
    </row>
    <row r="10" spans="1:22" x14ac:dyDescent="0.2">
      <c r="A10" s="139" t="str">
        <f>Calculations!A79</f>
        <v>Participation Recreation</v>
      </c>
      <c r="B10" s="416">
        <f>Calculations!B79</f>
        <v>0</v>
      </c>
      <c r="C10" s="416">
        <f>Calculations!C79</f>
        <v>0</v>
      </c>
      <c r="D10" s="416">
        <f>Calculations!D79</f>
        <v>0</v>
      </c>
      <c r="E10" s="416">
        <f>Calculations!E79</f>
        <v>0</v>
      </c>
      <c r="F10" s="416">
        <f>Calculations!F79</f>
        <v>0</v>
      </c>
      <c r="G10" s="416">
        <f>Calculations!G79</f>
        <v>0</v>
      </c>
      <c r="H10" s="416">
        <f>Calculations!H79</f>
        <v>0</v>
      </c>
      <c r="I10" s="416">
        <f>Calculations!I79</f>
        <v>0</v>
      </c>
      <c r="J10" s="416">
        <f>Calculations!J79</f>
        <v>0</v>
      </c>
      <c r="K10" s="416">
        <f>Calculations!K79</f>
        <v>0</v>
      </c>
      <c r="L10" s="416">
        <f>Calculations!L79</f>
        <v>0</v>
      </c>
      <c r="M10" s="416">
        <f>Calculations!M79</f>
        <v>0</v>
      </c>
      <c r="N10" s="416">
        <f>Calculations!N79</f>
        <v>0</v>
      </c>
      <c r="O10" s="416">
        <f>Calculations!O79</f>
        <v>0</v>
      </c>
      <c r="P10" s="416">
        <f>Calculations!P79</f>
        <v>0</v>
      </c>
      <c r="Q10" s="420" t="e">
        <f t="shared" si="0"/>
        <v>#DIV/0!</v>
      </c>
      <c r="R10" s="3"/>
      <c r="S10" s="3"/>
      <c r="T10" s="3"/>
      <c r="U10" s="3"/>
      <c r="V10" s="3"/>
    </row>
    <row r="11" spans="1:22" x14ac:dyDescent="0.2">
      <c r="A11" s="139" t="str">
        <f>Calculations!A80</f>
        <v>High Density Residential</v>
      </c>
      <c r="B11" s="416">
        <f>Calculations!B80</f>
        <v>0</v>
      </c>
      <c r="C11" s="416">
        <f>Calculations!C80</f>
        <v>0</v>
      </c>
      <c r="D11" s="416">
        <f>Calculations!D80</f>
        <v>0</v>
      </c>
      <c r="E11" s="416">
        <f>Calculations!E80</f>
        <v>0</v>
      </c>
      <c r="F11" s="416">
        <f>Calculations!F80</f>
        <v>0</v>
      </c>
      <c r="G11" s="416">
        <f>Calculations!G80</f>
        <v>0</v>
      </c>
      <c r="H11" s="416">
        <f>Calculations!H80</f>
        <v>0</v>
      </c>
      <c r="I11" s="416">
        <f>Calculations!I80</f>
        <v>0</v>
      </c>
      <c r="J11" s="416">
        <f>Calculations!J80</f>
        <v>0</v>
      </c>
      <c r="K11" s="416">
        <f>Calculations!K80</f>
        <v>0</v>
      </c>
      <c r="L11" s="416">
        <f>Calculations!L80</f>
        <v>0</v>
      </c>
      <c r="M11" s="416">
        <f>Calculations!M80</f>
        <v>0</v>
      </c>
      <c r="N11" s="416">
        <f>Calculations!N80</f>
        <v>0</v>
      </c>
      <c r="O11" s="416">
        <f>Calculations!O80</f>
        <v>0</v>
      </c>
      <c r="P11" s="416">
        <f>Calculations!P80</f>
        <v>0</v>
      </c>
      <c r="Q11" s="420" t="e">
        <f t="shared" si="0"/>
        <v>#DIV/0!</v>
      </c>
      <c r="R11" s="3"/>
      <c r="S11" s="3"/>
      <c r="T11" s="3"/>
      <c r="U11" s="3"/>
      <c r="V11" s="3"/>
    </row>
    <row r="12" spans="1:22" x14ac:dyDescent="0.2">
      <c r="A12" s="139" t="str">
        <f>Calculations!A81</f>
        <v>Medium Density Residential</v>
      </c>
      <c r="B12" s="416">
        <f>Calculations!B81</f>
        <v>0</v>
      </c>
      <c r="C12" s="416">
        <f>Calculations!C81</f>
        <v>0</v>
      </c>
      <c r="D12" s="416">
        <f>Calculations!D81</f>
        <v>0</v>
      </c>
      <c r="E12" s="416">
        <f>Calculations!E81</f>
        <v>0</v>
      </c>
      <c r="F12" s="416">
        <f>Calculations!F81</f>
        <v>0</v>
      </c>
      <c r="G12" s="416">
        <f>Calculations!G81</f>
        <v>0</v>
      </c>
      <c r="H12" s="416">
        <f>Calculations!H81</f>
        <v>0</v>
      </c>
      <c r="I12" s="416">
        <f>Calculations!I81</f>
        <v>0</v>
      </c>
      <c r="J12" s="416">
        <f>Calculations!J81</f>
        <v>0</v>
      </c>
      <c r="K12" s="416">
        <f>Calculations!K81</f>
        <v>0</v>
      </c>
      <c r="L12" s="416">
        <f>Calculations!L81</f>
        <v>0</v>
      </c>
      <c r="M12" s="416">
        <f>Calculations!M81</f>
        <v>0</v>
      </c>
      <c r="N12" s="416">
        <f>Calculations!N81</f>
        <v>0</v>
      </c>
      <c r="O12" s="416">
        <f>Calculations!O81</f>
        <v>0</v>
      </c>
      <c r="P12" s="416">
        <f>Calculations!P81</f>
        <v>0</v>
      </c>
      <c r="Q12" s="420" t="e">
        <f t="shared" si="0"/>
        <v>#DIV/0!</v>
      </c>
      <c r="R12" s="3"/>
      <c r="S12" s="3"/>
      <c r="T12" s="3"/>
      <c r="U12" s="3"/>
      <c r="V12" s="3"/>
    </row>
    <row r="13" spans="1:22" x14ac:dyDescent="0.2">
      <c r="A13" s="139" t="str">
        <f>Calculations!A82</f>
        <v>Low Density Residential</v>
      </c>
      <c r="B13" s="416">
        <f>Calculations!B82</f>
        <v>0</v>
      </c>
      <c r="C13" s="416">
        <f>Calculations!C82</f>
        <v>0</v>
      </c>
      <c r="D13" s="416">
        <f>Calculations!D82</f>
        <v>0</v>
      </c>
      <c r="E13" s="416">
        <f>Calculations!E82</f>
        <v>0</v>
      </c>
      <c r="F13" s="416">
        <f>Calculations!F82</f>
        <v>0</v>
      </c>
      <c r="G13" s="416">
        <f>Calculations!G82</f>
        <v>0</v>
      </c>
      <c r="H13" s="416">
        <f>Calculations!H82</f>
        <v>0</v>
      </c>
      <c r="I13" s="416">
        <f>Calculations!I82</f>
        <v>0</v>
      </c>
      <c r="J13" s="416">
        <f>Calculations!J82</f>
        <v>0</v>
      </c>
      <c r="K13" s="416">
        <f>Calculations!K82</f>
        <v>0</v>
      </c>
      <c r="L13" s="416">
        <f>Calculations!L82</f>
        <v>0</v>
      </c>
      <c r="M13" s="416">
        <f>Calculations!M82</f>
        <v>0</v>
      </c>
      <c r="N13" s="416">
        <f>Calculations!N82</f>
        <v>0</v>
      </c>
      <c r="O13" s="416">
        <f>Calculations!O82</f>
        <v>0</v>
      </c>
      <c r="P13" s="416">
        <f>Calculations!P82</f>
        <v>0</v>
      </c>
      <c r="Q13" s="420" t="e">
        <f t="shared" si="0"/>
        <v>#DIV/0!</v>
      </c>
      <c r="R13" s="3"/>
      <c r="S13" s="3"/>
      <c r="T13" s="3"/>
      <c r="U13" s="3"/>
      <c r="V13" s="3"/>
    </row>
    <row r="14" spans="1:22" x14ac:dyDescent="0.2">
      <c r="A14" s="139" t="str">
        <f>Calculations!A83</f>
        <v>Very Low Density Residential</v>
      </c>
      <c r="B14" s="416">
        <f>Calculations!B83</f>
        <v>0</v>
      </c>
      <c r="C14" s="416">
        <f>Calculations!C83</f>
        <v>0</v>
      </c>
      <c r="D14" s="416">
        <f>Calculations!D83</f>
        <v>0</v>
      </c>
      <c r="E14" s="416">
        <f>Calculations!E83</f>
        <v>0</v>
      </c>
      <c r="F14" s="416">
        <f>Calculations!F83</f>
        <v>0</v>
      </c>
      <c r="G14" s="416">
        <f>Calculations!G83</f>
        <v>0</v>
      </c>
      <c r="H14" s="416">
        <f>Calculations!H83</f>
        <v>0</v>
      </c>
      <c r="I14" s="416">
        <f>Calculations!I83</f>
        <v>0</v>
      </c>
      <c r="J14" s="416">
        <f>Calculations!J83</f>
        <v>0</v>
      </c>
      <c r="K14" s="416">
        <f>Calculations!K83</f>
        <v>0</v>
      </c>
      <c r="L14" s="416">
        <f>Calculations!L83</f>
        <v>0</v>
      </c>
      <c r="M14" s="416">
        <f>Calculations!M83</f>
        <v>0</v>
      </c>
      <c r="N14" s="416">
        <f>Calculations!N83</f>
        <v>0</v>
      </c>
      <c r="O14" s="416">
        <f>Calculations!O83</f>
        <v>0</v>
      </c>
      <c r="P14" s="416">
        <f>Calculations!P83</f>
        <v>0</v>
      </c>
      <c r="Q14" s="420" t="e">
        <f t="shared" si="0"/>
        <v>#DIV/0!</v>
      </c>
      <c r="R14" s="3"/>
      <c r="S14" s="3"/>
      <c r="T14" s="3"/>
      <c r="U14" s="3"/>
      <c r="V14" s="3"/>
    </row>
    <row r="15" spans="1:22" x14ac:dyDescent="0.2">
      <c r="A15" s="139" t="str">
        <f>Calculations!A84</f>
        <v>Commercial</v>
      </c>
      <c r="B15" s="416">
        <f>Calculations!B84</f>
        <v>0</v>
      </c>
      <c r="C15" s="416">
        <f>Calculations!C84</f>
        <v>0</v>
      </c>
      <c r="D15" s="416">
        <f>Calculations!D84</f>
        <v>0</v>
      </c>
      <c r="E15" s="416">
        <f>Calculations!E84</f>
        <v>0</v>
      </c>
      <c r="F15" s="416">
        <f>Calculations!F84</f>
        <v>0</v>
      </c>
      <c r="G15" s="416">
        <f>Calculations!G84</f>
        <v>0</v>
      </c>
      <c r="H15" s="416">
        <f>Calculations!H84</f>
        <v>0</v>
      </c>
      <c r="I15" s="416">
        <f>Calculations!I84</f>
        <v>0</v>
      </c>
      <c r="J15" s="416">
        <f>Calculations!J84</f>
        <v>0</v>
      </c>
      <c r="K15" s="416">
        <f>Calculations!K84</f>
        <v>0</v>
      </c>
      <c r="L15" s="416">
        <f>Calculations!L84</f>
        <v>0</v>
      </c>
      <c r="M15" s="416">
        <f>Calculations!M84</f>
        <v>0</v>
      </c>
      <c r="N15" s="416">
        <f>Calculations!N84</f>
        <v>0</v>
      </c>
      <c r="O15" s="416">
        <f>Calculations!O84</f>
        <v>0</v>
      </c>
      <c r="P15" s="416">
        <f>Calculations!P84</f>
        <v>0</v>
      </c>
      <c r="Q15" s="420" t="e">
        <f t="shared" si="0"/>
        <v>#DIV/0!</v>
      </c>
      <c r="R15" s="3"/>
      <c r="S15" s="3"/>
      <c r="T15" s="3"/>
      <c r="U15" s="3"/>
      <c r="V15" s="3"/>
    </row>
    <row r="16" spans="1:22" x14ac:dyDescent="0.2">
      <c r="A16" s="139" t="str">
        <f>Calculations!A85</f>
        <v>Transportation</v>
      </c>
      <c r="B16" s="416">
        <f>Calculations!B85</f>
        <v>0</v>
      </c>
      <c r="C16" s="416">
        <f>Calculations!C85</f>
        <v>0</v>
      </c>
      <c r="D16" s="416">
        <f>Calculations!D85</f>
        <v>0</v>
      </c>
      <c r="E16" s="416">
        <f>Calculations!E85</f>
        <v>0</v>
      </c>
      <c r="F16" s="416">
        <f>Calculations!F85</f>
        <v>0</v>
      </c>
      <c r="G16" s="416">
        <f>Calculations!G85</f>
        <v>0</v>
      </c>
      <c r="H16" s="416">
        <f>Calculations!H85</f>
        <v>0</v>
      </c>
      <c r="I16" s="416">
        <f>Calculations!I85</f>
        <v>0</v>
      </c>
      <c r="J16" s="416">
        <f>Calculations!J85</f>
        <v>0</v>
      </c>
      <c r="K16" s="416">
        <f>Calculations!K85</f>
        <v>0</v>
      </c>
      <c r="L16" s="416">
        <f>Calculations!L85</f>
        <v>0</v>
      </c>
      <c r="M16" s="416">
        <f>Calculations!M85</f>
        <v>0</v>
      </c>
      <c r="N16" s="416">
        <f>Calculations!N85</f>
        <v>0</v>
      </c>
      <c r="O16" s="416">
        <f>Calculations!O85</f>
        <v>0</v>
      </c>
      <c r="P16" s="416">
        <f>Calculations!P85</f>
        <v>0</v>
      </c>
      <c r="Q16" s="420" t="e">
        <f t="shared" si="0"/>
        <v>#DIV/0!</v>
      </c>
      <c r="R16" s="3"/>
      <c r="S16" s="3"/>
      <c r="T16" s="3"/>
      <c r="U16" s="3"/>
      <c r="V16" s="3"/>
    </row>
    <row r="17" spans="1:22" x14ac:dyDescent="0.2">
      <c r="A17" s="139" t="str">
        <f>Calculations!A86</f>
        <v>Waste Disposal</v>
      </c>
      <c r="B17" s="416">
        <f>Calculations!B86</f>
        <v>0</v>
      </c>
      <c r="C17" s="416">
        <f>Calculations!C86</f>
        <v>0</v>
      </c>
      <c r="D17" s="416">
        <f>Calculations!D86</f>
        <v>0</v>
      </c>
      <c r="E17" s="416">
        <f>Calculations!E86</f>
        <v>0</v>
      </c>
      <c r="F17" s="416">
        <f>Calculations!F86</f>
        <v>0</v>
      </c>
      <c r="G17" s="416">
        <f>Calculations!G86</f>
        <v>0</v>
      </c>
      <c r="H17" s="416">
        <f>Calculations!H86</f>
        <v>0</v>
      </c>
      <c r="I17" s="416">
        <f>Calculations!I86</f>
        <v>0</v>
      </c>
      <c r="J17" s="416">
        <f>Calculations!J86</f>
        <v>0</v>
      </c>
      <c r="K17" s="416">
        <f>Calculations!K86</f>
        <v>0</v>
      </c>
      <c r="L17" s="416">
        <f>Calculations!L86</f>
        <v>0</v>
      </c>
      <c r="M17" s="416">
        <f>Calculations!M86</f>
        <v>0</v>
      </c>
      <c r="N17" s="416">
        <f>Calculations!N86</f>
        <v>0</v>
      </c>
      <c r="O17" s="416">
        <f>Calculations!O86</f>
        <v>0</v>
      </c>
      <c r="P17" s="416">
        <f>Calculations!P86</f>
        <v>0</v>
      </c>
      <c r="Q17" s="420" t="e">
        <f t="shared" si="0"/>
        <v>#DIV/0!</v>
      </c>
      <c r="R17" s="3"/>
      <c r="S17" s="3"/>
      <c r="T17" s="3"/>
      <c r="U17" s="3"/>
      <c r="V17" s="3"/>
    </row>
    <row r="18" spans="1:22" x14ac:dyDescent="0.2">
      <c r="A18" s="139" t="str">
        <f>Calculations!A87</f>
        <v>Water</v>
      </c>
      <c r="B18" s="416">
        <f>Calculations!B87</f>
        <v>0</v>
      </c>
      <c r="C18" s="416">
        <f>Calculations!C87</f>
        <v>0</v>
      </c>
      <c r="D18" s="416">
        <f>Calculations!D87</f>
        <v>0</v>
      </c>
      <c r="E18" s="416">
        <f>Calculations!E87</f>
        <v>0</v>
      </c>
      <c r="F18" s="416">
        <f>Calculations!F87</f>
        <v>0</v>
      </c>
      <c r="G18" s="416">
        <f>Calculations!G87</f>
        <v>0</v>
      </c>
      <c r="H18" s="416">
        <f>Calculations!H87</f>
        <v>0</v>
      </c>
      <c r="I18" s="416">
        <f>Calculations!I87</f>
        <v>0</v>
      </c>
      <c r="J18" s="416">
        <f>Calculations!J87</f>
        <v>0</v>
      </c>
      <c r="K18" s="416">
        <f>Calculations!K87</f>
        <v>0</v>
      </c>
      <c r="L18" s="416">
        <f>Calculations!L87</f>
        <v>0</v>
      </c>
      <c r="M18" s="416">
        <f>Calculations!M87</f>
        <v>0</v>
      </c>
      <c r="N18" s="416">
        <f>Calculations!N87</f>
        <v>0</v>
      </c>
      <c r="O18" s="416">
        <f>Calculations!O87</f>
        <v>0</v>
      </c>
      <c r="P18" s="416">
        <f>Calculations!P87</f>
        <v>0</v>
      </c>
      <c r="Q18" s="420" t="e">
        <f t="shared" si="0"/>
        <v>#DIV/0!</v>
      </c>
      <c r="R18" s="3"/>
      <c r="S18" s="3"/>
      <c r="T18" s="3"/>
      <c r="U18" s="3"/>
      <c r="V18" s="3"/>
    </row>
    <row r="19" spans="1:22" x14ac:dyDescent="0.2">
      <c r="A19" s="139" t="str">
        <f>Calculations!A88</f>
        <v>Urban Public/Institutional</v>
      </c>
      <c r="B19" s="416">
        <f>Calculations!B88</f>
        <v>0</v>
      </c>
      <c r="C19" s="416">
        <f>Calculations!C88</f>
        <v>0</v>
      </c>
      <c r="D19" s="416">
        <f>Calculations!D88</f>
        <v>0</v>
      </c>
      <c r="E19" s="416">
        <f>Calculations!E88</f>
        <v>0</v>
      </c>
      <c r="F19" s="416">
        <f>Calculations!F88</f>
        <v>0</v>
      </c>
      <c r="G19" s="416">
        <f>Calculations!G88</f>
        <v>0</v>
      </c>
      <c r="H19" s="416">
        <f>Calculations!H88</f>
        <v>0</v>
      </c>
      <c r="I19" s="416">
        <f>Calculations!I88</f>
        <v>0</v>
      </c>
      <c r="J19" s="416">
        <f>Calculations!J88</f>
        <v>0</v>
      </c>
      <c r="K19" s="416">
        <f>Calculations!K88</f>
        <v>0</v>
      </c>
      <c r="L19" s="416">
        <f>Calculations!L88</f>
        <v>0</v>
      </c>
      <c r="M19" s="416">
        <f>Calculations!M88</f>
        <v>0</v>
      </c>
      <c r="N19" s="416">
        <f>Calculations!N88</f>
        <v>0</v>
      </c>
      <c r="O19" s="416">
        <f>Calculations!O88</f>
        <v>0</v>
      </c>
      <c r="P19" s="416">
        <f>Calculations!P88</f>
        <v>0</v>
      </c>
      <c r="Q19" s="420" t="e">
        <f t="shared" si="0"/>
        <v>#DIV/0!</v>
      </c>
      <c r="R19" s="3"/>
      <c r="S19" s="3"/>
      <c r="T19" s="3"/>
      <c r="U19" s="3"/>
      <c r="V19" s="3"/>
    </row>
    <row r="20" spans="1:22" x14ac:dyDescent="0.2">
      <c r="A20" s="139" t="str">
        <f>Calculations!A89</f>
        <v>Cemetery</v>
      </c>
      <c r="B20" s="416">
        <f>Calculations!B89</f>
        <v>0</v>
      </c>
      <c r="C20" s="416">
        <f>Calculations!C89</f>
        <v>0</v>
      </c>
      <c r="D20" s="416">
        <f>Calculations!D89</f>
        <v>0</v>
      </c>
      <c r="E20" s="416">
        <f>Calculations!E89</f>
        <v>0</v>
      </c>
      <c r="F20" s="416">
        <f>Calculations!F89</f>
        <v>0</v>
      </c>
      <c r="G20" s="416">
        <f>Calculations!G89</f>
        <v>0</v>
      </c>
      <c r="H20" s="416">
        <f>Calculations!H89</f>
        <v>0</v>
      </c>
      <c r="I20" s="416">
        <f>Calculations!I89</f>
        <v>0</v>
      </c>
      <c r="J20" s="416">
        <f>Calculations!J89</f>
        <v>0</v>
      </c>
      <c r="K20" s="416">
        <f>Calculations!K89</f>
        <v>0</v>
      </c>
      <c r="L20" s="416">
        <f>Calculations!L89</f>
        <v>0</v>
      </c>
      <c r="M20" s="416">
        <f>Calculations!M89</f>
        <v>0</v>
      </c>
      <c r="N20" s="416">
        <f>Calculations!N89</f>
        <v>0</v>
      </c>
      <c r="O20" s="416">
        <f>Calculations!O89</f>
        <v>0</v>
      </c>
      <c r="P20" s="416">
        <f>Calculations!P89</f>
        <v>0</v>
      </c>
      <c r="Q20" s="420" t="e">
        <f t="shared" si="0"/>
        <v>#DIV/0!</v>
      </c>
      <c r="R20" s="3"/>
      <c r="S20" s="3"/>
      <c r="T20" s="3"/>
      <c r="U20" s="3"/>
      <c r="V20" s="3"/>
    </row>
    <row r="21" spans="1:22" x14ac:dyDescent="0.2">
      <c r="A21" s="139" t="str">
        <f>Calculations!A90</f>
        <v>Orchard</v>
      </c>
      <c r="B21" s="416">
        <f>Calculations!B90</f>
        <v>0</v>
      </c>
      <c r="C21" s="416">
        <f>Calculations!C90</f>
        <v>0</v>
      </c>
      <c r="D21" s="416">
        <f>Calculations!D90</f>
        <v>0</v>
      </c>
      <c r="E21" s="416">
        <f>Calculations!E90</f>
        <v>0</v>
      </c>
      <c r="F21" s="416">
        <f>Calculations!F90</f>
        <v>0</v>
      </c>
      <c r="G21" s="416">
        <f>Calculations!G90</f>
        <v>0</v>
      </c>
      <c r="H21" s="416">
        <f>Calculations!H90</f>
        <v>0</v>
      </c>
      <c r="I21" s="416">
        <f>Calculations!I90</f>
        <v>0</v>
      </c>
      <c r="J21" s="416">
        <f>Calculations!J90</f>
        <v>0</v>
      </c>
      <c r="K21" s="416">
        <f>Calculations!K90</f>
        <v>0</v>
      </c>
      <c r="L21" s="416">
        <f>Calculations!L90</f>
        <v>0</v>
      </c>
      <c r="M21" s="416">
        <f>Calculations!M90</f>
        <v>0</v>
      </c>
      <c r="N21" s="416">
        <f>Calculations!N90</f>
        <v>0</v>
      </c>
      <c r="O21" s="416">
        <f>Calculations!O90</f>
        <v>0</v>
      </c>
      <c r="P21" s="416">
        <f>Calculations!P90</f>
        <v>0</v>
      </c>
      <c r="Q21" s="420" t="e">
        <f t="shared" si="0"/>
        <v>#DIV/0!</v>
      </c>
      <c r="R21" s="3"/>
      <c r="S21" s="3"/>
      <c r="T21" s="3"/>
      <c r="U21" s="3"/>
      <c r="V21" s="3"/>
    </row>
    <row r="22" spans="1:22" x14ac:dyDescent="0.2">
      <c r="A22" s="139" t="str">
        <f>Calculations!A91</f>
        <v>Nursery</v>
      </c>
      <c r="B22" s="416">
        <f>Calculations!B91</f>
        <v>0</v>
      </c>
      <c r="C22" s="416">
        <f>Calculations!C91</f>
        <v>0</v>
      </c>
      <c r="D22" s="416">
        <f>Calculations!D91</f>
        <v>0</v>
      </c>
      <c r="E22" s="416">
        <f>Calculations!E91</f>
        <v>0</v>
      </c>
      <c r="F22" s="416">
        <f>Calculations!F91</f>
        <v>0</v>
      </c>
      <c r="G22" s="416">
        <f>Calculations!G91</f>
        <v>0</v>
      </c>
      <c r="H22" s="416">
        <f>Calculations!H91</f>
        <v>0</v>
      </c>
      <c r="I22" s="416">
        <f>Calculations!I91</f>
        <v>0</v>
      </c>
      <c r="J22" s="416">
        <f>Calculations!J91</f>
        <v>0</v>
      </c>
      <c r="K22" s="416">
        <f>Calculations!K91</f>
        <v>0</v>
      </c>
      <c r="L22" s="416">
        <f>Calculations!L91</f>
        <v>0</v>
      </c>
      <c r="M22" s="416">
        <f>Calculations!M91</f>
        <v>0</v>
      </c>
      <c r="N22" s="416">
        <f>Calculations!N91</f>
        <v>0</v>
      </c>
      <c r="O22" s="416">
        <f>Calculations!O91</f>
        <v>0</v>
      </c>
      <c r="P22" s="416">
        <f>Calculations!P91</f>
        <v>0</v>
      </c>
      <c r="Q22" s="420" t="e">
        <f t="shared" si="0"/>
        <v>#DIV/0!</v>
      </c>
      <c r="R22" s="3"/>
      <c r="S22" s="3"/>
      <c r="T22" s="3"/>
    </row>
    <row r="23" spans="1:22" x14ac:dyDescent="0.2">
      <c r="A23" s="139" t="str">
        <f>Calculations!A92</f>
        <v>Forested Wetland</v>
      </c>
      <c r="B23" s="416">
        <f>Calculations!B92</f>
        <v>0</v>
      </c>
      <c r="C23" s="416">
        <f>Calculations!C92</f>
        <v>0</v>
      </c>
      <c r="D23" s="416">
        <f>Calculations!D92</f>
        <v>0</v>
      </c>
      <c r="E23" s="416">
        <f>Calculations!E92</f>
        <v>0</v>
      </c>
      <c r="F23" s="416">
        <f>Calculations!F92</f>
        <v>0</v>
      </c>
      <c r="G23" s="416">
        <f>Calculations!G92</f>
        <v>0</v>
      </c>
      <c r="H23" s="416">
        <f>Calculations!H92</f>
        <v>0</v>
      </c>
      <c r="I23" s="416">
        <f>Calculations!I92</f>
        <v>0</v>
      </c>
      <c r="J23" s="416">
        <f>Calculations!J92</f>
        <v>0</v>
      </c>
      <c r="K23" s="416">
        <f>Calculations!K92</f>
        <v>0</v>
      </c>
      <c r="L23" s="416">
        <f>Calculations!L92</f>
        <v>0</v>
      </c>
      <c r="M23" s="416">
        <f>Calculations!M92</f>
        <v>0</v>
      </c>
      <c r="N23" s="416">
        <f>Calculations!N92</f>
        <v>0</v>
      </c>
      <c r="O23" s="416">
        <f>Calculations!O92</f>
        <v>0</v>
      </c>
      <c r="P23" s="416">
        <f>Calculations!P92</f>
        <v>0</v>
      </c>
      <c r="Q23" s="420" t="e">
        <f t="shared" si="0"/>
        <v>#DIV/0!</v>
      </c>
      <c r="R23" s="3"/>
    </row>
    <row r="24" spans="1:22" x14ac:dyDescent="0.2">
      <c r="A24" s="139" t="str">
        <f>Calculations!A93</f>
        <v>Very Low Density Residential</v>
      </c>
      <c r="B24" s="416">
        <f>Calculations!B93</f>
        <v>0</v>
      </c>
      <c r="C24" s="416">
        <f>Calculations!C93</f>
        <v>0</v>
      </c>
      <c r="D24" s="416">
        <f>Calculations!D93</f>
        <v>0</v>
      </c>
      <c r="E24" s="416">
        <f>Calculations!E93</f>
        <v>0</v>
      </c>
      <c r="F24" s="416">
        <f>Calculations!F93</f>
        <v>0</v>
      </c>
      <c r="G24" s="416">
        <f>Calculations!G93</f>
        <v>0</v>
      </c>
      <c r="H24" s="416">
        <f>Calculations!H93</f>
        <v>0</v>
      </c>
      <c r="I24" s="416">
        <f>Calculations!I93</f>
        <v>0</v>
      </c>
      <c r="J24" s="416">
        <f>Calculations!J93</f>
        <v>0</v>
      </c>
      <c r="K24" s="416">
        <f>Calculations!K93</f>
        <v>0</v>
      </c>
      <c r="L24" s="416">
        <f>Calculations!L93</f>
        <v>0</v>
      </c>
      <c r="M24" s="416">
        <f>Calculations!M93</f>
        <v>0</v>
      </c>
      <c r="N24" s="416">
        <f>Calculations!N93</f>
        <v>0</v>
      </c>
      <c r="O24" s="416">
        <f>Calculations!O93</f>
        <v>0</v>
      </c>
      <c r="P24" s="416">
        <f>Calculations!P93</f>
        <v>0</v>
      </c>
      <c r="Q24" s="420" t="e">
        <f t="shared" si="0"/>
        <v>#DIV/0!</v>
      </c>
      <c r="R24" s="3"/>
    </row>
    <row r="25" spans="1:22" x14ac:dyDescent="0.2">
      <c r="A25" s="139" t="str">
        <f>Calculations!A94</f>
        <v>Brushland/Successional</v>
      </c>
      <c r="B25" s="418">
        <f>Calculations!B94</f>
        <v>0</v>
      </c>
      <c r="C25" s="418">
        <f>Calculations!C94</f>
        <v>0</v>
      </c>
      <c r="D25" s="418">
        <f>Calculations!D94</f>
        <v>0</v>
      </c>
      <c r="E25" s="418">
        <f>Calculations!E94</f>
        <v>0</v>
      </c>
      <c r="F25" s="418">
        <f>Calculations!F94</f>
        <v>0</v>
      </c>
      <c r="G25" s="418">
        <f>Calculations!G94</f>
        <v>0</v>
      </c>
      <c r="H25" s="418">
        <f>Calculations!H94</f>
        <v>0</v>
      </c>
      <c r="I25" s="418">
        <f>Calculations!I94</f>
        <v>0</v>
      </c>
      <c r="J25" s="418">
        <f>Calculations!J94</f>
        <v>0</v>
      </c>
      <c r="K25" s="418">
        <f>Calculations!K94</f>
        <v>0</v>
      </c>
      <c r="L25" s="418">
        <f>Calculations!L94</f>
        <v>0</v>
      </c>
      <c r="M25" s="418">
        <f>Calculations!M94</f>
        <v>0</v>
      </c>
      <c r="N25" s="418">
        <f>Calculations!N94</f>
        <v>0</v>
      </c>
      <c r="O25" s="418">
        <f>Calculations!O94</f>
        <v>0</v>
      </c>
      <c r="P25" s="418">
        <f>Calculations!P94</f>
        <v>0</v>
      </c>
      <c r="Q25" s="421" t="e">
        <f t="shared" si="0"/>
        <v>#DIV/0!</v>
      </c>
      <c r="R25" s="3"/>
      <c r="S25" s="3"/>
      <c r="T25" s="3"/>
      <c r="U25" s="3"/>
      <c r="V25" s="3"/>
    </row>
    <row r="26" spans="1:22" x14ac:dyDescent="0.2">
      <c r="A26" s="139"/>
      <c r="B26" s="122"/>
      <c r="C26" s="21"/>
      <c r="D26" s="21"/>
      <c r="E26" s="21"/>
      <c r="N26" s="69" t="s">
        <v>514</v>
      </c>
      <c r="P26" s="7">
        <f>SUM(P5:P25)</f>
        <v>0</v>
      </c>
      <c r="Q26" s="7" t="e">
        <f t="shared" si="0"/>
        <v>#DIV/0!</v>
      </c>
    </row>
    <row r="27" spans="1:22" x14ac:dyDescent="0.2">
      <c r="B27" s="2"/>
      <c r="P27" s="1"/>
      <c r="Q27" s="1"/>
    </row>
    <row r="28" spans="1:22" x14ac:dyDescent="0.2">
      <c r="R28" s="3"/>
      <c r="S28" s="3"/>
      <c r="T28" s="3"/>
      <c r="U28" s="3"/>
      <c r="V28" s="3"/>
    </row>
    <row r="29" spans="1:22" ht="27" customHeight="1" x14ac:dyDescent="0.2">
      <c r="A29" s="112"/>
      <c r="B29" s="2"/>
    </row>
    <row r="30" spans="1:22" ht="16.5" customHeight="1" x14ac:dyDescent="0.2">
      <c r="A30" s="112"/>
      <c r="R30" s="3"/>
      <c r="S30" s="3"/>
      <c r="T30" s="3"/>
      <c r="U30" s="3"/>
      <c r="V30" s="3"/>
    </row>
    <row r="31" spans="1:22" ht="18" x14ac:dyDescent="0.25">
      <c r="A31" s="23"/>
      <c r="B31" s="2"/>
      <c r="S31" s="110"/>
      <c r="T31" s="124"/>
    </row>
    <row r="32" spans="1:22" ht="18" x14ac:dyDescent="0.25">
      <c r="A32" s="23"/>
      <c r="B32" s="2"/>
      <c r="S32" s="110"/>
      <c r="T32" s="124"/>
    </row>
    <row r="33" spans="1:20" ht="18" x14ac:dyDescent="0.25">
      <c r="S33" s="110"/>
      <c r="T33" s="124"/>
    </row>
    <row r="34" spans="1:20" x14ac:dyDescent="0.2">
      <c r="S34" s="110"/>
    </row>
    <row r="35" spans="1:20" x14ac:dyDescent="0.2">
      <c r="S35" s="110"/>
    </row>
    <row r="36" spans="1:20" x14ac:dyDescent="0.2">
      <c r="S36" s="110"/>
    </row>
    <row r="37" spans="1:20" x14ac:dyDescent="0.2">
      <c r="B37" s="110"/>
    </row>
    <row r="38" spans="1:20" x14ac:dyDescent="0.2">
      <c r="B38" s="110"/>
    </row>
    <row r="39" spans="1:20" x14ac:dyDescent="0.2">
      <c r="A39" s="69"/>
      <c r="B39" s="110"/>
    </row>
    <row r="40" spans="1:20" x14ac:dyDescent="0.2">
      <c r="A40" s="69"/>
      <c r="B40" s="69"/>
    </row>
    <row r="41" spans="1:20" x14ac:dyDescent="0.2">
      <c r="A41" s="21"/>
      <c r="B41" s="3"/>
    </row>
    <row r="42" spans="1:20" x14ac:dyDescent="0.2">
      <c r="C42" s="3"/>
      <c r="D42" s="3"/>
      <c r="E42" s="3"/>
      <c r="F42" s="3"/>
      <c r="G42" s="125"/>
    </row>
    <row r="43" spans="1:20" x14ac:dyDescent="0.2">
      <c r="A43" s="126"/>
      <c r="B43" s="127"/>
      <c r="D43" s="125"/>
      <c r="E43" s="125"/>
      <c r="F43" s="125"/>
      <c r="G43" s="125"/>
    </row>
    <row r="44" spans="1:20" x14ac:dyDescent="0.2">
      <c r="A44" s="128"/>
      <c r="B44" s="111"/>
      <c r="C44" s="122"/>
      <c r="D44" s="127"/>
      <c r="E44" s="127"/>
      <c r="F44" s="127"/>
      <c r="G44" s="127"/>
    </row>
    <row r="45" spans="1:20" x14ac:dyDescent="0.2">
      <c r="A45" s="128"/>
      <c r="B45" s="111"/>
      <c r="D45" s="111"/>
      <c r="E45" s="111"/>
      <c r="F45" s="111"/>
      <c r="G45" s="111"/>
    </row>
    <row r="46" spans="1:20" x14ac:dyDescent="0.2">
      <c r="A46" s="128"/>
      <c r="B46" s="111"/>
      <c r="D46" s="111"/>
      <c r="E46" s="111"/>
      <c r="F46" s="111"/>
      <c r="G46" s="111"/>
    </row>
    <row r="47" spans="1:20" x14ac:dyDescent="0.2">
      <c r="A47" s="128"/>
      <c r="B47" s="111"/>
      <c r="D47" s="111"/>
      <c r="E47" s="111"/>
      <c r="F47" s="111"/>
      <c r="G47" s="111"/>
    </row>
    <row r="48" spans="1:20" x14ac:dyDescent="0.2">
      <c r="A48" s="128"/>
      <c r="B48" s="111"/>
      <c r="D48" s="111"/>
      <c r="E48" s="111"/>
      <c r="F48" s="111"/>
      <c r="G48" s="111"/>
    </row>
    <row r="49" spans="1:7" x14ac:dyDescent="0.2">
      <c r="A49" s="128"/>
      <c r="B49" s="111"/>
      <c r="D49" s="111"/>
      <c r="E49" s="111"/>
      <c r="F49" s="111"/>
      <c r="G49" s="111"/>
    </row>
    <row r="50" spans="1:7" x14ac:dyDescent="0.2">
      <c r="A50" s="128"/>
      <c r="B50" s="111"/>
      <c r="D50" s="111"/>
      <c r="E50" s="111"/>
      <c r="F50" s="111"/>
      <c r="G50" s="111"/>
    </row>
    <row r="51" spans="1:7" x14ac:dyDescent="0.2">
      <c r="A51" s="128"/>
      <c r="B51" s="111"/>
      <c r="D51" s="111"/>
      <c r="E51" s="111"/>
      <c r="F51" s="111"/>
      <c r="G51" s="111"/>
    </row>
    <row r="52" spans="1:7" x14ac:dyDescent="0.2">
      <c r="A52" s="128"/>
      <c r="B52" s="111"/>
      <c r="D52" s="111"/>
      <c r="E52" s="111"/>
      <c r="F52" s="111"/>
      <c r="G52" s="111"/>
    </row>
    <row r="53" spans="1:7" x14ac:dyDescent="0.2">
      <c r="A53" s="128"/>
      <c r="B53" s="111"/>
      <c r="C53" s="69"/>
      <c r="D53" s="111"/>
      <c r="E53" s="111"/>
      <c r="F53" s="111"/>
      <c r="G53" s="111"/>
    </row>
    <row r="54" spans="1:7" x14ac:dyDescent="0.2">
      <c r="A54" s="129"/>
      <c r="B54" s="110"/>
      <c r="D54" s="111"/>
      <c r="E54" s="111"/>
      <c r="F54" s="111"/>
      <c r="G54" s="111"/>
    </row>
    <row r="55" spans="1:7" x14ac:dyDescent="0.2">
      <c r="A55" s="129"/>
      <c r="B55" s="110"/>
      <c r="D55" s="110"/>
      <c r="E55" s="110"/>
      <c r="F55" s="110"/>
      <c r="G55" s="110"/>
    </row>
    <row r="56" spans="1:7" x14ac:dyDescent="0.2">
      <c r="A56" s="129"/>
      <c r="B56" s="110"/>
      <c r="D56" s="110"/>
      <c r="E56" s="110"/>
      <c r="F56" s="110"/>
      <c r="G56" s="110"/>
    </row>
    <row r="57" spans="1:7" x14ac:dyDescent="0.2">
      <c r="A57" s="129"/>
      <c r="B57" s="110"/>
      <c r="D57" s="110"/>
      <c r="E57" s="110"/>
      <c r="F57" s="110"/>
      <c r="G57" s="110"/>
    </row>
    <row r="58" spans="1:7" x14ac:dyDescent="0.2">
      <c r="A58" s="129"/>
      <c r="B58" s="110"/>
      <c r="D58" s="110"/>
      <c r="E58" s="110"/>
      <c r="F58" s="110"/>
      <c r="G58" s="110"/>
    </row>
    <row r="59" spans="1:7" x14ac:dyDescent="0.2">
      <c r="A59" s="129"/>
      <c r="B59" s="110"/>
      <c r="D59" s="110"/>
      <c r="E59" s="110"/>
      <c r="F59" s="110"/>
      <c r="G59" s="110"/>
    </row>
    <row r="60" spans="1:7" x14ac:dyDescent="0.2">
      <c r="D60" s="110"/>
      <c r="E60" s="110"/>
      <c r="F60" s="110"/>
      <c r="G60" s="110"/>
    </row>
  </sheetData>
  <mergeCells count="2">
    <mergeCell ref="R3:T3"/>
    <mergeCell ref="B3:O3"/>
  </mergeCells>
  <phoneticPr fontId="25" type="noConversion"/>
  <pageMargins left="0.75" right="0.75" top="1" bottom="1" header="0.5" footer="0.5"/>
  <pageSetup orientation="portrait" horizontalDpi="1200" verticalDpi="12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dimension ref="A1:F31"/>
  <sheetViews>
    <sheetView zoomScale="80" zoomScaleNormal="80" workbookViewId="0">
      <selection activeCell="A10" sqref="A10"/>
    </sheetView>
  </sheetViews>
  <sheetFormatPr defaultRowHeight="12.75" x14ac:dyDescent="0.2"/>
  <cols>
    <col min="1" max="1" width="43.85546875" customWidth="1"/>
    <col min="2" max="2" width="11.28515625" style="1" customWidth="1"/>
    <col min="3" max="3" width="10.7109375" style="1" customWidth="1"/>
  </cols>
  <sheetData>
    <row r="1" spans="1:6" x14ac:dyDescent="0.2">
      <c r="A1" s="21" t="str">
        <f>"Runoff and baseflow fraction ranges for "&amp;Calculations!B4</f>
        <v xml:space="preserve">Runoff and baseflow fraction ranges for </v>
      </c>
    </row>
    <row r="3" spans="1:6" x14ac:dyDescent="0.2">
      <c r="A3" s="94"/>
      <c r="B3" s="131" t="s">
        <v>450</v>
      </c>
      <c r="C3" s="131" t="s">
        <v>451</v>
      </c>
      <c r="D3" s="94" t="s">
        <v>452</v>
      </c>
    </row>
    <row r="4" spans="1:6" x14ac:dyDescent="0.2">
      <c r="A4" s="94" t="s">
        <v>453</v>
      </c>
      <c r="B4" s="132"/>
      <c r="C4" s="132"/>
      <c r="D4" s="132"/>
    </row>
    <row r="5" spans="1:6" x14ac:dyDescent="0.2">
      <c r="A5" s="94" t="s">
        <v>454</v>
      </c>
      <c r="B5" s="132"/>
      <c r="C5" s="132"/>
      <c r="D5" s="132"/>
    </row>
    <row r="7" spans="1:6" x14ac:dyDescent="0.2">
      <c r="A7" s="21" t="str">
        <f>"Table ____.  Runoff and baseflow fractions, "&amp;Calculations!$B$4&amp; ", "&amp;Calculations!$B$5&amp;  " scenario."</f>
        <v>Table ____.  Runoff and baseflow fractions, ,  scenario.</v>
      </c>
    </row>
    <row r="9" spans="1:6" ht="26.25" customHeight="1" x14ac:dyDescent="0.2">
      <c r="A9" s="133" t="str">
        <f>Calculations!A13</f>
        <v>LAND USE</v>
      </c>
      <c r="B9" s="134" t="s">
        <v>455</v>
      </c>
      <c r="C9" s="134" t="s">
        <v>456</v>
      </c>
    </row>
    <row r="10" spans="1:6" x14ac:dyDescent="0.2">
      <c r="A10" s="206" t="str">
        <f>Calculations!A14</f>
        <v>Cropland</v>
      </c>
      <c r="B10" s="132">
        <f>Calculations!B14</f>
        <v>0.3</v>
      </c>
      <c r="C10" s="132">
        <f>Calculations!E14</f>
        <v>0.3</v>
      </c>
    </row>
    <row r="11" spans="1:6" x14ac:dyDescent="0.2">
      <c r="A11" s="206" t="str">
        <f>Calculations!A15</f>
        <v>Pasture</v>
      </c>
      <c r="B11" s="132">
        <f>Calculations!B15</f>
        <v>0.3</v>
      </c>
      <c r="C11" s="132">
        <f>Calculations!E15</f>
        <v>0.3</v>
      </c>
    </row>
    <row r="12" spans="1:6" x14ac:dyDescent="0.2">
      <c r="A12" s="206" t="str">
        <f>Calculations!A16</f>
        <v>Forest</v>
      </c>
      <c r="B12" s="132">
        <f>Calculations!B16</f>
        <v>0.2</v>
      </c>
      <c r="C12" s="132">
        <f>Calculations!E16</f>
        <v>0.4</v>
      </c>
    </row>
    <row r="13" spans="1:6" x14ac:dyDescent="0.2">
      <c r="A13" s="206" t="str">
        <f>Calculations!A17</f>
        <v>Non-Forested Wetland</v>
      </c>
      <c r="B13" s="132">
        <f>Calculations!B17</f>
        <v>0.05</v>
      </c>
      <c r="C13" s="132">
        <f>Calculations!E17</f>
        <v>0.4</v>
      </c>
    </row>
    <row r="14" spans="1:6" x14ac:dyDescent="0.2">
      <c r="A14" s="206" t="str">
        <f>Calculations!A18</f>
        <v>Open Land</v>
      </c>
      <c r="B14" s="132">
        <f>Calculations!B18</f>
        <v>0.6</v>
      </c>
      <c r="C14" s="132">
        <f>Calculations!E18</f>
        <v>0.3</v>
      </c>
      <c r="F14" s="112"/>
    </row>
    <row r="15" spans="1:6" x14ac:dyDescent="0.2">
      <c r="A15" s="206" t="str">
        <f>Calculations!A19</f>
        <v>Participation Recreation</v>
      </c>
      <c r="B15" s="132">
        <f>Calculations!B19</f>
        <v>0.3</v>
      </c>
      <c r="C15" s="132">
        <f>Calculations!E19</f>
        <v>0.3</v>
      </c>
      <c r="F15" s="112"/>
    </row>
    <row r="16" spans="1:6" x14ac:dyDescent="0.2">
      <c r="A16" s="206" t="str">
        <f>Calculations!A20</f>
        <v>High Density Residential</v>
      </c>
      <c r="B16" s="132">
        <f>Calculations!B20</f>
        <v>0.4</v>
      </c>
      <c r="C16" s="132">
        <f>Calculations!E20</f>
        <v>0.2</v>
      </c>
      <c r="F16" s="112"/>
    </row>
    <row r="17" spans="1:6" x14ac:dyDescent="0.2">
      <c r="A17" s="206" t="str">
        <f>Calculations!A21</f>
        <v>Medium Density Residential</v>
      </c>
      <c r="B17" s="132">
        <f>Calculations!B21</f>
        <v>0.35</v>
      </c>
      <c r="C17" s="132">
        <f>Calculations!E21</f>
        <v>0.27500000000000002</v>
      </c>
    </row>
    <row r="18" spans="1:6" x14ac:dyDescent="0.2">
      <c r="A18" s="206" t="str">
        <f>Calculations!A22</f>
        <v>Low Density Residential</v>
      </c>
      <c r="B18" s="132">
        <f>Calculations!B22</f>
        <v>0.3</v>
      </c>
      <c r="C18" s="132">
        <f>Calculations!E22</f>
        <v>0.25</v>
      </c>
    </row>
    <row r="19" spans="1:6" x14ac:dyDescent="0.2">
      <c r="A19" s="206" t="str">
        <f>Calculations!A23</f>
        <v>Very Low Density Residential</v>
      </c>
      <c r="B19" s="132">
        <f>Calculations!B23</f>
        <v>0.25</v>
      </c>
      <c r="C19" s="132">
        <f>Calculations!E23</f>
        <v>0.3</v>
      </c>
      <c r="F19" s="23"/>
    </row>
    <row r="20" spans="1:6" x14ac:dyDescent="0.2">
      <c r="A20" s="206" t="str">
        <f>Calculations!A24</f>
        <v>Commercial</v>
      </c>
      <c r="B20" s="132">
        <f>Calculations!B24</f>
        <v>0.5</v>
      </c>
      <c r="C20" s="132">
        <f>Calculations!E24</f>
        <v>0.05</v>
      </c>
      <c r="F20" s="23"/>
    </row>
    <row r="21" spans="1:6" x14ac:dyDescent="0.2">
      <c r="A21" s="206" t="str">
        <f>Calculations!A25</f>
        <v>Transportation</v>
      </c>
      <c r="B21" s="132">
        <f>Calculations!B25</f>
        <v>0.6</v>
      </c>
      <c r="C21" s="132">
        <f>Calculations!E25</f>
        <v>0.05</v>
      </c>
      <c r="F21" s="23"/>
    </row>
    <row r="22" spans="1:6" x14ac:dyDescent="0.2">
      <c r="A22" s="206" t="str">
        <f>Calculations!A26</f>
        <v>Waste Disposal</v>
      </c>
      <c r="B22" s="132">
        <f>Calculations!B26</f>
        <v>0.5</v>
      </c>
      <c r="C22" s="132">
        <f>Calculations!E26</f>
        <v>0.05</v>
      </c>
      <c r="F22" s="23"/>
    </row>
    <row r="23" spans="1:6" x14ac:dyDescent="0.2">
      <c r="A23" s="206" t="str">
        <f>Calculations!A27</f>
        <v>Water</v>
      </c>
      <c r="B23" s="132">
        <f>Calculations!B27</f>
        <v>0.05</v>
      </c>
      <c r="C23" s="132">
        <f>Calculations!E27</f>
        <v>0.4</v>
      </c>
      <c r="F23" s="23"/>
    </row>
    <row r="24" spans="1:6" x14ac:dyDescent="0.2">
      <c r="A24" s="206" t="str">
        <f>Calculations!A28</f>
        <v>Urban Public/Institutional</v>
      </c>
      <c r="B24" s="132">
        <f>Calculations!B28</f>
        <v>0.3</v>
      </c>
      <c r="C24" s="132">
        <f>Calculations!E28</f>
        <v>0.3</v>
      </c>
      <c r="F24" s="23"/>
    </row>
    <row r="25" spans="1:6" x14ac:dyDescent="0.2">
      <c r="A25" s="206" t="str">
        <f>Calculations!A29</f>
        <v>Cemetery</v>
      </c>
      <c r="B25" s="132">
        <f>Calculations!B29</f>
        <v>0.3</v>
      </c>
      <c r="C25" s="132">
        <f>Calculations!E29</f>
        <v>0.3</v>
      </c>
      <c r="F25" s="23"/>
    </row>
    <row r="26" spans="1:6" x14ac:dyDescent="0.2">
      <c r="A26" s="206" t="str">
        <f>Calculations!A30</f>
        <v>Orchard</v>
      </c>
      <c r="B26" s="132">
        <f>Calculations!B30</f>
        <v>0.15</v>
      </c>
      <c r="C26" s="132">
        <f>Calculations!E30</f>
        <v>0.3</v>
      </c>
      <c r="F26" s="23"/>
    </row>
    <row r="27" spans="1:6" x14ac:dyDescent="0.2">
      <c r="A27" s="206" t="str">
        <f>Calculations!A31</f>
        <v>Nursery</v>
      </c>
      <c r="B27" s="132">
        <f>Calculations!B31</f>
        <v>0.3</v>
      </c>
      <c r="C27" s="132">
        <f>Calculations!E31</f>
        <v>0.3</v>
      </c>
    </row>
    <row r="28" spans="1:6" x14ac:dyDescent="0.2">
      <c r="A28" s="206" t="str">
        <f>Calculations!A32</f>
        <v>Forested Wetland</v>
      </c>
      <c r="B28" s="132">
        <f>Calculations!B32</f>
        <v>0.05</v>
      </c>
      <c r="C28" s="132">
        <f>Calculations!E32</f>
        <v>0.4</v>
      </c>
    </row>
    <row r="29" spans="1:6" x14ac:dyDescent="0.2">
      <c r="A29" s="206" t="str">
        <f>Calculations!A33</f>
        <v>Brushland/Successional</v>
      </c>
      <c r="B29" s="132">
        <f>Calculations!B33</f>
        <v>0.25</v>
      </c>
      <c r="C29" s="132">
        <f>Calculations!E33</f>
        <v>0.35</v>
      </c>
    </row>
    <row r="30" spans="1:6" x14ac:dyDescent="0.2">
      <c r="A30" s="422"/>
    </row>
    <row r="31" spans="1:6" x14ac:dyDescent="0.2">
      <c r="A31" s="422"/>
    </row>
  </sheetData>
  <phoneticPr fontId="25" type="noConversion"/>
  <pageMargins left="0.75" right="0.75" top="1" bottom="1" header="0.5" footer="0.5"/>
  <pageSetup orientation="portrait" horizontalDpi="1200" verticalDpi="1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pageSetUpPr fitToPage="1"/>
  </sheetPr>
  <dimension ref="A1:K45"/>
  <sheetViews>
    <sheetView zoomScale="70" zoomScaleNormal="70" workbookViewId="0">
      <selection activeCell="D32" sqref="D32"/>
    </sheetView>
  </sheetViews>
  <sheetFormatPr defaultRowHeight="12.75" x14ac:dyDescent="0.2"/>
  <cols>
    <col min="1" max="1" width="40.28515625" customWidth="1"/>
    <col min="2" max="2" width="15.5703125" customWidth="1"/>
    <col min="3" max="3" width="13.28515625" customWidth="1"/>
    <col min="4" max="4" width="38.7109375" customWidth="1"/>
    <col min="5" max="5" width="13.5703125" customWidth="1"/>
    <col min="6" max="6" width="13.42578125" customWidth="1"/>
    <col min="7" max="7" width="28.85546875" style="1" customWidth="1"/>
    <col min="9" max="11" width="9.140625" customWidth="1"/>
  </cols>
  <sheetData>
    <row r="1" spans="1:11" ht="21" customHeight="1" x14ac:dyDescent="0.2">
      <c r="A1" s="21" t="str">
        <f>"Table ____.  Land use export coefficients (kg/ha/yr) used in "&amp;Calculations!$B$4&amp; " loading model, "&amp;Calculations!$B$5&amp;  " scenario."</f>
        <v>Table ____.  Land use export coefficients (kg/ha/yr) used in  loading model,  scenario.</v>
      </c>
    </row>
    <row r="2" spans="1:11" ht="18" x14ac:dyDescent="0.25">
      <c r="A2" s="135"/>
      <c r="B2" s="135"/>
      <c r="D2" s="135"/>
      <c r="E2" s="135"/>
    </row>
    <row r="3" spans="1:11" ht="54" customHeight="1" x14ac:dyDescent="0.25">
      <c r="A3" s="425" t="s">
        <v>714</v>
      </c>
      <c r="B3" s="167" t="s">
        <v>460</v>
      </c>
      <c r="C3" s="167" t="s">
        <v>461</v>
      </c>
      <c r="D3" s="178" t="s">
        <v>291</v>
      </c>
      <c r="E3" s="167" t="s">
        <v>462</v>
      </c>
      <c r="F3" s="167" t="s">
        <v>463</v>
      </c>
      <c r="G3" s="331" t="s">
        <v>291</v>
      </c>
      <c r="I3" s="69"/>
      <c r="J3" s="136"/>
      <c r="K3" s="136"/>
    </row>
    <row r="4" spans="1:11" ht="18" x14ac:dyDescent="0.25">
      <c r="A4" s="423" t="str">
        <f>Calculations!A14</f>
        <v>Cropland</v>
      </c>
      <c r="B4" s="428"/>
      <c r="C4" s="424">
        <f>Calculations!C14</f>
        <v>1.5</v>
      </c>
      <c r="D4" s="426"/>
      <c r="E4" s="424">
        <f>Calculations!F14</f>
        <v>0.01</v>
      </c>
      <c r="F4" s="430"/>
      <c r="G4" s="432"/>
      <c r="I4" s="69"/>
      <c r="J4" s="137"/>
      <c r="K4" s="137"/>
    </row>
    <row r="5" spans="1:11" ht="18" x14ac:dyDescent="0.25">
      <c r="A5" s="423" t="str">
        <f>Calculations!A15</f>
        <v>Pasture</v>
      </c>
      <c r="B5" s="429"/>
      <c r="C5" s="424">
        <f>Calculations!C15</f>
        <v>0.8</v>
      </c>
      <c r="D5" s="427"/>
      <c r="E5" s="424">
        <f>Calculations!F15</f>
        <v>0.01</v>
      </c>
      <c r="F5" s="431"/>
      <c r="G5" s="194"/>
      <c r="I5" s="69"/>
      <c r="J5" s="137"/>
      <c r="K5" s="137"/>
    </row>
    <row r="6" spans="1:11" ht="18" x14ac:dyDescent="0.25">
      <c r="A6" s="423" t="str">
        <f>Calculations!A16</f>
        <v>Forest</v>
      </c>
      <c r="B6" s="429"/>
      <c r="C6" s="424">
        <f>Calculations!C16</f>
        <v>0.03</v>
      </c>
      <c r="D6" s="427"/>
      <c r="E6" s="424">
        <f>Calculations!F16</f>
        <v>4.0000000000000001E-3</v>
      </c>
      <c r="F6" s="431"/>
      <c r="G6" s="194"/>
      <c r="I6" s="69"/>
      <c r="J6" s="137"/>
      <c r="K6" s="137"/>
    </row>
    <row r="7" spans="1:11" ht="18" x14ac:dyDescent="0.25">
      <c r="A7" s="423" t="str">
        <f>Calculations!A17</f>
        <v>Non-Forested Wetland</v>
      </c>
      <c r="B7" s="429"/>
      <c r="C7" s="424">
        <f>Calculations!C17</f>
        <v>0.08</v>
      </c>
      <c r="D7" s="427"/>
      <c r="E7" s="424">
        <f>Calculations!F17</f>
        <v>4.0000000000000001E-3</v>
      </c>
      <c r="F7" s="431"/>
      <c r="G7" s="194"/>
      <c r="I7" s="69"/>
      <c r="J7" s="137"/>
      <c r="K7" s="137"/>
    </row>
    <row r="8" spans="1:11" ht="18" x14ac:dyDescent="0.25">
      <c r="A8" s="423" t="str">
        <f>Calculations!A18</f>
        <v>Open Land</v>
      </c>
      <c r="B8" s="429"/>
      <c r="C8" s="424">
        <f>Calculations!C18</f>
        <v>0.8</v>
      </c>
      <c r="D8" s="427"/>
      <c r="E8" s="424">
        <f>Calculations!F18</f>
        <v>4.0000000000000001E-3</v>
      </c>
      <c r="F8" s="431"/>
      <c r="G8" s="194"/>
      <c r="I8" s="69"/>
      <c r="J8" s="137"/>
      <c r="K8" s="137"/>
    </row>
    <row r="9" spans="1:11" ht="18" x14ac:dyDescent="0.25">
      <c r="A9" s="423" t="str">
        <f>Calculations!A19</f>
        <v>Participation Recreation</v>
      </c>
      <c r="B9" s="429"/>
      <c r="C9" s="424">
        <f>Calculations!C19</f>
        <v>0.8</v>
      </c>
      <c r="D9" s="427"/>
      <c r="E9" s="424">
        <f>Calculations!F19</f>
        <v>0.01</v>
      </c>
      <c r="F9" s="431"/>
      <c r="G9" s="194"/>
      <c r="I9" s="69"/>
      <c r="J9" s="137"/>
      <c r="K9" s="137"/>
    </row>
    <row r="10" spans="1:11" ht="18" x14ac:dyDescent="0.25">
      <c r="A10" s="423" t="str">
        <f>Calculations!A20</f>
        <v>High Density Residential</v>
      </c>
      <c r="B10" s="429"/>
      <c r="C10" s="424">
        <f>Calculations!C20</f>
        <v>1.5</v>
      </c>
      <c r="D10" s="427"/>
      <c r="E10" s="424">
        <f>Calculations!F20</f>
        <v>0.02</v>
      </c>
      <c r="F10" s="431"/>
      <c r="G10" s="194"/>
      <c r="I10" s="69"/>
      <c r="J10" s="137"/>
      <c r="K10" s="137"/>
    </row>
    <row r="11" spans="1:11" ht="18" x14ac:dyDescent="0.25">
      <c r="A11" s="423" t="str">
        <f>Calculations!A21</f>
        <v>Medium Density Residential</v>
      </c>
      <c r="B11" s="429"/>
      <c r="C11" s="424">
        <f>Calculations!C21</f>
        <v>1.3</v>
      </c>
      <c r="D11" s="427"/>
      <c r="E11" s="424">
        <f>Calculations!F21</f>
        <v>1.4999999999999999E-2</v>
      </c>
      <c r="F11" s="431"/>
      <c r="G11" s="194"/>
      <c r="I11" s="69"/>
      <c r="J11" s="137"/>
      <c r="K11" s="137"/>
    </row>
    <row r="12" spans="1:11" ht="18" x14ac:dyDescent="0.25">
      <c r="A12" s="423" t="str">
        <f>Calculations!A22</f>
        <v>Low Density Residential</v>
      </c>
      <c r="B12" s="429"/>
      <c r="C12" s="424">
        <f>Calculations!C22</f>
        <v>1.1000000000000001</v>
      </c>
      <c r="D12" s="427"/>
      <c r="E12" s="424">
        <f>Calculations!F22</f>
        <v>0.01</v>
      </c>
      <c r="F12" s="431"/>
      <c r="G12" s="194"/>
      <c r="I12" s="69"/>
      <c r="J12" s="137"/>
      <c r="K12" s="137"/>
    </row>
    <row r="13" spans="1:11" ht="18" x14ac:dyDescent="0.25">
      <c r="A13" s="423" t="str">
        <f>Calculations!A23</f>
        <v>Very Low Density Residential</v>
      </c>
      <c r="B13" s="429"/>
      <c r="C13" s="424">
        <f>Calculations!C23</f>
        <v>0.9</v>
      </c>
      <c r="D13" s="427"/>
      <c r="E13" s="424">
        <f>Calculations!F23</f>
        <v>0.01</v>
      </c>
      <c r="F13" s="431"/>
      <c r="G13" s="194"/>
      <c r="I13" s="69"/>
      <c r="J13" s="137"/>
      <c r="K13" s="137"/>
    </row>
    <row r="14" spans="1:11" ht="18" x14ac:dyDescent="0.25">
      <c r="A14" s="423" t="str">
        <f>Calculations!A24</f>
        <v>Commercial</v>
      </c>
      <c r="B14" s="429"/>
      <c r="C14" s="424">
        <f>Calculations!C24</f>
        <v>1.8</v>
      </c>
      <c r="D14" s="427"/>
      <c r="E14" s="424">
        <f>Calculations!F24</f>
        <v>0.01</v>
      </c>
      <c r="F14" s="431"/>
      <c r="G14" s="194"/>
      <c r="I14" s="69"/>
      <c r="J14" s="137"/>
      <c r="K14" s="137"/>
    </row>
    <row r="15" spans="1:11" ht="18" x14ac:dyDescent="0.25">
      <c r="A15" s="423" t="str">
        <f>Calculations!A25</f>
        <v>Transportation</v>
      </c>
      <c r="B15" s="429"/>
      <c r="C15" s="424">
        <f>Calculations!C25</f>
        <v>1.8</v>
      </c>
      <c r="D15" s="427"/>
      <c r="E15" s="424">
        <f>Calculations!F25</f>
        <v>0.01</v>
      </c>
      <c r="F15" s="431"/>
      <c r="G15" s="194"/>
      <c r="I15" s="69"/>
      <c r="J15" s="137"/>
      <c r="K15" s="137"/>
    </row>
    <row r="16" spans="1:11" ht="18" x14ac:dyDescent="0.25">
      <c r="A16" s="423" t="str">
        <f>Calculations!A26</f>
        <v>Waste Disposal</v>
      </c>
      <c r="B16" s="429"/>
      <c r="C16" s="424">
        <f>Calculations!C26</f>
        <v>1.1000000000000001</v>
      </c>
      <c r="D16" s="427"/>
      <c r="E16" s="424">
        <f>Calculations!F26</f>
        <v>0.01</v>
      </c>
      <c r="F16" s="431"/>
      <c r="G16" s="194"/>
      <c r="I16" s="69"/>
      <c r="J16" s="137"/>
      <c r="K16" s="137"/>
    </row>
    <row r="17" spans="1:11" ht="18" x14ac:dyDescent="0.25">
      <c r="A17" s="423" t="str">
        <f>Calculations!A27</f>
        <v>Water</v>
      </c>
      <c r="B17" s="429"/>
      <c r="C17" s="424">
        <f>Calculations!C27</f>
        <v>8.9999999999999993E-3</v>
      </c>
      <c r="D17" s="427"/>
      <c r="E17" s="424">
        <f>Calculations!F27</f>
        <v>4.0000000000000001E-3</v>
      </c>
      <c r="F17" s="431"/>
      <c r="G17" s="194"/>
      <c r="I17" s="69"/>
      <c r="J17" s="137"/>
      <c r="K17" s="137"/>
    </row>
    <row r="18" spans="1:11" ht="18" x14ac:dyDescent="0.25">
      <c r="A18" s="423" t="str">
        <f>Calculations!A28</f>
        <v>Urban Public/Institutional</v>
      </c>
      <c r="B18" s="429"/>
      <c r="C18" s="424">
        <f>Calculations!C28</f>
        <v>1.1000000000000001</v>
      </c>
      <c r="D18" s="427"/>
      <c r="E18" s="424">
        <f>Calculations!F28</f>
        <v>0.01</v>
      </c>
      <c r="F18" s="431"/>
      <c r="G18" s="194"/>
      <c r="I18" s="69"/>
      <c r="J18" s="137"/>
      <c r="K18" s="137"/>
    </row>
    <row r="19" spans="1:11" ht="18" x14ac:dyDescent="0.25">
      <c r="A19" s="423" t="str">
        <f>Calculations!A29</f>
        <v>Cemetery</v>
      </c>
      <c r="B19" s="429"/>
      <c r="C19" s="424">
        <f>Calculations!C29</f>
        <v>0.3</v>
      </c>
      <c r="D19" s="427"/>
      <c r="E19" s="424">
        <f>Calculations!F29</f>
        <v>0.01</v>
      </c>
      <c r="F19" s="431"/>
      <c r="G19" s="194"/>
      <c r="I19" s="69"/>
      <c r="J19" s="137"/>
      <c r="K19" s="137"/>
    </row>
    <row r="20" spans="1:11" ht="18" x14ac:dyDescent="0.25">
      <c r="A20" s="423" t="str">
        <f>Calculations!A30</f>
        <v>Orchard</v>
      </c>
      <c r="B20" s="429"/>
      <c r="C20" s="424">
        <f>Calculations!C30</f>
        <v>0.2</v>
      </c>
      <c r="D20" s="427"/>
      <c r="E20" s="424">
        <f>Calculations!F30</f>
        <v>0.01</v>
      </c>
      <c r="F20" s="431"/>
      <c r="G20" s="194"/>
      <c r="I20" s="69"/>
      <c r="J20" s="137"/>
      <c r="K20" s="137"/>
    </row>
    <row r="21" spans="1:11" ht="18" x14ac:dyDescent="0.25">
      <c r="A21" s="423" t="str">
        <f>Calculations!A31</f>
        <v>Nursery</v>
      </c>
      <c r="B21" s="429"/>
      <c r="C21" s="424">
        <f>Calculations!C31</f>
        <v>0.2</v>
      </c>
      <c r="D21" s="427"/>
      <c r="E21" s="424">
        <f>Calculations!F31</f>
        <v>0.01</v>
      </c>
      <c r="F21" s="431"/>
      <c r="G21" s="194"/>
      <c r="I21" s="69"/>
      <c r="J21" s="137"/>
      <c r="K21" s="137"/>
    </row>
    <row r="22" spans="1:11" ht="18" x14ac:dyDescent="0.25">
      <c r="A22" s="423" t="str">
        <f>Calculations!A32</f>
        <v>Forested Wetland</v>
      </c>
      <c r="B22" s="429"/>
      <c r="C22" s="424">
        <f>Calculations!C32</f>
        <v>0.03</v>
      </c>
      <c r="D22" s="427"/>
      <c r="E22" s="424">
        <f>Calculations!F32</f>
        <v>4.0000000000000001E-3</v>
      </c>
      <c r="F22" s="431"/>
      <c r="G22" s="194"/>
      <c r="I22" s="69"/>
      <c r="J22" s="137"/>
      <c r="K22" s="137"/>
    </row>
    <row r="23" spans="1:11" ht="18" x14ac:dyDescent="0.25">
      <c r="A23" s="433" t="str">
        <f>Calculations!A33</f>
        <v>Brushland/Successional</v>
      </c>
      <c r="B23" s="434"/>
      <c r="C23" s="435">
        <f>Calculations!C33</f>
        <v>0.15</v>
      </c>
      <c r="D23" s="436"/>
      <c r="E23" s="435">
        <f>Calculations!F33</f>
        <v>4.0000000000000001E-3</v>
      </c>
      <c r="F23" s="437"/>
      <c r="G23" s="438"/>
      <c r="I23" s="69"/>
      <c r="J23" s="137"/>
      <c r="K23" s="137"/>
    </row>
    <row r="25" spans="1:11" x14ac:dyDescent="0.2">
      <c r="A25" s="21"/>
      <c r="B25" s="78"/>
      <c r="C25" s="78"/>
      <c r="D25" s="78"/>
      <c r="E25" s="78"/>
      <c r="F25" s="78"/>
    </row>
    <row r="26" spans="1:11" x14ac:dyDescent="0.2">
      <c r="A26" s="78"/>
      <c r="B26" s="78"/>
      <c r="C26" s="79"/>
      <c r="D26" s="79"/>
      <c r="E26" s="79"/>
      <c r="F26" s="79"/>
    </row>
    <row r="27" spans="1:11" x14ac:dyDescent="0.2">
      <c r="A27" s="78"/>
      <c r="B27" s="78"/>
      <c r="C27" s="80"/>
      <c r="D27" s="80"/>
      <c r="E27" s="80"/>
      <c r="F27" s="80"/>
    </row>
    <row r="28" spans="1:11" x14ac:dyDescent="0.2">
      <c r="A28" s="78"/>
      <c r="B28" s="78"/>
      <c r="C28" s="81"/>
      <c r="D28" s="81"/>
      <c r="E28" s="81"/>
      <c r="F28" s="81"/>
    </row>
    <row r="29" spans="1:11" x14ac:dyDescent="0.2">
      <c r="A29" s="78"/>
      <c r="B29" s="78"/>
      <c r="C29" s="81"/>
      <c r="D29" s="81"/>
      <c r="E29" s="81"/>
      <c r="F29" s="81"/>
    </row>
    <row r="30" spans="1:11" x14ac:dyDescent="0.2">
      <c r="A30" s="78"/>
      <c r="B30" s="78"/>
      <c r="C30" s="81"/>
      <c r="D30" s="81"/>
      <c r="E30" s="81"/>
      <c r="F30" s="81"/>
    </row>
    <row r="31" spans="1:11" x14ac:dyDescent="0.2">
      <c r="A31" s="78"/>
      <c r="B31" s="78"/>
      <c r="C31" s="81"/>
      <c r="D31" s="81"/>
      <c r="E31" s="81"/>
      <c r="F31" s="81"/>
    </row>
    <row r="32" spans="1:11" x14ac:dyDescent="0.2">
      <c r="A32" s="78"/>
      <c r="B32" s="78"/>
      <c r="C32" s="81"/>
      <c r="D32" s="81"/>
      <c r="E32" s="81"/>
      <c r="F32" s="81"/>
    </row>
    <row r="33" spans="1:6" x14ac:dyDescent="0.2">
      <c r="A33" s="78"/>
      <c r="B33" s="78"/>
      <c r="C33" s="81"/>
      <c r="D33" s="81"/>
      <c r="E33" s="81"/>
      <c r="F33" s="81"/>
    </row>
    <row r="34" spans="1:6" x14ac:dyDescent="0.2">
      <c r="A34" s="78"/>
      <c r="B34" s="78"/>
      <c r="C34" s="81"/>
      <c r="D34" s="81"/>
      <c r="E34" s="81"/>
      <c r="F34" s="81"/>
    </row>
    <row r="35" spans="1:6" x14ac:dyDescent="0.2">
      <c r="A35" s="78"/>
      <c r="B35" s="78"/>
      <c r="C35" s="81"/>
      <c r="D35" s="81"/>
      <c r="E35" s="81"/>
      <c r="F35" s="81"/>
    </row>
    <row r="36" spans="1:6" x14ac:dyDescent="0.2">
      <c r="A36" s="78"/>
      <c r="B36" s="78"/>
      <c r="C36" s="81"/>
      <c r="D36" s="81"/>
      <c r="E36" s="81"/>
      <c r="F36" s="81"/>
    </row>
    <row r="37" spans="1:6" x14ac:dyDescent="0.2">
      <c r="A37" s="78"/>
      <c r="B37" s="78"/>
      <c r="C37" s="81"/>
      <c r="D37" s="81"/>
      <c r="E37" s="81"/>
      <c r="F37" s="81"/>
    </row>
    <row r="38" spans="1:6" x14ac:dyDescent="0.2">
      <c r="A38" s="78"/>
      <c r="B38" s="78"/>
      <c r="C38" s="81"/>
      <c r="D38" s="81"/>
      <c r="E38" s="81"/>
      <c r="F38" s="81"/>
    </row>
    <row r="39" spans="1:6" x14ac:dyDescent="0.2">
      <c r="A39" s="78"/>
      <c r="B39" s="78"/>
      <c r="C39" s="81"/>
      <c r="D39" s="81"/>
      <c r="E39" s="81"/>
      <c r="F39" s="81"/>
    </row>
    <row r="40" spans="1:6" x14ac:dyDescent="0.2">
      <c r="A40" s="78"/>
      <c r="B40" s="78"/>
      <c r="C40" s="81"/>
      <c r="D40" s="81"/>
      <c r="E40" s="81"/>
      <c r="F40" s="81"/>
    </row>
    <row r="41" spans="1:6" x14ac:dyDescent="0.2">
      <c r="A41" s="78"/>
      <c r="B41" s="78"/>
      <c r="C41" s="81"/>
      <c r="D41" s="81"/>
      <c r="E41" s="81"/>
      <c r="F41" s="81"/>
    </row>
    <row r="42" spans="1:6" x14ac:dyDescent="0.2">
      <c r="A42" s="78"/>
      <c r="B42" s="78"/>
      <c r="C42" s="81"/>
      <c r="D42" s="81"/>
      <c r="E42" s="81"/>
      <c r="F42" s="81"/>
    </row>
    <row r="43" spans="1:6" x14ac:dyDescent="0.2">
      <c r="A43" s="78"/>
      <c r="B43" s="78"/>
      <c r="C43" s="81"/>
      <c r="D43" s="81"/>
      <c r="E43" s="81"/>
      <c r="F43" s="81"/>
    </row>
    <row r="44" spans="1:6" x14ac:dyDescent="0.2">
      <c r="A44" s="78"/>
      <c r="B44" s="78"/>
      <c r="C44" s="81"/>
      <c r="D44" s="81"/>
      <c r="E44" s="81"/>
      <c r="F44" s="81"/>
    </row>
    <row r="45" spans="1:6" x14ac:dyDescent="0.2">
      <c r="A45" s="78"/>
      <c r="B45" s="78"/>
      <c r="C45" s="81"/>
      <c r="D45" s="81"/>
      <c r="E45" s="81"/>
      <c r="F45" s="81"/>
    </row>
  </sheetData>
  <phoneticPr fontId="25" type="noConversion"/>
  <pageMargins left="0.75" right="0.75" top="1" bottom="1" header="0.5" footer="0.5"/>
  <pageSetup scale="81"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4"/>
  <dimension ref="A1:I28"/>
  <sheetViews>
    <sheetView zoomScale="80" zoomScaleNormal="80" workbookViewId="0">
      <selection activeCell="J15" sqref="J15"/>
    </sheetView>
  </sheetViews>
  <sheetFormatPr defaultRowHeight="12.75" x14ac:dyDescent="0.2"/>
  <cols>
    <col min="1" max="1" width="54.140625" customWidth="1"/>
    <col min="2" max="2" width="10.28515625" customWidth="1"/>
    <col min="4" max="4" width="7.7109375" customWidth="1"/>
    <col min="5" max="5" width="8.7109375" style="3" customWidth="1"/>
    <col min="6" max="6" width="8.5703125" customWidth="1"/>
    <col min="7" max="7" width="8.85546875" customWidth="1"/>
    <col min="8" max="8" width="6.7109375" customWidth="1"/>
    <col min="9" max="9" width="10.28515625" style="3" bestFit="1" customWidth="1"/>
  </cols>
  <sheetData>
    <row r="1" spans="1:9" x14ac:dyDescent="0.2">
      <c r="A1" s="21" t="str">
        <f>"Table ____.  Septic inputs to loading model, "&amp;Calculations!$B$4&amp; ", "&amp;Calculations!$B$5&amp;  " scenario."</f>
        <v>Table ____.  Septic inputs to loading model, ,  scenario.</v>
      </c>
      <c r="I1"/>
    </row>
    <row r="2" spans="1:9" x14ac:dyDescent="0.2">
      <c r="A2" s="21"/>
      <c r="I2"/>
    </row>
    <row r="3" spans="1:9" ht="39.75" x14ac:dyDescent="0.2">
      <c r="A3" s="154" t="s">
        <v>464</v>
      </c>
      <c r="B3" s="155" t="s">
        <v>472</v>
      </c>
      <c r="C3" s="156" t="s">
        <v>465</v>
      </c>
      <c r="D3" s="155" t="s">
        <v>466</v>
      </c>
      <c r="E3" s="155" t="s">
        <v>467</v>
      </c>
      <c r="F3" s="157" t="s">
        <v>323</v>
      </c>
      <c r="G3" s="158" t="s">
        <v>471</v>
      </c>
      <c r="H3" s="156" t="s">
        <v>468</v>
      </c>
      <c r="I3" s="162" t="s">
        <v>475</v>
      </c>
    </row>
    <row r="4" spans="1:9" x14ac:dyDescent="0.2">
      <c r="A4" s="69" t="s">
        <v>474</v>
      </c>
      <c r="B4" s="1">
        <f>Calculations!D63</f>
        <v>0</v>
      </c>
      <c r="C4" s="1">
        <f>Calculations!E63</f>
        <v>2.5</v>
      </c>
      <c r="D4" s="1">
        <f>Calculations!H63</f>
        <v>0</v>
      </c>
      <c r="E4" s="1">
        <f>Calculations!G63</f>
        <v>8</v>
      </c>
      <c r="F4" s="7">
        <f>Calculations!L63</f>
        <v>0</v>
      </c>
      <c r="G4" s="159">
        <f>Calculations!F63</f>
        <v>0.25</v>
      </c>
      <c r="H4" s="1">
        <f>Calculations!B63</f>
        <v>0</v>
      </c>
      <c r="I4" s="163">
        <f>Calculations!K63</f>
        <v>0</v>
      </c>
    </row>
    <row r="5" spans="1:9" x14ac:dyDescent="0.2">
      <c r="A5" s="69" t="s">
        <v>476</v>
      </c>
      <c r="B5" s="1">
        <f>Calculations!D64</f>
        <v>0</v>
      </c>
      <c r="C5" s="1">
        <f>Calculations!E64</f>
        <v>2.5</v>
      </c>
      <c r="D5" s="1">
        <f>Calculations!H64</f>
        <v>0</v>
      </c>
      <c r="E5" s="1">
        <f>Calculations!G64</f>
        <v>8</v>
      </c>
      <c r="F5" s="7">
        <f>Calculations!L64</f>
        <v>0</v>
      </c>
      <c r="G5" s="159">
        <f>Calculations!F64</f>
        <v>0.25</v>
      </c>
      <c r="H5" s="1">
        <f>Calculations!B64</f>
        <v>0</v>
      </c>
      <c r="I5" s="163">
        <f>Calculations!K64</f>
        <v>0</v>
      </c>
    </row>
    <row r="6" spans="1:9" x14ac:dyDescent="0.2">
      <c r="A6" s="69" t="s">
        <v>477</v>
      </c>
      <c r="B6" s="1">
        <f>Calculations!D65</f>
        <v>0</v>
      </c>
      <c r="C6" s="1">
        <f>Calculations!E65</f>
        <v>2.5</v>
      </c>
      <c r="D6" s="1">
        <f>Calculations!H65</f>
        <v>0</v>
      </c>
      <c r="E6" s="1">
        <f>Calculations!G65</f>
        <v>8</v>
      </c>
      <c r="F6" s="7">
        <f>Calculations!L65</f>
        <v>0</v>
      </c>
      <c r="G6" s="159">
        <f>Calculations!F65</f>
        <v>0.25</v>
      </c>
      <c r="H6" s="1">
        <f>Calculations!B65</f>
        <v>0</v>
      </c>
      <c r="I6" s="163">
        <f>Calculations!K65</f>
        <v>0</v>
      </c>
    </row>
    <row r="7" spans="1:9" x14ac:dyDescent="0.2">
      <c r="A7" s="148" t="s">
        <v>478</v>
      </c>
      <c r="B7" s="152">
        <f>Calculations!D66</f>
        <v>0</v>
      </c>
      <c r="C7" s="152">
        <f>Calculations!E66</f>
        <v>2.5</v>
      </c>
      <c r="D7" s="152">
        <f>Calculations!H66</f>
        <v>0</v>
      </c>
      <c r="E7" s="152">
        <f>Calculations!G66</f>
        <v>8</v>
      </c>
      <c r="F7" s="149">
        <f>Calculations!L66</f>
        <v>0</v>
      </c>
      <c r="G7" s="160">
        <f>Calculations!F66</f>
        <v>0.25</v>
      </c>
      <c r="H7" s="152">
        <f>Calculations!B66</f>
        <v>0</v>
      </c>
      <c r="I7" s="164">
        <f>Calculations!K66</f>
        <v>0</v>
      </c>
    </row>
    <row r="8" spans="1:9" x14ac:dyDescent="0.2">
      <c r="A8" t="s">
        <v>469</v>
      </c>
      <c r="E8"/>
      <c r="F8" s="7">
        <f>SUM(F4:F7)</f>
        <v>0</v>
      </c>
      <c r="G8" s="161"/>
      <c r="I8" s="163">
        <f>SUM(I4:I7)</f>
        <v>0</v>
      </c>
    </row>
    <row r="9" spans="1:9" x14ac:dyDescent="0.2">
      <c r="A9" s="141"/>
      <c r="B9" s="5"/>
      <c r="C9" s="1"/>
    </row>
    <row r="18" spans="1:9" x14ac:dyDescent="0.2">
      <c r="I18"/>
    </row>
    <row r="25" spans="1:9" x14ac:dyDescent="0.2">
      <c r="A25" s="23"/>
      <c r="B25" s="74"/>
    </row>
    <row r="26" spans="1:9" x14ac:dyDescent="0.2">
      <c r="A26" s="23"/>
      <c r="B26" s="74"/>
    </row>
    <row r="27" spans="1:9" x14ac:dyDescent="0.2">
      <c r="A27" s="23"/>
      <c r="B27" s="74"/>
    </row>
    <row r="28" spans="1:9" x14ac:dyDescent="0.2">
      <c r="A28" s="23"/>
      <c r="B28" s="74"/>
    </row>
  </sheetData>
  <phoneticPr fontId="25" type="noConversion"/>
  <pageMargins left="0.75" right="0.75" top="1" bottom="1" header="0.5" footer="0.5"/>
  <pageSetup orientation="landscape" horizontalDpi="1200" verticalDpi="12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F14"/>
  <sheetViews>
    <sheetView workbookViewId="0">
      <selection activeCell="F28" sqref="F28"/>
    </sheetView>
  </sheetViews>
  <sheetFormatPr defaultRowHeight="12.75" x14ac:dyDescent="0.2"/>
  <cols>
    <col min="1" max="1" width="31" customWidth="1"/>
    <col min="4" max="4" width="9.28515625" customWidth="1"/>
  </cols>
  <sheetData>
    <row r="2" spans="1:6" x14ac:dyDescent="0.2">
      <c r="A2" t="s">
        <v>726</v>
      </c>
    </row>
    <row r="4" spans="1:6" x14ac:dyDescent="0.2">
      <c r="A4" s="69"/>
      <c r="B4" t="s">
        <v>720</v>
      </c>
      <c r="C4" t="s">
        <v>721</v>
      </c>
      <c r="D4" s="69" t="s">
        <v>722</v>
      </c>
      <c r="E4" s="69" t="s">
        <v>727</v>
      </c>
      <c r="F4" s="69"/>
    </row>
    <row r="5" spans="1:6" x14ac:dyDescent="0.2">
      <c r="A5" t="s">
        <v>719</v>
      </c>
      <c r="D5" s="69"/>
      <c r="E5" s="69"/>
      <c r="F5" s="69"/>
    </row>
    <row r="6" spans="1:6" x14ac:dyDescent="0.2">
      <c r="A6" s="69" t="s">
        <v>724</v>
      </c>
    </row>
    <row r="7" spans="1:6" x14ac:dyDescent="0.2">
      <c r="A7" s="69" t="s">
        <v>725</v>
      </c>
    </row>
    <row r="8" spans="1:6" x14ac:dyDescent="0.2">
      <c r="A8" s="69" t="s">
        <v>723</v>
      </c>
    </row>
    <row r="9" spans="1:6" x14ac:dyDescent="0.2">
      <c r="A9" s="69" t="s">
        <v>533</v>
      </c>
    </row>
    <row r="14" spans="1:6" x14ac:dyDescent="0.2">
      <c r="E14" s="69" t="s">
        <v>532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3:O241"/>
  <sheetViews>
    <sheetView topLeftCell="A208" zoomScale="75" workbookViewId="0">
      <selection activeCell="C251" sqref="C251"/>
    </sheetView>
  </sheetViews>
  <sheetFormatPr defaultRowHeight="12.75" x14ac:dyDescent="0.2"/>
  <cols>
    <col min="1" max="1" width="25.7109375" style="78" customWidth="1"/>
    <col min="2" max="2" width="51.7109375" style="78" customWidth="1"/>
    <col min="3" max="3" width="28" style="78" customWidth="1"/>
    <col min="4" max="4" width="14.140625" style="78" customWidth="1"/>
    <col min="5" max="6" width="10.28515625" style="78" customWidth="1"/>
    <col min="7" max="7" width="29.7109375" style="78" customWidth="1"/>
    <col min="8" max="11" width="10.28515625" style="78" customWidth="1"/>
    <col min="12" max="12" width="9.140625" style="78" customWidth="1"/>
    <col min="13" max="13" width="80" style="102" customWidth="1"/>
    <col min="14" max="15" width="9.140625" style="78" customWidth="1"/>
  </cols>
  <sheetData>
    <row r="3" spans="1:13" ht="18" x14ac:dyDescent="0.25">
      <c r="A3" s="17" t="s">
        <v>0</v>
      </c>
    </row>
    <row r="6" spans="1:13" x14ac:dyDescent="0.2">
      <c r="C6" s="379" t="s">
        <v>694</v>
      </c>
      <c r="D6" s="79"/>
      <c r="E6" s="79"/>
      <c r="M6" s="103" t="s">
        <v>387</v>
      </c>
    </row>
    <row r="7" spans="1:13" x14ac:dyDescent="0.2">
      <c r="A7" s="78" t="s">
        <v>238</v>
      </c>
      <c r="B7" s="78" t="s">
        <v>1</v>
      </c>
      <c r="C7" s="80" t="s">
        <v>2</v>
      </c>
      <c r="D7" s="80" t="s">
        <v>3</v>
      </c>
      <c r="E7" s="80" t="s">
        <v>4</v>
      </c>
      <c r="G7" s="74" t="s">
        <v>116</v>
      </c>
    </row>
    <row r="9" spans="1:13" x14ac:dyDescent="0.2">
      <c r="A9" s="78" t="s">
        <v>5</v>
      </c>
      <c r="B9" s="78" t="s">
        <v>309</v>
      </c>
      <c r="C9" s="165">
        <v>2</v>
      </c>
      <c r="D9" s="165">
        <v>1.7</v>
      </c>
      <c r="E9" s="165">
        <v>1.5</v>
      </c>
      <c r="G9" s="78" t="s">
        <v>265</v>
      </c>
      <c r="M9" s="102" t="s">
        <v>388</v>
      </c>
    </row>
    <row r="10" spans="1:13" x14ac:dyDescent="0.2">
      <c r="B10"/>
      <c r="C10" s="165"/>
      <c r="D10" s="165"/>
      <c r="E10" s="165"/>
    </row>
    <row r="11" spans="1:13" ht="25.5" x14ac:dyDescent="0.2">
      <c r="A11" s="78" t="s">
        <v>6</v>
      </c>
      <c r="B11" s="78" t="s">
        <v>310</v>
      </c>
      <c r="C11" s="80">
        <v>1.53</v>
      </c>
      <c r="D11" s="80">
        <v>1.1399999999999999</v>
      </c>
      <c r="E11" s="80">
        <v>0.81</v>
      </c>
      <c r="G11" s="78" t="s">
        <v>294</v>
      </c>
      <c r="M11" s="102" t="s">
        <v>389</v>
      </c>
    </row>
    <row r="12" spans="1:13" x14ac:dyDescent="0.2">
      <c r="B12"/>
      <c r="C12" s="80"/>
      <c r="D12" s="80"/>
      <c r="E12" s="80"/>
    </row>
    <row r="13" spans="1:13" x14ac:dyDescent="0.2">
      <c r="A13" s="78" t="s">
        <v>7</v>
      </c>
      <c r="B13" s="78" t="s">
        <v>8</v>
      </c>
      <c r="C13" s="85">
        <v>0.95</v>
      </c>
      <c r="D13" s="85">
        <v>0.4</v>
      </c>
      <c r="E13" s="85">
        <v>0.1</v>
      </c>
      <c r="G13" s="78" t="s">
        <v>266</v>
      </c>
      <c r="M13" s="102" t="s">
        <v>9</v>
      </c>
    </row>
    <row r="14" spans="1:13" x14ac:dyDescent="0.2">
      <c r="B14"/>
      <c r="C14" s="80"/>
      <c r="D14" s="80"/>
      <c r="E14" s="80"/>
    </row>
    <row r="15" spans="1:13" x14ac:dyDescent="0.2">
      <c r="A15" s="78" t="s">
        <v>10</v>
      </c>
      <c r="B15" s="78" t="s">
        <v>11</v>
      </c>
      <c r="C15" s="85">
        <v>0.4</v>
      </c>
      <c r="D15" s="85">
        <v>0.2</v>
      </c>
      <c r="E15" s="85">
        <v>0.01</v>
      </c>
      <c r="G15" s="78" t="s">
        <v>266</v>
      </c>
      <c r="M15" s="102" t="s">
        <v>12</v>
      </c>
    </row>
    <row r="16" spans="1:13" x14ac:dyDescent="0.2">
      <c r="B16"/>
    </row>
    <row r="17" spans="1:13" ht="52.5" customHeight="1" x14ac:dyDescent="0.2">
      <c r="A17" s="69" t="s">
        <v>691</v>
      </c>
      <c r="B17" s="69" t="s">
        <v>692</v>
      </c>
      <c r="D17" s="80">
        <v>0.11</v>
      </c>
      <c r="G17" s="441" t="s">
        <v>693</v>
      </c>
      <c r="H17" s="441"/>
      <c r="I17" s="441"/>
      <c r="J17" s="441"/>
      <c r="K17" s="441"/>
      <c r="L17" s="441"/>
    </row>
    <row r="20" spans="1:13" x14ac:dyDescent="0.2">
      <c r="A20" s="21" t="s">
        <v>302</v>
      </c>
    </row>
    <row r="21" spans="1:13" x14ac:dyDescent="0.2">
      <c r="C21" s="79" t="s">
        <v>13</v>
      </c>
      <c r="D21" s="79"/>
      <c r="E21" s="79"/>
      <c r="F21" s="79"/>
      <c r="H21" s="79" t="s">
        <v>14</v>
      </c>
      <c r="I21" s="79"/>
      <c r="J21" s="79"/>
      <c r="K21" s="79"/>
    </row>
    <row r="22" spans="1:13" x14ac:dyDescent="0.2">
      <c r="A22" s="78" t="s">
        <v>15</v>
      </c>
      <c r="C22" s="80" t="s">
        <v>16</v>
      </c>
      <c r="D22" s="80" t="s">
        <v>17</v>
      </c>
      <c r="E22" s="80" t="s">
        <v>18</v>
      </c>
      <c r="F22" s="80" t="s">
        <v>19</v>
      </c>
      <c r="G22" s="80" t="s">
        <v>116</v>
      </c>
      <c r="H22" s="80" t="s">
        <v>16</v>
      </c>
      <c r="I22" s="80" t="s">
        <v>17</v>
      </c>
      <c r="J22" s="80" t="s">
        <v>18</v>
      </c>
      <c r="K22" s="80" t="s">
        <v>19</v>
      </c>
    </row>
    <row r="23" spans="1:13" ht="12.75" customHeight="1" x14ac:dyDescent="0.2">
      <c r="A23" s="78" t="s">
        <v>20</v>
      </c>
      <c r="B23" s="78" t="s">
        <v>21</v>
      </c>
      <c r="C23" s="85">
        <v>6.23</v>
      </c>
      <c r="D23" s="85">
        <v>1.91</v>
      </c>
      <c r="E23" s="85">
        <v>1.1000000000000001</v>
      </c>
      <c r="F23" s="85">
        <v>0.19</v>
      </c>
      <c r="G23" s="442" t="s">
        <v>352</v>
      </c>
      <c r="H23" s="85">
        <v>38.47</v>
      </c>
      <c r="I23" s="85">
        <v>9.9700000000000006</v>
      </c>
      <c r="J23" s="85">
        <v>5.5</v>
      </c>
      <c r="K23" s="85">
        <v>1.48</v>
      </c>
      <c r="M23" s="444" t="s">
        <v>390</v>
      </c>
    </row>
    <row r="24" spans="1:13" x14ac:dyDescent="0.2">
      <c r="A24" s="78" t="s">
        <v>22</v>
      </c>
      <c r="B24" s="78" t="s">
        <v>23</v>
      </c>
      <c r="C24" s="85">
        <v>6.23</v>
      </c>
      <c r="D24" s="85">
        <v>1.91</v>
      </c>
      <c r="E24" s="85">
        <v>1.1000000000000001</v>
      </c>
      <c r="F24" s="85">
        <v>0.19</v>
      </c>
      <c r="G24" s="442"/>
      <c r="H24" s="85">
        <v>38.47</v>
      </c>
      <c r="I24" s="85">
        <v>9.9700000000000006</v>
      </c>
      <c r="J24" s="85">
        <v>5.5</v>
      </c>
      <c r="K24" s="85">
        <v>1.48</v>
      </c>
      <c r="M24" s="444"/>
    </row>
    <row r="25" spans="1:13" x14ac:dyDescent="0.2">
      <c r="A25" s="78" t="s">
        <v>24</v>
      </c>
      <c r="B25" s="78" t="s">
        <v>25</v>
      </c>
      <c r="C25" s="85">
        <v>6.23</v>
      </c>
      <c r="D25" s="85">
        <v>1.91</v>
      </c>
      <c r="E25" s="85">
        <v>1.1000000000000001</v>
      </c>
      <c r="F25" s="85">
        <v>0.19</v>
      </c>
      <c r="G25" s="442"/>
      <c r="H25" s="85">
        <v>38.47</v>
      </c>
      <c r="I25" s="85">
        <v>9.9700000000000006</v>
      </c>
      <c r="J25" s="85">
        <v>5.5</v>
      </c>
      <c r="K25" s="85">
        <v>1.48</v>
      </c>
      <c r="M25" s="444"/>
    </row>
    <row r="26" spans="1:13" x14ac:dyDescent="0.2">
      <c r="A26" s="78" t="s">
        <v>26</v>
      </c>
      <c r="B26" s="78" t="s">
        <v>27</v>
      </c>
      <c r="C26" s="85">
        <v>6.23</v>
      </c>
      <c r="D26" s="85">
        <v>1.91</v>
      </c>
      <c r="E26" s="85">
        <v>1.1000000000000001</v>
      </c>
      <c r="F26" s="85">
        <v>0.19</v>
      </c>
      <c r="G26" s="442"/>
      <c r="H26" s="85">
        <v>38.47</v>
      </c>
      <c r="I26" s="85">
        <v>9.9700000000000006</v>
      </c>
      <c r="J26" s="85">
        <v>5.5</v>
      </c>
      <c r="K26" s="85">
        <v>1.48</v>
      </c>
      <c r="M26" s="444"/>
    </row>
    <row r="27" spans="1:13" x14ac:dyDescent="0.2">
      <c r="A27" s="78" t="s">
        <v>28</v>
      </c>
      <c r="B27" s="78" t="s">
        <v>29</v>
      </c>
      <c r="C27" s="85">
        <v>6.23</v>
      </c>
      <c r="D27" s="85">
        <v>1.91</v>
      </c>
      <c r="E27" s="85">
        <v>1.1000000000000001</v>
      </c>
      <c r="F27" s="85">
        <v>0.19</v>
      </c>
      <c r="G27" s="442"/>
      <c r="H27" s="85">
        <v>38.47</v>
      </c>
      <c r="I27" s="85">
        <v>9.9700000000000006</v>
      </c>
      <c r="J27" s="85">
        <v>5.5</v>
      </c>
      <c r="K27" s="85">
        <v>1.48</v>
      </c>
      <c r="M27" s="444"/>
    </row>
    <row r="28" spans="1:13" ht="12.75" customHeight="1" x14ac:dyDescent="0.2">
      <c r="A28" s="78" t="s">
        <v>30</v>
      </c>
      <c r="B28" s="78" t="s">
        <v>31</v>
      </c>
      <c r="C28" s="85">
        <v>2.9</v>
      </c>
      <c r="D28" s="85">
        <v>1.08</v>
      </c>
      <c r="E28" s="85">
        <v>0.8</v>
      </c>
      <c r="F28" s="85">
        <v>0.1</v>
      </c>
      <c r="G28" s="442"/>
      <c r="H28" s="85">
        <v>7.82</v>
      </c>
      <c r="I28" s="85">
        <v>5.19</v>
      </c>
      <c r="J28" s="85">
        <v>6.08</v>
      </c>
      <c r="K28" s="85">
        <v>0.97</v>
      </c>
      <c r="M28" s="444" t="s">
        <v>392</v>
      </c>
    </row>
    <row r="29" spans="1:13" x14ac:dyDescent="0.2">
      <c r="A29" s="78" t="s">
        <v>32</v>
      </c>
      <c r="B29" s="78" t="s">
        <v>33</v>
      </c>
      <c r="C29" s="85">
        <v>18.600000000000001</v>
      </c>
      <c r="D29" s="85">
        <v>4.46</v>
      </c>
      <c r="E29" s="85">
        <v>2.2000000000000002</v>
      </c>
      <c r="F29" s="85">
        <v>0.26</v>
      </c>
      <c r="G29" s="442"/>
      <c r="H29" s="85">
        <v>79.599999999999994</v>
      </c>
      <c r="I29" s="85">
        <v>16.09</v>
      </c>
      <c r="J29" s="85">
        <v>9</v>
      </c>
      <c r="K29" s="85">
        <v>2.1</v>
      </c>
      <c r="M29" s="444"/>
    </row>
    <row r="30" spans="1:13" ht="13.5" customHeight="1" x14ac:dyDescent="0.2">
      <c r="A30" s="78" t="s">
        <v>34</v>
      </c>
      <c r="B30" s="78" t="s">
        <v>35</v>
      </c>
      <c r="C30" s="85">
        <v>4.9000000000000004</v>
      </c>
      <c r="D30" s="85">
        <v>1.5</v>
      </c>
      <c r="E30" s="85">
        <v>0.8</v>
      </c>
      <c r="F30" s="85">
        <v>0.14000000000000001</v>
      </c>
      <c r="G30" s="442"/>
      <c r="H30" s="85">
        <v>30.85</v>
      </c>
      <c r="I30" s="85">
        <v>8.65</v>
      </c>
      <c r="J30" s="85">
        <v>5.19</v>
      </c>
      <c r="K30" s="85">
        <v>1.48</v>
      </c>
      <c r="M30" s="102" t="s">
        <v>391</v>
      </c>
    </row>
    <row r="31" spans="1:13" x14ac:dyDescent="0.2">
      <c r="A31" s="78" t="s">
        <v>36</v>
      </c>
      <c r="B31" s="78" t="s">
        <v>37</v>
      </c>
      <c r="C31" s="85">
        <v>795.2</v>
      </c>
      <c r="D31" s="85">
        <v>300.7</v>
      </c>
      <c r="E31" s="85">
        <v>224</v>
      </c>
      <c r="F31" s="85">
        <v>21.28</v>
      </c>
      <c r="G31" s="442"/>
      <c r="H31" s="85">
        <v>7979.9</v>
      </c>
      <c r="I31" s="85">
        <v>3110.7</v>
      </c>
      <c r="J31" s="85">
        <v>2923.2</v>
      </c>
      <c r="K31" s="85">
        <v>680.5</v>
      </c>
      <c r="M31" s="102" t="s">
        <v>393</v>
      </c>
    </row>
    <row r="32" spans="1:13" ht="12.75" customHeight="1" x14ac:dyDescent="0.2">
      <c r="A32" s="78" t="s">
        <v>38</v>
      </c>
      <c r="B32" s="78" t="s">
        <v>39</v>
      </c>
      <c r="C32" s="85">
        <v>0.83</v>
      </c>
      <c r="D32" s="85">
        <v>0.24</v>
      </c>
      <c r="E32" s="85">
        <v>0.2</v>
      </c>
      <c r="F32" s="85">
        <v>0.02</v>
      </c>
      <c r="G32" s="442"/>
      <c r="H32" s="85">
        <v>6.26</v>
      </c>
      <c r="I32" s="85">
        <v>2.86</v>
      </c>
      <c r="J32" s="85">
        <v>2.46</v>
      </c>
      <c r="K32" s="85">
        <v>1.38</v>
      </c>
      <c r="M32" s="102" t="s">
        <v>394</v>
      </c>
    </row>
    <row r="33" spans="1:13" ht="12.75" customHeight="1" x14ac:dyDescent="0.2">
      <c r="A33" s="69" t="s">
        <v>520</v>
      </c>
      <c r="B33" s="69" t="s">
        <v>521</v>
      </c>
      <c r="C33" s="85"/>
      <c r="D33" s="85"/>
      <c r="E33" s="85"/>
      <c r="F33" s="85"/>
      <c r="G33" s="442"/>
      <c r="H33" s="85"/>
      <c r="I33" s="85"/>
      <c r="J33" s="85"/>
      <c r="K33" s="85"/>
    </row>
    <row r="34" spans="1:13" ht="12.75" customHeight="1" x14ac:dyDescent="0.2">
      <c r="A34" s="69" t="s">
        <v>428</v>
      </c>
      <c r="B34" s="69" t="s">
        <v>521</v>
      </c>
      <c r="C34" s="85"/>
      <c r="D34" s="85"/>
      <c r="E34" s="85"/>
      <c r="F34" s="85"/>
      <c r="G34" s="442"/>
      <c r="H34" s="85"/>
      <c r="I34" s="85"/>
      <c r="J34" s="85"/>
      <c r="K34" s="85"/>
    </row>
    <row r="35" spans="1:13" x14ac:dyDescent="0.2">
      <c r="A35" s="69" t="s">
        <v>427</v>
      </c>
      <c r="B35" s="78" t="s">
        <v>41</v>
      </c>
      <c r="C35" s="85">
        <v>0.83</v>
      </c>
      <c r="D35" s="85">
        <v>0.24</v>
      </c>
      <c r="E35" s="85">
        <v>0.2</v>
      </c>
      <c r="F35" s="85">
        <v>0.02</v>
      </c>
      <c r="G35" s="442"/>
      <c r="H35" s="85">
        <v>6.26</v>
      </c>
      <c r="I35" s="85">
        <v>2.86</v>
      </c>
      <c r="J35" s="85">
        <v>2.46</v>
      </c>
      <c r="K35" s="85">
        <v>1.38</v>
      </c>
      <c r="M35" s="102" t="s">
        <v>395</v>
      </c>
    </row>
    <row r="36" spans="1:13" x14ac:dyDescent="0.2">
      <c r="A36" s="78" t="s">
        <v>42</v>
      </c>
      <c r="B36" s="78" t="s">
        <v>43</v>
      </c>
      <c r="C36" s="85">
        <v>0.83</v>
      </c>
      <c r="D36" s="85">
        <v>0.24</v>
      </c>
      <c r="E36" s="85">
        <v>0.2</v>
      </c>
      <c r="F36" s="85">
        <v>0.02</v>
      </c>
      <c r="G36" s="442"/>
      <c r="H36" s="85">
        <v>6.26</v>
      </c>
      <c r="I36" s="85">
        <v>2.86</v>
      </c>
      <c r="J36" s="85">
        <v>2.46</v>
      </c>
      <c r="K36" s="85">
        <v>1.38</v>
      </c>
      <c r="M36" s="102" t="s">
        <v>396</v>
      </c>
    </row>
    <row r="37" spans="1:13" x14ac:dyDescent="0.2">
      <c r="A37" s="78" t="s">
        <v>44</v>
      </c>
      <c r="B37" s="78" t="s">
        <v>45</v>
      </c>
      <c r="C37" s="85">
        <v>0.83</v>
      </c>
      <c r="D37" s="85">
        <v>0.24</v>
      </c>
      <c r="E37" s="85">
        <v>0.2</v>
      </c>
      <c r="F37" s="85">
        <v>0.02</v>
      </c>
      <c r="G37" s="442"/>
      <c r="H37" s="85">
        <v>6.26</v>
      </c>
      <c r="I37" s="85">
        <v>2.86</v>
      </c>
      <c r="J37" s="85">
        <v>2.46</v>
      </c>
      <c r="K37" s="85">
        <v>1.38</v>
      </c>
      <c r="M37" s="102" t="s">
        <v>397</v>
      </c>
    </row>
    <row r="38" spans="1:13" x14ac:dyDescent="0.2">
      <c r="A38" s="78" t="s">
        <v>46</v>
      </c>
      <c r="B38" s="78" t="s">
        <v>47</v>
      </c>
      <c r="C38" s="85">
        <v>4.9000000000000004</v>
      </c>
      <c r="D38" s="85">
        <v>1.5</v>
      </c>
      <c r="E38" s="85">
        <v>0.8</v>
      </c>
      <c r="F38" s="85">
        <v>0.14000000000000001</v>
      </c>
      <c r="G38" s="442"/>
      <c r="H38" s="85">
        <v>30.85</v>
      </c>
      <c r="I38" s="85">
        <v>8.65</v>
      </c>
      <c r="J38" s="85">
        <v>5.19</v>
      </c>
      <c r="K38" s="85">
        <v>1.48</v>
      </c>
      <c r="M38" s="102" t="s">
        <v>398</v>
      </c>
    </row>
    <row r="39" spans="1:13" x14ac:dyDescent="0.2">
      <c r="A39" s="78" t="s">
        <v>48</v>
      </c>
      <c r="B39" s="78" t="s">
        <v>49</v>
      </c>
      <c r="C39" s="85">
        <v>0.83</v>
      </c>
      <c r="D39" s="85">
        <v>0.24</v>
      </c>
      <c r="E39" s="85">
        <v>0.2</v>
      </c>
      <c r="F39" s="85">
        <v>0.02</v>
      </c>
      <c r="G39" s="442"/>
      <c r="H39" s="85">
        <v>6.26</v>
      </c>
      <c r="I39" s="85">
        <v>2.86</v>
      </c>
      <c r="J39" s="85">
        <v>2.46</v>
      </c>
      <c r="K39" s="85">
        <v>1.38</v>
      </c>
    </row>
    <row r="40" spans="1:13" x14ac:dyDescent="0.2">
      <c r="A40" s="78" t="s">
        <v>50</v>
      </c>
      <c r="B40" s="78" t="s">
        <v>49</v>
      </c>
      <c r="C40" s="85">
        <v>6.23</v>
      </c>
      <c r="D40" s="85">
        <v>1.91</v>
      </c>
      <c r="E40" s="85">
        <v>1.1000000000000001</v>
      </c>
      <c r="F40" s="85">
        <v>0.19</v>
      </c>
      <c r="G40" s="442"/>
      <c r="H40" s="85">
        <v>38.47</v>
      </c>
      <c r="I40" s="85">
        <v>9.9700000000000006</v>
      </c>
      <c r="J40" s="85">
        <v>5.5</v>
      </c>
      <c r="K40" s="85">
        <v>1.48</v>
      </c>
    </row>
    <row r="41" spans="1:13" x14ac:dyDescent="0.2">
      <c r="A41" s="78" t="s">
        <v>51</v>
      </c>
      <c r="B41" s="78" t="s">
        <v>49</v>
      </c>
      <c r="C41" s="85">
        <v>18.600000000000001</v>
      </c>
      <c r="D41" s="85">
        <v>4.46</v>
      </c>
      <c r="E41" s="85">
        <v>2.2000000000000002</v>
      </c>
      <c r="F41" s="85">
        <v>0.26</v>
      </c>
      <c r="G41" s="85"/>
      <c r="H41" s="85">
        <v>79.599999999999994</v>
      </c>
      <c r="I41" s="85">
        <v>16.09</v>
      </c>
      <c r="J41" s="85">
        <v>9</v>
      </c>
      <c r="K41" s="85">
        <v>2.1</v>
      </c>
    </row>
    <row r="42" spans="1:13" x14ac:dyDescent="0.2">
      <c r="C42" s="85"/>
      <c r="D42" s="85"/>
      <c r="E42" s="85"/>
      <c r="F42" s="85"/>
      <c r="G42" s="81"/>
      <c r="H42" s="85"/>
      <c r="I42" s="85"/>
      <c r="J42" s="85"/>
      <c r="K42" s="85"/>
    </row>
    <row r="43" spans="1:13" x14ac:dyDescent="0.2">
      <c r="C43" s="85"/>
      <c r="D43" s="85"/>
      <c r="E43" s="85"/>
      <c r="F43" s="85"/>
      <c r="G43" s="81"/>
      <c r="H43" s="85"/>
      <c r="I43" s="85"/>
      <c r="J43" s="85"/>
      <c r="K43" s="85"/>
    </row>
    <row r="44" spans="1:13" x14ac:dyDescent="0.2">
      <c r="C44" s="85"/>
      <c r="D44" s="85"/>
      <c r="E44" s="85"/>
      <c r="F44" s="85"/>
      <c r="G44" s="81"/>
      <c r="H44" s="85"/>
      <c r="I44" s="85"/>
      <c r="J44" s="85"/>
      <c r="K44" s="85"/>
    </row>
    <row r="45" spans="1:13" x14ac:dyDescent="0.2">
      <c r="A45" s="21" t="s">
        <v>303</v>
      </c>
      <c r="C45" s="80"/>
      <c r="D45" s="80"/>
      <c r="E45" s="80"/>
      <c r="F45" s="80"/>
      <c r="H45" s="80"/>
      <c r="I45" s="80"/>
      <c r="J45" s="80"/>
      <c r="K45" s="80"/>
    </row>
    <row r="46" spans="1:13" x14ac:dyDescent="0.2">
      <c r="C46" s="80" t="s">
        <v>13</v>
      </c>
      <c r="D46" s="80"/>
      <c r="E46" s="80"/>
      <c r="F46" s="80"/>
      <c r="H46" s="80" t="s">
        <v>14</v>
      </c>
      <c r="I46" s="80"/>
      <c r="J46" s="80"/>
      <c r="K46" s="80"/>
    </row>
    <row r="47" spans="1:13" x14ac:dyDescent="0.2">
      <c r="A47" s="78" t="s">
        <v>15</v>
      </c>
      <c r="C47" s="80" t="s">
        <v>16</v>
      </c>
      <c r="D47" s="80" t="s">
        <v>17</v>
      </c>
      <c r="E47" s="80" t="s">
        <v>18</v>
      </c>
      <c r="F47" s="80" t="s">
        <v>19</v>
      </c>
      <c r="G47" s="80" t="s">
        <v>116</v>
      </c>
      <c r="H47" s="80" t="s">
        <v>16</v>
      </c>
      <c r="I47" s="80" t="s">
        <v>17</v>
      </c>
      <c r="J47" s="80" t="s">
        <v>18</v>
      </c>
      <c r="K47" s="80" t="s">
        <v>19</v>
      </c>
    </row>
    <row r="48" spans="1:13" ht="12.75" customHeight="1" x14ac:dyDescent="0.2">
      <c r="A48" s="78" t="s">
        <v>20</v>
      </c>
      <c r="B48" s="78" t="s">
        <v>21</v>
      </c>
      <c r="C48" s="166">
        <v>0.05</v>
      </c>
      <c r="D48" s="166">
        <v>0.01</v>
      </c>
      <c r="E48" s="166">
        <v>0.01</v>
      </c>
      <c r="F48" s="166">
        <v>1E-3</v>
      </c>
      <c r="G48" s="442" t="s">
        <v>353</v>
      </c>
      <c r="H48" s="85">
        <v>20</v>
      </c>
      <c r="I48" s="85">
        <v>5</v>
      </c>
      <c r="J48" s="85">
        <v>5</v>
      </c>
      <c r="K48" s="85">
        <v>1</v>
      </c>
      <c r="M48" s="443" t="s">
        <v>399</v>
      </c>
    </row>
    <row r="49" spans="1:13" x14ac:dyDescent="0.2">
      <c r="A49" s="78" t="s">
        <v>22</v>
      </c>
      <c r="B49" s="78" t="s">
        <v>23</v>
      </c>
      <c r="C49" s="166">
        <v>0.05</v>
      </c>
      <c r="D49" s="166">
        <v>0.01</v>
      </c>
      <c r="E49" s="166">
        <v>0.01</v>
      </c>
      <c r="F49" s="166">
        <v>1E-3</v>
      </c>
      <c r="G49" s="442"/>
      <c r="H49" s="85">
        <v>40</v>
      </c>
      <c r="I49" s="85">
        <v>10</v>
      </c>
      <c r="J49" s="85">
        <v>10</v>
      </c>
      <c r="K49" s="85">
        <v>2</v>
      </c>
      <c r="M49" s="443"/>
    </row>
    <row r="50" spans="1:13" x14ac:dyDescent="0.2">
      <c r="A50" s="78" t="s">
        <v>24</v>
      </c>
      <c r="B50" s="78" t="s">
        <v>25</v>
      </c>
      <c r="C50" s="166">
        <v>0.05</v>
      </c>
      <c r="D50" s="166">
        <v>0.01</v>
      </c>
      <c r="E50" s="166">
        <v>0.01</v>
      </c>
      <c r="F50" s="166">
        <v>1E-3</v>
      </c>
      <c r="G50" s="442"/>
      <c r="H50" s="85">
        <v>80</v>
      </c>
      <c r="I50" s="85">
        <v>20</v>
      </c>
      <c r="J50" s="85">
        <v>20</v>
      </c>
      <c r="K50" s="85">
        <v>4</v>
      </c>
      <c r="M50" s="443"/>
    </row>
    <row r="51" spans="1:13" x14ac:dyDescent="0.2">
      <c r="A51" s="78" t="s">
        <v>26</v>
      </c>
      <c r="B51" s="78" t="s">
        <v>27</v>
      </c>
      <c r="C51" s="166">
        <v>0.05</v>
      </c>
      <c r="D51" s="166">
        <v>0.01</v>
      </c>
      <c r="E51" s="166">
        <v>0.01</v>
      </c>
      <c r="F51" s="166">
        <v>1E-3</v>
      </c>
      <c r="G51" s="442"/>
      <c r="H51" s="85">
        <v>20</v>
      </c>
      <c r="I51" s="85">
        <v>5</v>
      </c>
      <c r="J51" s="85">
        <v>5</v>
      </c>
      <c r="K51" s="85">
        <v>1</v>
      </c>
      <c r="M51" s="443"/>
    </row>
    <row r="52" spans="1:13" x14ac:dyDescent="0.2">
      <c r="A52" s="78" t="s">
        <v>28</v>
      </c>
      <c r="B52" s="78" t="s">
        <v>29</v>
      </c>
      <c r="C52" s="166">
        <v>0.05</v>
      </c>
      <c r="D52" s="166">
        <v>0.01</v>
      </c>
      <c r="E52" s="166">
        <v>0.01</v>
      </c>
      <c r="F52" s="166">
        <v>1E-3</v>
      </c>
      <c r="G52" s="442"/>
      <c r="H52" s="85">
        <v>20</v>
      </c>
      <c r="I52" s="85">
        <v>5</v>
      </c>
      <c r="J52" s="85">
        <v>5</v>
      </c>
      <c r="K52" s="85">
        <v>1</v>
      </c>
      <c r="M52" s="443"/>
    </row>
    <row r="53" spans="1:13" x14ac:dyDescent="0.2">
      <c r="A53" s="78" t="s">
        <v>30</v>
      </c>
      <c r="B53" s="78" t="s">
        <v>31</v>
      </c>
      <c r="C53" s="166">
        <v>0.05</v>
      </c>
      <c r="D53" s="166">
        <v>0.01</v>
      </c>
      <c r="E53" s="166">
        <v>0.01</v>
      </c>
      <c r="F53" s="166">
        <v>1E-3</v>
      </c>
      <c r="G53" s="442"/>
      <c r="H53" s="85">
        <v>10</v>
      </c>
      <c r="I53" s="85">
        <v>2.5</v>
      </c>
      <c r="J53" s="85">
        <v>2.5</v>
      </c>
      <c r="K53" s="85">
        <v>0.5</v>
      </c>
      <c r="M53" s="443" t="s">
        <v>400</v>
      </c>
    </row>
    <row r="54" spans="1:13" x14ac:dyDescent="0.2">
      <c r="A54" s="78" t="s">
        <v>32</v>
      </c>
      <c r="B54" s="78" t="s">
        <v>33</v>
      </c>
      <c r="C54" s="166">
        <v>0.05</v>
      </c>
      <c r="D54" s="166">
        <v>0.01</v>
      </c>
      <c r="E54" s="166">
        <v>0.01</v>
      </c>
      <c r="F54" s="166">
        <v>1E-3</v>
      </c>
      <c r="G54" s="442"/>
      <c r="H54" s="85">
        <v>10</v>
      </c>
      <c r="I54" s="85">
        <v>2.5</v>
      </c>
      <c r="J54" s="85">
        <v>2.5</v>
      </c>
      <c r="K54" s="85">
        <v>0.5</v>
      </c>
      <c r="M54" s="443"/>
    </row>
    <row r="55" spans="1:13" x14ac:dyDescent="0.2">
      <c r="A55" s="78" t="s">
        <v>34</v>
      </c>
      <c r="B55" s="78" t="s">
        <v>35</v>
      </c>
      <c r="C55" s="166">
        <v>0.05</v>
      </c>
      <c r="D55" s="166">
        <v>0.01</v>
      </c>
      <c r="E55" s="166">
        <v>0.01</v>
      </c>
      <c r="F55" s="166">
        <v>1E-3</v>
      </c>
      <c r="G55" s="442"/>
      <c r="H55" s="85">
        <v>20</v>
      </c>
      <c r="I55" s="85">
        <v>5</v>
      </c>
      <c r="J55" s="85">
        <v>5</v>
      </c>
      <c r="K55" s="85">
        <v>1</v>
      </c>
      <c r="M55" s="102" t="s">
        <v>401</v>
      </c>
    </row>
    <row r="56" spans="1:13" ht="25.5" x14ac:dyDescent="0.2">
      <c r="A56" s="78" t="s">
        <v>36</v>
      </c>
      <c r="B56" s="78" t="s">
        <v>37</v>
      </c>
      <c r="C56" s="166">
        <v>0.1</v>
      </c>
      <c r="D56" s="166">
        <v>0.03</v>
      </c>
      <c r="E56" s="166">
        <v>0.03</v>
      </c>
      <c r="F56" s="166">
        <v>1E-3</v>
      </c>
      <c r="G56" s="442"/>
      <c r="H56" s="85">
        <v>100</v>
      </c>
      <c r="I56" s="85">
        <v>25</v>
      </c>
      <c r="J56" s="85">
        <v>25</v>
      </c>
      <c r="K56" s="85">
        <v>5</v>
      </c>
      <c r="M56" s="102" t="s">
        <v>402</v>
      </c>
    </row>
    <row r="57" spans="1:13" x14ac:dyDescent="0.2">
      <c r="A57" s="78" t="s">
        <v>38</v>
      </c>
      <c r="B57" s="78" t="s">
        <v>39</v>
      </c>
      <c r="C57" s="166">
        <v>0.01</v>
      </c>
      <c r="D57" s="166">
        <v>4.0000000000000001E-3</v>
      </c>
      <c r="E57" s="166">
        <v>4.0000000000000001E-3</v>
      </c>
      <c r="F57" s="166">
        <v>1E-3</v>
      </c>
      <c r="G57" s="442"/>
      <c r="H57" s="85">
        <v>1</v>
      </c>
      <c r="I57" s="85">
        <v>0.5</v>
      </c>
      <c r="J57" s="85">
        <v>0.5</v>
      </c>
      <c r="K57" s="85">
        <v>0.05</v>
      </c>
      <c r="M57" s="102" t="s">
        <v>404</v>
      </c>
    </row>
    <row r="58" spans="1:13" x14ac:dyDescent="0.2">
      <c r="A58" s="78" t="s">
        <v>40</v>
      </c>
      <c r="B58" s="78" t="s">
        <v>41</v>
      </c>
      <c r="C58" s="166">
        <v>0.01</v>
      </c>
      <c r="D58" s="166">
        <v>4.0000000000000001E-3</v>
      </c>
      <c r="E58" s="166">
        <v>4.0000000000000001E-3</v>
      </c>
      <c r="F58" s="166">
        <v>1E-3</v>
      </c>
      <c r="G58" s="442"/>
      <c r="H58" s="85">
        <v>1</v>
      </c>
      <c r="I58" s="85">
        <v>0.5</v>
      </c>
      <c r="J58" s="85">
        <v>0.5</v>
      </c>
      <c r="K58" s="85">
        <v>0.05</v>
      </c>
      <c r="M58" s="102" t="s">
        <v>404</v>
      </c>
    </row>
    <row r="59" spans="1:13" x14ac:dyDescent="0.2">
      <c r="A59" s="78" t="s">
        <v>42</v>
      </c>
      <c r="B59" s="78" t="s">
        <v>43</v>
      </c>
      <c r="C59" s="166">
        <v>0.01</v>
      </c>
      <c r="D59" s="166">
        <v>4.0000000000000001E-3</v>
      </c>
      <c r="E59" s="166">
        <v>4.0000000000000001E-3</v>
      </c>
      <c r="F59" s="166">
        <v>1E-3</v>
      </c>
      <c r="G59" s="442"/>
      <c r="H59" s="85">
        <v>1</v>
      </c>
      <c r="I59" s="85">
        <v>0.5</v>
      </c>
      <c r="J59" s="85">
        <v>0.5</v>
      </c>
      <c r="K59" s="85">
        <v>0.05</v>
      </c>
      <c r="M59" s="102" t="s">
        <v>403</v>
      </c>
    </row>
    <row r="60" spans="1:13" x14ac:dyDescent="0.2">
      <c r="A60" s="78" t="s">
        <v>44</v>
      </c>
      <c r="B60" s="78" t="s">
        <v>45</v>
      </c>
      <c r="C60" s="166">
        <v>0.01</v>
      </c>
      <c r="D60" s="166">
        <v>4.0000000000000001E-3</v>
      </c>
      <c r="E60" s="166">
        <v>4.0000000000000001E-3</v>
      </c>
      <c r="F60" s="166">
        <v>1E-3</v>
      </c>
      <c r="G60" s="442"/>
      <c r="H60" s="85">
        <v>1</v>
      </c>
      <c r="I60" s="85">
        <v>0.5</v>
      </c>
      <c r="J60" s="85">
        <v>0.5</v>
      </c>
      <c r="K60" s="85">
        <v>0.05</v>
      </c>
      <c r="M60" s="102" t="s">
        <v>404</v>
      </c>
    </row>
    <row r="61" spans="1:13" x14ac:dyDescent="0.2">
      <c r="A61" s="78" t="s">
        <v>46</v>
      </c>
      <c r="B61" s="78" t="s">
        <v>47</v>
      </c>
      <c r="C61" s="166">
        <v>0.01</v>
      </c>
      <c r="D61" s="166">
        <v>4.0000000000000001E-3</v>
      </c>
      <c r="E61" s="166">
        <v>4.0000000000000001E-3</v>
      </c>
      <c r="F61" s="166">
        <v>1E-3</v>
      </c>
      <c r="G61" s="442"/>
      <c r="H61" s="85">
        <v>1</v>
      </c>
      <c r="I61" s="85">
        <v>0.5</v>
      </c>
      <c r="J61" s="85">
        <v>0.5</v>
      </c>
      <c r="K61" s="85">
        <v>0.05</v>
      </c>
      <c r="M61" s="102" t="s">
        <v>404</v>
      </c>
    </row>
    <row r="62" spans="1:13" x14ac:dyDescent="0.2">
      <c r="A62" s="78" t="s">
        <v>48</v>
      </c>
      <c r="B62" s="78" t="s">
        <v>49</v>
      </c>
      <c r="C62" s="166">
        <v>0.01</v>
      </c>
      <c r="D62" s="166">
        <v>4.0000000000000001E-3</v>
      </c>
      <c r="E62" s="166">
        <v>4.0000000000000001E-3</v>
      </c>
      <c r="F62" s="166">
        <v>1E-3</v>
      </c>
      <c r="G62" s="442"/>
      <c r="H62" s="85">
        <v>1</v>
      </c>
      <c r="I62" s="85">
        <v>0.5</v>
      </c>
      <c r="J62" s="85">
        <v>0.5</v>
      </c>
      <c r="K62" s="85">
        <v>0.05</v>
      </c>
    </row>
    <row r="63" spans="1:13" x14ac:dyDescent="0.2">
      <c r="A63" s="78" t="s">
        <v>50</v>
      </c>
      <c r="B63" s="78" t="s">
        <v>49</v>
      </c>
      <c r="C63" s="166">
        <v>0.05</v>
      </c>
      <c r="D63" s="166">
        <v>0.01</v>
      </c>
      <c r="E63" s="166">
        <v>0.01</v>
      </c>
      <c r="F63" s="166">
        <v>1E-3</v>
      </c>
      <c r="G63" s="442"/>
      <c r="H63" s="85">
        <v>20</v>
      </c>
      <c r="I63" s="85">
        <v>5</v>
      </c>
      <c r="J63" s="85">
        <v>5</v>
      </c>
      <c r="K63" s="85">
        <v>1</v>
      </c>
    </row>
    <row r="64" spans="1:13" x14ac:dyDescent="0.2">
      <c r="A64" s="78" t="s">
        <v>51</v>
      </c>
      <c r="B64" s="78" t="s">
        <v>49</v>
      </c>
      <c r="C64" s="166">
        <v>0.05</v>
      </c>
      <c r="D64" s="166">
        <v>0.01</v>
      </c>
      <c r="E64" s="166">
        <v>0.01</v>
      </c>
      <c r="F64" s="166">
        <v>1E-3</v>
      </c>
      <c r="G64" s="82"/>
      <c r="H64" s="85">
        <v>80</v>
      </c>
      <c r="I64" s="85">
        <v>20</v>
      </c>
      <c r="J64" s="85">
        <v>20</v>
      </c>
      <c r="K64" s="85">
        <v>4</v>
      </c>
    </row>
    <row r="65" spans="1:13" x14ac:dyDescent="0.2">
      <c r="C65" s="85"/>
      <c r="D65" s="85"/>
      <c r="E65" s="85"/>
      <c r="F65" s="85"/>
      <c r="G65" s="81"/>
      <c r="H65" s="85"/>
      <c r="I65" s="85"/>
      <c r="J65" s="85"/>
      <c r="K65" s="85"/>
    </row>
    <row r="66" spans="1:13" x14ac:dyDescent="0.2">
      <c r="C66" s="85"/>
      <c r="D66" s="85"/>
      <c r="E66" s="85"/>
      <c r="F66" s="85"/>
      <c r="G66" s="81"/>
      <c r="H66" s="85"/>
      <c r="I66" s="85"/>
      <c r="J66" s="85"/>
      <c r="K66" s="85"/>
    </row>
    <row r="67" spans="1:13" x14ac:dyDescent="0.2">
      <c r="C67" s="447" t="s">
        <v>13</v>
      </c>
      <c r="D67" s="447"/>
      <c r="E67" s="447"/>
      <c r="F67" s="447"/>
      <c r="G67" s="79"/>
      <c r="H67" s="80" t="s">
        <v>14</v>
      </c>
      <c r="I67" s="80"/>
      <c r="J67" s="80"/>
      <c r="K67" s="80"/>
    </row>
    <row r="68" spans="1:13" ht="12.75" customHeight="1" x14ac:dyDescent="0.2">
      <c r="A68" s="21" t="s">
        <v>52</v>
      </c>
      <c r="C68" s="80" t="s">
        <v>16</v>
      </c>
      <c r="D68" s="80" t="s">
        <v>17</v>
      </c>
      <c r="E68" s="80" t="s">
        <v>18</v>
      </c>
      <c r="F68" s="80" t="s">
        <v>19</v>
      </c>
      <c r="G68" s="80" t="s">
        <v>116</v>
      </c>
      <c r="H68" s="80" t="s">
        <v>16</v>
      </c>
      <c r="I68" s="80" t="s">
        <v>17</v>
      </c>
      <c r="J68" s="80" t="s">
        <v>18</v>
      </c>
      <c r="K68" s="80" t="s">
        <v>19</v>
      </c>
    </row>
    <row r="69" spans="1:13" x14ac:dyDescent="0.2">
      <c r="A69" s="78" t="s">
        <v>300</v>
      </c>
      <c r="B69" s="78" t="s">
        <v>53</v>
      </c>
      <c r="C69" s="85"/>
      <c r="D69" s="85"/>
      <c r="E69" s="85"/>
      <c r="F69" s="85"/>
      <c r="G69" s="81"/>
      <c r="H69" s="85"/>
      <c r="I69" s="85"/>
      <c r="J69" s="85"/>
      <c r="K69" s="85"/>
    </row>
    <row r="70" spans="1:13" ht="13.5" customHeight="1" x14ac:dyDescent="0.2">
      <c r="A70" s="78" t="s">
        <v>54</v>
      </c>
      <c r="B70" s="78" t="s">
        <v>55</v>
      </c>
      <c r="C70" s="85">
        <v>0.54</v>
      </c>
      <c r="D70" s="85">
        <v>0.27</v>
      </c>
      <c r="E70" s="85">
        <v>0.2</v>
      </c>
      <c r="F70" s="85">
        <v>7.0000000000000007E-2</v>
      </c>
      <c r="G70" s="445" t="s">
        <v>351</v>
      </c>
      <c r="H70" s="85">
        <v>11.3</v>
      </c>
      <c r="I70" s="85">
        <v>5.96</v>
      </c>
      <c r="J70" s="85">
        <v>6.5</v>
      </c>
      <c r="K70" s="85">
        <v>0.99</v>
      </c>
      <c r="M70" s="443" t="s">
        <v>405</v>
      </c>
    </row>
    <row r="71" spans="1:13" x14ac:dyDescent="0.2">
      <c r="A71" s="78" t="s">
        <v>56</v>
      </c>
      <c r="B71" s="78" t="s">
        <v>57</v>
      </c>
      <c r="C71" s="85">
        <v>0.97</v>
      </c>
      <c r="D71" s="85">
        <v>0.45</v>
      </c>
      <c r="E71" s="85">
        <v>0.3</v>
      </c>
      <c r="F71" s="85">
        <v>0.12</v>
      </c>
      <c r="G71" s="445"/>
      <c r="H71" s="85">
        <v>38</v>
      </c>
      <c r="I71" s="85">
        <v>20.98</v>
      </c>
      <c r="J71" s="85">
        <v>13.1</v>
      </c>
      <c r="K71" s="85">
        <v>10.49</v>
      </c>
      <c r="M71" s="443"/>
    </row>
    <row r="72" spans="1:13" x14ac:dyDescent="0.2">
      <c r="A72" s="78" t="s">
        <v>58</v>
      </c>
      <c r="B72" s="78" t="s">
        <v>59</v>
      </c>
      <c r="C72" s="85">
        <v>3.67</v>
      </c>
      <c r="D72" s="85">
        <v>1.27</v>
      </c>
      <c r="E72" s="85">
        <v>1</v>
      </c>
      <c r="F72" s="85">
        <v>0.26</v>
      </c>
      <c r="G72" s="445"/>
      <c r="H72" s="85">
        <v>24.8</v>
      </c>
      <c r="I72" s="85">
        <v>18.510000000000002</v>
      </c>
      <c r="J72" s="85">
        <v>21.4</v>
      </c>
      <c r="K72" s="85">
        <v>7.4</v>
      </c>
      <c r="M72" s="443"/>
    </row>
    <row r="73" spans="1:13" x14ac:dyDescent="0.2">
      <c r="A73" s="69" t="s">
        <v>608</v>
      </c>
      <c r="C73" s="85"/>
      <c r="D73" s="85">
        <v>0.25</v>
      </c>
      <c r="E73" s="85"/>
      <c r="F73" s="85"/>
      <c r="G73" s="373" t="s">
        <v>609</v>
      </c>
      <c r="H73" s="85"/>
      <c r="I73" s="85"/>
      <c r="J73" s="85"/>
      <c r="K73" s="85"/>
      <c r="M73" s="369"/>
    </row>
    <row r="74" spans="1:13" x14ac:dyDescent="0.2">
      <c r="A74" s="69" t="s">
        <v>607</v>
      </c>
      <c r="C74" s="85"/>
      <c r="D74" s="85">
        <v>0.11</v>
      </c>
      <c r="E74" s="85"/>
      <c r="F74" s="85"/>
      <c r="G74" s="373" t="s">
        <v>685</v>
      </c>
      <c r="H74" s="85"/>
      <c r="I74" s="85"/>
      <c r="J74" s="85"/>
      <c r="K74" s="85"/>
      <c r="M74" s="369"/>
    </row>
    <row r="75" spans="1:13" ht="38.25" x14ac:dyDescent="0.2">
      <c r="A75" s="78" t="s">
        <v>60</v>
      </c>
      <c r="B75" s="78" t="s">
        <v>61</v>
      </c>
      <c r="C75" s="85">
        <v>10</v>
      </c>
      <c r="D75" s="85">
        <v>1</v>
      </c>
      <c r="E75" s="85">
        <v>1</v>
      </c>
      <c r="F75" s="85">
        <v>0.1</v>
      </c>
      <c r="G75" s="83" t="s">
        <v>350</v>
      </c>
      <c r="H75" s="85">
        <v>10</v>
      </c>
      <c r="I75" s="85">
        <v>1</v>
      </c>
      <c r="J75" s="85">
        <v>1</v>
      </c>
      <c r="K75" s="85">
        <v>0.1</v>
      </c>
      <c r="M75" s="102" t="s">
        <v>406</v>
      </c>
    </row>
    <row r="76" spans="1:13" x14ac:dyDescent="0.2">
      <c r="B76" s="78" t="s">
        <v>365</v>
      </c>
      <c r="C76" s="447" t="s">
        <v>347</v>
      </c>
      <c r="D76" s="447"/>
      <c r="E76" s="447"/>
      <c r="F76" s="447"/>
      <c r="G76" s="81"/>
      <c r="H76" s="447" t="s">
        <v>348</v>
      </c>
      <c r="I76" s="447"/>
      <c r="J76" s="447"/>
      <c r="K76" s="447"/>
    </row>
    <row r="77" spans="1:13" x14ac:dyDescent="0.2">
      <c r="B77" s="78" t="s">
        <v>386</v>
      </c>
      <c r="C77" s="85">
        <v>40</v>
      </c>
      <c r="D77" s="85">
        <v>6</v>
      </c>
      <c r="E77" s="85">
        <v>2</v>
      </c>
      <c r="F77" s="85">
        <v>0.1</v>
      </c>
      <c r="G77" s="81"/>
      <c r="H77" s="85">
        <v>40</v>
      </c>
      <c r="I77" s="85">
        <v>12</v>
      </c>
      <c r="J77" s="85">
        <v>5</v>
      </c>
      <c r="K77" s="85">
        <v>0.3</v>
      </c>
    </row>
    <row r="78" spans="1:13" x14ac:dyDescent="0.2">
      <c r="B78"/>
      <c r="C78" s="80"/>
      <c r="D78" s="80"/>
      <c r="E78" s="80"/>
      <c r="F78" s="80"/>
      <c r="H78" s="80"/>
      <c r="I78" s="80"/>
      <c r="J78" s="80"/>
      <c r="K78" s="80"/>
    </row>
    <row r="79" spans="1:13" x14ac:dyDescent="0.2">
      <c r="C79" s="447" t="s">
        <v>307</v>
      </c>
      <c r="D79" s="447"/>
      <c r="E79" s="447"/>
      <c r="F79" s="447"/>
      <c r="G79" s="79"/>
      <c r="H79" s="80" t="s">
        <v>308</v>
      </c>
      <c r="I79" s="80"/>
      <c r="J79" s="80"/>
      <c r="K79" s="80"/>
    </row>
    <row r="80" spans="1:13" x14ac:dyDescent="0.2">
      <c r="A80" s="21" t="s">
        <v>62</v>
      </c>
      <c r="C80" s="80" t="s">
        <v>16</v>
      </c>
      <c r="D80" s="80" t="s">
        <v>17</v>
      </c>
      <c r="E80" s="80" t="s">
        <v>18</v>
      </c>
      <c r="F80" s="80" t="s">
        <v>19</v>
      </c>
      <c r="G80" s="80" t="s">
        <v>257</v>
      </c>
      <c r="H80" s="80" t="s">
        <v>16</v>
      </c>
      <c r="I80" s="80" t="s">
        <v>17</v>
      </c>
      <c r="J80" s="80" t="s">
        <v>18</v>
      </c>
      <c r="K80" s="80" t="s">
        <v>19</v>
      </c>
    </row>
    <row r="81" spans="1:13" ht="58.5" customHeight="1" x14ac:dyDescent="0.2">
      <c r="A81" s="78" t="s">
        <v>63</v>
      </c>
      <c r="B81" s="78" t="s">
        <v>64</v>
      </c>
      <c r="C81" s="85">
        <v>1.86</v>
      </c>
      <c r="D81" s="85">
        <v>0.23</v>
      </c>
      <c r="E81" s="85">
        <v>0.2</v>
      </c>
      <c r="F81" s="85">
        <v>0.06</v>
      </c>
      <c r="G81" s="84" t="s">
        <v>295</v>
      </c>
      <c r="H81" s="85">
        <v>5.8</v>
      </c>
      <c r="I81" s="85">
        <v>1</v>
      </c>
      <c r="J81" s="85">
        <v>0.95</v>
      </c>
      <c r="K81" s="85">
        <v>0.48</v>
      </c>
      <c r="M81" s="102" t="s">
        <v>407</v>
      </c>
    </row>
    <row r="82" spans="1:13" ht="25.5" x14ac:dyDescent="0.2">
      <c r="A82" s="78" t="s">
        <v>65</v>
      </c>
      <c r="B82" s="78" t="s">
        <v>66</v>
      </c>
      <c r="C82" s="80"/>
      <c r="D82" s="80"/>
      <c r="E82" s="80"/>
      <c r="F82" s="80"/>
      <c r="H82" s="80"/>
      <c r="I82" s="80"/>
      <c r="J82" s="80"/>
      <c r="K82" s="80"/>
      <c r="M82" s="102" t="s">
        <v>408</v>
      </c>
    </row>
    <row r="83" spans="1:13" ht="12.75" customHeight="1" x14ac:dyDescent="0.2">
      <c r="B83" s="78" t="s">
        <v>67</v>
      </c>
      <c r="C83" s="85">
        <v>6</v>
      </c>
      <c r="D83" s="85">
        <v>4</v>
      </c>
      <c r="E83" s="85">
        <v>4</v>
      </c>
      <c r="F83" s="85">
        <v>1</v>
      </c>
      <c r="G83" s="445" t="s">
        <v>421</v>
      </c>
      <c r="H83" s="85">
        <v>70</v>
      </c>
      <c r="I83" s="85">
        <v>45</v>
      </c>
      <c r="J83" s="85">
        <v>45</v>
      </c>
      <c r="K83" s="85">
        <v>20</v>
      </c>
    </row>
    <row r="84" spans="1:13" x14ac:dyDescent="0.2">
      <c r="B84" s="78" t="s">
        <v>68</v>
      </c>
      <c r="C84" s="85">
        <v>4</v>
      </c>
      <c r="D84" s="85">
        <v>2</v>
      </c>
      <c r="E84" s="85">
        <v>2</v>
      </c>
      <c r="F84" s="85">
        <v>0.4</v>
      </c>
      <c r="G84" s="445"/>
      <c r="H84" s="85">
        <v>10</v>
      </c>
      <c r="I84" s="85">
        <v>5</v>
      </c>
      <c r="J84" s="85">
        <v>5</v>
      </c>
      <c r="K84" s="85">
        <v>1</v>
      </c>
    </row>
    <row r="85" spans="1:13" x14ac:dyDescent="0.2">
      <c r="B85" s="78" t="s">
        <v>69</v>
      </c>
      <c r="C85" s="85">
        <v>1</v>
      </c>
      <c r="D85" s="85">
        <v>0.5</v>
      </c>
      <c r="E85" s="85">
        <v>0.5</v>
      </c>
      <c r="F85" s="85">
        <v>0.1</v>
      </c>
      <c r="G85" s="445"/>
      <c r="H85" s="85">
        <v>5</v>
      </c>
      <c r="I85" s="85">
        <v>2</v>
      </c>
      <c r="J85" s="85">
        <v>2</v>
      </c>
      <c r="K85" s="85">
        <v>1</v>
      </c>
    </row>
    <row r="86" spans="1:13" x14ac:dyDescent="0.2">
      <c r="B86" s="78" t="s">
        <v>70</v>
      </c>
      <c r="C86" s="85">
        <v>5</v>
      </c>
      <c r="D86" s="85">
        <v>1</v>
      </c>
      <c r="E86" s="85">
        <v>1</v>
      </c>
      <c r="F86" s="85">
        <v>0.05</v>
      </c>
      <c r="G86" s="445"/>
      <c r="H86" s="85">
        <v>1</v>
      </c>
      <c r="I86" s="85">
        <v>0.05</v>
      </c>
      <c r="J86" s="85">
        <v>0.05</v>
      </c>
      <c r="K86" s="85">
        <v>0.02</v>
      </c>
    </row>
    <row r="87" spans="1:13" x14ac:dyDescent="0.2">
      <c r="C87" s="80"/>
      <c r="D87" s="80"/>
      <c r="E87" s="80"/>
      <c r="F87" s="80"/>
      <c r="H87" s="80"/>
      <c r="I87" s="80"/>
      <c r="J87" s="80"/>
      <c r="K87" s="80"/>
    </row>
    <row r="88" spans="1:13" x14ac:dyDescent="0.2">
      <c r="C88" s="80"/>
      <c r="D88" s="80"/>
      <c r="E88" s="80"/>
      <c r="F88" s="80"/>
      <c r="H88" s="80"/>
      <c r="I88" s="80"/>
      <c r="J88" s="80"/>
      <c r="K88" s="80"/>
    </row>
    <row r="89" spans="1:13" x14ac:dyDescent="0.2">
      <c r="A89" s="18" t="s">
        <v>304</v>
      </c>
      <c r="C89" s="447" t="s">
        <v>307</v>
      </c>
      <c r="D89" s="447"/>
      <c r="E89" s="447"/>
      <c r="F89" s="447"/>
      <c r="G89" s="79"/>
      <c r="H89" s="80" t="s">
        <v>308</v>
      </c>
      <c r="I89" s="80"/>
      <c r="J89" s="80"/>
      <c r="K89" s="80"/>
    </row>
    <row r="90" spans="1:13" x14ac:dyDescent="0.2">
      <c r="C90" s="80" t="s">
        <v>16</v>
      </c>
      <c r="D90" s="80" t="s">
        <v>17</v>
      </c>
      <c r="E90" s="80" t="s">
        <v>18</v>
      </c>
      <c r="F90" s="80" t="s">
        <v>19</v>
      </c>
      <c r="G90" s="80" t="s">
        <v>116</v>
      </c>
      <c r="H90" s="80" t="s">
        <v>16</v>
      </c>
      <c r="I90" s="80" t="s">
        <v>17</v>
      </c>
      <c r="J90" s="80" t="s">
        <v>18</v>
      </c>
      <c r="K90" s="80" t="s">
        <v>19</v>
      </c>
    </row>
    <row r="91" spans="1:13" x14ac:dyDescent="0.2">
      <c r="A91" s="78" t="s">
        <v>296</v>
      </c>
      <c r="C91" s="85"/>
      <c r="D91" s="85"/>
      <c r="E91" s="80"/>
      <c r="F91" s="85"/>
      <c r="H91" s="80"/>
      <c r="I91" s="80"/>
      <c r="J91" s="80"/>
      <c r="K91" s="80"/>
    </row>
    <row r="92" spans="1:13" x14ac:dyDescent="0.2">
      <c r="B92" s="78" t="s">
        <v>311</v>
      </c>
      <c r="C92" s="85">
        <v>15</v>
      </c>
      <c r="D92" s="85">
        <v>8</v>
      </c>
      <c r="E92" s="85">
        <v>8</v>
      </c>
      <c r="F92" s="85">
        <v>4</v>
      </c>
      <c r="G92" s="80" t="s">
        <v>422</v>
      </c>
      <c r="H92" s="85">
        <v>85</v>
      </c>
      <c r="I92" s="85">
        <v>40</v>
      </c>
      <c r="J92" s="85">
        <v>40</v>
      </c>
      <c r="K92" s="85">
        <v>20</v>
      </c>
      <c r="M92" s="102" t="s">
        <v>409</v>
      </c>
    </row>
    <row r="93" spans="1:13" x14ac:dyDescent="0.2">
      <c r="B93" s="78" t="s">
        <v>312</v>
      </c>
      <c r="C93" s="85">
        <v>10</v>
      </c>
      <c r="D93" s="85">
        <v>2.5</v>
      </c>
      <c r="E93" s="85">
        <v>2.5</v>
      </c>
      <c r="F93" s="85">
        <v>1</v>
      </c>
      <c r="G93" s="85"/>
      <c r="H93" s="80"/>
      <c r="I93" s="80"/>
      <c r="J93" s="80"/>
      <c r="K93" s="80"/>
    </row>
    <row r="94" spans="1:13" x14ac:dyDescent="0.2">
      <c r="B94" s="78" t="s">
        <v>324</v>
      </c>
      <c r="C94" s="85">
        <v>0.45300000000000001</v>
      </c>
      <c r="D94" s="85">
        <v>0.246</v>
      </c>
      <c r="E94" s="85">
        <v>0.246</v>
      </c>
      <c r="F94" s="85">
        <v>0.13200000000000001</v>
      </c>
      <c r="G94" s="85"/>
      <c r="H94" s="80"/>
      <c r="I94" s="80"/>
      <c r="J94" s="80"/>
      <c r="K94" s="80"/>
    </row>
    <row r="95" spans="1:13" x14ac:dyDescent="0.2">
      <c r="B95" s="78" t="s">
        <v>313</v>
      </c>
      <c r="C95" s="85">
        <v>365</v>
      </c>
      <c r="D95" s="80">
        <v>180</v>
      </c>
      <c r="E95" s="80">
        <v>180</v>
      </c>
      <c r="F95" s="80">
        <v>1</v>
      </c>
      <c r="G95" s="80"/>
      <c r="H95" s="80"/>
      <c r="I95" s="80"/>
      <c r="J95" s="80"/>
      <c r="K95" s="80"/>
    </row>
    <row r="96" spans="1:13" x14ac:dyDescent="0.2">
      <c r="B96" s="78" t="s">
        <v>314</v>
      </c>
      <c r="C96" s="85">
        <v>0.5</v>
      </c>
      <c r="D96" s="85">
        <v>0.1</v>
      </c>
      <c r="E96" s="85">
        <v>0.1</v>
      </c>
      <c r="F96" s="85">
        <v>0.01</v>
      </c>
      <c r="H96" s="85">
        <v>0.95</v>
      </c>
      <c r="I96" s="85">
        <v>0.8</v>
      </c>
      <c r="J96" s="85">
        <v>0.8</v>
      </c>
      <c r="K96" s="85">
        <v>0.5</v>
      </c>
      <c r="M96" s="102" t="s">
        <v>410</v>
      </c>
    </row>
    <row r="97" spans="1:1" x14ac:dyDescent="0.2">
      <c r="A97" s="21"/>
    </row>
    <row r="100" spans="1:1" x14ac:dyDescent="0.2">
      <c r="A100" s="21" t="s">
        <v>258</v>
      </c>
    </row>
    <row r="101" spans="1:1" x14ac:dyDescent="0.2">
      <c r="A101" s="86" t="s">
        <v>259</v>
      </c>
    </row>
    <row r="102" spans="1:1" x14ac:dyDescent="0.2">
      <c r="A102" s="86" t="s">
        <v>356</v>
      </c>
    </row>
    <row r="103" spans="1:1" x14ac:dyDescent="0.2">
      <c r="A103" s="86" t="s">
        <v>363</v>
      </c>
    </row>
    <row r="104" spans="1:1" x14ac:dyDescent="0.2">
      <c r="A104" s="87" t="s">
        <v>263</v>
      </c>
    </row>
    <row r="105" spans="1:1" x14ac:dyDescent="0.2">
      <c r="A105" s="86" t="s">
        <v>358</v>
      </c>
    </row>
    <row r="106" spans="1:1" x14ac:dyDescent="0.2">
      <c r="A106" s="86" t="s">
        <v>264</v>
      </c>
    </row>
    <row r="107" spans="1:1" x14ac:dyDescent="0.2">
      <c r="A107" s="87" t="s">
        <v>267</v>
      </c>
    </row>
    <row r="108" spans="1:1" x14ac:dyDescent="0.2">
      <c r="A108" s="87" t="s">
        <v>354</v>
      </c>
    </row>
    <row r="109" spans="1:1" x14ac:dyDescent="0.2">
      <c r="A109" s="86" t="s">
        <v>268</v>
      </c>
    </row>
    <row r="110" spans="1:1" x14ac:dyDescent="0.2">
      <c r="A110" s="107" t="s">
        <v>420</v>
      </c>
    </row>
    <row r="111" spans="1:1" x14ac:dyDescent="0.2">
      <c r="A111" s="86" t="s">
        <v>357</v>
      </c>
    </row>
    <row r="112" spans="1:1" x14ac:dyDescent="0.2">
      <c r="A112" s="86" t="s">
        <v>362</v>
      </c>
    </row>
    <row r="113" spans="1:15" x14ac:dyDescent="0.2">
      <c r="A113" s="86" t="s">
        <v>361</v>
      </c>
    </row>
    <row r="114" spans="1:15" x14ac:dyDescent="0.2">
      <c r="A114" s="86" t="s">
        <v>360</v>
      </c>
    </row>
    <row r="115" spans="1:15" x14ac:dyDescent="0.2">
      <c r="A115" s="86" t="s">
        <v>359</v>
      </c>
    </row>
    <row r="116" spans="1:15" x14ac:dyDescent="0.2">
      <c r="A116" s="86" t="s">
        <v>301</v>
      </c>
    </row>
    <row r="117" spans="1:15" x14ac:dyDescent="0.2">
      <c r="A117" s="87" t="s">
        <v>260</v>
      </c>
    </row>
    <row r="118" spans="1:15" x14ac:dyDescent="0.2">
      <c r="A118" s="87" t="s">
        <v>364</v>
      </c>
    </row>
    <row r="119" spans="1:15" x14ac:dyDescent="0.2">
      <c r="A119" s="86" t="s">
        <v>261</v>
      </c>
    </row>
    <row r="120" spans="1:15" ht="15.75" x14ac:dyDescent="0.25">
      <c r="A120" s="86" t="s">
        <v>684</v>
      </c>
      <c r="B120" s="86"/>
      <c r="C120" s="86"/>
      <c r="D120" s="86"/>
      <c r="E120" s="86"/>
      <c r="F120" s="86"/>
      <c r="G120" s="86"/>
      <c r="H120" s="86"/>
      <c r="I120" s="86"/>
      <c r="J120" s="86"/>
      <c r="K120" s="86"/>
      <c r="L120" s="86"/>
      <c r="M120" s="86"/>
      <c r="N120" s="86"/>
      <c r="O120" s="86"/>
    </row>
    <row r="121" spans="1:15" x14ac:dyDescent="0.2">
      <c r="A121" s="86" t="s">
        <v>355</v>
      </c>
    </row>
    <row r="122" spans="1:15" x14ac:dyDescent="0.2">
      <c r="A122" s="87" t="s">
        <v>262</v>
      </c>
    </row>
    <row r="123" spans="1:15" ht="15" x14ac:dyDescent="0.3">
      <c r="A123" s="88" t="s">
        <v>297</v>
      </c>
    </row>
    <row r="126" spans="1:15" ht="13.5" thickBot="1" x14ac:dyDescent="0.25"/>
    <row r="127" spans="1:15" ht="18" x14ac:dyDescent="0.25">
      <c r="A127" s="170" t="s">
        <v>480</v>
      </c>
      <c r="B127" s="171"/>
      <c r="C127" s="171"/>
      <c r="D127" s="172"/>
      <c r="E127" s="172"/>
      <c r="F127" s="172"/>
      <c r="G127" s="173"/>
      <c r="H127" s="174"/>
      <c r="I127" s="174"/>
      <c r="J127" s="175"/>
    </row>
    <row r="128" spans="1:15" ht="18" x14ac:dyDescent="0.25">
      <c r="A128" s="176"/>
      <c r="B128" s="69"/>
      <c r="C128" s="69"/>
      <c r="D128" s="446" t="s">
        <v>13</v>
      </c>
      <c r="E128" s="446"/>
      <c r="F128" s="446"/>
      <c r="G128" s="446"/>
      <c r="H128" s="446"/>
      <c r="I128" s="446"/>
      <c r="J128" s="177" t="s">
        <v>481</v>
      </c>
    </row>
    <row r="129" spans="1:10" x14ac:dyDescent="0.2">
      <c r="A129" s="191" t="s">
        <v>15</v>
      </c>
      <c r="B129" s="191" t="s">
        <v>1</v>
      </c>
      <c r="C129" s="206" t="s">
        <v>116</v>
      </c>
      <c r="D129" s="207" t="s">
        <v>19</v>
      </c>
      <c r="E129" s="207" t="s">
        <v>16</v>
      </c>
      <c r="F129" s="207" t="s">
        <v>17</v>
      </c>
      <c r="G129" s="207" t="s">
        <v>18</v>
      </c>
      <c r="H129" s="207" t="s">
        <v>482</v>
      </c>
      <c r="I129" s="207" t="s">
        <v>483</v>
      </c>
      <c r="J129" s="207" t="s">
        <v>484</v>
      </c>
    </row>
    <row r="130" spans="1:10" ht="25.5" x14ac:dyDescent="0.2">
      <c r="A130" s="208" t="s">
        <v>485</v>
      </c>
      <c r="B130" s="208" t="s">
        <v>486</v>
      </c>
      <c r="C130" s="209" t="s">
        <v>487</v>
      </c>
      <c r="D130" s="210">
        <v>0.35</v>
      </c>
      <c r="E130" s="210">
        <v>1.35</v>
      </c>
      <c r="F130" s="211"/>
      <c r="G130" s="210"/>
      <c r="H130" s="210"/>
      <c r="I130" s="210"/>
      <c r="J130" s="210">
        <v>0.35</v>
      </c>
    </row>
    <row r="131" spans="1:10" ht="25.5" x14ac:dyDescent="0.2">
      <c r="A131" s="191" t="s">
        <v>488</v>
      </c>
      <c r="B131" s="191" t="s">
        <v>489</v>
      </c>
      <c r="C131" s="212" t="s">
        <v>490</v>
      </c>
      <c r="D131" s="213"/>
      <c r="E131" s="213"/>
      <c r="F131" s="207"/>
      <c r="G131" s="207"/>
      <c r="H131" s="207"/>
      <c r="I131" s="207"/>
      <c r="J131" s="207">
        <v>0.64</v>
      </c>
    </row>
    <row r="132" spans="1:10" ht="25.5" x14ac:dyDescent="0.2">
      <c r="A132" s="191" t="s">
        <v>491</v>
      </c>
      <c r="B132" s="191" t="s">
        <v>39</v>
      </c>
      <c r="C132" s="212" t="s">
        <v>492</v>
      </c>
      <c r="D132" s="213">
        <v>3.4000000000000002E-2</v>
      </c>
      <c r="E132" s="213">
        <v>0.97299999999999998</v>
      </c>
      <c r="F132" s="213">
        <v>0.22</v>
      </c>
      <c r="G132" s="213">
        <v>0.152</v>
      </c>
      <c r="H132" s="213"/>
      <c r="I132" s="213"/>
      <c r="J132" s="213"/>
    </row>
    <row r="133" spans="1:10" ht="25.5" x14ac:dyDescent="0.2">
      <c r="A133" s="191" t="s">
        <v>493</v>
      </c>
      <c r="B133" s="191" t="s">
        <v>39</v>
      </c>
      <c r="C133" s="212" t="s">
        <v>494</v>
      </c>
      <c r="D133" s="214">
        <v>7.0000000000000001E-3</v>
      </c>
      <c r="E133" s="214">
        <v>0.13800000000000001</v>
      </c>
      <c r="F133" s="214">
        <v>7.9000000000000001E-2</v>
      </c>
      <c r="G133" s="214">
        <v>9.2999999999999999E-2</v>
      </c>
      <c r="H133" s="213"/>
      <c r="I133" s="213"/>
      <c r="J133" s="213"/>
    </row>
    <row r="134" spans="1:10" ht="25.5" x14ac:dyDescent="0.2">
      <c r="A134" s="191" t="s">
        <v>428</v>
      </c>
      <c r="B134" s="191" t="s">
        <v>39</v>
      </c>
      <c r="C134" s="212" t="s">
        <v>495</v>
      </c>
      <c r="D134" s="214">
        <v>7.0000000000000001E-3</v>
      </c>
      <c r="E134" s="214">
        <v>0.13800000000000001</v>
      </c>
      <c r="F134" s="214">
        <v>7.9000000000000001E-2</v>
      </c>
      <c r="G134" s="214">
        <v>9.2999999999999999E-2</v>
      </c>
      <c r="H134" s="213"/>
      <c r="I134" s="213"/>
      <c r="J134" s="213"/>
    </row>
    <row r="135" spans="1:10" ht="38.25" x14ac:dyDescent="0.2">
      <c r="A135" s="191" t="s">
        <v>427</v>
      </c>
      <c r="B135" s="191" t="s">
        <v>496</v>
      </c>
      <c r="C135" s="212" t="s">
        <v>497</v>
      </c>
      <c r="D135" s="207">
        <v>3.0000000000000001E-3</v>
      </c>
      <c r="E135" s="213">
        <v>0.439</v>
      </c>
      <c r="F135" s="213">
        <v>0.11600000000000001</v>
      </c>
      <c r="G135" s="213">
        <v>8.2000000000000003E-2</v>
      </c>
      <c r="H135" s="207"/>
      <c r="I135" s="213"/>
      <c r="J135" s="214"/>
    </row>
    <row r="136" spans="1:10" ht="38.25" x14ac:dyDescent="0.2">
      <c r="A136" s="191" t="s">
        <v>498</v>
      </c>
      <c r="B136" s="191" t="s">
        <v>499</v>
      </c>
      <c r="C136" s="212" t="s">
        <v>500</v>
      </c>
      <c r="D136" s="214">
        <v>8.9999999999999993E-3</v>
      </c>
      <c r="E136" s="213">
        <v>0.25</v>
      </c>
      <c r="F136" s="213"/>
      <c r="G136" s="213"/>
      <c r="H136" s="207"/>
      <c r="I136" s="213"/>
      <c r="J136" s="214">
        <v>6.5000000000000002E-2</v>
      </c>
    </row>
    <row r="137" spans="1:10" x14ac:dyDescent="0.2">
      <c r="A137" s="191" t="s">
        <v>628</v>
      </c>
      <c r="B137" s="191" t="s">
        <v>629</v>
      </c>
      <c r="C137" s="191" t="s">
        <v>630</v>
      </c>
      <c r="D137" s="214"/>
      <c r="E137" s="214"/>
      <c r="F137" s="214">
        <v>0.79</v>
      </c>
      <c r="G137" s="214"/>
      <c r="H137" s="214"/>
      <c r="I137" s="214"/>
      <c r="J137" s="214"/>
    </row>
    <row r="138" spans="1:10" x14ac:dyDescent="0.2">
      <c r="A138" s="191" t="s">
        <v>458</v>
      </c>
      <c r="B138" s="191" t="s">
        <v>631</v>
      </c>
      <c r="C138" s="191" t="s">
        <v>630</v>
      </c>
      <c r="D138" s="214"/>
      <c r="E138" s="214"/>
      <c r="F138" s="214">
        <v>0.37</v>
      </c>
      <c r="G138" s="214"/>
      <c r="H138" s="214"/>
      <c r="I138" s="214"/>
      <c r="J138" s="214"/>
    </row>
    <row r="139" spans="1:10" x14ac:dyDescent="0.2">
      <c r="A139" s="191" t="s">
        <v>613</v>
      </c>
      <c r="B139" s="191" t="s">
        <v>632</v>
      </c>
      <c r="C139" s="191" t="s">
        <v>630</v>
      </c>
      <c r="D139" s="214"/>
      <c r="E139" s="214"/>
      <c r="F139" s="214">
        <v>0.03</v>
      </c>
      <c r="G139" s="214"/>
      <c r="H139" s="214"/>
      <c r="I139" s="214"/>
      <c r="J139" s="214"/>
    </row>
    <row r="166" spans="1:3" ht="15" x14ac:dyDescent="0.2">
      <c r="A166" s="69" t="s">
        <v>591</v>
      </c>
      <c r="B166" s="370" t="s">
        <v>590</v>
      </c>
    </row>
    <row r="170" spans="1:3" x14ac:dyDescent="0.2">
      <c r="A170" s="69" t="s">
        <v>663</v>
      </c>
    </row>
    <row r="171" spans="1:3" x14ac:dyDescent="0.2">
      <c r="B171" s="18" t="s">
        <v>634</v>
      </c>
      <c r="C171" s="18" t="s">
        <v>605</v>
      </c>
    </row>
    <row r="172" spans="1:3" x14ac:dyDescent="0.2">
      <c r="B172" s="69" t="s">
        <v>635</v>
      </c>
      <c r="C172" s="166">
        <v>0</v>
      </c>
    </row>
    <row r="173" spans="1:3" x14ac:dyDescent="0.2">
      <c r="B173" s="69" t="s">
        <v>636</v>
      </c>
      <c r="C173" s="166">
        <v>0</v>
      </c>
    </row>
    <row r="174" spans="1:3" x14ac:dyDescent="0.2">
      <c r="B174" s="69" t="s">
        <v>637</v>
      </c>
      <c r="C174" s="166">
        <v>0</v>
      </c>
    </row>
    <row r="175" spans="1:3" x14ac:dyDescent="0.2">
      <c r="B175" s="69" t="s">
        <v>638</v>
      </c>
      <c r="C175" s="439">
        <v>0</v>
      </c>
    </row>
    <row r="176" spans="1:3" x14ac:dyDescent="0.2">
      <c r="B176" s="69" t="s">
        <v>639</v>
      </c>
      <c r="C176" s="439">
        <v>0.02</v>
      </c>
    </row>
    <row r="177" spans="2:3" x14ac:dyDescent="0.2">
      <c r="B177" s="69" t="s">
        <v>640</v>
      </c>
      <c r="C177" s="439">
        <v>0.2</v>
      </c>
    </row>
    <row r="178" spans="2:3" x14ac:dyDescent="0.2">
      <c r="B178" s="69" t="s">
        <v>641</v>
      </c>
      <c r="C178" s="439">
        <v>0.2</v>
      </c>
    </row>
    <row r="179" spans="2:3" x14ac:dyDescent="0.2">
      <c r="B179" s="69" t="s">
        <v>642</v>
      </c>
      <c r="C179" s="439">
        <v>0.02</v>
      </c>
    </row>
    <row r="180" spans="2:3" x14ac:dyDescent="0.2">
      <c r="B180" s="69" t="s">
        <v>643</v>
      </c>
      <c r="C180" s="439">
        <v>0.02</v>
      </c>
    </row>
    <row r="181" spans="2:3" x14ac:dyDescent="0.2">
      <c r="B181" s="69" t="s">
        <v>644</v>
      </c>
      <c r="C181" s="439">
        <v>0.02</v>
      </c>
    </row>
    <row r="182" spans="2:3" x14ac:dyDescent="0.2">
      <c r="B182" s="69" t="s">
        <v>645</v>
      </c>
      <c r="C182" s="439">
        <v>0.02</v>
      </c>
    </row>
    <row r="183" spans="2:3" x14ac:dyDescent="0.2">
      <c r="B183" s="69" t="s">
        <v>646</v>
      </c>
      <c r="C183" s="439">
        <v>0.02</v>
      </c>
    </row>
    <row r="184" spans="2:3" x14ac:dyDescent="0.2">
      <c r="B184" s="69" t="s">
        <v>647</v>
      </c>
      <c r="C184" s="439">
        <v>0.66</v>
      </c>
    </row>
    <row r="185" spans="2:3" x14ac:dyDescent="0.2">
      <c r="B185" s="69" t="s">
        <v>648</v>
      </c>
      <c r="C185" s="439">
        <v>0.83</v>
      </c>
    </row>
    <row r="186" spans="2:3" x14ac:dyDescent="0.2">
      <c r="B186" s="69" t="s">
        <v>649</v>
      </c>
      <c r="C186" s="439">
        <v>0.83</v>
      </c>
    </row>
    <row r="187" spans="2:3" x14ac:dyDescent="0.2">
      <c r="B187" s="69" t="s">
        <v>650</v>
      </c>
      <c r="C187" s="439">
        <v>0.7</v>
      </c>
    </row>
    <row r="188" spans="2:3" x14ac:dyDescent="0.2">
      <c r="B188" s="69" t="s">
        <v>651</v>
      </c>
      <c r="C188" s="439">
        <v>0</v>
      </c>
    </row>
    <row r="189" spans="2:3" x14ac:dyDescent="0.2">
      <c r="B189" s="69" t="s">
        <v>652</v>
      </c>
      <c r="C189" s="439">
        <v>0.02</v>
      </c>
    </row>
    <row r="190" spans="2:3" x14ac:dyDescent="0.2">
      <c r="B190" s="69" t="s">
        <v>653</v>
      </c>
      <c r="C190" s="439">
        <v>0.48</v>
      </c>
    </row>
    <row r="193" spans="1:5" x14ac:dyDescent="0.2">
      <c r="B193" s="18" t="s">
        <v>654</v>
      </c>
      <c r="C193" s="18" t="s">
        <v>655</v>
      </c>
      <c r="D193" s="18"/>
      <c r="E193" s="18" t="s">
        <v>449</v>
      </c>
    </row>
    <row r="194" spans="1:5" x14ac:dyDescent="0.2">
      <c r="B194" s="69" t="s">
        <v>656</v>
      </c>
      <c r="C194" s="80">
        <v>6.9</v>
      </c>
      <c r="E194" s="69" t="s">
        <v>657</v>
      </c>
    </row>
    <row r="195" spans="1:5" x14ac:dyDescent="0.2">
      <c r="B195" s="69" t="s">
        <v>658</v>
      </c>
      <c r="C195" s="80">
        <v>4.4000000000000004</v>
      </c>
      <c r="E195" s="69" t="s">
        <v>657</v>
      </c>
    </row>
    <row r="196" spans="1:5" x14ac:dyDescent="0.2">
      <c r="B196" s="69" t="s">
        <v>659</v>
      </c>
      <c r="C196" s="80">
        <v>20</v>
      </c>
      <c r="E196" s="69" t="s">
        <v>657</v>
      </c>
    </row>
    <row r="197" spans="1:5" x14ac:dyDescent="0.2">
      <c r="B197" s="69" t="s">
        <v>660</v>
      </c>
      <c r="C197" s="48">
        <v>4.4000000000000004</v>
      </c>
      <c r="E197" s="69" t="s">
        <v>657</v>
      </c>
    </row>
    <row r="198" spans="1:5" x14ac:dyDescent="0.2">
      <c r="B198" s="69" t="s">
        <v>661</v>
      </c>
      <c r="C198" s="48">
        <v>0.38</v>
      </c>
      <c r="E198" s="69" t="s">
        <v>662</v>
      </c>
    </row>
    <row r="199" spans="1:5" x14ac:dyDescent="0.2">
      <c r="B199" s="69" t="s">
        <v>446</v>
      </c>
      <c r="C199" s="48">
        <v>0.24</v>
      </c>
      <c r="E199" s="69" t="s">
        <v>662</v>
      </c>
    </row>
    <row r="201" spans="1:5" x14ac:dyDescent="0.2">
      <c r="A201" s="69" t="s">
        <v>664</v>
      </c>
      <c r="B201" s="69" t="s">
        <v>665</v>
      </c>
    </row>
    <row r="204" spans="1:5" x14ac:dyDescent="0.2">
      <c r="B204" s="69" t="s">
        <v>687</v>
      </c>
    </row>
    <row r="238" spans="1:15" x14ac:dyDescent="0.2">
      <c r="A238" s="69" t="s">
        <v>688</v>
      </c>
      <c r="B238" s="69" t="s">
        <v>689</v>
      </c>
    </row>
    <row r="240" spans="1:15" x14ac:dyDescent="0.2">
      <c r="A240" s="69"/>
      <c r="B240" s="18" t="s">
        <v>732</v>
      </c>
      <c r="C240" s="69"/>
      <c r="D240" s="69"/>
      <c r="E240" s="69"/>
      <c r="F240" s="69"/>
      <c r="G240" s="69"/>
      <c r="H240" s="69"/>
      <c r="I240" s="69"/>
      <c r="J240" s="69"/>
      <c r="K240" s="69"/>
      <c r="L240" s="69"/>
      <c r="M240" s="440"/>
      <c r="N240" s="69"/>
      <c r="O240" s="69"/>
    </row>
    <row r="241" spans="1:15" x14ac:dyDescent="0.2">
      <c r="A241" t="s">
        <v>733</v>
      </c>
      <c r="B241" s="69"/>
      <c r="C241" s="69"/>
      <c r="D241" s="69"/>
      <c r="E241" s="69"/>
      <c r="F241" s="69"/>
      <c r="G241" s="69"/>
      <c r="H241" s="69"/>
      <c r="I241" s="69"/>
      <c r="J241" s="69"/>
      <c r="K241" s="69"/>
      <c r="L241" s="69"/>
      <c r="M241" s="440"/>
      <c r="N241" s="69"/>
      <c r="O241" s="69"/>
    </row>
  </sheetData>
  <mergeCells count="16">
    <mergeCell ref="D128:I128"/>
    <mergeCell ref="G83:G86"/>
    <mergeCell ref="C67:F67"/>
    <mergeCell ref="C79:F79"/>
    <mergeCell ref="C89:F89"/>
    <mergeCell ref="C76:F76"/>
    <mergeCell ref="H76:K76"/>
    <mergeCell ref="G17:L17"/>
    <mergeCell ref="G48:G63"/>
    <mergeCell ref="M70:M72"/>
    <mergeCell ref="M23:M27"/>
    <mergeCell ref="M28:M29"/>
    <mergeCell ref="M48:M52"/>
    <mergeCell ref="M53:M54"/>
    <mergeCell ref="G23:G40"/>
    <mergeCell ref="G70:G72"/>
  </mergeCells>
  <phoneticPr fontId="0" type="noConversion"/>
  <printOptions horizontalCentered="1" verticalCentered="1" gridLines="1" gridLinesSet="0"/>
  <pageMargins left="0.75" right="0.75" top="1" bottom="1" header="0.5" footer="0.5"/>
  <pageSetup scale="21" orientation="landscape"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2:AV318"/>
  <sheetViews>
    <sheetView showGridLines="0" topLeftCell="A19" zoomScale="70" zoomScaleNormal="70" workbookViewId="0">
      <selection activeCell="N27" sqref="N27"/>
    </sheetView>
  </sheetViews>
  <sheetFormatPr defaultRowHeight="12.75" x14ac:dyDescent="0.2"/>
  <cols>
    <col min="1" max="1" width="40.5703125" customWidth="1"/>
    <col min="2" max="2" width="15.7109375" customWidth="1"/>
    <col min="3" max="3" width="14.28515625" customWidth="1"/>
    <col min="4" max="4" width="15.140625" customWidth="1"/>
    <col min="5" max="5" width="16" customWidth="1"/>
    <col min="6" max="6" width="13.42578125" customWidth="1"/>
    <col min="7" max="8" width="12.140625" customWidth="1"/>
    <col min="9" max="9" width="13" customWidth="1"/>
    <col min="10" max="10" width="12" customWidth="1"/>
    <col min="11" max="11" width="10.7109375" customWidth="1"/>
    <col min="12" max="12" width="12" customWidth="1"/>
    <col min="13" max="14" width="11.42578125" customWidth="1"/>
    <col min="15" max="15" width="13.28515625" customWidth="1"/>
    <col min="16" max="16" width="12.5703125" customWidth="1"/>
    <col min="17" max="18" width="10.7109375" customWidth="1"/>
    <col min="19" max="19" width="39" customWidth="1"/>
    <col min="20" max="20" width="17" customWidth="1"/>
    <col min="21" max="21" width="15.28515625" customWidth="1"/>
    <col min="22" max="26" width="10.7109375" customWidth="1"/>
    <col min="28" max="28" width="14.85546875" customWidth="1"/>
    <col min="29" max="39" width="10.7109375" customWidth="1"/>
    <col min="41" max="41" width="20.7109375" customWidth="1"/>
  </cols>
  <sheetData>
    <row r="2" spans="1:24" x14ac:dyDescent="0.2">
      <c r="E2" s="188"/>
      <c r="F2" s="188"/>
      <c r="G2" s="188"/>
      <c r="H2" s="188"/>
      <c r="I2" s="188"/>
      <c r="J2" s="188"/>
      <c r="K2" s="188"/>
      <c r="L2" s="188"/>
      <c r="M2" s="188"/>
      <c r="N2" s="188"/>
      <c r="O2" s="188"/>
      <c r="P2" s="188"/>
      <c r="Q2" s="188"/>
      <c r="R2" s="188"/>
      <c r="S2" s="188"/>
      <c r="T2" s="188"/>
    </row>
    <row r="3" spans="1:24" ht="18" x14ac:dyDescent="0.25">
      <c r="A3" s="17" t="s">
        <v>71</v>
      </c>
      <c r="E3" s="302" t="s">
        <v>508</v>
      </c>
      <c r="F3" s="303"/>
      <c r="G3" s="303"/>
      <c r="H3" s="303"/>
      <c r="I3" s="303"/>
      <c r="J3" s="303"/>
      <c r="K3" s="188"/>
      <c r="L3" s="188"/>
      <c r="M3" s="188"/>
      <c r="N3" s="188"/>
      <c r="O3" s="188"/>
      <c r="P3" s="188"/>
      <c r="Q3" s="188"/>
      <c r="R3" s="188"/>
      <c r="S3" s="188"/>
      <c r="T3" s="188"/>
    </row>
    <row r="4" spans="1:24" ht="15.75" x14ac:dyDescent="0.25">
      <c r="A4" s="319" t="s">
        <v>515</v>
      </c>
      <c r="B4" s="448"/>
      <c r="C4" s="449"/>
      <c r="E4" s="304" t="s">
        <v>349</v>
      </c>
      <c r="F4" s="304"/>
      <c r="G4" s="304"/>
      <c r="H4" s="304"/>
      <c r="I4" s="304"/>
      <c r="J4" s="304"/>
      <c r="K4" s="188"/>
      <c r="L4" s="188"/>
      <c r="M4" s="188"/>
      <c r="N4" s="188"/>
      <c r="O4" s="188"/>
      <c r="P4" s="188"/>
      <c r="Q4" s="188"/>
      <c r="R4" s="188"/>
      <c r="S4" s="188"/>
      <c r="T4" s="188"/>
    </row>
    <row r="5" spans="1:24" x14ac:dyDescent="0.2">
      <c r="A5" s="377" t="s">
        <v>669</v>
      </c>
      <c r="B5" s="461"/>
      <c r="C5" s="462"/>
      <c r="E5" s="305" t="s">
        <v>507</v>
      </c>
      <c r="F5" s="306"/>
      <c r="G5" s="306"/>
      <c r="H5" s="306"/>
      <c r="I5" s="306"/>
      <c r="J5" s="306"/>
      <c r="K5" s="188"/>
      <c r="L5" s="188"/>
      <c r="M5" s="188"/>
      <c r="N5" s="188"/>
      <c r="O5" s="188"/>
      <c r="P5" s="188"/>
      <c r="Q5" s="188"/>
      <c r="R5" s="188"/>
      <c r="S5" s="188"/>
      <c r="T5" s="188"/>
    </row>
    <row r="6" spans="1:24" x14ac:dyDescent="0.2">
      <c r="A6" s="21" t="s">
        <v>72</v>
      </c>
      <c r="E6" s="188"/>
      <c r="F6" s="188"/>
      <c r="G6" s="188"/>
      <c r="H6" s="188"/>
      <c r="I6" s="188"/>
      <c r="J6" s="188"/>
      <c r="K6" s="188"/>
      <c r="L6" s="188"/>
      <c r="M6" s="188"/>
      <c r="N6" s="188"/>
      <c r="O6" s="188"/>
      <c r="P6" s="188"/>
      <c r="Q6" s="188"/>
      <c r="R6" s="188"/>
      <c r="S6" s="188"/>
      <c r="T6" s="188"/>
    </row>
    <row r="7" spans="1:24" x14ac:dyDescent="0.2">
      <c r="A7" t="s">
        <v>298</v>
      </c>
      <c r="B7" s="389"/>
      <c r="C7" s="69" t="s">
        <v>690</v>
      </c>
      <c r="E7" s="188"/>
      <c r="F7" s="188"/>
      <c r="G7" s="188"/>
      <c r="H7" s="188"/>
      <c r="I7" s="188"/>
      <c r="J7" s="188"/>
      <c r="K7" s="188"/>
      <c r="L7" s="188"/>
      <c r="M7" s="188"/>
      <c r="N7" s="188"/>
      <c r="O7" s="188"/>
      <c r="P7" s="188"/>
      <c r="Q7" s="188"/>
      <c r="R7" s="188"/>
      <c r="S7" s="188"/>
      <c r="T7" s="188"/>
      <c r="U7" s="188"/>
      <c r="V7" s="188"/>
      <c r="W7" s="188"/>
      <c r="X7" s="188"/>
    </row>
    <row r="8" spans="1:24" x14ac:dyDescent="0.2">
      <c r="A8" t="s">
        <v>299</v>
      </c>
      <c r="B8" s="383"/>
      <c r="C8" s="338"/>
      <c r="E8" s="188"/>
      <c r="F8" s="188"/>
      <c r="G8" s="188"/>
      <c r="H8" s="188"/>
      <c r="I8" s="188"/>
      <c r="J8" s="188"/>
      <c r="K8" s="188"/>
      <c r="L8" s="188"/>
      <c r="M8" s="188"/>
      <c r="N8" s="188"/>
      <c r="O8" s="188"/>
      <c r="P8" s="188"/>
      <c r="Q8" s="188"/>
      <c r="R8" s="188"/>
      <c r="S8" s="188"/>
      <c r="T8" s="188"/>
      <c r="U8" s="188"/>
      <c r="V8" s="188"/>
      <c r="W8" s="188"/>
      <c r="X8" s="188"/>
    </row>
    <row r="9" spans="1:24" ht="32.25" customHeight="1" x14ac:dyDescent="0.2">
      <c r="A9" s="384" t="s">
        <v>702</v>
      </c>
      <c r="B9" s="383">
        <v>0.5</v>
      </c>
      <c r="C9" s="69" t="s">
        <v>698</v>
      </c>
      <c r="G9" s="188"/>
      <c r="H9" s="188"/>
      <c r="I9" s="188"/>
      <c r="J9" s="188"/>
      <c r="K9" s="188"/>
      <c r="L9" s="188"/>
      <c r="M9" s="188"/>
      <c r="N9" s="188"/>
      <c r="O9" s="188"/>
      <c r="P9" s="188"/>
      <c r="Q9" s="188"/>
      <c r="R9" s="188"/>
      <c r="S9" s="188"/>
    </row>
    <row r="10" spans="1:24" ht="20.45" customHeight="1" x14ac:dyDescent="0.2">
      <c r="B10" s="463" t="s">
        <v>245</v>
      </c>
      <c r="C10" s="464"/>
      <c r="D10" s="464"/>
      <c r="E10" s="463" t="s">
        <v>550</v>
      </c>
      <c r="F10" s="464"/>
      <c r="G10" s="465"/>
      <c r="H10" s="191"/>
      <c r="I10" s="233"/>
      <c r="J10" s="188"/>
      <c r="K10" s="188"/>
      <c r="L10" s="188"/>
      <c r="M10" s="188"/>
      <c r="N10" s="188"/>
      <c r="O10" s="188"/>
      <c r="P10" s="188"/>
      <c r="Q10" s="188"/>
      <c r="R10" s="188"/>
      <c r="S10" s="188"/>
    </row>
    <row r="11" spans="1:24" x14ac:dyDescent="0.2">
      <c r="B11" s="220" t="s">
        <v>373</v>
      </c>
      <c r="C11" s="221" t="s">
        <v>73</v>
      </c>
      <c r="D11" s="221" t="s">
        <v>549</v>
      </c>
      <c r="E11" s="222" t="s">
        <v>373</v>
      </c>
      <c r="F11" s="223" t="s">
        <v>73</v>
      </c>
      <c r="G11" s="223" t="s">
        <v>549</v>
      </c>
      <c r="H11" s="217" t="s">
        <v>503</v>
      </c>
      <c r="I11" s="196"/>
      <c r="J11" s="188"/>
      <c r="K11" s="188"/>
      <c r="L11" s="188"/>
      <c r="M11" s="188"/>
      <c r="N11" s="188"/>
      <c r="O11" s="196"/>
      <c r="P11" s="196"/>
      <c r="Q11" s="196"/>
      <c r="R11" s="196"/>
      <c r="S11" s="188"/>
    </row>
    <row r="12" spans="1:24" x14ac:dyDescent="0.2">
      <c r="B12" s="222" t="s">
        <v>74</v>
      </c>
      <c r="C12" s="223" t="s">
        <v>74</v>
      </c>
      <c r="D12" s="223" t="s">
        <v>74</v>
      </c>
      <c r="E12" s="222" t="s">
        <v>74</v>
      </c>
      <c r="F12" s="223" t="s">
        <v>74</v>
      </c>
      <c r="G12" s="223" t="s">
        <v>74</v>
      </c>
      <c r="H12" s="218" t="s">
        <v>504</v>
      </c>
      <c r="I12" s="196"/>
      <c r="J12" s="188"/>
      <c r="K12" s="188"/>
      <c r="L12" s="188"/>
      <c r="M12" s="188"/>
      <c r="N12" s="188"/>
      <c r="O12" s="196"/>
      <c r="P12" s="196"/>
      <c r="Q12" s="196"/>
      <c r="R12" s="196"/>
      <c r="S12" s="188"/>
    </row>
    <row r="13" spans="1:24" x14ac:dyDescent="0.2">
      <c r="A13" t="s">
        <v>75</v>
      </c>
      <c r="B13" s="224" t="s">
        <v>76</v>
      </c>
      <c r="C13" s="225" t="s">
        <v>77</v>
      </c>
      <c r="D13" s="225" t="s">
        <v>77</v>
      </c>
      <c r="E13" s="224" t="s">
        <v>76</v>
      </c>
      <c r="F13" s="225" t="s">
        <v>77</v>
      </c>
      <c r="G13" s="225" t="s">
        <v>77</v>
      </c>
      <c r="H13" s="219" t="s">
        <v>505</v>
      </c>
      <c r="I13" s="196"/>
      <c r="J13" s="188"/>
      <c r="K13" s="188"/>
      <c r="L13" s="188"/>
      <c r="M13" s="188"/>
      <c r="N13" s="188"/>
      <c r="O13" s="301"/>
      <c r="P13" s="196"/>
      <c r="Q13" s="196"/>
      <c r="R13" s="196"/>
      <c r="S13" s="188"/>
    </row>
    <row r="14" spans="1:24" ht="18" customHeight="1" x14ac:dyDescent="0.2">
      <c r="A14" s="191" t="s">
        <v>611</v>
      </c>
      <c r="B14" s="227">
        <v>0.3</v>
      </c>
      <c r="C14" s="228">
        <v>1.5</v>
      </c>
      <c r="D14" s="345"/>
      <c r="E14" s="227">
        <v>0.3</v>
      </c>
      <c r="F14" s="229">
        <v>0.01</v>
      </c>
      <c r="G14" s="348"/>
      <c r="H14" s="226">
        <f t="shared" ref="H14:H25" si="0">B14+E14</f>
        <v>0.6</v>
      </c>
      <c r="I14" s="246" t="s">
        <v>695</v>
      </c>
      <c r="K14" s="188"/>
      <c r="L14" s="188"/>
      <c r="M14" s="188"/>
      <c r="N14" s="188"/>
      <c r="P14" s="295"/>
      <c r="Q14" s="296"/>
      <c r="R14" s="297"/>
      <c r="S14" s="188"/>
    </row>
    <row r="15" spans="1:24" x14ac:dyDescent="0.2">
      <c r="A15" s="191" t="s">
        <v>612</v>
      </c>
      <c r="B15" s="227">
        <v>0.3</v>
      </c>
      <c r="C15" s="228">
        <v>0.8</v>
      </c>
      <c r="D15" s="345"/>
      <c r="E15" s="227">
        <v>0.3</v>
      </c>
      <c r="F15" s="229">
        <v>0.01</v>
      </c>
      <c r="G15" s="348"/>
      <c r="H15" s="226">
        <f t="shared" si="0"/>
        <v>0.6</v>
      </c>
      <c r="I15" s="188"/>
      <c r="K15" s="188"/>
      <c r="L15" s="188"/>
      <c r="M15" s="188"/>
      <c r="N15" s="188"/>
      <c r="P15" s="295"/>
      <c r="Q15" s="296"/>
      <c r="R15" s="297"/>
      <c r="S15" s="188"/>
    </row>
    <row r="16" spans="1:24" x14ac:dyDescent="0.2">
      <c r="A16" s="191" t="s">
        <v>613</v>
      </c>
      <c r="B16" s="227">
        <v>0.2</v>
      </c>
      <c r="C16" s="230">
        <v>0.03</v>
      </c>
      <c r="D16" s="346"/>
      <c r="E16" s="227">
        <v>0.4</v>
      </c>
      <c r="F16" s="229">
        <v>4.0000000000000001E-3</v>
      </c>
      <c r="G16" s="348"/>
      <c r="H16" s="226">
        <f t="shared" si="0"/>
        <v>0.60000000000000009</v>
      </c>
      <c r="I16" s="243"/>
      <c r="J16" s="188"/>
      <c r="K16" s="188"/>
      <c r="L16" s="188"/>
      <c r="M16" s="188"/>
      <c r="N16" s="188"/>
      <c r="O16" s="295"/>
      <c r="P16" s="295"/>
      <c r="Q16" s="296"/>
      <c r="R16" s="297"/>
      <c r="S16" s="188"/>
    </row>
    <row r="17" spans="1:19" x14ac:dyDescent="0.2">
      <c r="A17" s="191" t="s">
        <v>614</v>
      </c>
      <c r="B17" s="227">
        <v>0.05</v>
      </c>
      <c r="C17" s="230">
        <v>0.08</v>
      </c>
      <c r="D17" s="346"/>
      <c r="E17" s="227">
        <v>0.4</v>
      </c>
      <c r="F17" s="229">
        <v>4.0000000000000001E-3</v>
      </c>
      <c r="G17" s="348"/>
      <c r="H17" s="226">
        <f t="shared" si="0"/>
        <v>0.45</v>
      </c>
      <c r="I17" s="340"/>
      <c r="J17" s="188"/>
      <c r="K17" s="188"/>
      <c r="L17" s="188"/>
      <c r="M17" s="188"/>
      <c r="N17" s="188"/>
      <c r="O17" s="295"/>
      <c r="P17" s="295"/>
      <c r="Q17" s="296"/>
      <c r="R17" s="297"/>
      <c r="S17" s="188"/>
    </row>
    <row r="18" spans="1:19" ht="15.75" customHeight="1" x14ac:dyDescent="0.2">
      <c r="A18" s="191" t="s">
        <v>615</v>
      </c>
      <c r="B18" s="227">
        <v>0.6</v>
      </c>
      <c r="C18" s="228">
        <v>0.8</v>
      </c>
      <c r="D18" s="345"/>
      <c r="E18" s="227">
        <v>0.3</v>
      </c>
      <c r="F18" s="229">
        <v>4.0000000000000001E-3</v>
      </c>
      <c r="G18" s="348"/>
      <c r="H18" s="226">
        <f t="shared" si="0"/>
        <v>0.89999999999999991</v>
      </c>
      <c r="I18" s="340"/>
      <c r="J18" s="188"/>
      <c r="K18" s="188"/>
      <c r="L18" s="188"/>
      <c r="M18" s="188"/>
      <c r="N18" s="298"/>
      <c r="O18" s="295"/>
      <c r="P18" s="295"/>
      <c r="Q18" s="296"/>
      <c r="R18" s="297"/>
      <c r="S18" s="188"/>
    </row>
    <row r="19" spans="1:19" x14ac:dyDescent="0.2">
      <c r="A19" s="191" t="s">
        <v>616</v>
      </c>
      <c r="B19" s="227">
        <v>0.3</v>
      </c>
      <c r="C19" s="228">
        <v>0.8</v>
      </c>
      <c r="D19" s="345"/>
      <c r="E19" s="227">
        <v>0.3</v>
      </c>
      <c r="F19" s="229">
        <v>0.01</v>
      </c>
      <c r="G19" s="348"/>
      <c r="H19" s="226">
        <f t="shared" si="0"/>
        <v>0.6</v>
      </c>
      <c r="I19" s="243"/>
      <c r="J19" s="188"/>
      <c r="K19" s="188"/>
      <c r="L19" s="188"/>
      <c r="M19" s="188"/>
      <c r="N19" s="298"/>
      <c r="O19" s="295"/>
      <c r="P19" s="295"/>
      <c r="Q19" s="296"/>
      <c r="R19" s="297"/>
      <c r="S19" s="188"/>
    </row>
    <row r="20" spans="1:19" x14ac:dyDescent="0.2">
      <c r="A20" s="191" t="s">
        <v>617</v>
      </c>
      <c r="B20" s="227">
        <v>0.4</v>
      </c>
      <c r="C20" s="228">
        <v>1.5</v>
      </c>
      <c r="D20" s="345"/>
      <c r="E20" s="227">
        <v>0.2</v>
      </c>
      <c r="F20" s="229">
        <v>0.02</v>
      </c>
      <c r="G20" s="348"/>
      <c r="H20" s="226">
        <f t="shared" si="0"/>
        <v>0.60000000000000009</v>
      </c>
      <c r="I20" s="243"/>
      <c r="J20" s="188"/>
      <c r="K20" s="188"/>
      <c r="L20" s="188"/>
      <c r="M20" s="188"/>
      <c r="N20" s="188"/>
      <c r="O20" s="295"/>
      <c r="P20" s="295"/>
      <c r="Q20" s="296"/>
      <c r="R20" s="297"/>
      <c r="S20" s="188"/>
    </row>
    <row r="21" spans="1:19" x14ac:dyDescent="0.2">
      <c r="A21" s="191" t="s">
        <v>618</v>
      </c>
      <c r="B21" s="227">
        <v>0.35</v>
      </c>
      <c r="C21" s="228">
        <v>1.3</v>
      </c>
      <c r="D21" s="345"/>
      <c r="E21" s="227">
        <v>0.27500000000000002</v>
      </c>
      <c r="F21" s="229">
        <v>1.4999999999999999E-2</v>
      </c>
      <c r="G21" s="348"/>
      <c r="H21" s="226">
        <f t="shared" si="0"/>
        <v>0.625</v>
      </c>
      <c r="I21" s="340"/>
      <c r="J21" s="188"/>
      <c r="K21" s="188"/>
      <c r="L21" s="188"/>
      <c r="M21" s="188"/>
      <c r="N21" s="188"/>
      <c r="O21" s="295"/>
      <c r="P21" s="295"/>
      <c r="Q21" s="296"/>
      <c r="R21" s="297"/>
      <c r="S21" s="188"/>
    </row>
    <row r="22" spans="1:19" x14ac:dyDescent="0.2">
      <c r="A22" s="191" t="s">
        <v>606</v>
      </c>
      <c r="B22" s="227">
        <v>0.3</v>
      </c>
      <c r="C22" s="228">
        <v>1.1000000000000001</v>
      </c>
      <c r="D22" s="345"/>
      <c r="E22" s="227">
        <v>0.25</v>
      </c>
      <c r="F22" s="229">
        <v>0.01</v>
      </c>
      <c r="G22" s="348"/>
      <c r="H22" s="226">
        <f t="shared" si="0"/>
        <v>0.55000000000000004</v>
      </c>
      <c r="I22" s="243"/>
      <c r="J22" s="188"/>
      <c r="K22" s="188"/>
      <c r="L22" s="188"/>
      <c r="M22" s="188"/>
      <c r="N22" s="233"/>
      <c r="O22" s="299"/>
      <c r="P22" s="295"/>
      <c r="Q22" s="296"/>
      <c r="R22" s="297"/>
      <c r="S22" s="188"/>
    </row>
    <row r="23" spans="1:19" x14ac:dyDescent="0.2">
      <c r="A23" s="191" t="s">
        <v>625</v>
      </c>
      <c r="B23" s="227">
        <v>0.25</v>
      </c>
      <c r="C23" s="228">
        <v>0.9</v>
      </c>
      <c r="D23" s="345"/>
      <c r="E23" s="227">
        <v>0.3</v>
      </c>
      <c r="F23" s="229">
        <v>0.01</v>
      </c>
      <c r="G23" s="348"/>
      <c r="H23" s="226">
        <f>B23+E23</f>
        <v>0.55000000000000004</v>
      </c>
      <c r="I23" s="243"/>
      <c r="J23" s="188"/>
      <c r="K23" s="188"/>
      <c r="L23" s="188"/>
      <c r="M23" s="188"/>
      <c r="N23" s="233"/>
      <c r="O23" s="295"/>
      <c r="P23" s="295"/>
      <c r="Q23" s="296"/>
      <c r="R23" s="297"/>
      <c r="S23" s="188"/>
    </row>
    <row r="24" spans="1:19" x14ac:dyDescent="0.2">
      <c r="A24" s="191" t="s">
        <v>619</v>
      </c>
      <c r="B24" s="227">
        <v>0.5</v>
      </c>
      <c r="C24" s="228">
        <v>1.8</v>
      </c>
      <c r="D24" s="345"/>
      <c r="E24" s="227">
        <v>0.05</v>
      </c>
      <c r="F24" s="229">
        <v>0.01</v>
      </c>
      <c r="G24" s="348"/>
      <c r="H24" s="226">
        <f t="shared" si="0"/>
        <v>0.55000000000000004</v>
      </c>
      <c r="I24" s="243"/>
      <c r="J24" s="188"/>
      <c r="K24" s="188"/>
      <c r="L24" s="188"/>
      <c r="M24" s="188"/>
      <c r="N24" s="233"/>
      <c r="O24" s="295"/>
      <c r="P24" s="295"/>
      <c r="Q24" s="296"/>
      <c r="R24" s="297"/>
      <c r="S24" s="188"/>
    </row>
    <row r="25" spans="1:19" x14ac:dyDescent="0.2">
      <c r="A25" s="191" t="s">
        <v>457</v>
      </c>
      <c r="B25" s="227">
        <v>0.6</v>
      </c>
      <c r="C25" s="228">
        <v>1.8</v>
      </c>
      <c r="D25" s="345"/>
      <c r="E25" s="227">
        <v>0.05</v>
      </c>
      <c r="F25" s="229">
        <v>0.01</v>
      </c>
      <c r="G25" s="348"/>
      <c r="H25" s="226">
        <f t="shared" si="0"/>
        <v>0.65</v>
      </c>
      <c r="I25" s="340"/>
      <c r="J25" s="188"/>
      <c r="K25" s="188"/>
      <c r="L25" s="188"/>
      <c r="M25" s="188"/>
      <c r="N25" s="233"/>
      <c r="O25" s="295"/>
      <c r="P25" s="295"/>
      <c r="Q25" s="296"/>
      <c r="R25" s="297"/>
      <c r="S25" s="188"/>
    </row>
    <row r="26" spans="1:19" x14ac:dyDescent="0.2">
      <c r="A26" s="191" t="s">
        <v>620</v>
      </c>
      <c r="B26" s="227">
        <v>0.5</v>
      </c>
      <c r="C26" s="228">
        <v>1.1000000000000001</v>
      </c>
      <c r="D26" s="345"/>
      <c r="E26" s="227">
        <v>0.05</v>
      </c>
      <c r="F26" s="229">
        <v>0.01</v>
      </c>
      <c r="G26" s="348"/>
      <c r="H26" s="226">
        <f>B26+E26</f>
        <v>0.55000000000000004</v>
      </c>
      <c r="I26" s="243"/>
      <c r="J26" s="188"/>
      <c r="K26" s="349"/>
      <c r="L26" s="188"/>
      <c r="M26" s="188"/>
      <c r="N26" s="233"/>
      <c r="O26" s="295"/>
      <c r="P26" s="295"/>
      <c r="Q26" s="300"/>
      <c r="R26" s="297"/>
      <c r="S26" s="188"/>
    </row>
    <row r="27" spans="1:19" x14ac:dyDescent="0.2">
      <c r="A27" s="191" t="s">
        <v>459</v>
      </c>
      <c r="B27" s="227">
        <v>0.05</v>
      </c>
      <c r="C27" s="229">
        <v>8.9999999999999993E-3</v>
      </c>
      <c r="D27" s="347"/>
      <c r="E27" s="227">
        <v>0.4</v>
      </c>
      <c r="F27" s="229">
        <v>4.0000000000000001E-3</v>
      </c>
      <c r="G27" s="348"/>
      <c r="H27" s="226">
        <f t="shared" ref="H27:H33" si="1">B27+E27</f>
        <v>0.45</v>
      </c>
      <c r="I27" s="243"/>
      <c r="J27" s="188"/>
      <c r="K27" s="188"/>
      <c r="L27" s="188"/>
      <c r="M27" s="188"/>
      <c r="N27" s="233"/>
      <c r="O27" s="295"/>
      <c r="P27" s="295"/>
      <c r="Q27" s="300"/>
      <c r="R27" s="297"/>
      <c r="S27" s="188"/>
    </row>
    <row r="28" spans="1:19" x14ac:dyDescent="0.2">
      <c r="A28" s="191" t="s">
        <v>621</v>
      </c>
      <c r="B28" s="227">
        <v>0.3</v>
      </c>
      <c r="C28" s="228">
        <v>1.1000000000000001</v>
      </c>
      <c r="D28" s="345"/>
      <c r="E28" s="227">
        <v>0.3</v>
      </c>
      <c r="F28" s="229">
        <v>0.01</v>
      </c>
      <c r="G28" s="348"/>
      <c r="H28" s="226">
        <f t="shared" si="1"/>
        <v>0.6</v>
      </c>
      <c r="I28" s="243"/>
      <c r="J28" s="188"/>
      <c r="K28" s="188"/>
      <c r="L28" s="188"/>
      <c r="M28" s="188"/>
      <c r="N28" s="233"/>
      <c r="O28" s="295"/>
      <c r="P28" s="295"/>
      <c r="Q28" s="300"/>
      <c r="R28" s="297"/>
      <c r="S28" s="188"/>
    </row>
    <row r="29" spans="1:19" x14ac:dyDescent="0.2">
      <c r="A29" s="191" t="s">
        <v>622</v>
      </c>
      <c r="B29" s="227">
        <v>0.3</v>
      </c>
      <c r="C29" s="378">
        <v>0.3</v>
      </c>
      <c r="D29" s="345"/>
      <c r="E29" s="227">
        <v>0.3</v>
      </c>
      <c r="F29" s="229">
        <v>0.01</v>
      </c>
      <c r="G29" s="348"/>
      <c r="H29" s="226">
        <f t="shared" si="1"/>
        <v>0.6</v>
      </c>
      <c r="I29" s="243"/>
      <c r="J29" s="188"/>
      <c r="K29" s="188"/>
      <c r="L29" s="188"/>
      <c r="M29" s="188"/>
      <c r="N29" s="233"/>
      <c r="O29" s="295"/>
      <c r="P29" s="295"/>
      <c r="Q29" s="300"/>
      <c r="R29" s="297"/>
      <c r="S29" s="188"/>
    </row>
    <row r="30" spans="1:19" x14ac:dyDescent="0.2">
      <c r="A30" s="191" t="s">
        <v>623</v>
      </c>
      <c r="B30" s="227">
        <v>0.15</v>
      </c>
      <c r="C30" s="228">
        <v>0.2</v>
      </c>
      <c r="D30" s="345"/>
      <c r="E30" s="227">
        <v>0.3</v>
      </c>
      <c r="F30" s="229">
        <v>0.01</v>
      </c>
      <c r="G30" s="348"/>
      <c r="H30" s="226">
        <f t="shared" si="1"/>
        <v>0.44999999999999996</v>
      </c>
      <c r="I30" s="243"/>
      <c r="J30" s="188"/>
      <c r="K30" s="188"/>
      <c r="L30" s="188"/>
      <c r="M30" s="188"/>
      <c r="N30" s="233"/>
      <c r="O30" s="269"/>
      <c r="P30" s="269"/>
      <c r="Q30" s="300"/>
      <c r="R30" s="297"/>
      <c r="S30" s="188"/>
    </row>
    <row r="31" spans="1:19" x14ac:dyDescent="0.2">
      <c r="A31" s="191" t="s">
        <v>624</v>
      </c>
      <c r="B31" s="227">
        <v>0.3</v>
      </c>
      <c r="C31" s="228">
        <v>0.2</v>
      </c>
      <c r="D31" s="345"/>
      <c r="E31" s="227">
        <v>0.3</v>
      </c>
      <c r="F31" s="229">
        <v>0.01</v>
      </c>
      <c r="G31" s="348"/>
      <c r="H31" s="226">
        <f t="shared" si="1"/>
        <v>0.6</v>
      </c>
      <c r="I31" s="243"/>
      <c r="J31" s="188"/>
      <c r="K31" s="188"/>
      <c r="L31" s="188"/>
      <c r="M31" s="188"/>
      <c r="N31" s="233"/>
      <c r="O31" s="269"/>
      <c r="P31" s="269"/>
      <c r="Q31" s="300"/>
      <c r="R31" s="297"/>
      <c r="S31" s="188"/>
    </row>
    <row r="32" spans="1:19" x14ac:dyDescent="0.2">
      <c r="A32" s="191" t="s">
        <v>496</v>
      </c>
      <c r="B32" s="227">
        <v>0.05</v>
      </c>
      <c r="C32" s="230">
        <v>0.03</v>
      </c>
      <c r="D32" s="346"/>
      <c r="E32" s="227">
        <v>0.4</v>
      </c>
      <c r="F32" s="229">
        <v>4.0000000000000001E-3</v>
      </c>
      <c r="G32" s="348"/>
      <c r="H32" s="226">
        <f t="shared" si="1"/>
        <v>0.45</v>
      </c>
      <c r="I32" s="243"/>
      <c r="J32" s="188"/>
      <c r="K32" s="188"/>
      <c r="L32" s="188"/>
      <c r="M32" s="188"/>
      <c r="N32" s="188"/>
      <c r="O32" s="188"/>
      <c r="P32" s="188"/>
      <c r="Q32" s="188"/>
      <c r="R32" s="188"/>
      <c r="S32" s="188"/>
    </row>
    <row r="33" spans="1:23" x14ac:dyDescent="0.2">
      <c r="A33" s="191" t="s">
        <v>626</v>
      </c>
      <c r="B33" s="227">
        <v>0.25</v>
      </c>
      <c r="C33" s="230">
        <v>0.15</v>
      </c>
      <c r="D33" s="346"/>
      <c r="E33" s="227">
        <v>0.35</v>
      </c>
      <c r="F33" s="229">
        <v>4.0000000000000001E-3</v>
      </c>
      <c r="G33" s="348"/>
      <c r="H33" s="226">
        <f t="shared" si="1"/>
        <v>0.6</v>
      </c>
      <c r="I33" s="243"/>
      <c r="J33" s="188"/>
      <c r="K33" s="188"/>
      <c r="L33" s="188"/>
      <c r="M33" s="188"/>
      <c r="N33" s="188"/>
      <c r="O33" s="188"/>
      <c r="P33" s="188"/>
      <c r="Q33" s="188"/>
      <c r="R33" s="188"/>
      <c r="S33" s="188"/>
    </row>
    <row r="34" spans="1:23" x14ac:dyDescent="0.2">
      <c r="B34" s="227"/>
      <c r="C34" s="228"/>
      <c r="D34" s="345"/>
      <c r="E34" s="227"/>
      <c r="F34" s="229"/>
      <c r="G34" s="348"/>
      <c r="H34" s="226">
        <f>B34+E34</f>
        <v>0</v>
      </c>
      <c r="I34" s="243"/>
      <c r="J34" s="188"/>
      <c r="K34" s="188"/>
      <c r="L34" s="188"/>
      <c r="M34" s="188"/>
      <c r="N34" s="188"/>
      <c r="O34" s="188"/>
      <c r="P34" s="188"/>
      <c r="Q34" s="188"/>
      <c r="R34" s="188"/>
      <c r="S34" s="188"/>
    </row>
    <row r="35" spans="1:23" x14ac:dyDescent="0.2">
      <c r="B35" s="227"/>
      <c r="C35" s="228"/>
      <c r="D35" s="345"/>
      <c r="E35" s="227"/>
      <c r="F35" s="229"/>
      <c r="G35" s="348"/>
      <c r="H35" s="226">
        <f>B35+E35</f>
        <v>0</v>
      </c>
      <c r="I35" s="243"/>
      <c r="J35" s="188"/>
      <c r="K35" s="188"/>
      <c r="L35" s="188"/>
      <c r="M35" s="188"/>
      <c r="N35" s="188"/>
      <c r="O35" s="188"/>
      <c r="P35" s="188"/>
      <c r="Q35" s="188"/>
      <c r="R35" s="188"/>
      <c r="S35" s="188"/>
    </row>
    <row r="36" spans="1:23" x14ac:dyDescent="0.2">
      <c r="D36" s="2"/>
      <c r="E36" s="2"/>
      <c r="G36" s="188"/>
      <c r="H36" s="188"/>
      <c r="I36" s="188"/>
      <c r="J36" s="188"/>
      <c r="K36" s="188"/>
      <c r="L36" s="188"/>
      <c r="M36" s="188"/>
      <c r="N36" s="188"/>
      <c r="O36" s="188"/>
      <c r="P36" s="188"/>
      <c r="Q36" s="188"/>
      <c r="R36" s="188"/>
      <c r="S36" s="188"/>
    </row>
    <row r="37" spans="1:23" x14ac:dyDescent="0.2">
      <c r="D37" s="2"/>
      <c r="E37" s="2"/>
      <c r="G37" s="188"/>
      <c r="H37" s="188"/>
      <c r="I37" s="188"/>
      <c r="J37" s="188"/>
      <c r="K37" s="188"/>
      <c r="L37" s="188"/>
      <c r="M37" s="188"/>
      <c r="N37" s="188"/>
      <c r="O37" s="188"/>
      <c r="P37" s="188"/>
      <c r="Q37" s="188"/>
      <c r="R37" s="188"/>
      <c r="S37" s="188"/>
      <c r="T37" s="188"/>
      <c r="U37" s="188"/>
      <c r="V37" s="188"/>
      <c r="W37" s="188"/>
    </row>
    <row r="38" spans="1:23" x14ac:dyDescent="0.2">
      <c r="A38" s="21" t="s">
        <v>380</v>
      </c>
      <c r="D38" s="2"/>
      <c r="E38" s="2"/>
      <c r="G38" s="188"/>
      <c r="H38" s="188"/>
      <c r="I38" s="188"/>
      <c r="J38" s="188"/>
      <c r="K38" s="188"/>
      <c r="L38" s="188"/>
      <c r="M38" s="188"/>
      <c r="N38" s="188"/>
      <c r="O38" s="188"/>
      <c r="P38" s="188"/>
      <c r="Q38" s="188"/>
      <c r="R38" s="188"/>
      <c r="S38" s="188"/>
      <c r="T38" s="188"/>
      <c r="U38" s="188"/>
      <c r="V38" s="188"/>
      <c r="W38" s="188"/>
    </row>
    <row r="39" spans="1:23" x14ac:dyDescent="0.2">
      <c r="B39" s="75" t="s">
        <v>78</v>
      </c>
      <c r="C39" s="75" t="s">
        <v>73</v>
      </c>
      <c r="D39" s="75" t="s">
        <v>549</v>
      </c>
      <c r="E39" s="75" t="s">
        <v>83</v>
      </c>
      <c r="F39" s="75" t="s">
        <v>551</v>
      </c>
      <c r="G39" s="75" t="s">
        <v>340</v>
      </c>
      <c r="H39" s="75" t="s">
        <v>345</v>
      </c>
      <c r="I39" s="75" t="s">
        <v>552</v>
      </c>
      <c r="J39" s="75" t="s">
        <v>83</v>
      </c>
      <c r="K39" s="75" t="s">
        <v>551</v>
      </c>
      <c r="L39" s="188"/>
      <c r="M39" s="188"/>
      <c r="N39" s="188"/>
    </row>
    <row r="40" spans="1:23" x14ac:dyDescent="0.2">
      <c r="B40" s="76" t="s">
        <v>79</v>
      </c>
      <c r="C40" s="76" t="s">
        <v>74</v>
      </c>
      <c r="D40" s="76" t="s">
        <v>74</v>
      </c>
      <c r="E40" s="76" t="s">
        <v>339</v>
      </c>
      <c r="F40" s="76" t="s">
        <v>339</v>
      </c>
      <c r="G40" s="76" t="s">
        <v>341</v>
      </c>
      <c r="H40" s="76" t="s">
        <v>343</v>
      </c>
      <c r="I40" s="76" t="s">
        <v>343</v>
      </c>
      <c r="J40" s="76" t="s">
        <v>346</v>
      </c>
      <c r="K40" s="76" t="s">
        <v>346</v>
      </c>
      <c r="L40" s="188"/>
      <c r="M40" s="188"/>
      <c r="N40" s="188"/>
    </row>
    <row r="41" spans="1:23" x14ac:dyDescent="0.2">
      <c r="B41" s="77" t="s">
        <v>80</v>
      </c>
      <c r="C41" s="77" t="s">
        <v>77</v>
      </c>
      <c r="D41" s="77" t="s">
        <v>77</v>
      </c>
      <c r="E41" s="96" t="s">
        <v>338</v>
      </c>
      <c r="F41" s="96" t="s">
        <v>338</v>
      </c>
      <c r="G41" s="77" t="s">
        <v>342</v>
      </c>
      <c r="H41" s="96" t="s">
        <v>344</v>
      </c>
      <c r="I41" s="96" t="s">
        <v>344</v>
      </c>
      <c r="J41" s="96" t="s">
        <v>338</v>
      </c>
      <c r="K41" s="96" t="s">
        <v>338</v>
      </c>
      <c r="L41" s="311"/>
      <c r="M41" s="188"/>
      <c r="N41" s="188"/>
    </row>
    <row r="42" spans="1:23" x14ac:dyDescent="0.2">
      <c r="A42" s="94" t="s">
        <v>300</v>
      </c>
      <c r="B42" s="382"/>
      <c r="C42" s="307">
        <v>0.11</v>
      </c>
      <c r="D42" s="121"/>
      <c r="E42" s="131">
        <f>$B42*C42</f>
        <v>0</v>
      </c>
      <c r="F42" s="131"/>
      <c r="G42" s="131"/>
      <c r="H42" s="131"/>
      <c r="I42" s="131"/>
      <c r="J42" s="131"/>
      <c r="K42" s="131"/>
      <c r="L42" s="188" t="s">
        <v>627</v>
      </c>
      <c r="M42" s="188"/>
      <c r="N42" s="188"/>
    </row>
    <row r="43" spans="1:23" x14ac:dyDescent="0.2">
      <c r="A43" s="94" t="s">
        <v>60</v>
      </c>
      <c r="B43" s="382">
        <v>0</v>
      </c>
      <c r="C43" s="121">
        <v>2</v>
      </c>
      <c r="D43" s="121"/>
      <c r="E43" s="131">
        <f>$B43*C43</f>
        <v>0</v>
      </c>
      <c r="F43" s="131"/>
      <c r="G43" s="187"/>
      <c r="H43" s="180"/>
      <c r="I43" s="215"/>
      <c r="J43" s="131">
        <f>$B43*$G43*H43/100</f>
        <v>0</v>
      </c>
      <c r="K43" s="131"/>
      <c r="L43" s="188" t="s">
        <v>729</v>
      </c>
      <c r="M43" s="188"/>
      <c r="N43" s="188"/>
    </row>
    <row r="44" spans="1:23" ht="18" customHeight="1" x14ac:dyDescent="0.2">
      <c r="D44" s="2"/>
      <c r="E44" s="2"/>
    </row>
    <row r="45" spans="1:23" x14ac:dyDescent="0.2">
      <c r="A45" s="21" t="s">
        <v>62</v>
      </c>
      <c r="B45" s="89"/>
      <c r="C45" s="89"/>
      <c r="D45" s="90"/>
      <c r="E45" s="90"/>
      <c r="F45" s="23"/>
      <c r="G45" s="23"/>
      <c r="I45" s="233"/>
      <c r="K45" s="233"/>
      <c r="L45" s="188"/>
      <c r="M45" s="188"/>
      <c r="N45" s="188"/>
      <c r="O45" s="188"/>
      <c r="P45" s="188"/>
      <c r="Q45" s="188"/>
      <c r="R45" s="188"/>
      <c r="S45" s="188"/>
      <c r="T45" s="188"/>
      <c r="U45" s="188"/>
      <c r="V45" s="188"/>
      <c r="W45" s="188"/>
    </row>
    <row r="46" spans="1:23" x14ac:dyDescent="0.2">
      <c r="A46" s="23"/>
      <c r="B46" s="91" t="s">
        <v>81</v>
      </c>
      <c r="D46" s="91" t="s">
        <v>336</v>
      </c>
      <c r="E46" s="74" t="s">
        <v>337</v>
      </c>
      <c r="G46" s="48" t="s">
        <v>535</v>
      </c>
      <c r="I46" s="91" t="s">
        <v>83</v>
      </c>
      <c r="K46" s="350" t="s">
        <v>551</v>
      </c>
      <c r="L46" s="188"/>
      <c r="M46" s="188"/>
      <c r="N46" s="188"/>
      <c r="O46" s="188"/>
      <c r="P46" s="188"/>
      <c r="Q46" s="188"/>
      <c r="R46" s="188"/>
      <c r="S46" s="188"/>
      <c r="T46" s="188"/>
      <c r="U46" s="188"/>
      <c r="V46" s="188"/>
      <c r="W46" s="188"/>
    </row>
    <row r="47" spans="1:23" x14ac:dyDescent="0.2">
      <c r="A47" s="23"/>
      <c r="B47" s="91" t="s">
        <v>84</v>
      </c>
      <c r="D47" s="91" t="s">
        <v>86</v>
      </c>
      <c r="E47" s="91" t="s">
        <v>86</v>
      </c>
      <c r="G47" s="48" t="s">
        <v>536</v>
      </c>
      <c r="I47" s="74" t="s">
        <v>338</v>
      </c>
      <c r="K47" s="74" t="s">
        <v>338</v>
      </c>
      <c r="L47" s="188"/>
      <c r="M47" s="188"/>
      <c r="N47" s="188"/>
      <c r="O47" s="188"/>
      <c r="P47" s="188"/>
      <c r="Q47" s="188"/>
      <c r="R47" s="188"/>
      <c r="S47" s="188"/>
      <c r="T47" s="188"/>
      <c r="U47" s="188"/>
      <c r="V47" s="188"/>
      <c r="W47" s="188"/>
    </row>
    <row r="48" spans="1:23" x14ac:dyDescent="0.2">
      <c r="A48" s="92" t="s">
        <v>63</v>
      </c>
      <c r="B48" s="186">
        <v>0</v>
      </c>
      <c r="C48" s="184"/>
      <c r="D48" s="185">
        <v>0.2</v>
      </c>
      <c r="E48" s="185"/>
      <c r="F48" s="184"/>
      <c r="G48" s="341">
        <v>0.5</v>
      </c>
      <c r="H48" s="94"/>
      <c r="I48" s="216">
        <f>B48*D48*G48</f>
        <v>0</v>
      </c>
      <c r="J48" s="349"/>
      <c r="K48" s="355">
        <f>B48*E48*G48</f>
        <v>0</v>
      </c>
      <c r="L48" s="246" t="s">
        <v>730</v>
      </c>
      <c r="N48" s="188"/>
      <c r="O48" s="188"/>
      <c r="P48" s="188"/>
      <c r="Q48" s="188"/>
      <c r="R48" s="188"/>
      <c r="S48" s="188"/>
      <c r="T48" s="188"/>
      <c r="U48" s="188"/>
      <c r="V48" s="188"/>
      <c r="W48" s="188"/>
    </row>
    <row r="49" spans="1:29" ht="12.6" customHeight="1" x14ac:dyDescent="0.2">
      <c r="A49" s="23"/>
      <c r="B49" s="352"/>
      <c r="C49" s="351" t="s">
        <v>82</v>
      </c>
      <c r="D49" s="353"/>
      <c r="E49" s="353"/>
      <c r="F49" s="351" t="s">
        <v>305</v>
      </c>
      <c r="G49" s="354" t="s">
        <v>553</v>
      </c>
      <c r="H49" s="350" t="s">
        <v>516</v>
      </c>
      <c r="I49" s="74"/>
      <c r="J49" s="233"/>
      <c r="K49" s="188"/>
      <c r="M49" s="339"/>
      <c r="N49" s="188"/>
      <c r="O49" s="188"/>
      <c r="P49" s="188"/>
      <c r="Q49" s="188"/>
      <c r="R49" s="188"/>
      <c r="S49" s="188"/>
      <c r="T49" s="188"/>
      <c r="U49" s="188"/>
      <c r="V49" s="188"/>
      <c r="W49" s="188"/>
    </row>
    <row r="50" spans="1:29" ht="14.45" customHeight="1" x14ac:dyDescent="0.2">
      <c r="B50" s="247"/>
      <c r="C50" s="91" t="s">
        <v>85</v>
      </c>
      <c r="D50" s="244"/>
      <c r="E50" s="244"/>
      <c r="F50" s="74" t="s">
        <v>87</v>
      </c>
      <c r="G50" s="74" t="s">
        <v>87</v>
      </c>
      <c r="H50" s="350" t="s">
        <v>517</v>
      </c>
      <c r="I50" s="91" t="s">
        <v>83</v>
      </c>
      <c r="J50" s="356"/>
      <c r="K50" s="350" t="s">
        <v>551</v>
      </c>
      <c r="L50" s="188"/>
      <c r="M50" s="188"/>
      <c r="N50" s="188"/>
      <c r="O50" s="188"/>
      <c r="P50" s="188"/>
      <c r="Q50" s="188"/>
      <c r="R50" s="188"/>
      <c r="S50" s="188"/>
      <c r="T50" s="188"/>
      <c r="U50" s="188"/>
      <c r="V50" s="188"/>
      <c r="W50" s="188"/>
    </row>
    <row r="51" spans="1:29" ht="14.45" customHeight="1" x14ac:dyDescent="0.2">
      <c r="A51" s="23" t="s">
        <v>65</v>
      </c>
      <c r="B51" s="231"/>
      <c r="C51" s="91"/>
      <c r="D51" s="232"/>
      <c r="E51" s="232"/>
      <c r="F51" s="74"/>
      <c r="G51" s="74"/>
      <c r="H51" s="350" t="s">
        <v>518</v>
      </c>
      <c r="I51" s="74" t="s">
        <v>338</v>
      </c>
      <c r="J51" s="356"/>
      <c r="K51" s="74" t="s">
        <v>338</v>
      </c>
      <c r="L51" s="188"/>
      <c r="M51" s="188"/>
      <c r="N51" s="188"/>
      <c r="O51" s="188"/>
      <c r="P51" s="188"/>
      <c r="Q51" s="188"/>
      <c r="R51" s="188"/>
      <c r="S51" s="188"/>
      <c r="T51" s="188"/>
      <c r="U51" s="188"/>
      <c r="V51" s="188"/>
      <c r="W51" s="188"/>
    </row>
    <row r="52" spans="1:29" x14ac:dyDescent="0.2">
      <c r="A52" s="322" t="s">
        <v>701</v>
      </c>
      <c r="B52" s="184"/>
      <c r="C52" s="381">
        <v>0</v>
      </c>
      <c r="D52" s="183"/>
      <c r="E52" s="183"/>
      <c r="F52" s="380">
        <v>0</v>
      </c>
      <c r="G52" s="323"/>
      <c r="H52" s="321">
        <v>1</v>
      </c>
      <c r="I52" s="199">
        <f>($C52*F52/1000)*H52</f>
        <v>0</v>
      </c>
      <c r="J52" s="324">
        <f>C52*H52</f>
        <v>0</v>
      </c>
      <c r="K52" s="199">
        <f>($C52*G52/1000)*H52</f>
        <v>0</v>
      </c>
      <c r="L52" s="246"/>
      <c r="M52" s="188"/>
      <c r="N52" s="188"/>
      <c r="O52" s="188"/>
      <c r="P52" s="188"/>
      <c r="Q52" s="188"/>
      <c r="R52" s="188"/>
      <c r="S52" s="188"/>
      <c r="T52" s="188"/>
      <c r="U52" s="188"/>
      <c r="V52" s="188"/>
      <c r="W52" s="188"/>
    </row>
    <row r="53" spans="1:29" x14ac:dyDescent="0.2">
      <c r="A53" s="322" t="s">
        <v>696</v>
      </c>
      <c r="B53" s="184"/>
      <c r="C53" s="381">
        <v>0</v>
      </c>
      <c r="D53" s="183"/>
      <c r="E53" s="183"/>
      <c r="F53" s="380"/>
      <c r="G53" s="323"/>
      <c r="H53" s="321">
        <v>1</v>
      </c>
      <c r="I53" s="199">
        <f>($C53*F53/1000)*H53</f>
        <v>0</v>
      </c>
      <c r="J53" s="324">
        <f>C53*H53</f>
        <v>0</v>
      </c>
      <c r="K53" s="199">
        <f>($C53*G53/1000)*H53</f>
        <v>0</v>
      </c>
      <c r="L53" s="188"/>
      <c r="M53" s="188"/>
      <c r="N53" s="188"/>
      <c r="O53" s="188"/>
      <c r="P53" s="188"/>
      <c r="Q53" s="188"/>
      <c r="R53" s="188"/>
      <c r="S53" s="188"/>
      <c r="T53" s="188"/>
      <c r="U53" s="188"/>
      <c r="V53" s="188"/>
      <c r="W53" s="188"/>
    </row>
    <row r="54" spans="1:29" x14ac:dyDescent="0.2">
      <c r="A54" s="322" t="s">
        <v>697</v>
      </c>
      <c r="B54" s="184"/>
      <c r="C54" s="381">
        <v>0</v>
      </c>
      <c r="D54" s="183"/>
      <c r="E54" s="183"/>
      <c r="F54" s="380"/>
      <c r="G54" s="323"/>
      <c r="H54" s="321">
        <v>1</v>
      </c>
      <c r="I54" s="199">
        <f>($C54*F54/1000)*H54</f>
        <v>0</v>
      </c>
      <c r="J54" s="324">
        <f>C54*H54</f>
        <v>0</v>
      </c>
      <c r="K54" s="199">
        <f>($C54*G54/1000)*H54</f>
        <v>0</v>
      </c>
      <c r="L54" s="188"/>
      <c r="M54" s="188"/>
      <c r="N54" s="188"/>
      <c r="O54" s="188"/>
      <c r="P54" s="188"/>
      <c r="Q54" s="188"/>
      <c r="R54" s="188"/>
      <c r="S54" s="188"/>
      <c r="T54" s="188"/>
      <c r="U54" s="188"/>
      <c r="V54" s="188"/>
      <c r="W54" s="188"/>
    </row>
    <row r="55" spans="1:29" ht="26.45" customHeight="1" x14ac:dyDescent="0.2">
      <c r="A55" s="23" t="s">
        <v>88</v>
      </c>
      <c r="B55" s="23"/>
      <c r="C55" s="23"/>
      <c r="D55" s="23"/>
      <c r="E55" s="23"/>
      <c r="F55" s="23"/>
      <c r="G55" s="23"/>
      <c r="H55" s="23"/>
      <c r="I55" s="233"/>
      <c r="J55" s="233"/>
      <c r="K55" s="233"/>
      <c r="L55" s="188"/>
      <c r="M55" s="188"/>
      <c r="N55" s="188"/>
      <c r="O55" s="188"/>
      <c r="P55" s="188"/>
      <c r="Q55" s="188"/>
      <c r="R55" s="188"/>
      <c r="S55" s="188"/>
      <c r="T55" s="188"/>
      <c r="U55" s="188"/>
      <c r="V55" s="188"/>
      <c r="W55" s="188"/>
    </row>
    <row r="56" spans="1:29" ht="13.9" customHeight="1" x14ac:dyDescent="0.2">
      <c r="A56" s="23"/>
      <c r="B56" s="74" t="s">
        <v>89</v>
      </c>
      <c r="C56" s="74" t="s">
        <v>90</v>
      </c>
      <c r="D56" s="74" t="s">
        <v>91</v>
      </c>
      <c r="E56" s="74" t="s">
        <v>239</v>
      </c>
      <c r="F56" s="74" t="s">
        <v>240</v>
      </c>
      <c r="G56" s="74" t="s">
        <v>241</v>
      </c>
      <c r="H56" s="74" t="s">
        <v>242</v>
      </c>
      <c r="I56" s="74" t="s">
        <v>243</v>
      </c>
      <c r="J56" s="74" t="s">
        <v>92</v>
      </c>
      <c r="K56" s="74" t="s">
        <v>244</v>
      </c>
      <c r="L56" s="196"/>
      <c r="M56" s="188"/>
      <c r="N56" s="188"/>
      <c r="O56" s="188"/>
      <c r="P56" s="188"/>
      <c r="Q56" s="188"/>
      <c r="R56" s="188"/>
      <c r="S56" s="188"/>
      <c r="T56" s="188"/>
      <c r="U56" s="188"/>
      <c r="V56" s="188"/>
      <c r="W56" s="188"/>
    </row>
    <row r="57" spans="1:29" x14ac:dyDescent="0.2">
      <c r="A57" s="92" t="str">
        <f>A52</f>
        <v>PS-1</v>
      </c>
      <c r="B57" s="186">
        <v>0</v>
      </c>
      <c r="C57" s="186">
        <v>0</v>
      </c>
      <c r="D57" s="186">
        <v>0</v>
      </c>
      <c r="E57" s="186">
        <v>0</v>
      </c>
      <c r="F57" s="186">
        <v>0</v>
      </c>
      <c r="G57" s="186">
        <v>0</v>
      </c>
      <c r="H57" s="186">
        <v>0</v>
      </c>
      <c r="I57" s="186">
        <v>0</v>
      </c>
      <c r="J57" s="186">
        <v>0</v>
      </c>
      <c r="K57" s="186">
        <v>0</v>
      </c>
      <c r="L57" s="188"/>
      <c r="M57" s="188"/>
      <c r="N57" s="188"/>
      <c r="O57" s="188"/>
      <c r="P57" s="188"/>
      <c r="Q57" s="188"/>
      <c r="R57" s="188"/>
      <c r="S57" s="188"/>
      <c r="T57" s="188"/>
      <c r="U57" s="188"/>
      <c r="V57" s="188"/>
      <c r="W57" s="188"/>
    </row>
    <row r="58" spans="1:29" x14ac:dyDescent="0.2">
      <c r="A58" s="92" t="str">
        <f t="shared" ref="A58:A59" si="2">A53</f>
        <v>PS-2</v>
      </c>
      <c r="B58" s="186">
        <v>0</v>
      </c>
      <c r="C58" s="186">
        <v>0</v>
      </c>
      <c r="D58" s="186">
        <v>0</v>
      </c>
      <c r="E58" s="186">
        <v>0</v>
      </c>
      <c r="F58" s="186">
        <v>0</v>
      </c>
      <c r="G58" s="186">
        <v>0</v>
      </c>
      <c r="H58" s="186">
        <v>0</v>
      </c>
      <c r="I58" s="186">
        <v>0</v>
      </c>
      <c r="J58" s="186">
        <v>0</v>
      </c>
      <c r="K58" s="186">
        <v>0</v>
      </c>
      <c r="L58" s="188"/>
      <c r="M58" s="188"/>
      <c r="N58" s="188"/>
      <c r="O58" s="188"/>
      <c r="P58" s="188"/>
      <c r="Q58" s="188"/>
      <c r="R58" s="188"/>
      <c r="S58" s="188"/>
      <c r="T58" s="188"/>
      <c r="U58" s="188"/>
      <c r="V58" s="188"/>
      <c r="W58" s="188"/>
    </row>
    <row r="59" spans="1:29" x14ac:dyDescent="0.2">
      <c r="A59" s="92" t="str">
        <f t="shared" si="2"/>
        <v>PS-3</v>
      </c>
      <c r="B59" s="186">
        <v>0</v>
      </c>
      <c r="C59" s="186">
        <v>0</v>
      </c>
      <c r="D59" s="186">
        <v>0</v>
      </c>
      <c r="E59" s="186">
        <v>0</v>
      </c>
      <c r="F59" s="186">
        <v>0</v>
      </c>
      <c r="G59" s="186">
        <v>0</v>
      </c>
      <c r="H59" s="186">
        <v>0</v>
      </c>
      <c r="I59" s="186">
        <v>0</v>
      </c>
      <c r="J59" s="186">
        <v>0</v>
      </c>
      <c r="K59" s="186">
        <v>0</v>
      </c>
      <c r="L59" s="188"/>
      <c r="M59" s="188"/>
      <c r="N59" s="188"/>
      <c r="O59" s="188"/>
      <c r="P59" s="188"/>
      <c r="Q59" s="188"/>
      <c r="R59" s="188"/>
      <c r="S59" s="188"/>
      <c r="T59" s="188"/>
      <c r="U59" s="188"/>
      <c r="V59" s="188"/>
      <c r="W59" s="188"/>
    </row>
    <row r="60" spans="1:29" x14ac:dyDescent="0.2">
      <c r="L60" s="188"/>
      <c r="M60" s="188"/>
      <c r="N60" s="188"/>
      <c r="O60" s="188"/>
      <c r="P60" s="188"/>
      <c r="Q60" s="188"/>
      <c r="R60" s="188"/>
      <c r="S60" s="188"/>
      <c r="T60" s="188"/>
      <c r="U60" s="188"/>
      <c r="V60" s="188"/>
      <c r="W60" s="188"/>
    </row>
    <row r="61" spans="1:29" ht="29.45" customHeight="1" x14ac:dyDescent="0.2">
      <c r="A61" s="21" t="s">
        <v>306</v>
      </c>
      <c r="B61" s="23"/>
      <c r="C61" s="23"/>
      <c r="D61" s="23"/>
      <c r="E61" s="23"/>
      <c r="F61" s="23"/>
      <c r="G61" s="23"/>
      <c r="H61" s="23"/>
      <c r="I61" s="23"/>
      <c r="J61" s="23"/>
      <c r="K61" s="339"/>
      <c r="L61" s="188"/>
      <c r="M61" s="188"/>
      <c r="N61" s="188"/>
      <c r="O61" s="188"/>
      <c r="P61" s="188"/>
      <c r="Q61" s="188"/>
      <c r="R61" s="188"/>
      <c r="S61" s="188"/>
      <c r="T61" s="188"/>
      <c r="U61" s="188"/>
      <c r="V61" s="188"/>
      <c r="W61" s="188"/>
    </row>
    <row r="62" spans="1:29" s="72" customFormat="1" ht="38.25" x14ac:dyDescent="0.2">
      <c r="A62" s="212" t="s">
        <v>512</v>
      </c>
      <c r="B62" s="93" t="s">
        <v>319</v>
      </c>
      <c r="C62" s="93" t="s">
        <v>473</v>
      </c>
      <c r="D62" s="93" t="s">
        <v>320</v>
      </c>
      <c r="E62" s="93" t="s">
        <v>321</v>
      </c>
      <c r="F62" s="93" t="s">
        <v>328</v>
      </c>
      <c r="G62" s="93" t="s">
        <v>322</v>
      </c>
      <c r="H62" s="93" t="s">
        <v>325</v>
      </c>
      <c r="I62" s="358" t="s">
        <v>559</v>
      </c>
      <c r="J62" s="358" t="s">
        <v>560</v>
      </c>
      <c r="K62" s="115" t="s">
        <v>327</v>
      </c>
      <c r="L62" s="93" t="s">
        <v>323</v>
      </c>
      <c r="M62" s="358" t="s">
        <v>561</v>
      </c>
      <c r="N62" s="241"/>
      <c r="O62" s="242"/>
      <c r="P62" s="188"/>
      <c r="Q62" s="188"/>
      <c r="R62" s="188"/>
      <c r="S62" s="188"/>
      <c r="T62" s="188"/>
      <c r="U62" s="188"/>
      <c r="V62" s="188"/>
      <c r="W62" s="188"/>
      <c r="X62" s="188"/>
      <c r="Y62" s="188"/>
      <c r="Z62"/>
      <c r="AA62"/>
      <c r="AB62" s="73"/>
      <c r="AC62" s="73"/>
    </row>
    <row r="63" spans="1:29" ht="14.25" customHeight="1" x14ac:dyDescent="0.2">
      <c r="A63" s="92" t="s">
        <v>315</v>
      </c>
      <c r="B63" s="186"/>
      <c r="C63" s="382"/>
      <c r="D63" s="186"/>
      <c r="E63" s="186">
        <v>2.5</v>
      </c>
      <c r="F63" s="186">
        <v>0.25</v>
      </c>
      <c r="G63" s="186">
        <v>8</v>
      </c>
      <c r="H63" s="186">
        <v>0</v>
      </c>
      <c r="I63" s="357"/>
      <c r="J63" s="357"/>
      <c r="K63" s="198">
        <f>B63*D63*E63*F63</f>
        <v>0</v>
      </c>
      <c r="L63" s="199">
        <f>B63*D63*E63*F63*G63*H63/1000</f>
        <v>0</v>
      </c>
      <c r="M63" s="199">
        <f>B63*D63*E63*F63*I63*J63/1000</f>
        <v>0</v>
      </c>
      <c r="N63" s="385" t="s">
        <v>700</v>
      </c>
      <c r="O63" s="244"/>
      <c r="P63" s="188"/>
      <c r="Q63" s="188"/>
      <c r="R63" s="188"/>
      <c r="S63" s="188"/>
      <c r="T63" s="188"/>
      <c r="U63" s="188"/>
    </row>
    <row r="64" spans="1:29" x14ac:dyDescent="0.2">
      <c r="A64" s="92" t="s">
        <v>316</v>
      </c>
      <c r="B64" s="186"/>
      <c r="C64" s="186"/>
      <c r="D64" s="186"/>
      <c r="E64" s="186">
        <v>2.5</v>
      </c>
      <c r="F64" s="186">
        <v>0.25</v>
      </c>
      <c r="G64" s="186">
        <v>8</v>
      </c>
      <c r="H64" s="186">
        <v>0</v>
      </c>
      <c r="I64" s="357"/>
      <c r="J64" s="357"/>
      <c r="K64" s="198">
        <f>B64*D64*E64*F64</f>
        <v>0</v>
      </c>
      <c r="L64" s="199">
        <f>B64*D64*E64*F64*G64*H64/1000</f>
        <v>0</v>
      </c>
      <c r="M64" s="199">
        <f>B64*D64*E64*F64*I64*J64</f>
        <v>0</v>
      </c>
      <c r="N64" s="243"/>
      <c r="O64" s="245"/>
      <c r="P64" s="246"/>
      <c r="Q64" s="188"/>
      <c r="R64" s="188"/>
      <c r="S64" s="188"/>
      <c r="T64" s="188"/>
      <c r="U64" s="188"/>
    </row>
    <row r="65" spans="1:35" x14ac:dyDescent="0.2">
      <c r="A65" s="92" t="s">
        <v>317</v>
      </c>
      <c r="B65" s="186"/>
      <c r="C65" s="186"/>
      <c r="D65" s="186"/>
      <c r="E65" s="186">
        <v>2.5</v>
      </c>
      <c r="F65" s="186">
        <v>0.25</v>
      </c>
      <c r="G65" s="186">
        <v>8</v>
      </c>
      <c r="H65" s="186">
        <v>0</v>
      </c>
      <c r="I65" s="357"/>
      <c r="J65" s="357"/>
      <c r="K65" s="198">
        <f>B65*D65*E65*F65</f>
        <v>0</v>
      </c>
      <c r="L65" s="199">
        <f>B65*D65*E65*F65*G65*H65/1000</f>
        <v>0</v>
      </c>
      <c r="M65" s="199">
        <f>B65*D65*E65*F65*I65*J65</f>
        <v>0</v>
      </c>
      <c r="N65" s="243"/>
      <c r="O65" s="245"/>
      <c r="P65" s="188"/>
      <c r="Q65" s="188"/>
      <c r="R65" s="188"/>
      <c r="S65" s="188"/>
      <c r="T65" s="188"/>
      <c r="U65" s="188"/>
      <c r="AB65" s="5"/>
      <c r="AC65" s="5"/>
    </row>
    <row r="66" spans="1:35" x14ac:dyDescent="0.2">
      <c r="A66" s="92" t="s">
        <v>318</v>
      </c>
      <c r="B66" s="186"/>
      <c r="C66" s="186"/>
      <c r="D66" s="186"/>
      <c r="E66" s="186">
        <v>2.5</v>
      </c>
      <c r="F66" s="186">
        <v>0.25</v>
      </c>
      <c r="G66" s="186">
        <v>8</v>
      </c>
      <c r="H66" s="186">
        <v>0</v>
      </c>
      <c r="I66" s="357"/>
      <c r="J66" s="357"/>
      <c r="K66" s="198">
        <f>B66*D66*E66*F66</f>
        <v>0</v>
      </c>
      <c r="L66" s="199">
        <f>B66*D66*E66*F66*G66*H66/1000</f>
        <v>0</v>
      </c>
      <c r="M66" s="199">
        <f>B66*D66*E66*F66*I66*J66</f>
        <v>0</v>
      </c>
      <c r="N66" s="243"/>
      <c r="O66" s="245"/>
      <c r="P66" s="188"/>
      <c r="Q66" s="188"/>
      <c r="R66" s="188"/>
      <c r="S66" s="188"/>
      <c r="T66" s="188"/>
      <c r="U66" s="188"/>
      <c r="AB66" s="70"/>
      <c r="AC66" s="5"/>
    </row>
    <row r="67" spans="1:35" x14ac:dyDescent="0.2">
      <c r="A67" s="23"/>
      <c r="B67" s="234"/>
      <c r="C67" s="234"/>
      <c r="D67" s="234"/>
      <c r="E67" s="234"/>
      <c r="F67" s="234"/>
      <c r="G67" s="234"/>
      <c r="H67" s="234"/>
      <c r="I67" s="74"/>
      <c r="J67" s="74"/>
      <c r="K67" s="188"/>
      <c r="L67" s="188"/>
      <c r="M67" s="233"/>
      <c r="N67" s="233"/>
      <c r="O67" s="234"/>
      <c r="P67" s="234"/>
      <c r="Q67" s="234"/>
      <c r="R67" s="234"/>
      <c r="S67" s="247"/>
      <c r="T67" s="91"/>
      <c r="U67" s="23"/>
      <c r="V67" s="74"/>
      <c r="W67" s="74"/>
      <c r="X67" s="91"/>
      <c r="Y67" s="5"/>
      <c r="Z67" s="5"/>
    </row>
    <row r="68" spans="1:35" x14ac:dyDescent="0.2">
      <c r="A68" s="203" t="s">
        <v>326</v>
      </c>
      <c r="B68" s="234"/>
      <c r="C68" s="234"/>
      <c r="D68" s="234"/>
      <c r="E68" s="234"/>
      <c r="F68" s="234"/>
      <c r="G68" s="234"/>
      <c r="H68" s="234"/>
      <c r="K68" s="130">
        <f>SUM(K63:K66)</f>
        <v>0</v>
      </c>
      <c r="L68" s="199">
        <f>SUM(L63:L66)</f>
        <v>0</v>
      </c>
      <c r="M68" s="199">
        <f>SUM(M63:M66)</f>
        <v>0</v>
      </c>
      <c r="N68" s="245"/>
      <c r="O68" s="234"/>
      <c r="P68" s="234"/>
      <c r="Q68" s="234"/>
      <c r="R68" s="234"/>
      <c r="S68" s="234"/>
      <c r="T68" s="71"/>
      <c r="U68" s="23"/>
      <c r="V68" s="23"/>
      <c r="W68" s="23"/>
      <c r="X68" s="71"/>
      <c r="Y68" s="71"/>
      <c r="Z68" s="71"/>
    </row>
    <row r="69" spans="1:35" ht="21" customHeight="1" x14ac:dyDescent="0.2">
      <c r="A69" s="23"/>
      <c r="B69" s="188"/>
      <c r="C69" s="188"/>
      <c r="D69" s="188"/>
      <c r="E69" s="188"/>
      <c r="F69" s="188"/>
      <c r="G69" s="188"/>
      <c r="H69" s="188"/>
      <c r="K69" s="188"/>
      <c r="L69" s="188"/>
      <c r="M69" s="188"/>
      <c r="N69" s="188"/>
      <c r="O69" s="188"/>
      <c r="P69" s="188"/>
      <c r="Q69" s="188"/>
      <c r="R69" s="188"/>
      <c r="S69" s="188"/>
    </row>
    <row r="70" spans="1:35" x14ac:dyDescent="0.2">
      <c r="A70" s="21" t="s">
        <v>93</v>
      </c>
      <c r="B70" s="233"/>
      <c r="C70" s="233"/>
      <c r="D70" s="233"/>
      <c r="E70" s="233"/>
      <c r="F70" s="233"/>
      <c r="G70" s="233"/>
      <c r="H70" s="233"/>
      <c r="I70" s="23"/>
      <c r="J70" s="23"/>
      <c r="K70" s="23"/>
      <c r="L70" s="23"/>
    </row>
    <row r="71" spans="1:35" x14ac:dyDescent="0.2">
      <c r="A71" s="386" t="s">
        <v>75</v>
      </c>
      <c r="B71" s="316" t="s">
        <v>680</v>
      </c>
      <c r="C71" s="316" t="s">
        <v>681</v>
      </c>
      <c r="D71" s="316" t="s">
        <v>682</v>
      </c>
      <c r="E71" s="316" t="s">
        <v>683</v>
      </c>
      <c r="F71" s="316" t="s">
        <v>670</v>
      </c>
      <c r="G71" s="316" t="s">
        <v>671</v>
      </c>
      <c r="H71" s="316" t="s">
        <v>672</v>
      </c>
      <c r="I71" s="316" t="s">
        <v>673</v>
      </c>
      <c r="J71" s="316" t="s">
        <v>674</v>
      </c>
      <c r="K71" s="316" t="s">
        <v>675</v>
      </c>
      <c r="L71" s="316" t="s">
        <v>676</v>
      </c>
      <c r="M71" s="316" t="s">
        <v>677</v>
      </c>
      <c r="N71" s="316" t="s">
        <v>678</v>
      </c>
      <c r="O71" s="316" t="s">
        <v>679</v>
      </c>
      <c r="P71" s="95" t="s">
        <v>94</v>
      </c>
      <c r="Q71" s="188"/>
      <c r="R71" s="188"/>
      <c r="S71" s="188"/>
    </row>
    <row r="72" spans="1:35" x14ac:dyDescent="0.2">
      <c r="A72" s="387"/>
      <c r="B72" s="316"/>
      <c r="C72" s="316"/>
      <c r="D72" s="316"/>
      <c r="E72" s="316"/>
      <c r="F72" s="316"/>
      <c r="G72" s="316"/>
      <c r="H72" s="316"/>
      <c r="I72" s="316"/>
      <c r="J72" s="253"/>
      <c r="K72" s="253"/>
      <c r="L72" s="253"/>
      <c r="M72" s="253"/>
      <c r="N72" s="253"/>
      <c r="O72" s="253"/>
      <c r="P72" s="101"/>
      <c r="Q72" s="188"/>
      <c r="R72" s="188"/>
      <c r="S72" s="188"/>
      <c r="T72" s="188"/>
      <c r="U72" s="188"/>
      <c r="V72" s="188"/>
      <c r="W72" s="188"/>
      <c r="X72" s="188"/>
      <c r="Y72" s="188"/>
      <c r="Z72" s="188"/>
      <c r="AA72" s="188"/>
      <c r="AB72" s="188"/>
      <c r="AC72" s="188"/>
      <c r="AD72" s="188"/>
      <c r="AE72" s="188"/>
      <c r="AF72" s="188"/>
      <c r="AG72" s="188"/>
    </row>
    <row r="73" spans="1:35" x14ac:dyDescent="0.2">
      <c r="A73" s="388"/>
      <c r="B73" s="252" t="s">
        <v>95</v>
      </c>
      <c r="C73" s="252" t="s">
        <v>95</v>
      </c>
      <c r="D73" s="252" t="s">
        <v>95</v>
      </c>
      <c r="E73" s="252" t="s">
        <v>95</v>
      </c>
      <c r="F73" s="252" t="s">
        <v>95</v>
      </c>
      <c r="G73" s="252" t="s">
        <v>95</v>
      </c>
      <c r="H73" s="252" t="s">
        <v>95</v>
      </c>
      <c r="I73" s="252" t="s">
        <v>95</v>
      </c>
      <c r="J73" s="252" t="s">
        <v>95</v>
      </c>
      <c r="K73" s="252" t="s">
        <v>95</v>
      </c>
      <c r="L73" s="252" t="s">
        <v>95</v>
      </c>
      <c r="M73" s="252" t="s">
        <v>95</v>
      </c>
      <c r="N73" s="252" t="s">
        <v>95</v>
      </c>
      <c r="O73" s="252" t="s">
        <v>95</v>
      </c>
      <c r="P73" s="96" t="s">
        <v>95</v>
      </c>
      <c r="Q73" s="235"/>
      <c r="R73" s="188"/>
      <c r="S73" s="196"/>
      <c r="T73" s="196"/>
      <c r="U73" s="196"/>
      <c r="V73" s="196"/>
      <c r="W73" s="196"/>
      <c r="X73" s="196"/>
      <c r="Y73" s="196"/>
      <c r="Z73" s="196"/>
      <c r="AA73" s="196"/>
      <c r="AB73" s="196"/>
      <c r="AC73" s="196"/>
      <c r="AD73" s="196"/>
      <c r="AE73" s="196"/>
      <c r="AF73" s="196"/>
      <c r="AG73" s="196"/>
      <c r="AH73" s="1"/>
      <c r="AI73" s="1"/>
    </row>
    <row r="74" spans="1:35" x14ac:dyDescent="0.2">
      <c r="A74" s="94" t="str">
        <f t="shared" ref="A74:A92" si="3">A14</f>
        <v>Cropland</v>
      </c>
      <c r="B74" s="391"/>
      <c r="C74" s="391"/>
      <c r="D74" s="391"/>
      <c r="E74" s="391"/>
      <c r="F74" s="389"/>
      <c r="G74" s="389"/>
      <c r="H74" s="389"/>
      <c r="I74" s="389"/>
      <c r="J74" s="389"/>
      <c r="K74" s="389"/>
      <c r="L74" s="389"/>
      <c r="M74" s="383"/>
      <c r="N74" s="389"/>
      <c r="O74" s="389"/>
      <c r="P74" s="113">
        <f>SUM(B74:O74)</f>
        <v>0</v>
      </c>
      <c r="Q74" s="236"/>
      <c r="R74" s="188"/>
      <c r="S74" s="237"/>
      <c r="T74" s="237"/>
      <c r="U74" s="237"/>
      <c r="V74" s="237"/>
      <c r="W74" s="237"/>
      <c r="X74" s="237"/>
      <c r="Y74" s="237"/>
      <c r="Z74" s="237"/>
      <c r="AA74" s="237"/>
      <c r="AB74" s="237"/>
      <c r="AC74" s="237"/>
      <c r="AD74" s="237"/>
      <c r="AE74" s="237"/>
      <c r="AF74" s="237"/>
      <c r="AG74" s="237"/>
      <c r="AH74" s="4"/>
      <c r="AI74" s="4"/>
    </row>
    <row r="75" spans="1:35" x14ac:dyDescent="0.2">
      <c r="A75" s="94" t="str">
        <f t="shared" si="3"/>
        <v>Pasture</v>
      </c>
      <c r="B75" s="392"/>
      <c r="C75" s="392"/>
      <c r="D75" s="392"/>
      <c r="E75" s="392"/>
      <c r="F75" s="392"/>
      <c r="G75" s="392"/>
      <c r="H75" s="392"/>
      <c r="I75" s="392"/>
      <c r="J75" s="392"/>
      <c r="K75" s="392"/>
      <c r="L75" s="392"/>
      <c r="M75" s="392"/>
      <c r="N75" s="389"/>
      <c r="O75" s="389"/>
      <c r="P75" s="113">
        <f t="shared" ref="P75:P98" si="4">SUM(B75:O75)</f>
        <v>0</v>
      </c>
      <c r="Q75" s="236"/>
      <c r="R75" s="188"/>
      <c r="S75" s="237"/>
      <c r="T75" s="237"/>
      <c r="U75" s="237"/>
      <c r="V75" s="237"/>
      <c r="W75" s="237"/>
      <c r="X75" s="237"/>
      <c r="Y75" s="237"/>
      <c r="Z75" s="237"/>
      <c r="AA75" s="237"/>
      <c r="AB75" s="237"/>
      <c r="AC75" s="237"/>
      <c r="AD75" s="237"/>
      <c r="AE75" s="237"/>
      <c r="AF75" s="237"/>
      <c r="AG75" s="237"/>
      <c r="AH75" s="4"/>
      <c r="AI75" s="4"/>
    </row>
    <row r="76" spans="1:35" x14ac:dyDescent="0.2">
      <c r="A76" s="94" t="str">
        <f t="shared" si="3"/>
        <v>Forest</v>
      </c>
      <c r="B76" s="391"/>
      <c r="C76" s="391"/>
      <c r="D76" s="391"/>
      <c r="E76" s="391"/>
      <c r="F76" s="389"/>
      <c r="G76" s="389"/>
      <c r="H76" s="389"/>
      <c r="I76" s="389"/>
      <c r="J76" s="389"/>
      <c r="K76" s="389"/>
      <c r="L76" s="389"/>
      <c r="M76" s="389"/>
      <c r="N76" s="389"/>
      <c r="O76" s="389"/>
      <c r="P76" s="113">
        <f t="shared" si="4"/>
        <v>0</v>
      </c>
      <c r="Q76" s="236"/>
      <c r="R76" s="237"/>
      <c r="S76" s="237"/>
      <c r="T76" s="237"/>
      <c r="U76" s="237"/>
      <c r="V76" s="237"/>
      <c r="W76" s="237"/>
      <c r="X76" s="237"/>
      <c r="Y76" s="237"/>
      <c r="Z76" s="237"/>
      <c r="AA76" s="237"/>
      <c r="AB76" s="237"/>
      <c r="AC76" s="237"/>
      <c r="AD76" s="237"/>
      <c r="AE76" s="237"/>
      <c r="AF76" s="237"/>
      <c r="AG76" s="237"/>
      <c r="AH76" s="4"/>
      <c r="AI76" s="4"/>
    </row>
    <row r="77" spans="1:35" x14ac:dyDescent="0.2">
      <c r="A77" s="94" t="str">
        <f t="shared" si="3"/>
        <v>Non-Forested Wetland</v>
      </c>
      <c r="B77" s="391"/>
      <c r="C77" s="391"/>
      <c r="D77" s="391"/>
      <c r="E77" s="391"/>
      <c r="F77" s="389"/>
      <c r="G77" s="389"/>
      <c r="H77" s="389"/>
      <c r="I77" s="389"/>
      <c r="J77" s="389"/>
      <c r="K77" s="389"/>
      <c r="L77" s="389"/>
      <c r="M77" s="389"/>
      <c r="N77" s="389"/>
      <c r="O77" s="389"/>
      <c r="P77" s="113">
        <f t="shared" si="4"/>
        <v>0</v>
      </c>
      <c r="Q77" s="236"/>
      <c r="R77" s="188"/>
      <c r="S77" s="237"/>
      <c r="T77" s="237"/>
      <c r="U77" s="237"/>
      <c r="V77" s="237"/>
      <c r="W77" s="237"/>
      <c r="X77" s="237"/>
      <c r="Y77" s="237"/>
      <c r="Z77" s="237"/>
      <c r="AA77" s="237"/>
      <c r="AB77" s="237"/>
      <c r="AC77" s="237"/>
      <c r="AD77" s="237"/>
      <c r="AE77" s="237"/>
      <c r="AF77" s="237"/>
      <c r="AG77" s="237"/>
      <c r="AH77" s="4"/>
      <c r="AI77" s="4"/>
    </row>
    <row r="78" spans="1:35" x14ac:dyDescent="0.2">
      <c r="A78" s="94" t="str">
        <f t="shared" si="3"/>
        <v>Open Land</v>
      </c>
      <c r="B78" s="392"/>
      <c r="C78" s="392"/>
      <c r="D78" s="392"/>
      <c r="E78" s="392"/>
      <c r="F78" s="389"/>
      <c r="G78" s="389"/>
      <c r="H78" s="389"/>
      <c r="I78" s="389"/>
      <c r="J78" s="389"/>
      <c r="K78" s="389"/>
      <c r="L78" s="389"/>
      <c r="M78" s="389"/>
      <c r="N78" s="389"/>
      <c r="O78" s="389"/>
      <c r="P78" s="113">
        <f t="shared" si="4"/>
        <v>0</v>
      </c>
      <c r="Q78" s="236"/>
      <c r="R78" s="188"/>
      <c r="S78" s="237"/>
      <c r="T78" s="237"/>
      <c r="U78" s="237"/>
      <c r="V78" s="237"/>
      <c r="W78" s="237"/>
      <c r="X78" s="237"/>
      <c r="Y78" s="237"/>
      <c r="Z78" s="237"/>
      <c r="AA78" s="237"/>
      <c r="AB78" s="237"/>
      <c r="AC78" s="237"/>
      <c r="AD78" s="237"/>
      <c r="AE78" s="237"/>
      <c r="AF78" s="237"/>
      <c r="AG78" s="237"/>
      <c r="AH78" s="4"/>
      <c r="AI78" s="4"/>
    </row>
    <row r="79" spans="1:35" x14ac:dyDescent="0.2">
      <c r="A79" s="94" t="str">
        <f t="shared" si="3"/>
        <v>Participation Recreation</v>
      </c>
      <c r="B79" s="391"/>
      <c r="C79" s="391"/>
      <c r="D79" s="391"/>
      <c r="E79" s="391"/>
      <c r="F79" s="389"/>
      <c r="G79" s="389"/>
      <c r="H79" s="389"/>
      <c r="I79" s="389"/>
      <c r="J79" s="389"/>
      <c r="K79" s="389"/>
      <c r="L79" s="389"/>
      <c r="M79" s="389"/>
      <c r="N79" s="389"/>
      <c r="O79" s="389"/>
      <c r="P79" s="113">
        <f t="shared" si="4"/>
        <v>0</v>
      </c>
      <c r="Q79" s="236"/>
      <c r="R79" s="188"/>
      <c r="S79" s="237"/>
      <c r="T79" s="237"/>
      <c r="U79" s="237"/>
      <c r="V79" s="237"/>
      <c r="W79" s="237"/>
      <c r="X79" s="237"/>
      <c r="Y79" s="237"/>
      <c r="Z79" s="237"/>
      <c r="AA79" s="237"/>
      <c r="AB79" s="237"/>
      <c r="AC79" s="237"/>
      <c r="AD79" s="237"/>
      <c r="AE79" s="237"/>
      <c r="AF79" s="237"/>
      <c r="AG79" s="237"/>
      <c r="AH79" s="4"/>
      <c r="AI79" s="4"/>
    </row>
    <row r="80" spans="1:35" x14ac:dyDescent="0.2">
      <c r="A80" s="94" t="str">
        <f t="shared" si="3"/>
        <v>High Density Residential</v>
      </c>
      <c r="B80" s="391"/>
      <c r="C80" s="391"/>
      <c r="D80" s="391"/>
      <c r="E80" s="391"/>
      <c r="F80" s="389"/>
      <c r="G80" s="389"/>
      <c r="H80" s="389"/>
      <c r="I80" s="389"/>
      <c r="J80" s="389"/>
      <c r="K80" s="389"/>
      <c r="L80" s="389"/>
      <c r="M80" s="389"/>
      <c r="N80" s="389"/>
      <c r="O80" s="389"/>
      <c r="P80" s="113">
        <f t="shared" si="4"/>
        <v>0</v>
      </c>
      <c r="Q80" s="236"/>
      <c r="R80" s="188"/>
      <c r="S80" s="237"/>
      <c r="T80" s="237"/>
      <c r="U80" s="237"/>
      <c r="V80" s="237"/>
      <c r="W80" s="237"/>
      <c r="X80" s="237"/>
      <c r="Y80" s="237"/>
      <c r="Z80" s="237"/>
      <c r="AA80" s="237"/>
      <c r="AB80" s="237"/>
      <c r="AC80" s="237"/>
      <c r="AD80" s="237"/>
      <c r="AE80" s="237"/>
      <c r="AF80" s="237"/>
      <c r="AG80" s="237"/>
      <c r="AH80" s="4"/>
      <c r="AI80" s="4"/>
    </row>
    <row r="81" spans="1:35" x14ac:dyDescent="0.2">
      <c r="A81" s="94" t="str">
        <f t="shared" si="3"/>
        <v>Medium Density Residential</v>
      </c>
      <c r="B81" s="391"/>
      <c r="C81" s="391"/>
      <c r="D81" s="391"/>
      <c r="E81" s="391"/>
      <c r="F81" s="389"/>
      <c r="G81" s="389"/>
      <c r="H81" s="389"/>
      <c r="I81" s="389"/>
      <c r="J81" s="389"/>
      <c r="K81" s="389"/>
      <c r="L81" s="389"/>
      <c r="M81" s="389"/>
      <c r="N81" s="389"/>
      <c r="O81" s="389"/>
      <c r="P81" s="113">
        <f t="shared" si="4"/>
        <v>0</v>
      </c>
      <c r="Q81" s="236"/>
      <c r="R81" s="188"/>
      <c r="S81" s="237"/>
      <c r="T81" s="237"/>
      <c r="U81" s="237"/>
      <c r="V81" s="237"/>
      <c r="W81" s="237"/>
      <c r="X81" s="237"/>
      <c r="Y81" s="237"/>
      <c r="Z81" s="237"/>
      <c r="AA81" s="237"/>
      <c r="AB81" s="237"/>
      <c r="AC81" s="237"/>
      <c r="AD81" s="237"/>
      <c r="AE81" s="237"/>
      <c r="AF81" s="237"/>
      <c r="AG81" s="237"/>
      <c r="AH81" s="4"/>
      <c r="AI81" s="4"/>
    </row>
    <row r="82" spans="1:35" x14ac:dyDescent="0.2">
      <c r="A82" s="94" t="str">
        <f t="shared" si="3"/>
        <v>Low Density Residential</v>
      </c>
      <c r="B82" s="391"/>
      <c r="C82" s="391"/>
      <c r="D82" s="391"/>
      <c r="E82" s="391"/>
      <c r="F82" s="389"/>
      <c r="G82" s="389"/>
      <c r="H82" s="389"/>
      <c r="I82" s="389"/>
      <c r="J82" s="389"/>
      <c r="K82" s="389"/>
      <c r="L82" s="389"/>
      <c r="M82" s="389"/>
      <c r="N82" s="389"/>
      <c r="O82" s="389"/>
      <c r="P82" s="113">
        <f t="shared" si="4"/>
        <v>0</v>
      </c>
      <c r="Q82" s="236"/>
      <c r="R82" s="188"/>
      <c r="S82" s="237"/>
      <c r="T82" s="237"/>
      <c r="U82" s="237"/>
      <c r="V82" s="237"/>
      <c r="W82" s="237"/>
      <c r="X82" s="237"/>
      <c r="Y82" s="237"/>
      <c r="Z82" s="237"/>
      <c r="AA82" s="237"/>
      <c r="AB82" s="237"/>
      <c r="AC82" s="237"/>
      <c r="AD82" s="237"/>
      <c r="AE82" s="237"/>
      <c r="AF82" s="237"/>
      <c r="AG82" s="237"/>
      <c r="AH82" s="4"/>
      <c r="AI82" s="4"/>
    </row>
    <row r="83" spans="1:35" x14ac:dyDescent="0.2">
      <c r="A83" s="94" t="str">
        <f t="shared" si="3"/>
        <v>Very Low Density Residential</v>
      </c>
      <c r="B83" s="391"/>
      <c r="C83" s="391"/>
      <c r="D83" s="391"/>
      <c r="E83" s="391"/>
      <c r="F83" s="389"/>
      <c r="G83" s="389"/>
      <c r="H83" s="389"/>
      <c r="I83" s="389"/>
      <c r="J83" s="389"/>
      <c r="K83" s="389"/>
      <c r="L83" s="389"/>
      <c r="M83" s="389"/>
      <c r="N83" s="389"/>
      <c r="O83" s="389"/>
      <c r="P83" s="113">
        <f t="shared" si="4"/>
        <v>0</v>
      </c>
      <c r="Q83" s="236"/>
      <c r="R83" s="188"/>
      <c r="S83" s="237"/>
      <c r="T83" s="237"/>
      <c r="U83" s="237"/>
      <c r="V83" s="237"/>
      <c r="W83" s="237"/>
      <c r="X83" s="237"/>
      <c r="Y83" s="237"/>
      <c r="Z83" s="237"/>
      <c r="AA83" s="237"/>
      <c r="AB83" s="237"/>
      <c r="AC83" s="237"/>
      <c r="AD83" s="237"/>
      <c r="AE83" s="237"/>
      <c r="AF83" s="237"/>
      <c r="AG83" s="237"/>
      <c r="AH83" s="4"/>
      <c r="AI83" s="4"/>
    </row>
    <row r="84" spans="1:35" x14ac:dyDescent="0.2">
      <c r="A84" s="94" t="str">
        <f t="shared" si="3"/>
        <v>Commercial</v>
      </c>
      <c r="B84" s="392"/>
      <c r="C84" s="392"/>
      <c r="D84" s="392"/>
      <c r="E84" s="392"/>
      <c r="F84" s="389"/>
      <c r="G84" s="389"/>
      <c r="H84" s="389"/>
      <c r="I84" s="389"/>
      <c r="J84" s="389"/>
      <c r="K84" s="389"/>
      <c r="L84" s="389"/>
      <c r="M84" s="389"/>
      <c r="N84" s="389"/>
      <c r="O84" s="389"/>
      <c r="P84" s="113">
        <f t="shared" si="4"/>
        <v>0</v>
      </c>
      <c r="Q84" s="236"/>
      <c r="R84" s="188"/>
      <c r="S84" s="237"/>
      <c r="T84" s="237"/>
      <c r="U84" s="237"/>
      <c r="V84" s="237"/>
      <c r="W84" s="237"/>
      <c r="X84" s="237"/>
      <c r="Y84" s="237"/>
      <c r="Z84" s="237"/>
      <c r="AA84" s="237"/>
      <c r="AB84" s="237"/>
      <c r="AC84" s="237"/>
      <c r="AD84" s="237"/>
      <c r="AE84" s="237"/>
      <c r="AF84" s="237"/>
      <c r="AG84" s="237"/>
      <c r="AH84" s="4"/>
      <c r="AI84" s="4"/>
    </row>
    <row r="85" spans="1:35" x14ac:dyDescent="0.2">
      <c r="A85" s="94" t="str">
        <f t="shared" si="3"/>
        <v>Transportation</v>
      </c>
      <c r="B85" s="391"/>
      <c r="C85" s="391"/>
      <c r="D85" s="391"/>
      <c r="E85" s="391"/>
      <c r="F85" s="389"/>
      <c r="G85" s="389"/>
      <c r="H85" s="389"/>
      <c r="I85" s="389"/>
      <c r="J85" s="389"/>
      <c r="K85" s="389"/>
      <c r="L85" s="389"/>
      <c r="M85" s="389"/>
      <c r="N85" s="389"/>
      <c r="O85" s="389"/>
      <c r="P85" s="113">
        <f t="shared" si="4"/>
        <v>0</v>
      </c>
      <c r="Q85" s="236"/>
      <c r="R85" s="188"/>
      <c r="S85" s="237"/>
      <c r="T85" s="237"/>
      <c r="U85" s="237"/>
      <c r="V85" s="237"/>
      <c r="W85" s="237"/>
      <c r="X85" s="237"/>
      <c r="Y85" s="237"/>
      <c r="Z85" s="237"/>
      <c r="AA85" s="237"/>
      <c r="AB85" s="237"/>
      <c r="AC85" s="237"/>
      <c r="AD85" s="237"/>
      <c r="AE85" s="237"/>
      <c r="AF85" s="237"/>
      <c r="AG85" s="237"/>
      <c r="AH85" s="4"/>
      <c r="AI85" s="4"/>
    </row>
    <row r="86" spans="1:35" x14ac:dyDescent="0.2">
      <c r="A86" s="94" t="str">
        <f t="shared" si="3"/>
        <v>Waste Disposal</v>
      </c>
      <c r="B86" s="391"/>
      <c r="C86" s="391"/>
      <c r="D86" s="391"/>
      <c r="E86" s="391"/>
      <c r="F86" s="389"/>
      <c r="G86" s="389"/>
      <c r="H86" s="389"/>
      <c r="I86" s="389"/>
      <c r="J86" s="389"/>
      <c r="K86" s="389"/>
      <c r="L86" s="389"/>
      <c r="M86" s="389"/>
      <c r="N86" s="389"/>
      <c r="O86" s="389"/>
      <c r="P86" s="113">
        <f t="shared" si="4"/>
        <v>0</v>
      </c>
      <c r="Q86" s="236"/>
      <c r="R86" s="188"/>
      <c r="S86" s="237"/>
      <c r="T86" s="237"/>
      <c r="U86" s="237"/>
      <c r="V86" s="237"/>
      <c r="W86" s="237"/>
      <c r="X86" s="237"/>
      <c r="Y86" s="237"/>
      <c r="Z86" s="237"/>
      <c r="AA86" s="237"/>
      <c r="AB86" s="237"/>
      <c r="AC86" s="237"/>
      <c r="AD86" s="237"/>
      <c r="AE86" s="237"/>
      <c r="AF86" s="237"/>
      <c r="AG86" s="237"/>
      <c r="AH86" s="4"/>
      <c r="AI86" s="4"/>
    </row>
    <row r="87" spans="1:35" x14ac:dyDescent="0.2">
      <c r="A87" s="94" t="str">
        <f t="shared" si="3"/>
        <v>Water</v>
      </c>
      <c r="B87" s="391"/>
      <c r="C87" s="391"/>
      <c r="D87" s="391"/>
      <c r="E87" s="391"/>
      <c r="F87" s="389"/>
      <c r="G87" s="389"/>
      <c r="H87" s="389"/>
      <c r="I87" s="389"/>
      <c r="J87" s="389"/>
      <c r="K87" s="389"/>
      <c r="L87" s="389"/>
      <c r="M87" s="389"/>
      <c r="N87" s="389"/>
      <c r="O87" s="389"/>
      <c r="P87" s="113">
        <f t="shared" si="4"/>
        <v>0</v>
      </c>
      <c r="Q87" s="236"/>
      <c r="R87" s="188"/>
      <c r="S87" s="237"/>
      <c r="T87" s="237"/>
      <c r="U87" s="237"/>
      <c r="V87" s="237"/>
      <c r="W87" s="237"/>
      <c r="X87" s="237"/>
      <c r="Y87" s="237"/>
      <c r="Z87" s="237"/>
      <c r="AA87" s="237"/>
      <c r="AB87" s="237"/>
      <c r="AC87" s="237"/>
      <c r="AD87" s="237"/>
      <c r="AE87" s="237"/>
      <c r="AF87" s="237"/>
      <c r="AG87" s="237"/>
      <c r="AH87" s="4"/>
      <c r="AI87" s="4"/>
    </row>
    <row r="88" spans="1:35" x14ac:dyDescent="0.2">
      <c r="A88" s="94" t="str">
        <f t="shared" si="3"/>
        <v>Urban Public/Institutional</v>
      </c>
      <c r="B88" s="391"/>
      <c r="C88" s="391"/>
      <c r="D88" s="391"/>
      <c r="E88" s="391"/>
      <c r="F88" s="389"/>
      <c r="G88" s="389"/>
      <c r="H88" s="389"/>
      <c r="I88" s="389"/>
      <c r="J88" s="389"/>
      <c r="K88" s="389"/>
      <c r="L88" s="389"/>
      <c r="M88" s="389"/>
      <c r="N88" s="389"/>
      <c r="O88" s="389"/>
      <c r="P88" s="113">
        <f t="shared" si="4"/>
        <v>0</v>
      </c>
      <c r="Q88" s="236"/>
      <c r="R88" s="188"/>
      <c r="S88" s="237"/>
      <c r="T88" s="237"/>
      <c r="U88" s="237"/>
      <c r="V88" s="237"/>
      <c r="W88" s="237"/>
      <c r="X88" s="237"/>
      <c r="Y88" s="237"/>
      <c r="Z88" s="237"/>
      <c r="AA88" s="237"/>
      <c r="AB88" s="237"/>
      <c r="AC88" s="237"/>
      <c r="AD88" s="237"/>
      <c r="AE88" s="237"/>
      <c r="AF88" s="237"/>
      <c r="AG88" s="237"/>
      <c r="AH88" s="4"/>
      <c r="AI88" s="4"/>
    </row>
    <row r="89" spans="1:35" x14ac:dyDescent="0.2">
      <c r="A89" s="94" t="str">
        <f t="shared" si="3"/>
        <v>Cemetery</v>
      </c>
      <c r="B89" s="391"/>
      <c r="C89" s="391"/>
      <c r="D89" s="391"/>
      <c r="E89" s="391"/>
      <c r="F89" s="389"/>
      <c r="G89" s="389"/>
      <c r="H89" s="389"/>
      <c r="I89" s="389"/>
      <c r="J89" s="389"/>
      <c r="K89" s="389"/>
      <c r="L89" s="389"/>
      <c r="M89" s="389"/>
      <c r="N89" s="389"/>
      <c r="O89" s="389"/>
      <c r="P89" s="113">
        <f t="shared" si="4"/>
        <v>0</v>
      </c>
      <c r="Q89" s="236"/>
      <c r="R89" s="188"/>
      <c r="S89" s="237"/>
      <c r="T89" s="237"/>
      <c r="U89" s="237"/>
      <c r="V89" s="237"/>
      <c r="W89" s="237"/>
      <c r="X89" s="237"/>
      <c r="Y89" s="237"/>
      <c r="Z89" s="237"/>
      <c r="AA89" s="237"/>
      <c r="AB89" s="237"/>
      <c r="AC89" s="237"/>
      <c r="AD89" s="237"/>
      <c r="AE89" s="237"/>
      <c r="AF89" s="237"/>
      <c r="AG89" s="237"/>
      <c r="AH89" s="4"/>
      <c r="AI89" s="4"/>
    </row>
    <row r="90" spans="1:35" x14ac:dyDescent="0.2">
      <c r="A90" s="94" t="str">
        <f t="shared" si="3"/>
        <v>Orchard</v>
      </c>
      <c r="B90" s="392"/>
      <c r="C90" s="392"/>
      <c r="D90" s="392"/>
      <c r="E90" s="392"/>
      <c r="F90" s="389"/>
      <c r="G90" s="389"/>
      <c r="H90" s="389"/>
      <c r="I90" s="389"/>
      <c r="J90" s="389"/>
      <c r="K90" s="389"/>
      <c r="L90" s="389"/>
      <c r="M90" s="389"/>
      <c r="N90" s="389"/>
      <c r="O90" s="389"/>
      <c r="P90" s="113">
        <f t="shared" si="4"/>
        <v>0</v>
      </c>
      <c r="Q90" s="236"/>
      <c r="R90" s="237"/>
      <c r="S90" s="237"/>
      <c r="T90" s="237"/>
      <c r="U90" s="237"/>
      <c r="V90" s="237"/>
      <c r="W90" s="237"/>
      <c r="X90" s="237"/>
      <c r="Y90" s="237"/>
      <c r="Z90" s="237"/>
      <c r="AA90" s="237"/>
      <c r="AB90" s="237"/>
      <c r="AC90" s="237"/>
      <c r="AD90" s="237"/>
      <c r="AE90" s="237"/>
      <c r="AF90" s="237"/>
      <c r="AG90" s="237"/>
      <c r="AH90" s="4"/>
      <c r="AI90" s="4"/>
    </row>
    <row r="91" spans="1:35" x14ac:dyDescent="0.2">
      <c r="A91" s="94" t="str">
        <f t="shared" si="3"/>
        <v>Nursery</v>
      </c>
      <c r="B91" s="392"/>
      <c r="C91" s="392"/>
      <c r="D91" s="392"/>
      <c r="E91" s="392"/>
      <c r="F91" s="389"/>
      <c r="G91" s="389"/>
      <c r="H91" s="389"/>
      <c r="I91" s="389"/>
      <c r="J91" s="389"/>
      <c r="K91" s="389"/>
      <c r="L91" s="389"/>
      <c r="M91" s="389"/>
      <c r="N91" s="389"/>
      <c r="O91" s="389"/>
      <c r="P91" s="113">
        <f t="shared" si="4"/>
        <v>0</v>
      </c>
      <c r="Q91" s="238"/>
      <c r="R91" s="188"/>
      <c r="S91" s="237"/>
      <c r="T91" s="237"/>
      <c r="U91" s="237"/>
      <c r="V91" s="237"/>
      <c r="W91" s="237"/>
      <c r="X91" s="237"/>
      <c r="Y91" s="237"/>
      <c r="Z91" s="237"/>
      <c r="AA91" s="237"/>
      <c r="AB91" s="237"/>
      <c r="AC91" s="237"/>
      <c r="AD91" s="237"/>
      <c r="AE91" s="237"/>
      <c r="AF91" s="237"/>
      <c r="AG91" s="237"/>
      <c r="AH91" s="4"/>
      <c r="AI91" s="4"/>
    </row>
    <row r="92" spans="1:35" x14ac:dyDescent="0.2">
      <c r="A92" s="94" t="str">
        <f t="shared" si="3"/>
        <v>Forested Wetland</v>
      </c>
      <c r="B92" s="392"/>
      <c r="C92" s="392"/>
      <c r="D92" s="392"/>
      <c r="E92" s="392"/>
      <c r="F92" s="389"/>
      <c r="G92" s="389"/>
      <c r="H92" s="389"/>
      <c r="I92" s="389"/>
      <c r="J92" s="389"/>
      <c r="K92" s="389"/>
      <c r="L92" s="389"/>
      <c r="M92" s="389"/>
      <c r="N92" s="389"/>
      <c r="O92" s="389"/>
      <c r="P92" s="113">
        <f t="shared" si="4"/>
        <v>0</v>
      </c>
      <c r="Q92" s="238"/>
      <c r="R92" s="188"/>
      <c r="S92" s="237"/>
      <c r="T92" s="237"/>
      <c r="U92" s="237"/>
      <c r="V92" s="237"/>
      <c r="W92" s="237"/>
      <c r="X92" s="237"/>
      <c r="Y92" s="237"/>
      <c r="Z92" s="237"/>
      <c r="AA92" s="237"/>
      <c r="AB92" s="237"/>
      <c r="AC92" s="237"/>
      <c r="AD92" s="237"/>
      <c r="AE92" s="237"/>
      <c r="AF92" s="237"/>
      <c r="AG92" s="237"/>
      <c r="AH92" s="4"/>
      <c r="AI92" s="4"/>
    </row>
    <row r="93" spans="1:35" x14ac:dyDescent="0.2">
      <c r="A93" s="94" t="str">
        <f>A23</f>
        <v>Very Low Density Residential</v>
      </c>
      <c r="B93" s="392"/>
      <c r="C93" s="392"/>
      <c r="D93" s="392"/>
      <c r="E93" s="392"/>
      <c r="F93" s="390"/>
      <c r="G93" s="390"/>
      <c r="H93" s="390"/>
      <c r="I93" s="390"/>
      <c r="J93" s="390"/>
      <c r="K93" s="390"/>
      <c r="L93" s="390"/>
      <c r="M93" s="390"/>
      <c r="N93" s="390"/>
      <c r="O93" s="390"/>
      <c r="P93" s="113">
        <f t="shared" si="4"/>
        <v>0</v>
      </c>
      <c r="Q93" s="238"/>
      <c r="R93" s="188"/>
      <c r="S93" s="237"/>
      <c r="T93" s="237"/>
      <c r="U93" s="237"/>
      <c r="V93" s="237"/>
      <c r="W93" s="237"/>
      <c r="X93" s="237"/>
      <c r="Y93" s="237"/>
      <c r="Z93" s="237"/>
      <c r="AA93" s="237"/>
      <c r="AB93" s="237"/>
      <c r="AC93" s="237"/>
      <c r="AD93" s="237"/>
      <c r="AE93" s="237"/>
      <c r="AF93" s="237"/>
      <c r="AG93" s="237"/>
      <c r="AH93" s="4"/>
      <c r="AI93" s="4"/>
    </row>
    <row r="94" spans="1:35" x14ac:dyDescent="0.2">
      <c r="A94" s="94" t="str">
        <f t="shared" ref="A94" si="5">A33</f>
        <v>Brushland/Successional</v>
      </c>
      <c r="B94" s="392"/>
      <c r="C94" s="392"/>
      <c r="D94" s="392"/>
      <c r="E94" s="392"/>
      <c r="F94" s="390"/>
      <c r="G94" s="390"/>
      <c r="H94" s="390"/>
      <c r="I94" s="390"/>
      <c r="J94" s="390"/>
      <c r="K94" s="390"/>
      <c r="L94" s="390"/>
      <c r="M94" s="390"/>
      <c r="N94" s="390"/>
      <c r="O94" s="390"/>
      <c r="P94" s="113">
        <f t="shared" si="4"/>
        <v>0</v>
      </c>
      <c r="Q94" s="238"/>
      <c r="R94" s="188"/>
      <c r="S94" s="237"/>
      <c r="T94" s="237"/>
      <c r="U94" s="237"/>
      <c r="V94" s="237"/>
      <c r="W94" s="237"/>
      <c r="X94" s="237"/>
      <c r="Y94" s="237"/>
      <c r="Z94" s="237"/>
      <c r="AA94" s="237"/>
      <c r="AB94" s="237"/>
      <c r="AC94" s="237"/>
      <c r="AD94" s="237"/>
      <c r="AE94" s="237"/>
      <c r="AF94" s="237"/>
      <c r="AG94" s="237"/>
      <c r="AH94" s="4"/>
      <c r="AI94" s="4"/>
    </row>
    <row r="95" spans="1:35" x14ac:dyDescent="0.2">
      <c r="A95" s="94"/>
      <c r="B95" s="393"/>
      <c r="C95" s="393"/>
      <c r="D95" s="393"/>
      <c r="E95" s="393"/>
      <c r="F95" s="390"/>
      <c r="G95" s="390"/>
      <c r="H95" s="390"/>
      <c r="I95" s="390"/>
      <c r="J95" s="390"/>
      <c r="K95" s="390"/>
      <c r="L95" s="390"/>
      <c r="M95" s="390"/>
      <c r="N95" s="390"/>
      <c r="O95" s="390"/>
      <c r="P95" s="113">
        <f t="shared" si="4"/>
        <v>0</v>
      </c>
      <c r="Q95" s="238"/>
      <c r="R95" s="188"/>
      <c r="S95" s="237"/>
      <c r="T95" s="237"/>
      <c r="U95" s="237"/>
      <c r="V95" s="237"/>
      <c r="W95" s="237"/>
      <c r="X95" s="237"/>
      <c r="Y95" s="237"/>
      <c r="Z95" s="237"/>
      <c r="AA95" s="237"/>
      <c r="AB95" s="237"/>
      <c r="AC95" s="237"/>
      <c r="AD95" s="237"/>
      <c r="AE95" s="237"/>
      <c r="AF95" s="237"/>
      <c r="AG95" s="237"/>
      <c r="AH95" s="4"/>
      <c r="AI95" s="4"/>
    </row>
    <row r="96" spans="1:35" x14ac:dyDescent="0.2">
      <c r="A96" s="94"/>
      <c r="B96" s="390"/>
      <c r="C96" s="390"/>
      <c r="D96" s="390"/>
      <c r="E96" s="390"/>
      <c r="F96" s="390"/>
      <c r="G96" s="390"/>
      <c r="H96" s="390"/>
      <c r="I96" s="390"/>
      <c r="J96" s="390"/>
      <c r="K96" s="390"/>
      <c r="L96" s="390"/>
      <c r="M96" s="390"/>
      <c r="N96" s="390"/>
      <c r="O96" s="390"/>
      <c r="P96" s="113">
        <f t="shared" si="4"/>
        <v>0</v>
      </c>
      <c r="Q96" s="238"/>
      <c r="R96" s="188"/>
      <c r="S96" s="237"/>
      <c r="T96" s="237"/>
      <c r="U96" s="237"/>
      <c r="V96" s="237"/>
      <c r="W96" s="237"/>
      <c r="X96" s="237"/>
      <c r="Y96" s="237"/>
      <c r="Z96" s="237"/>
      <c r="AA96" s="237"/>
      <c r="AB96" s="237"/>
      <c r="AC96" s="237"/>
      <c r="AD96" s="237"/>
      <c r="AE96" s="237"/>
      <c r="AF96" s="237"/>
      <c r="AG96" s="237"/>
      <c r="AH96" s="4"/>
      <c r="AI96" s="4"/>
    </row>
    <row r="97" spans="1:35" x14ac:dyDescent="0.2">
      <c r="A97" s="94"/>
      <c r="B97" s="376"/>
      <c r="C97" s="376"/>
      <c r="D97" s="376"/>
      <c r="E97" s="376"/>
      <c r="F97" s="376"/>
      <c r="G97" s="77"/>
      <c r="H97" s="77"/>
      <c r="I97" s="77"/>
      <c r="J97" s="77"/>
      <c r="K97" s="77"/>
      <c r="L97" s="77"/>
      <c r="M97" s="77"/>
      <c r="N97" s="77"/>
      <c r="O97" s="77"/>
      <c r="P97" s="113">
        <f t="shared" si="4"/>
        <v>0</v>
      </c>
      <c r="Q97" s="238"/>
      <c r="R97" s="188"/>
      <c r="S97" s="237"/>
      <c r="T97" s="237"/>
      <c r="U97" s="237"/>
      <c r="V97" s="237"/>
      <c r="W97" s="237"/>
      <c r="X97" s="237"/>
      <c r="Y97" s="237"/>
      <c r="Z97" s="237"/>
      <c r="AA97" s="237"/>
      <c r="AB97" s="237"/>
      <c r="AC97" s="237"/>
      <c r="AD97" s="237"/>
      <c r="AE97" s="237"/>
      <c r="AF97" s="237"/>
      <c r="AG97" s="237"/>
      <c r="AH97" s="4"/>
      <c r="AI97" s="4"/>
    </row>
    <row r="98" spans="1:35" x14ac:dyDescent="0.2">
      <c r="A98" s="197" t="s">
        <v>94</v>
      </c>
      <c r="B98" s="335">
        <f>SUM(B74:B97)</f>
        <v>0</v>
      </c>
      <c r="C98" s="335">
        <f t="shared" ref="C98:I98" si="6">SUM(C74:C97)</f>
        <v>0</v>
      </c>
      <c r="D98" s="335">
        <f t="shared" si="6"/>
        <v>0</v>
      </c>
      <c r="E98" s="335">
        <f t="shared" si="6"/>
        <v>0</v>
      </c>
      <c r="F98" s="335">
        <f>SUM(F74:F97)</f>
        <v>0</v>
      </c>
      <c r="G98" s="114">
        <f t="shared" si="6"/>
        <v>0</v>
      </c>
      <c r="H98" s="114">
        <f t="shared" si="6"/>
        <v>0</v>
      </c>
      <c r="I98" s="114">
        <f t="shared" si="6"/>
        <v>0</v>
      </c>
      <c r="J98" s="114">
        <f t="shared" ref="J98:O98" si="7">SUM(J74:J97)</f>
        <v>0</v>
      </c>
      <c r="K98" s="114">
        <f t="shared" si="7"/>
        <v>0</v>
      </c>
      <c r="L98" s="114">
        <f t="shared" si="7"/>
        <v>0</v>
      </c>
      <c r="M98" s="114">
        <f>SUM(M74:M97)</f>
        <v>0</v>
      </c>
      <c r="N98" s="114">
        <f t="shared" si="7"/>
        <v>0</v>
      </c>
      <c r="O98" s="114">
        <f t="shared" si="7"/>
        <v>0</v>
      </c>
      <c r="P98" s="113">
        <f t="shared" si="4"/>
        <v>0</v>
      </c>
      <c r="Q98" s="188"/>
      <c r="R98" s="188"/>
      <c r="S98" s="239"/>
      <c r="T98" s="239"/>
      <c r="U98" s="239"/>
      <c r="V98" s="239"/>
      <c r="W98" s="239"/>
      <c r="X98" s="239"/>
      <c r="Y98" s="239"/>
      <c r="Z98" s="239"/>
      <c r="AA98" s="239"/>
      <c r="AB98" s="239"/>
      <c r="AC98" s="239"/>
      <c r="AD98" s="239"/>
      <c r="AE98" s="239"/>
      <c r="AF98" s="239"/>
      <c r="AG98" s="237"/>
      <c r="AH98" s="4"/>
      <c r="AI98" s="4"/>
    </row>
    <row r="99" spans="1:35" ht="27" customHeight="1" x14ac:dyDescent="0.2">
      <c r="O99" s="3"/>
      <c r="S99" s="188"/>
      <c r="T99" s="188"/>
      <c r="U99" s="188"/>
      <c r="V99" s="188"/>
      <c r="W99" s="188"/>
      <c r="X99" s="188"/>
      <c r="Y99" s="188"/>
      <c r="Z99" s="188"/>
      <c r="AA99" s="188"/>
      <c r="AB99" s="188"/>
      <c r="AC99" s="188"/>
      <c r="AD99" s="188"/>
      <c r="AE99" s="188"/>
      <c r="AF99" s="188"/>
      <c r="AG99" s="188"/>
    </row>
    <row r="100" spans="1:35" x14ac:dyDescent="0.2">
      <c r="A100" s="21" t="s">
        <v>96</v>
      </c>
      <c r="Q100" s="188"/>
      <c r="R100" s="188"/>
      <c r="S100" s="368" t="s">
        <v>97</v>
      </c>
      <c r="T100" s="94"/>
      <c r="U100" s="94"/>
      <c r="V100" s="94"/>
      <c r="W100" s="94"/>
      <c r="X100" s="94"/>
      <c r="Y100" s="94"/>
      <c r="Z100" s="94"/>
      <c r="AA100" s="94"/>
      <c r="AB100" s="94"/>
      <c r="AC100" s="94"/>
      <c r="AD100" s="94"/>
      <c r="AE100" s="94"/>
      <c r="AF100" s="94"/>
      <c r="AG100" s="94"/>
      <c r="AH100" s="94"/>
    </row>
    <row r="101" spans="1:35" x14ac:dyDescent="0.2">
      <c r="A101" s="450" t="s">
        <v>75</v>
      </c>
      <c r="B101" s="75" t="s">
        <v>89</v>
      </c>
      <c r="C101" s="75" t="s">
        <v>90</v>
      </c>
      <c r="D101" s="75" t="s">
        <v>91</v>
      </c>
      <c r="E101" s="75" t="s">
        <v>239</v>
      </c>
      <c r="F101" s="75" t="s">
        <v>240</v>
      </c>
      <c r="G101" s="75" t="s">
        <v>241</v>
      </c>
      <c r="H101" s="75" t="s">
        <v>242</v>
      </c>
      <c r="I101" s="75" t="s">
        <v>243</v>
      </c>
      <c r="J101" s="75" t="s">
        <v>92</v>
      </c>
      <c r="K101" s="75" t="s">
        <v>244</v>
      </c>
      <c r="L101" s="75" t="s">
        <v>429</v>
      </c>
      <c r="M101" s="75" t="s">
        <v>430</v>
      </c>
      <c r="N101" s="75" t="s">
        <v>431</v>
      </c>
      <c r="O101" s="75" t="s">
        <v>432</v>
      </c>
      <c r="P101" s="75" t="s">
        <v>94</v>
      </c>
      <c r="Q101" s="188"/>
      <c r="R101" s="188"/>
      <c r="S101" s="94"/>
      <c r="T101" s="131" t="s">
        <v>89</v>
      </c>
      <c r="U101" s="131" t="s">
        <v>90</v>
      </c>
      <c r="V101" s="131" t="s">
        <v>91</v>
      </c>
      <c r="W101" s="131" t="s">
        <v>239</v>
      </c>
      <c r="X101" s="131" t="s">
        <v>240</v>
      </c>
      <c r="Y101" s="131" t="s">
        <v>241</v>
      </c>
      <c r="Z101" s="131" t="s">
        <v>242</v>
      </c>
      <c r="AA101" s="131" t="s">
        <v>243</v>
      </c>
      <c r="AB101" s="131" t="s">
        <v>92</v>
      </c>
      <c r="AC101" s="131" t="s">
        <v>244</v>
      </c>
      <c r="AD101" s="131" t="s">
        <v>429</v>
      </c>
      <c r="AE101" s="131" t="s">
        <v>430</v>
      </c>
      <c r="AF101" s="131" t="s">
        <v>431</v>
      </c>
      <c r="AG101" s="131" t="s">
        <v>432</v>
      </c>
      <c r="AH101" s="131" t="s">
        <v>94</v>
      </c>
    </row>
    <row r="102" spans="1:35" x14ac:dyDescent="0.2">
      <c r="A102" s="451"/>
      <c r="B102" s="76" t="str">
        <f>B71</f>
        <v>Watershed 1</v>
      </c>
      <c r="C102" s="76" t="str">
        <f t="shared" ref="C102:O102" si="8">C71</f>
        <v>Watershed 2</v>
      </c>
      <c r="D102" s="76" t="str">
        <f t="shared" si="8"/>
        <v>Watershed 3</v>
      </c>
      <c r="E102" s="76" t="str">
        <f t="shared" si="8"/>
        <v>Watershed 4</v>
      </c>
      <c r="F102" s="76" t="str">
        <f t="shared" si="8"/>
        <v>Watershed 5</v>
      </c>
      <c r="G102" s="76" t="str">
        <f t="shared" si="8"/>
        <v>Watershed 6</v>
      </c>
      <c r="H102" s="76" t="str">
        <f t="shared" si="8"/>
        <v>Watershed 7</v>
      </c>
      <c r="I102" s="76" t="str">
        <f t="shared" si="8"/>
        <v>Watershed 8</v>
      </c>
      <c r="J102" s="76" t="str">
        <f t="shared" si="8"/>
        <v>Watershed 9</v>
      </c>
      <c r="K102" s="76" t="str">
        <f t="shared" si="8"/>
        <v>Watershed 10</v>
      </c>
      <c r="L102" s="76" t="str">
        <f t="shared" si="8"/>
        <v>Watershed 11</v>
      </c>
      <c r="M102" s="76" t="str">
        <f t="shared" si="8"/>
        <v>Watershed 12</v>
      </c>
      <c r="N102" s="76" t="str">
        <f t="shared" si="8"/>
        <v>Watershed 13</v>
      </c>
      <c r="O102" s="76" t="str">
        <f t="shared" si="8"/>
        <v>Watershed 14</v>
      </c>
      <c r="P102" s="76"/>
      <c r="Q102" s="188"/>
      <c r="R102" s="188"/>
      <c r="S102" s="94"/>
      <c r="T102" s="116"/>
      <c r="U102" s="116"/>
      <c r="V102" s="116"/>
      <c r="W102" s="116"/>
      <c r="X102" s="116"/>
      <c r="Y102" s="116"/>
      <c r="Z102" s="116"/>
      <c r="AA102" s="131"/>
      <c r="AB102" s="131"/>
      <c r="AC102" s="131"/>
      <c r="AD102" s="131"/>
      <c r="AE102" s="131"/>
      <c r="AF102" s="131"/>
      <c r="AG102" s="131"/>
      <c r="AH102" s="131"/>
    </row>
    <row r="103" spans="1:35" ht="16.149999999999999" customHeight="1" x14ac:dyDescent="0.2">
      <c r="A103" s="452"/>
      <c r="B103" s="77" t="s">
        <v>98</v>
      </c>
      <c r="C103" s="77" t="s">
        <v>98</v>
      </c>
      <c r="D103" s="77" t="s">
        <v>98</v>
      </c>
      <c r="E103" s="77" t="s">
        <v>98</v>
      </c>
      <c r="F103" s="77" t="s">
        <v>98</v>
      </c>
      <c r="G103" s="77" t="s">
        <v>98</v>
      </c>
      <c r="H103" s="77" t="s">
        <v>98</v>
      </c>
      <c r="I103" s="77" t="s">
        <v>98</v>
      </c>
      <c r="J103" s="77" t="s">
        <v>98</v>
      </c>
      <c r="K103" s="77" t="s">
        <v>98</v>
      </c>
      <c r="L103" s="77" t="s">
        <v>98</v>
      </c>
      <c r="M103" s="77" t="s">
        <v>98</v>
      </c>
      <c r="N103" s="77" t="s">
        <v>98</v>
      </c>
      <c r="O103" s="77" t="s">
        <v>98</v>
      </c>
      <c r="P103" s="77" t="s">
        <v>98</v>
      </c>
      <c r="Q103" s="188"/>
      <c r="R103" s="188"/>
      <c r="S103" s="94"/>
      <c r="T103" s="131" t="s">
        <v>98</v>
      </c>
      <c r="U103" s="131" t="s">
        <v>98</v>
      </c>
      <c r="V103" s="131" t="s">
        <v>98</v>
      </c>
      <c r="W103" s="131" t="s">
        <v>98</v>
      </c>
      <c r="X103" s="131" t="s">
        <v>98</v>
      </c>
      <c r="Y103" s="131" t="s">
        <v>98</v>
      </c>
      <c r="Z103" s="131" t="s">
        <v>98</v>
      </c>
      <c r="AA103" s="131" t="s">
        <v>98</v>
      </c>
      <c r="AB103" s="131" t="s">
        <v>98</v>
      </c>
      <c r="AC103" s="131" t="s">
        <v>98</v>
      </c>
      <c r="AD103" s="131" t="s">
        <v>98</v>
      </c>
      <c r="AE103" s="131" t="s">
        <v>98</v>
      </c>
      <c r="AF103" s="131" t="s">
        <v>98</v>
      </c>
      <c r="AG103" s="131" t="s">
        <v>98</v>
      </c>
      <c r="AH103" s="131" t="s">
        <v>98</v>
      </c>
    </row>
    <row r="104" spans="1:35" ht="23.45" customHeight="1" x14ac:dyDescent="0.2">
      <c r="A104" s="94" t="str">
        <f t="shared" ref="A104:A122" si="9">A14</f>
        <v>Cropland</v>
      </c>
      <c r="B104" s="250">
        <f t="shared" ref="B104:O104" si="10">$B14*B74*$B$8*10000</f>
        <v>0</v>
      </c>
      <c r="C104" s="250">
        <f t="shared" si="10"/>
        <v>0</v>
      </c>
      <c r="D104" s="250">
        <f t="shared" si="10"/>
        <v>0</v>
      </c>
      <c r="E104" s="250">
        <f t="shared" si="10"/>
        <v>0</v>
      </c>
      <c r="F104" s="250">
        <f t="shared" si="10"/>
        <v>0</v>
      </c>
      <c r="G104" s="250">
        <f t="shared" si="10"/>
        <v>0</v>
      </c>
      <c r="H104" s="250">
        <f t="shared" si="10"/>
        <v>0</v>
      </c>
      <c r="I104" s="250">
        <f t="shared" si="10"/>
        <v>0</v>
      </c>
      <c r="J104" s="250">
        <f t="shared" si="10"/>
        <v>0</v>
      </c>
      <c r="K104" s="250">
        <f t="shared" si="10"/>
        <v>0</v>
      </c>
      <c r="L104" s="250">
        <f t="shared" si="10"/>
        <v>0</v>
      </c>
      <c r="M104" s="250">
        <f t="shared" si="10"/>
        <v>0</v>
      </c>
      <c r="N104" s="250">
        <f t="shared" si="10"/>
        <v>0</v>
      </c>
      <c r="O104" s="250">
        <f t="shared" si="10"/>
        <v>0</v>
      </c>
      <c r="P104" s="250">
        <f>SUM(B104:O104)</f>
        <v>0</v>
      </c>
      <c r="Q104" s="188"/>
      <c r="R104" s="188"/>
      <c r="S104" s="94" t="str">
        <f>A104</f>
        <v>Cropland</v>
      </c>
      <c r="T104" s="249">
        <f t="shared" ref="T104:T122" si="11">$E14*B74*$B$8*10000</f>
        <v>0</v>
      </c>
      <c r="U104" s="249">
        <f t="shared" ref="U104:U122" si="12">$E14*C74*$B$8*10000</f>
        <v>0</v>
      </c>
      <c r="V104" s="249">
        <f t="shared" ref="V104:V122" si="13">$E14*D74*$B$8*10000</f>
        <v>0</v>
      </c>
      <c r="W104" s="249">
        <f t="shared" ref="W104:W122" si="14">$E14*E74*$B$8*10000</f>
        <v>0</v>
      </c>
      <c r="X104" s="249">
        <f t="shared" ref="X104:X122" si="15">$E14*F74*$B$8*10000</f>
        <v>0</v>
      </c>
      <c r="Y104" s="249">
        <f t="shared" ref="Y104:Y122" si="16">$E14*G74*$B$8*10000</f>
        <v>0</v>
      </c>
      <c r="Z104" s="249">
        <f t="shared" ref="Z104:Z122" si="17">$E14*H74*$B$8*10000</f>
        <v>0</v>
      </c>
      <c r="AA104" s="249">
        <f t="shared" ref="AA104:AA122" si="18">$E14*I74*$B$8*10000</f>
        <v>0</v>
      </c>
      <c r="AB104" s="249">
        <f t="shared" ref="AB104:AB122" si="19">$E14*J74*$B$8*10000</f>
        <v>0</v>
      </c>
      <c r="AC104" s="249">
        <f t="shared" ref="AC104:AC122" si="20">$E14*K74*$B$8*10000</f>
        <v>0</v>
      </c>
      <c r="AD104" s="249">
        <f t="shared" ref="AD104:AD122" si="21">$E14*L74*$B$8*10000</f>
        <v>0</v>
      </c>
      <c r="AE104" s="249">
        <f t="shared" ref="AE104:AE122" si="22">$E14*M74*$B$8*10000</f>
        <v>0</v>
      </c>
      <c r="AF104" s="249">
        <f t="shared" ref="AF104:AF122" si="23">$E14*N74*$B$8*10000</f>
        <v>0</v>
      </c>
      <c r="AG104" s="249">
        <f t="shared" ref="AG104:AG122" si="24">$E14*O74*$B$8*10000</f>
        <v>0</v>
      </c>
      <c r="AH104" s="249">
        <f>SUM(T104:AG104)</f>
        <v>0</v>
      </c>
    </row>
    <row r="105" spans="1:35" x14ac:dyDescent="0.2">
      <c r="A105" s="94" t="str">
        <f t="shared" si="9"/>
        <v>Pasture</v>
      </c>
      <c r="B105" s="250">
        <f t="shared" ref="B105:O105" si="25">$B15*B75*$B$8*10000</f>
        <v>0</v>
      </c>
      <c r="C105" s="250">
        <f t="shared" si="25"/>
        <v>0</v>
      </c>
      <c r="D105" s="250">
        <f t="shared" si="25"/>
        <v>0</v>
      </c>
      <c r="E105" s="250">
        <f t="shared" si="25"/>
        <v>0</v>
      </c>
      <c r="F105" s="250">
        <f t="shared" si="25"/>
        <v>0</v>
      </c>
      <c r="G105" s="250">
        <f t="shared" si="25"/>
        <v>0</v>
      </c>
      <c r="H105" s="250">
        <f t="shared" si="25"/>
        <v>0</v>
      </c>
      <c r="I105" s="250">
        <f t="shared" si="25"/>
        <v>0</v>
      </c>
      <c r="J105" s="250">
        <f t="shared" si="25"/>
        <v>0</v>
      </c>
      <c r="K105" s="250">
        <f t="shared" si="25"/>
        <v>0</v>
      </c>
      <c r="L105" s="250">
        <f t="shared" si="25"/>
        <v>0</v>
      </c>
      <c r="M105" s="250">
        <f t="shared" si="25"/>
        <v>0</v>
      </c>
      <c r="N105" s="250">
        <f t="shared" si="25"/>
        <v>0</v>
      </c>
      <c r="O105" s="250">
        <f t="shared" si="25"/>
        <v>0</v>
      </c>
      <c r="P105" s="250">
        <f t="shared" ref="P105:P119" si="26">SUM(B105:O105)</f>
        <v>0</v>
      </c>
      <c r="Q105" s="188"/>
      <c r="R105" s="188"/>
      <c r="S105" s="94" t="str">
        <f t="shared" ref="S105:S124" si="27">A105</f>
        <v>Pasture</v>
      </c>
      <c r="T105" s="249">
        <f t="shared" si="11"/>
        <v>0</v>
      </c>
      <c r="U105" s="249">
        <f t="shared" si="12"/>
        <v>0</v>
      </c>
      <c r="V105" s="249">
        <f t="shared" si="13"/>
        <v>0</v>
      </c>
      <c r="W105" s="249">
        <f t="shared" si="14"/>
        <v>0</v>
      </c>
      <c r="X105" s="249">
        <f t="shared" si="15"/>
        <v>0</v>
      </c>
      <c r="Y105" s="249">
        <f t="shared" si="16"/>
        <v>0</v>
      </c>
      <c r="Z105" s="249">
        <f t="shared" si="17"/>
        <v>0</v>
      </c>
      <c r="AA105" s="249">
        <f t="shared" si="18"/>
        <v>0</v>
      </c>
      <c r="AB105" s="249">
        <f t="shared" si="19"/>
        <v>0</v>
      </c>
      <c r="AC105" s="249">
        <f t="shared" si="20"/>
        <v>0</v>
      </c>
      <c r="AD105" s="249">
        <f t="shared" si="21"/>
        <v>0</v>
      </c>
      <c r="AE105" s="249">
        <f t="shared" si="22"/>
        <v>0</v>
      </c>
      <c r="AF105" s="249">
        <f t="shared" si="23"/>
        <v>0</v>
      </c>
      <c r="AG105" s="249">
        <f t="shared" si="24"/>
        <v>0</v>
      </c>
      <c r="AH105" s="249">
        <f t="shared" ref="AH105:AH127" si="28">SUM(T105:AG105)</f>
        <v>0</v>
      </c>
    </row>
    <row r="106" spans="1:35" x14ac:dyDescent="0.2">
      <c r="A106" s="94" t="str">
        <f t="shared" si="9"/>
        <v>Forest</v>
      </c>
      <c r="B106" s="250">
        <f t="shared" ref="B106:O106" si="29">$B16*B76*$B$8*10000</f>
        <v>0</v>
      </c>
      <c r="C106" s="250">
        <f t="shared" si="29"/>
        <v>0</v>
      </c>
      <c r="D106" s="250">
        <f t="shared" si="29"/>
        <v>0</v>
      </c>
      <c r="E106" s="250">
        <f t="shared" si="29"/>
        <v>0</v>
      </c>
      <c r="F106" s="250">
        <f t="shared" si="29"/>
        <v>0</v>
      </c>
      <c r="G106" s="250">
        <f t="shared" si="29"/>
        <v>0</v>
      </c>
      <c r="H106" s="250">
        <f t="shared" si="29"/>
        <v>0</v>
      </c>
      <c r="I106" s="250">
        <f t="shared" si="29"/>
        <v>0</v>
      </c>
      <c r="J106" s="250">
        <f t="shared" si="29"/>
        <v>0</v>
      </c>
      <c r="K106" s="250">
        <f t="shared" si="29"/>
        <v>0</v>
      </c>
      <c r="L106" s="250">
        <f t="shared" si="29"/>
        <v>0</v>
      </c>
      <c r="M106" s="250">
        <f t="shared" si="29"/>
        <v>0</v>
      </c>
      <c r="N106" s="250">
        <f t="shared" si="29"/>
        <v>0</v>
      </c>
      <c r="O106" s="250">
        <f t="shared" si="29"/>
        <v>0</v>
      </c>
      <c r="P106" s="250">
        <f t="shared" si="26"/>
        <v>0</v>
      </c>
      <c r="Q106" s="188"/>
      <c r="R106" s="188"/>
      <c r="S106" s="94" t="str">
        <f t="shared" si="27"/>
        <v>Forest</v>
      </c>
      <c r="T106" s="249">
        <f t="shared" si="11"/>
        <v>0</v>
      </c>
      <c r="U106" s="249">
        <f t="shared" si="12"/>
        <v>0</v>
      </c>
      <c r="V106" s="249">
        <f t="shared" si="13"/>
        <v>0</v>
      </c>
      <c r="W106" s="249">
        <f t="shared" si="14"/>
        <v>0</v>
      </c>
      <c r="X106" s="249">
        <f t="shared" si="15"/>
        <v>0</v>
      </c>
      <c r="Y106" s="249">
        <f t="shared" si="16"/>
        <v>0</v>
      </c>
      <c r="Z106" s="249">
        <f t="shared" si="17"/>
        <v>0</v>
      </c>
      <c r="AA106" s="249">
        <f t="shared" si="18"/>
        <v>0</v>
      </c>
      <c r="AB106" s="249">
        <f t="shared" si="19"/>
        <v>0</v>
      </c>
      <c r="AC106" s="249">
        <f t="shared" si="20"/>
        <v>0</v>
      </c>
      <c r="AD106" s="249">
        <f t="shared" si="21"/>
        <v>0</v>
      </c>
      <c r="AE106" s="249">
        <f t="shared" si="22"/>
        <v>0</v>
      </c>
      <c r="AF106" s="249">
        <f t="shared" si="23"/>
        <v>0</v>
      </c>
      <c r="AG106" s="249">
        <f t="shared" si="24"/>
        <v>0</v>
      </c>
      <c r="AH106" s="249">
        <f t="shared" si="28"/>
        <v>0</v>
      </c>
    </row>
    <row r="107" spans="1:35" x14ac:dyDescent="0.2">
      <c r="A107" s="94" t="str">
        <f t="shared" si="9"/>
        <v>Non-Forested Wetland</v>
      </c>
      <c r="B107" s="250">
        <f t="shared" ref="B107:O107" si="30">$B17*B77*$B$8*10000</f>
        <v>0</v>
      </c>
      <c r="C107" s="250">
        <f t="shared" si="30"/>
        <v>0</v>
      </c>
      <c r="D107" s="250">
        <f t="shared" si="30"/>
        <v>0</v>
      </c>
      <c r="E107" s="250">
        <f t="shared" si="30"/>
        <v>0</v>
      </c>
      <c r="F107" s="250">
        <f t="shared" si="30"/>
        <v>0</v>
      </c>
      <c r="G107" s="250">
        <f t="shared" si="30"/>
        <v>0</v>
      </c>
      <c r="H107" s="250">
        <f t="shared" si="30"/>
        <v>0</v>
      </c>
      <c r="I107" s="250">
        <f t="shared" si="30"/>
        <v>0</v>
      </c>
      <c r="J107" s="250">
        <f t="shared" si="30"/>
        <v>0</v>
      </c>
      <c r="K107" s="250">
        <f t="shared" si="30"/>
        <v>0</v>
      </c>
      <c r="L107" s="250">
        <f t="shared" si="30"/>
        <v>0</v>
      </c>
      <c r="M107" s="250">
        <f t="shared" si="30"/>
        <v>0</v>
      </c>
      <c r="N107" s="250">
        <f t="shared" si="30"/>
        <v>0</v>
      </c>
      <c r="O107" s="250">
        <f t="shared" si="30"/>
        <v>0</v>
      </c>
      <c r="P107" s="250">
        <f t="shared" si="26"/>
        <v>0</v>
      </c>
      <c r="Q107" s="188"/>
      <c r="R107" s="188"/>
      <c r="S107" s="94" t="str">
        <f t="shared" si="27"/>
        <v>Non-Forested Wetland</v>
      </c>
      <c r="T107" s="249">
        <f t="shared" si="11"/>
        <v>0</v>
      </c>
      <c r="U107" s="249">
        <f t="shared" si="12"/>
        <v>0</v>
      </c>
      <c r="V107" s="249">
        <f t="shared" si="13"/>
        <v>0</v>
      </c>
      <c r="W107" s="249">
        <f t="shared" si="14"/>
        <v>0</v>
      </c>
      <c r="X107" s="249">
        <f t="shared" si="15"/>
        <v>0</v>
      </c>
      <c r="Y107" s="249">
        <f t="shared" si="16"/>
        <v>0</v>
      </c>
      <c r="Z107" s="249">
        <f t="shared" si="17"/>
        <v>0</v>
      </c>
      <c r="AA107" s="249">
        <f t="shared" si="18"/>
        <v>0</v>
      </c>
      <c r="AB107" s="249">
        <f t="shared" si="19"/>
        <v>0</v>
      </c>
      <c r="AC107" s="249">
        <f t="shared" si="20"/>
        <v>0</v>
      </c>
      <c r="AD107" s="249">
        <f t="shared" si="21"/>
        <v>0</v>
      </c>
      <c r="AE107" s="249">
        <f t="shared" si="22"/>
        <v>0</v>
      </c>
      <c r="AF107" s="249">
        <f t="shared" si="23"/>
        <v>0</v>
      </c>
      <c r="AG107" s="249">
        <f t="shared" si="24"/>
        <v>0</v>
      </c>
      <c r="AH107" s="249">
        <f t="shared" si="28"/>
        <v>0</v>
      </c>
    </row>
    <row r="108" spans="1:35" x14ac:dyDescent="0.2">
      <c r="A108" s="94" t="str">
        <f t="shared" si="9"/>
        <v>Open Land</v>
      </c>
      <c r="B108" s="250">
        <f t="shared" ref="B108:O108" si="31">$B18*B78*$B$8*10000</f>
        <v>0</v>
      </c>
      <c r="C108" s="250">
        <f t="shared" si="31"/>
        <v>0</v>
      </c>
      <c r="D108" s="250">
        <f t="shared" si="31"/>
        <v>0</v>
      </c>
      <c r="E108" s="250">
        <f t="shared" si="31"/>
        <v>0</v>
      </c>
      <c r="F108" s="250">
        <f t="shared" si="31"/>
        <v>0</v>
      </c>
      <c r="G108" s="250">
        <f t="shared" si="31"/>
        <v>0</v>
      </c>
      <c r="H108" s="250">
        <f t="shared" si="31"/>
        <v>0</v>
      </c>
      <c r="I108" s="250">
        <f t="shared" si="31"/>
        <v>0</v>
      </c>
      <c r="J108" s="250">
        <f t="shared" si="31"/>
        <v>0</v>
      </c>
      <c r="K108" s="250">
        <f t="shared" si="31"/>
        <v>0</v>
      </c>
      <c r="L108" s="250">
        <f t="shared" si="31"/>
        <v>0</v>
      </c>
      <c r="M108" s="250">
        <f t="shared" si="31"/>
        <v>0</v>
      </c>
      <c r="N108" s="250">
        <f t="shared" si="31"/>
        <v>0</v>
      </c>
      <c r="O108" s="250">
        <f t="shared" si="31"/>
        <v>0</v>
      </c>
      <c r="P108" s="250">
        <f t="shared" si="26"/>
        <v>0</v>
      </c>
      <c r="Q108" s="188"/>
      <c r="R108" s="188"/>
      <c r="S108" s="94" t="str">
        <f t="shared" si="27"/>
        <v>Open Land</v>
      </c>
      <c r="T108" s="249">
        <f t="shared" si="11"/>
        <v>0</v>
      </c>
      <c r="U108" s="249">
        <f t="shared" si="12"/>
        <v>0</v>
      </c>
      <c r="V108" s="249">
        <f t="shared" si="13"/>
        <v>0</v>
      </c>
      <c r="W108" s="249">
        <f t="shared" si="14"/>
        <v>0</v>
      </c>
      <c r="X108" s="249">
        <f t="shared" si="15"/>
        <v>0</v>
      </c>
      <c r="Y108" s="249">
        <f t="shared" si="16"/>
        <v>0</v>
      </c>
      <c r="Z108" s="249">
        <f t="shared" si="17"/>
        <v>0</v>
      </c>
      <c r="AA108" s="249">
        <f t="shared" si="18"/>
        <v>0</v>
      </c>
      <c r="AB108" s="249">
        <f t="shared" si="19"/>
        <v>0</v>
      </c>
      <c r="AC108" s="249">
        <f t="shared" si="20"/>
        <v>0</v>
      </c>
      <c r="AD108" s="249">
        <f t="shared" si="21"/>
        <v>0</v>
      </c>
      <c r="AE108" s="249">
        <f t="shared" si="22"/>
        <v>0</v>
      </c>
      <c r="AF108" s="249">
        <f t="shared" si="23"/>
        <v>0</v>
      </c>
      <c r="AG108" s="249">
        <f t="shared" si="24"/>
        <v>0</v>
      </c>
      <c r="AH108" s="249">
        <f t="shared" si="28"/>
        <v>0</v>
      </c>
    </row>
    <row r="109" spans="1:35" x14ac:dyDescent="0.2">
      <c r="A109" s="94" t="str">
        <f t="shared" si="9"/>
        <v>Participation Recreation</v>
      </c>
      <c r="B109" s="250">
        <f t="shared" ref="B109:O109" si="32">$B19*B79*$B$8*10000</f>
        <v>0</v>
      </c>
      <c r="C109" s="250">
        <f t="shared" si="32"/>
        <v>0</v>
      </c>
      <c r="D109" s="250">
        <f t="shared" si="32"/>
        <v>0</v>
      </c>
      <c r="E109" s="250">
        <f t="shared" si="32"/>
        <v>0</v>
      </c>
      <c r="F109" s="250">
        <f t="shared" si="32"/>
        <v>0</v>
      </c>
      <c r="G109" s="250">
        <f t="shared" si="32"/>
        <v>0</v>
      </c>
      <c r="H109" s="250">
        <f t="shared" si="32"/>
        <v>0</v>
      </c>
      <c r="I109" s="250">
        <f t="shared" si="32"/>
        <v>0</v>
      </c>
      <c r="J109" s="250">
        <f t="shared" si="32"/>
        <v>0</v>
      </c>
      <c r="K109" s="250">
        <f t="shared" si="32"/>
        <v>0</v>
      </c>
      <c r="L109" s="250">
        <f t="shared" si="32"/>
        <v>0</v>
      </c>
      <c r="M109" s="250">
        <f t="shared" si="32"/>
        <v>0</v>
      </c>
      <c r="N109" s="250">
        <f t="shared" si="32"/>
        <v>0</v>
      </c>
      <c r="O109" s="250">
        <f t="shared" si="32"/>
        <v>0</v>
      </c>
      <c r="P109" s="250">
        <f t="shared" si="26"/>
        <v>0</v>
      </c>
      <c r="Q109" s="188"/>
      <c r="R109" s="188"/>
      <c r="S109" s="94" t="str">
        <f t="shared" si="27"/>
        <v>Participation Recreation</v>
      </c>
      <c r="T109" s="249">
        <f t="shared" si="11"/>
        <v>0</v>
      </c>
      <c r="U109" s="249">
        <f t="shared" si="12"/>
        <v>0</v>
      </c>
      <c r="V109" s="249">
        <f t="shared" si="13"/>
        <v>0</v>
      </c>
      <c r="W109" s="249">
        <f t="shared" si="14"/>
        <v>0</v>
      </c>
      <c r="X109" s="249">
        <f t="shared" si="15"/>
        <v>0</v>
      </c>
      <c r="Y109" s="249">
        <f t="shared" si="16"/>
        <v>0</v>
      </c>
      <c r="Z109" s="249">
        <f t="shared" si="17"/>
        <v>0</v>
      </c>
      <c r="AA109" s="249">
        <f t="shared" si="18"/>
        <v>0</v>
      </c>
      <c r="AB109" s="249">
        <f t="shared" si="19"/>
        <v>0</v>
      </c>
      <c r="AC109" s="249">
        <f t="shared" si="20"/>
        <v>0</v>
      </c>
      <c r="AD109" s="249">
        <f t="shared" si="21"/>
        <v>0</v>
      </c>
      <c r="AE109" s="249">
        <f t="shared" si="22"/>
        <v>0</v>
      </c>
      <c r="AF109" s="249">
        <f t="shared" si="23"/>
        <v>0</v>
      </c>
      <c r="AG109" s="249">
        <f t="shared" si="24"/>
        <v>0</v>
      </c>
      <c r="AH109" s="249">
        <f t="shared" si="28"/>
        <v>0</v>
      </c>
    </row>
    <row r="110" spans="1:35" x14ac:dyDescent="0.2">
      <c r="A110" s="94" t="str">
        <f t="shared" si="9"/>
        <v>High Density Residential</v>
      </c>
      <c r="B110" s="250">
        <f t="shared" ref="B110:O110" si="33">$B20*B80*$B$8*10000</f>
        <v>0</v>
      </c>
      <c r="C110" s="250">
        <f t="shared" si="33"/>
        <v>0</v>
      </c>
      <c r="D110" s="250">
        <f t="shared" si="33"/>
        <v>0</v>
      </c>
      <c r="E110" s="250">
        <f t="shared" si="33"/>
        <v>0</v>
      </c>
      <c r="F110" s="250">
        <f t="shared" si="33"/>
        <v>0</v>
      </c>
      <c r="G110" s="250">
        <f t="shared" si="33"/>
        <v>0</v>
      </c>
      <c r="H110" s="250">
        <f t="shared" si="33"/>
        <v>0</v>
      </c>
      <c r="I110" s="250">
        <f t="shared" si="33"/>
        <v>0</v>
      </c>
      <c r="J110" s="250">
        <f t="shared" si="33"/>
        <v>0</v>
      </c>
      <c r="K110" s="250">
        <f t="shared" si="33"/>
        <v>0</v>
      </c>
      <c r="L110" s="250">
        <f t="shared" si="33"/>
        <v>0</v>
      </c>
      <c r="M110" s="250">
        <f t="shared" si="33"/>
        <v>0</v>
      </c>
      <c r="N110" s="250">
        <f t="shared" si="33"/>
        <v>0</v>
      </c>
      <c r="O110" s="250">
        <f t="shared" si="33"/>
        <v>0</v>
      </c>
      <c r="P110" s="250">
        <f t="shared" si="26"/>
        <v>0</v>
      </c>
      <c r="Q110" s="188"/>
      <c r="R110" s="188"/>
      <c r="S110" s="94" t="str">
        <f t="shared" si="27"/>
        <v>High Density Residential</v>
      </c>
      <c r="T110" s="249">
        <f t="shared" si="11"/>
        <v>0</v>
      </c>
      <c r="U110" s="249">
        <f t="shared" si="12"/>
        <v>0</v>
      </c>
      <c r="V110" s="249">
        <f t="shared" si="13"/>
        <v>0</v>
      </c>
      <c r="W110" s="249">
        <f t="shared" si="14"/>
        <v>0</v>
      </c>
      <c r="X110" s="249">
        <f t="shared" si="15"/>
        <v>0</v>
      </c>
      <c r="Y110" s="249">
        <f t="shared" si="16"/>
        <v>0</v>
      </c>
      <c r="Z110" s="249">
        <f t="shared" si="17"/>
        <v>0</v>
      </c>
      <c r="AA110" s="249">
        <f t="shared" si="18"/>
        <v>0</v>
      </c>
      <c r="AB110" s="249">
        <f t="shared" si="19"/>
        <v>0</v>
      </c>
      <c r="AC110" s="249">
        <f t="shared" si="20"/>
        <v>0</v>
      </c>
      <c r="AD110" s="249">
        <f t="shared" si="21"/>
        <v>0</v>
      </c>
      <c r="AE110" s="249">
        <f t="shared" si="22"/>
        <v>0</v>
      </c>
      <c r="AF110" s="249">
        <f t="shared" si="23"/>
        <v>0</v>
      </c>
      <c r="AG110" s="249">
        <f t="shared" si="24"/>
        <v>0</v>
      </c>
      <c r="AH110" s="249">
        <f t="shared" si="28"/>
        <v>0</v>
      </c>
    </row>
    <row r="111" spans="1:35" x14ac:dyDescent="0.2">
      <c r="A111" s="94" t="str">
        <f t="shared" si="9"/>
        <v>Medium Density Residential</v>
      </c>
      <c r="B111" s="250">
        <f t="shared" ref="B111:O111" si="34">$B21*B81*$B$8*10000</f>
        <v>0</v>
      </c>
      <c r="C111" s="250">
        <f t="shared" si="34"/>
        <v>0</v>
      </c>
      <c r="D111" s="250">
        <f t="shared" si="34"/>
        <v>0</v>
      </c>
      <c r="E111" s="250">
        <f t="shared" si="34"/>
        <v>0</v>
      </c>
      <c r="F111" s="250">
        <f t="shared" si="34"/>
        <v>0</v>
      </c>
      <c r="G111" s="250">
        <f t="shared" si="34"/>
        <v>0</v>
      </c>
      <c r="H111" s="250">
        <f t="shared" si="34"/>
        <v>0</v>
      </c>
      <c r="I111" s="250">
        <f t="shared" si="34"/>
        <v>0</v>
      </c>
      <c r="J111" s="250">
        <f t="shared" si="34"/>
        <v>0</v>
      </c>
      <c r="K111" s="250">
        <f t="shared" si="34"/>
        <v>0</v>
      </c>
      <c r="L111" s="250">
        <f t="shared" si="34"/>
        <v>0</v>
      </c>
      <c r="M111" s="250">
        <f t="shared" si="34"/>
        <v>0</v>
      </c>
      <c r="N111" s="250">
        <f t="shared" si="34"/>
        <v>0</v>
      </c>
      <c r="O111" s="250">
        <f t="shared" si="34"/>
        <v>0</v>
      </c>
      <c r="P111" s="250">
        <f t="shared" si="26"/>
        <v>0</v>
      </c>
      <c r="Q111" s="188"/>
      <c r="R111" s="188"/>
      <c r="S111" s="94" t="str">
        <f t="shared" si="27"/>
        <v>Medium Density Residential</v>
      </c>
      <c r="T111" s="249">
        <f t="shared" si="11"/>
        <v>0</v>
      </c>
      <c r="U111" s="249">
        <f t="shared" si="12"/>
        <v>0</v>
      </c>
      <c r="V111" s="249">
        <f t="shared" si="13"/>
        <v>0</v>
      </c>
      <c r="W111" s="249">
        <f t="shared" si="14"/>
        <v>0</v>
      </c>
      <c r="X111" s="249">
        <f t="shared" si="15"/>
        <v>0</v>
      </c>
      <c r="Y111" s="249">
        <f t="shared" si="16"/>
        <v>0</v>
      </c>
      <c r="Z111" s="249">
        <f t="shared" si="17"/>
        <v>0</v>
      </c>
      <c r="AA111" s="249">
        <f t="shared" si="18"/>
        <v>0</v>
      </c>
      <c r="AB111" s="249">
        <f t="shared" si="19"/>
        <v>0</v>
      </c>
      <c r="AC111" s="249">
        <f t="shared" si="20"/>
        <v>0</v>
      </c>
      <c r="AD111" s="249">
        <f t="shared" si="21"/>
        <v>0</v>
      </c>
      <c r="AE111" s="249">
        <f t="shared" si="22"/>
        <v>0</v>
      </c>
      <c r="AF111" s="249">
        <f t="shared" si="23"/>
        <v>0</v>
      </c>
      <c r="AG111" s="249">
        <f t="shared" si="24"/>
        <v>0</v>
      </c>
      <c r="AH111" s="249">
        <f t="shared" si="28"/>
        <v>0</v>
      </c>
    </row>
    <row r="112" spans="1:35" x14ac:dyDescent="0.2">
      <c r="A112" s="94" t="str">
        <f t="shared" si="9"/>
        <v>Low Density Residential</v>
      </c>
      <c r="B112" s="250">
        <f t="shared" ref="B112:O112" si="35">$B22*B82*$B$8*10000</f>
        <v>0</v>
      </c>
      <c r="C112" s="250">
        <f t="shared" si="35"/>
        <v>0</v>
      </c>
      <c r="D112" s="250">
        <f t="shared" si="35"/>
        <v>0</v>
      </c>
      <c r="E112" s="250">
        <f t="shared" si="35"/>
        <v>0</v>
      </c>
      <c r="F112" s="250">
        <f t="shared" si="35"/>
        <v>0</v>
      </c>
      <c r="G112" s="250">
        <f t="shared" si="35"/>
        <v>0</v>
      </c>
      <c r="H112" s="250">
        <f t="shared" si="35"/>
        <v>0</v>
      </c>
      <c r="I112" s="250">
        <f t="shared" si="35"/>
        <v>0</v>
      </c>
      <c r="J112" s="250">
        <f t="shared" si="35"/>
        <v>0</v>
      </c>
      <c r="K112" s="250">
        <f t="shared" si="35"/>
        <v>0</v>
      </c>
      <c r="L112" s="250">
        <f t="shared" si="35"/>
        <v>0</v>
      </c>
      <c r="M112" s="250">
        <f t="shared" si="35"/>
        <v>0</v>
      </c>
      <c r="N112" s="250">
        <f t="shared" si="35"/>
        <v>0</v>
      </c>
      <c r="O112" s="250">
        <f t="shared" si="35"/>
        <v>0</v>
      </c>
      <c r="P112" s="250">
        <f t="shared" si="26"/>
        <v>0</v>
      </c>
      <c r="Q112" s="188"/>
      <c r="R112" s="188"/>
      <c r="S112" s="94" t="str">
        <f t="shared" si="27"/>
        <v>Low Density Residential</v>
      </c>
      <c r="T112" s="249">
        <f t="shared" si="11"/>
        <v>0</v>
      </c>
      <c r="U112" s="249">
        <f t="shared" si="12"/>
        <v>0</v>
      </c>
      <c r="V112" s="249">
        <f t="shared" si="13"/>
        <v>0</v>
      </c>
      <c r="W112" s="249">
        <f t="shared" si="14"/>
        <v>0</v>
      </c>
      <c r="X112" s="249">
        <f t="shared" si="15"/>
        <v>0</v>
      </c>
      <c r="Y112" s="249">
        <f t="shared" si="16"/>
        <v>0</v>
      </c>
      <c r="Z112" s="249">
        <f t="shared" si="17"/>
        <v>0</v>
      </c>
      <c r="AA112" s="249">
        <f t="shared" si="18"/>
        <v>0</v>
      </c>
      <c r="AB112" s="249">
        <f t="shared" si="19"/>
        <v>0</v>
      </c>
      <c r="AC112" s="249">
        <f t="shared" si="20"/>
        <v>0</v>
      </c>
      <c r="AD112" s="249">
        <f t="shared" si="21"/>
        <v>0</v>
      </c>
      <c r="AE112" s="249">
        <f t="shared" si="22"/>
        <v>0</v>
      </c>
      <c r="AF112" s="249">
        <f t="shared" si="23"/>
        <v>0</v>
      </c>
      <c r="AG112" s="249">
        <f t="shared" si="24"/>
        <v>0</v>
      </c>
      <c r="AH112" s="249">
        <f t="shared" si="28"/>
        <v>0</v>
      </c>
    </row>
    <row r="113" spans="1:34" x14ac:dyDescent="0.2">
      <c r="A113" s="94" t="str">
        <f t="shared" si="9"/>
        <v>Very Low Density Residential</v>
      </c>
      <c r="B113" s="250">
        <f t="shared" ref="B113:O113" si="36">$B23*B83*$B$8*10000</f>
        <v>0</v>
      </c>
      <c r="C113" s="250">
        <f t="shared" si="36"/>
        <v>0</v>
      </c>
      <c r="D113" s="250">
        <f t="shared" si="36"/>
        <v>0</v>
      </c>
      <c r="E113" s="250">
        <f t="shared" si="36"/>
        <v>0</v>
      </c>
      <c r="F113" s="250">
        <f t="shared" si="36"/>
        <v>0</v>
      </c>
      <c r="G113" s="250">
        <f t="shared" si="36"/>
        <v>0</v>
      </c>
      <c r="H113" s="250">
        <f t="shared" si="36"/>
        <v>0</v>
      </c>
      <c r="I113" s="250">
        <f t="shared" si="36"/>
        <v>0</v>
      </c>
      <c r="J113" s="250">
        <f t="shared" si="36"/>
        <v>0</v>
      </c>
      <c r="K113" s="250">
        <f t="shared" si="36"/>
        <v>0</v>
      </c>
      <c r="L113" s="250">
        <f t="shared" si="36"/>
        <v>0</v>
      </c>
      <c r="M113" s="250">
        <f t="shared" si="36"/>
        <v>0</v>
      </c>
      <c r="N113" s="250">
        <f t="shared" si="36"/>
        <v>0</v>
      </c>
      <c r="O113" s="250">
        <f t="shared" si="36"/>
        <v>0</v>
      </c>
      <c r="P113" s="250">
        <f t="shared" ref="P113" si="37">SUM(B113:O113)</f>
        <v>0</v>
      </c>
      <c r="Q113" s="188"/>
      <c r="R113" s="188"/>
      <c r="S113" s="94" t="str">
        <f t="shared" si="27"/>
        <v>Very Low Density Residential</v>
      </c>
      <c r="T113" s="249">
        <f t="shared" si="11"/>
        <v>0</v>
      </c>
      <c r="U113" s="249">
        <f t="shared" si="12"/>
        <v>0</v>
      </c>
      <c r="V113" s="249">
        <f t="shared" si="13"/>
        <v>0</v>
      </c>
      <c r="W113" s="249">
        <f t="shared" si="14"/>
        <v>0</v>
      </c>
      <c r="X113" s="249">
        <f t="shared" si="15"/>
        <v>0</v>
      </c>
      <c r="Y113" s="249">
        <f t="shared" si="16"/>
        <v>0</v>
      </c>
      <c r="Z113" s="249">
        <f t="shared" si="17"/>
        <v>0</v>
      </c>
      <c r="AA113" s="249">
        <f t="shared" si="18"/>
        <v>0</v>
      </c>
      <c r="AB113" s="249">
        <f t="shared" si="19"/>
        <v>0</v>
      </c>
      <c r="AC113" s="249">
        <f t="shared" si="20"/>
        <v>0</v>
      </c>
      <c r="AD113" s="249">
        <f t="shared" si="21"/>
        <v>0</v>
      </c>
      <c r="AE113" s="249">
        <f t="shared" si="22"/>
        <v>0</v>
      </c>
      <c r="AF113" s="249">
        <f t="shared" si="23"/>
        <v>0</v>
      </c>
      <c r="AG113" s="249">
        <f t="shared" si="24"/>
        <v>0</v>
      </c>
      <c r="AH113" s="249">
        <f t="shared" ref="AH113" si="38">SUM(T113:AG113)</f>
        <v>0</v>
      </c>
    </row>
    <row r="114" spans="1:34" x14ac:dyDescent="0.2">
      <c r="A114" s="94" t="str">
        <f t="shared" si="9"/>
        <v>Commercial</v>
      </c>
      <c r="B114" s="250">
        <f t="shared" ref="B114:O114" si="39">$B24*B84*$B$8*10000</f>
        <v>0</v>
      </c>
      <c r="C114" s="250">
        <f t="shared" si="39"/>
        <v>0</v>
      </c>
      <c r="D114" s="250">
        <f t="shared" si="39"/>
        <v>0</v>
      </c>
      <c r="E114" s="250">
        <f t="shared" si="39"/>
        <v>0</v>
      </c>
      <c r="F114" s="250">
        <f t="shared" si="39"/>
        <v>0</v>
      </c>
      <c r="G114" s="250">
        <f t="shared" si="39"/>
        <v>0</v>
      </c>
      <c r="H114" s="250">
        <f t="shared" si="39"/>
        <v>0</v>
      </c>
      <c r="I114" s="250">
        <f t="shared" si="39"/>
        <v>0</v>
      </c>
      <c r="J114" s="250">
        <f t="shared" si="39"/>
        <v>0</v>
      </c>
      <c r="K114" s="250">
        <f t="shared" si="39"/>
        <v>0</v>
      </c>
      <c r="L114" s="250">
        <f t="shared" si="39"/>
        <v>0</v>
      </c>
      <c r="M114" s="250">
        <f t="shared" si="39"/>
        <v>0</v>
      </c>
      <c r="N114" s="250">
        <f t="shared" si="39"/>
        <v>0</v>
      </c>
      <c r="O114" s="250">
        <f t="shared" si="39"/>
        <v>0</v>
      </c>
      <c r="P114" s="250">
        <f t="shared" si="26"/>
        <v>0</v>
      </c>
      <c r="Q114" s="188"/>
      <c r="R114" s="188"/>
      <c r="S114" s="94" t="str">
        <f t="shared" si="27"/>
        <v>Commercial</v>
      </c>
      <c r="T114" s="249">
        <f t="shared" si="11"/>
        <v>0</v>
      </c>
      <c r="U114" s="249">
        <f t="shared" si="12"/>
        <v>0</v>
      </c>
      <c r="V114" s="249">
        <f t="shared" si="13"/>
        <v>0</v>
      </c>
      <c r="W114" s="249">
        <f t="shared" si="14"/>
        <v>0</v>
      </c>
      <c r="X114" s="249">
        <f t="shared" si="15"/>
        <v>0</v>
      </c>
      <c r="Y114" s="249">
        <f t="shared" si="16"/>
        <v>0</v>
      </c>
      <c r="Z114" s="249">
        <f t="shared" si="17"/>
        <v>0</v>
      </c>
      <c r="AA114" s="249">
        <f t="shared" si="18"/>
        <v>0</v>
      </c>
      <c r="AB114" s="249">
        <f t="shared" si="19"/>
        <v>0</v>
      </c>
      <c r="AC114" s="249">
        <f t="shared" si="20"/>
        <v>0</v>
      </c>
      <c r="AD114" s="249">
        <f t="shared" si="21"/>
        <v>0</v>
      </c>
      <c r="AE114" s="249">
        <f t="shared" si="22"/>
        <v>0</v>
      </c>
      <c r="AF114" s="249">
        <f t="shared" si="23"/>
        <v>0</v>
      </c>
      <c r="AG114" s="249">
        <f t="shared" si="24"/>
        <v>0</v>
      </c>
      <c r="AH114" s="249">
        <f t="shared" si="28"/>
        <v>0</v>
      </c>
    </row>
    <row r="115" spans="1:34" x14ac:dyDescent="0.2">
      <c r="A115" s="94" t="str">
        <f t="shared" si="9"/>
        <v>Transportation</v>
      </c>
      <c r="B115" s="250">
        <f t="shared" ref="B115:O115" si="40">$B25*B85*$B$8*10000</f>
        <v>0</v>
      </c>
      <c r="C115" s="250">
        <f t="shared" si="40"/>
        <v>0</v>
      </c>
      <c r="D115" s="250">
        <f t="shared" si="40"/>
        <v>0</v>
      </c>
      <c r="E115" s="250">
        <f t="shared" si="40"/>
        <v>0</v>
      </c>
      <c r="F115" s="250">
        <f t="shared" si="40"/>
        <v>0</v>
      </c>
      <c r="G115" s="250">
        <f t="shared" si="40"/>
        <v>0</v>
      </c>
      <c r="H115" s="250">
        <f t="shared" si="40"/>
        <v>0</v>
      </c>
      <c r="I115" s="250">
        <f t="shared" si="40"/>
        <v>0</v>
      </c>
      <c r="J115" s="250">
        <f t="shared" si="40"/>
        <v>0</v>
      </c>
      <c r="K115" s="250">
        <f t="shared" si="40"/>
        <v>0</v>
      </c>
      <c r="L115" s="250">
        <f t="shared" si="40"/>
        <v>0</v>
      </c>
      <c r="M115" s="250">
        <f t="shared" si="40"/>
        <v>0</v>
      </c>
      <c r="N115" s="250">
        <f t="shared" si="40"/>
        <v>0</v>
      </c>
      <c r="O115" s="250">
        <f t="shared" si="40"/>
        <v>0</v>
      </c>
      <c r="P115" s="250">
        <f t="shared" si="26"/>
        <v>0</v>
      </c>
      <c r="Q115" s="188"/>
      <c r="R115" s="188"/>
      <c r="S115" s="94" t="str">
        <f t="shared" si="27"/>
        <v>Transportation</v>
      </c>
      <c r="T115" s="249">
        <f t="shared" si="11"/>
        <v>0</v>
      </c>
      <c r="U115" s="249">
        <f t="shared" si="12"/>
        <v>0</v>
      </c>
      <c r="V115" s="249">
        <f t="shared" si="13"/>
        <v>0</v>
      </c>
      <c r="W115" s="249">
        <f t="shared" si="14"/>
        <v>0</v>
      </c>
      <c r="X115" s="249">
        <f t="shared" si="15"/>
        <v>0</v>
      </c>
      <c r="Y115" s="249">
        <f t="shared" si="16"/>
        <v>0</v>
      </c>
      <c r="Z115" s="249">
        <f t="shared" si="17"/>
        <v>0</v>
      </c>
      <c r="AA115" s="249">
        <f t="shared" si="18"/>
        <v>0</v>
      </c>
      <c r="AB115" s="249">
        <f t="shared" si="19"/>
        <v>0</v>
      </c>
      <c r="AC115" s="249">
        <f t="shared" si="20"/>
        <v>0</v>
      </c>
      <c r="AD115" s="249">
        <f t="shared" si="21"/>
        <v>0</v>
      </c>
      <c r="AE115" s="249">
        <f t="shared" si="22"/>
        <v>0</v>
      </c>
      <c r="AF115" s="249">
        <f t="shared" si="23"/>
        <v>0</v>
      </c>
      <c r="AG115" s="249">
        <f t="shared" si="24"/>
        <v>0</v>
      </c>
      <c r="AH115" s="249">
        <f t="shared" si="28"/>
        <v>0</v>
      </c>
    </row>
    <row r="116" spans="1:34" x14ac:dyDescent="0.2">
      <c r="A116" s="94" t="str">
        <f t="shared" si="9"/>
        <v>Waste Disposal</v>
      </c>
      <c r="B116" s="250">
        <f t="shared" ref="B116:O116" si="41">$B26*B86*$B$8*10000</f>
        <v>0</v>
      </c>
      <c r="C116" s="250">
        <f t="shared" si="41"/>
        <v>0</v>
      </c>
      <c r="D116" s="250">
        <f t="shared" si="41"/>
        <v>0</v>
      </c>
      <c r="E116" s="250">
        <f t="shared" si="41"/>
        <v>0</v>
      </c>
      <c r="F116" s="250">
        <f t="shared" si="41"/>
        <v>0</v>
      </c>
      <c r="G116" s="250">
        <f t="shared" si="41"/>
        <v>0</v>
      </c>
      <c r="H116" s="250">
        <f t="shared" si="41"/>
        <v>0</v>
      </c>
      <c r="I116" s="250">
        <f t="shared" si="41"/>
        <v>0</v>
      </c>
      <c r="J116" s="250">
        <f t="shared" si="41"/>
        <v>0</v>
      </c>
      <c r="K116" s="250">
        <f t="shared" si="41"/>
        <v>0</v>
      </c>
      <c r="L116" s="250">
        <f t="shared" si="41"/>
        <v>0</v>
      </c>
      <c r="M116" s="250">
        <f t="shared" si="41"/>
        <v>0</v>
      </c>
      <c r="N116" s="250">
        <f t="shared" si="41"/>
        <v>0</v>
      </c>
      <c r="O116" s="250">
        <f t="shared" si="41"/>
        <v>0</v>
      </c>
      <c r="P116" s="250">
        <f t="shared" si="26"/>
        <v>0</v>
      </c>
      <c r="Q116" s="188"/>
      <c r="R116" s="188"/>
      <c r="S116" s="94" t="str">
        <f t="shared" si="27"/>
        <v>Waste Disposal</v>
      </c>
      <c r="T116" s="249">
        <f t="shared" si="11"/>
        <v>0</v>
      </c>
      <c r="U116" s="249">
        <f t="shared" si="12"/>
        <v>0</v>
      </c>
      <c r="V116" s="249">
        <f t="shared" si="13"/>
        <v>0</v>
      </c>
      <c r="W116" s="249">
        <f t="shared" si="14"/>
        <v>0</v>
      </c>
      <c r="X116" s="249">
        <f t="shared" si="15"/>
        <v>0</v>
      </c>
      <c r="Y116" s="249">
        <f t="shared" si="16"/>
        <v>0</v>
      </c>
      <c r="Z116" s="249">
        <f t="shared" si="17"/>
        <v>0</v>
      </c>
      <c r="AA116" s="249">
        <f t="shared" si="18"/>
        <v>0</v>
      </c>
      <c r="AB116" s="249">
        <f t="shared" si="19"/>
        <v>0</v>
      </c>
      <c r="AC116" s="249">
        <f t="shared" si="20"/>
        <v>0</v>
      </c>
      <c r="AD116" s="249">
        <f t="shared" si="21"/>
        <v>0</v>
      </c>
      <c r="AE116" s="249">
        <f t="shared" si="22"/>
        <v>0</v>
      </c>
      <c r="AF116" s="249">
        <f t="shared" si="23"/>
        <v>0</v>
      </c>
      <c r="AG116" s="249">
        <f t="shared" si="24"/>
        <v>0</v>
      </c>
      <c r="AH116" s="249">
        <f t="shared" si="28"/>
        <v>0</v>
      </c>
    </row>
    <row r="117" spans="1:34" x14ac:dyDescent="0.2">
      <c r="A117" s="94" t="str">
        <f t="shared" si="9"/>
        <v>Water</v>
      </c>
      <c r="B117" s="250">
        <f t="shared" ref="B117:O117" si="42">$B27*B87*$B$8*10000</f>
        <v>0</v>
      </c>
      <c r="C117" s="250">
        <f t="shared" si="42"/>
        <v>0</v>
      </c>
      <c r="D117" s="250">
        <f t="shared" si="42"/>
        <v>0</v>
      </c>
      <c r="E117" s="250">
        <f t="shared" si="42"/>
        <v>0</v>
      </c>
      <c r="F117" s="250">
        <f t="shared" si="42"/>
        <v>0</v>
      </c>
      <c r="G117" s="250">
        <f t="shared" si="42"/>
        <v>0</v>
      </c>
      <c r="H117" s="250">
        <f t="shared" si="42"/>
        <v>0</v>
      </c>
      <c r="I117" s="250">
        <f t="shared" si="42"/>
        <v>0</v>
      </c>
      <c r="J117" s="250">
        <f t="shared" si="42"/>
        <v>0</v>
      </c>
      <c r="K117" s="250">
        <f t="shared" si="42"/>
        <v>0</v>
      </c>
      <c r="L117" s="250">
        <f t="shared" si="42"/>
        <v>0</v>
      </c>
      <c r="M117" s="250">
        <f t="shared" si="42"/>
        <v>0</v>
      </c>
      <c r="N117" s="250">
        <f t="shared" si="42"/>
        <v>0</v>
      </c>
      <c r="O117" s="250">
        <f t="shared" si="42"/>
        <v>0</v>
      </c>
      <c r="P117" s="250">
        <f t="shared" si="26"/>
        <v>0</v>
      </c>
      <c r="Q117" s="188"/>
      <c r="R117" s="188"/>
      <c r="S117" s="94" t="str">
        <f t="shared" si="27"/>
        <v>Water</v>
      </c>
      <c r="T117" s="249">
        <f t="shared" si="11"/>
        <v>0</v>
      </c>
      <c r="U117" s="249">
        <f t="shared" si="12"/>
        <v>0</v>
      </c>
      <c r="V117" s="249">
        <f t="shared" si="13"/>
        <v>0</v>
      </c>
      <c r="W117" s="249">
        <f t="shared" si="14"/>
        <v>0</v>
      </c>
      <c r="X117" s="249">
        <f t="shared" si="15"/>
        <v>0</v>
      </c>
      <c r="Y117" s="249">
        <f t="shared" si="16"/>
        <v>0</v>
      </c>
      <c r="Z117" s="249">
        <f t="shared" si="17"/>
        <v>0</v>
      </c>
      <c r="AA117" s="249">
        <f t="shared" si="18"/>
        <v>0</v>
      </c>
      <c r="AB117" s="249">
        <f t="shared" si="19"/>
        <v>0</v>
      </c>
      <c r="AC117" s="249">
        <f t="shared" si="20"/>
        <v>0</v>
      </c>
      <c r="AD117" s="249">
        <f t="shared" si="21"/>
        <v>0</v>
      </c>
      <c r="AE117" s="249">
        <f t="shared" si="22"/>
        <v>0</v>
      </c>
      <c r="AF117" s="249">
        <f t="shared" si="23"/>
        <v>0</v>
      </c>
      <c r="AG117" s="249">
        <f t="shared" si="24"/>
        <v>0</v>
      </c>
      <c r="AH117" s="249">
        <f t="shared" si="28"/>
        <v>0</v>
      </c>
    </row>
    <row r="118" spans="1:34" x14ac:dyDescent="0.2">
      <c r="A118" s="94" t="str">
        <f t="shared" si="9"/>
        <v>Urban Public/Institutional</v>
      </c>
      <c r="B118" s="250">
        <f t="shared" ref="B118:O118" si="43">$B28*B88*$B$8*10000</f>
        <v>0</v>
      </c>
      <c r="C118" s="250">
        <f t="shared" si="43"/>
        <v>0</v>
      </c>
      <c r="D118" s="250">
        <f t="shared" si="43"/>
        <v>0</v>
      </c>
      <c r="E118" s="250">
        <f t="shared" si="43"/>
        <v>0</v>
      </c>
      <c r="F118" s="250">
        <f t="shared" si="43"/>
        <v>0</v>
      </c>
      <c r="G118" s="250">
        <f t="shared" si="43"/>
        <v>0</v>
      </c>
      <c r="H118" s="250">
        <f t="shared" si="43"/>
        <v>0</v>
      </c>
      <c r="I118" s="250">
        <f t="shared" si="43"/>
        <v>0</v>
      </c>
      <c r="J118" s="250">
        <f t="shared" si="43"/>
        <v>0</v>
      </c>
      <c r="K118" s="250">
        <f t="shared" si="43"/>
        <v>0</v>
      </c>
      <c r="L118" s="250">
        <f t="shared" si="43"/>
        <v>0</v>
      </c>
      <c r="M118" s="250">
        <f t="shared" si="43"/>
        <v>0</v>
      </c>
      <c r="N118" s="250">
        <f t="shared" si="43"/>
        <v>0</v>
      </c>
      <c r="O118" s="250">
        <f t="shared" si="43"/>
        <v>0</v>
      </c>
      <c r="P118" s="250">
        <f t="shared" si="26"/>
        <v>0</v>
      </c>
      <c r="Q118" s="188"/>
      <c r="R118" s="188"/>
      <c r="S118" s="94" t="str">
        <f t="shared" si="27"/>
        <v>Urban Public/Institutional</v>
      </c>
      <c r="T118" s="249">
        <f t="shared" si="11"/>
        <v>0</v>
      </c>
      <c r="U118" s="249">
        <f t="shared" si="12"/>
        <v>0</v>
      </c>
      <c r="V118" s="249">
        <f t="shared" si="13"/>
        <v>0</v>
      </c>
      <c r="W118" s="249">
        <f t="shared" si="14"/>
        <v>0</v>
      </c>
      <c r="X118" s="249">
        <f t="shared" si="15"/>
        <v>0</v>
      </c>
      <c r="Y118" s="249">
        <f t="shared" si="16"/>
        <v>0</v>
      </c>
      <c r="Z118" s="249">
        <f t="shared" si="17"/>
        <v>0</v>
      </c>
      <c r="AA118" s="249">
        <f t="shared" si="18"/>
        <v>0</v>
      </c>
      <c r="AB118" s="249">
        <f t="shared" si="19"/>
        <v>0</v>
      </c>
      <c r="AC118" s="249">
        <f t="shared" si="20"/>
        <v>0</v>
      </c>
      <c r="AD118" s="249">
        <f t="shared" si="21"/>
        <v>0</v>
      </c>
      <c r="AE118" s="249">
        <f t="shared" si="22"/>
        <v>0</v>
      </c>
      <c r="AF118" s="249">
        <f t="shared" si="23"/>
        <v>0</v>
      </c>
      <c r="AG118" s="249">
        <f t="shared" si="24"/>
        <v>0</v>
      </c>
      <c r="AH118" s="249">
        <f t="shared" si="28"/>
        <v>0</v>
      </c>
    </row>
    <row r="119" spans="1:34" x14ac:dyDescent="0.2">
      <c r="A119" s="94" t="str">
        <f t="shared" si="9"/>
        <v>Cemetery</v>
      </c>
      <c r="B119" s="250">
        <f t="shared" ref="B119:O119" si="44">$B29*B89*$B$8*10000</f>
        <v>0</v>
      </c>
      <c r="C119" s="250">
        <f t="shared" si="44"/>
        <v>0</v>
      </c>
      <c r="D119" s="250">
        <f t="shared" si="44"/>
        <v>0</v>
      </c>
      <c r="E119" s="250">
        <f t="shared" si="44"/>
        <v>0</v>
      </c>
      <c r="F119" s="250">
        <f t="shared" si="44"/>
        <v>0</v>
      </c>
      <c r="G119" s="250">
        <f t="shared" si="44"/>
        <v>0</v>
      </c>
      <c r="H119" s="250">
        <f t="shared" si="44"/>
        <v>0</v>
      </c>
      <c r="I119" s="250">
        <f t="shared" si="44"/>
        <v>0</v>
      </c>
      <c r="J119" s="250">
        <f t="shared" si="44"/>
        <v>0</v>
      </c>
      <c r="K119" s="250">
        <f t="shared" si="44"/>
        <v>0</v>
      </c>
      <c r="L119" s="250">
        <f t="shared" si="44"/>
        <v>0</v>
      </c>
      <c r="M119" s="250">
        <f t="shared" si="44"/>
        <v>0</v>
      </c>
      <c r="N119" s="250">
        <f t="shared" si="44"/>
        <v>0</v>
      </c>
      <c r="O119" s="250">
        <f t="shared" si="44"/>
        <v>0</v>
      </c>
      <c r="P119" s="250">
        <f t="shared" si="26"/>
        <v>0</v>
      </c>
      <c r="Q119" s="188"/>
      <c r="R119" s="188"/>
      <c r="S119" s="94" t="str">
        <f t="shared" si="27"/>
        <v>Cemetery</v>
      </c>
      <c r="T119" s="249">
        <f t="shared" si="11"/>
        <v>0</v>
      </c>
      <c r="U119" s="249">
        <f t="shared" si="12"/>
        <v>0</v>
      </c>
      <c r="V119" s="249">
        <f t="shared" si="13"/>
        <v>0</v>
      </c>
      <c r="W119" s="249">
        <f t="shared" si="14"/>
        <v>0</v>
      </c>
      <c r="X119" s="249">
        <f t="shared" si="15"/>
        <v>0</v>
      </c>
      <c r="Y119" s="249">
        <f t="shared" si="16"/>
        <v>0</v>
      </c>
      <c r="Z119" s="249">
        <f t="shared" si="17"/>
        <v>0</v>
      </c>
      <c r="AA119" s="249">
        <f t="shared" si="18"/>
        <v>0</v>
      </c>
      <c r="AB119" s="249">
        <f t="shared" si="19"/>
        <v>0</v>
      </c>
      <c r="AC119" s="249">
        <f t="shared" si="20"/>
        <v>0</v>
      </c>
      <c r="AD119" s="249">
        <f t="shared" si="21"/>
        <v>0</v>
      </c>
      <c r="AE119" s="249">
        <f t="shared" si="22"/>
        <v>0</v>
      </c>
      <c r="AF119" s="249">
        <f t="shared" si="23"/>
        <v>0</v>
      </c>
      <c r="AG119" s="249">
        <f t="shared" si="24"/>
        <v>0</v>
      </c>
      <c r="AH119" s="249">
        <f t="shared" si="28"/>
        <v>0</v>
      </c>
    </row>
    <row r="120" spans="1:34" x14ac:dyDescent="0.2">
      <c r="A120" s="94" t="str">
        <f t="shared" si="9"/>
        <v>Orchard</v>
      </c>
      <c r="B120" s="250">
        <f t="shared" ref="B120:O120" si="45">$B30*B90*$B$8*10000</f>
        <v>0</v>
      </c>
      <c r="C120" s="250">
        <f t="shared" si="45"/>
        <v>0</v>
      </c>
      <c r="D120" s="250">
        <f t="shared" si="45"/>
        <v>0</v>
      </c>
      <c r="E120" s="250">
        <f t="shared" si="45"/>
        <v>0</v>
      </c>
      <c r="F120" s="250">
        <f t="shared" si="45"/>
        <v>0</v>
      </c>
      <c r="G120" s="250">
        <f t="shared" si="45"/>
        <v>0</v>
      </c>
      <c r="H120" s="250">
        <f t="shared" si="45"/>
        <v>0</v>
      </c>
      <c r="I120" s="250">
        <f t="shared" si="45"/>
        <v>0</v>
      </c>
      <c r="J120" s="250">
        <f t="shared" si="45"/>
        <v>0</v>
      </c>
      <c r="K120" s="250">
        <f t="shared" si="45"/>
        <v>0</v>
      </c>
      <c r="L120" s="250">
        <f t="shared" si="45"/>
        <v>0</v>
      </c>
      <c r="M120" s="250">
        <f t="shared" si="45"/>
        <v>0</v>
      </c>
      <c r="N120" s="250">
        <f t="shared" si="45"/>
        <v>0</v>
      </c>
      <c r="O120" s="250">
        <f t="shared" si="45"/>
        <v>0</v>
      </c>
      <c r="P120" s="250">
        <f>SUM(B120:O120)</f>
        <v>0</v>
      </c>
      <c r="Q120" s="188"/>
      <c r="R120" s="188"/>
      <c r="S120" s="94" t="str">
        <f t="shared" si="27"/>
        <v>Orchard</v>
      </c>
      <c r="T120" s="249">
        <f t="shared" si="11"/>
        <v>0</v>
      </c>
      <c r="U120" s="249">
        <f t="shared" si="12"/>
        <v>0</v>
      </c>
      <c r="V120" s="249">
        <f t="shared" si="13"/>
        <v>0</v>
      </c>
      <c r="W120" s="249">
        <f t="shared" si="14"/>
        <v>0</v>
      </c>
      <c r="X120" s="249">
        <f t="shared" si="15"/>
        <v>0</v>
      </c>
      <c r="Y120" s="249">
        <f t="shared" si="16"/>
        <v>0</v>
      </c>
      <c r="Z120" s="249">
        <f t="shared" si="17"/>
        <v>0</v>
      </c>
      <c r="AA120" s="249">
        <f t="shared" si="18"/>
        <v>0</v>
      </c>
      <c r="AB120" s="249">
        <f t="shared" si="19"/>
        <v>0</v>
      </c>
      <c r="AC120" s="249">
        <f t="shared" si="20"/>
        <v>0</v>
      </c>
      <c r="AD120" s="249">
        <f t="shared" si="21"/>
        <v>0</v>
      </c>
      <c r="AE120" s="249">
        <f t="shared" si="22"/>
        <v>0</v>
      </c>
      <c r="AF120" s="249">
        <f t="shared" si="23"/>
        <v>0</v>
      </c>
      <c r="AG120" s="249">
        <f t="shared" si="24"/>
        <v>0</v>
      </c>
      <c r="AH120" s="249">
        <f>SUM(T120:AG120)</f>
        <v>0</v>
      </c>
    </row>
    <row r="121" spans="1:34" x14ac:dyDescent="0.2">
      <c r="A121" s="94" t="str">
        <f t="shared" si="9"/>
        <v>Nursery</v>
      </c>
      <c r="B121" s="250">
        <f t="shared" ref="B121:O121" si="46">$B31*B91*$B$8*10000</f>
        <v>0</v>
      </c>
      <c r="C121" s="250">
        <f t="shared" si="46"/>
        <v>0</v>
      </c>
      <c r="D121" s="250">
        <f t="shared" si="46"/>
        <v>0</v>
      </c>
      <c r="E121" s="250">
        <f t="shared" si="46"/>
        <v>0</v>
      </c>
      <c r="F121" s="250">
        <f t="shared" si="46"/>
        <v>0</v>
      </c>
      <c r="G121" s="250">
        <f t="shared" si="46"/>
        <v>0</v>
      </c>
      <c r="H121" s="250">
        <f t="shared" si="46"/>
        <v>0</v>
      </c>
      <c r="I121" s="250">
        <f t="shared" si="46"/>
        <v>0</v>
      </c>
      <c r="J121" s="250">
        <f t="shared" si="46"/>
        <v>0</v>
      </c>
      <c r="K121" s="250">
        <f t="shared" si="46"/>
        <v>0</v>
      </c>
      <c r="L121" s="250">
        <f t="shared" si="46"/>
        <v>0</v>
      </c>
      <c r="M121" s="250">
        <f t="shared" si="46"/>
        <v>0</v>
      </c>
      <c r="N121" s="250">
        <f t="shared" si="46"/>
        <v>0</v>
      </c>
      <c r="O121" s="250">
        <f t="shared" si="46"/>
        <v>0</v>
      </c>
      <c r="P121" s="250">
        <f>SUM(B121:O121)</f>
        <v>0</v>
      </c>
      <c r="Q121" s="188"/>
      <c r="R121" s="188"/>
      <c r="S121" s="94" t="str">
        <f t="shared" si="27"/>
        <v>Nursery</v>
      </c>
      <c r="T121" s="249">
        <f t="shared" si="11"/>
        <v>0</v>
      </c>
      <c r="U121" s="249">
        <f t="shared" si="12"/>
        <v>0</v>
      </c>
      <c r="V121" s="249">
        <f t="shared" si="13"/>
        <v>0</v>
      </c>
      <c r="W121" s="249">
        <f t="shared" si="14"/>
        <v>0</v>
      </c>
      <c r="X121" s="249">
        <f t="shared" si="15"/>
        <v>0</v>
      </c>
      <c r="Y121" s="249">
        <f t="shared" si="16"/>
        <v>0</v>
      </c>
      <c r="Z121" s="249">
        <f t="shared" si="17"/>
        <v>0</v>
      </c>
      <c r="AA121" s="249">
        <f t="shared" si="18"/>
        <v>0</v>
      </c>
      <c r="AB121" s="249">
        <f t="shared" si="19"/>
        <v>0</v>
      </c>
      <c r="AC121" s="249">
        <f t="shared" si="20"/>
        <v>0</v>
      </c>
      <c r="AD121" s="249">
        <f t="shared" si="21"/>
        <v>0</v>
      </c>
      <c r="AE121" s="249">
        <f t="shared" si="22"/>
        <v>0</v>
      </c>
      <c r="AF121" s="249">
        <f t="shared" si="23"/>
        <v>0</v>
      </c>
      <c r="AG121" s="249">
        <f t="shared" si="24"/>
        <v>0</v>
      </c>
      <c r="AH121" s="249">
        <f>SUM(T121:AG121)</f>
        <v>0</v>
      </c>
    </row>
    <row r="122" spans="1:34" x14ac:dyDescent="0.2">
      <c r="A122" s="94" t="str">
        <f t="shared" si="9"/>
        <v>Forested Wetland</v>
      </c>
      <c r="B122" s="250">
        <f t="shared" ref="B122:O122" si="47">$B32*B92*$B$8*10000</f>
        <v>0</v>
      </c>
      <c r="C122" s="250">
        <f t="shared" si="47"/>
        <v>0</v>
      </c>
      <c r="D122" s="250">
        <f t="shared" si="47"/>
        <v>0</v>
      </c>
      <c r="E122" s="250">
        <f t="shared" si="47"/>
        <v>0</v>
      </c>
      <c r="F122" s="250">
        <f t="shared" si="47"/>
        <v>0</v>
      </c>
      <c r="G122" s="250">
        <f t="shared" si="47"/>
        <v>0</v>
      </c>
      <c r="H122" s="250">
        <f t="shared" si="47"/>
        <v>0</v>
      </c>
      <c r="I122" s="250">
        <f t="shared" si="47"/>
        <v>0</v>
      </c>
      <c r="J122" s="250">
        <f t="shared" si="47"/>
        <v>0</v>
      </c>
      <c r="K122" s="250">
        <f t="shared" si="47"/>
        <v>0</v>
      </c>
      <c r="L122" s="250">
        <f t="shared" si="47"/>
        <v>0</v>
      </c>
      <c r="M122" s="250">
        <f t="shared" si="47"/>
        <v>0</v>
      </c>
      <c r="N122" s="250">
        <f t="shared" si="47"/>
        <v>0</v>
      </c>
      <c r="O122" s="250">
        <f t="shared" si="47"/>
        <v>0</v>
      </c>
      <c r="P122" s="250">
        <f>SUM(B122:O122)</f>
        <v>0</v>
      </c>
      <c r="Q122" s="188"/>
      <c r="R122" s="188"/>
      <c r="S122" s="94" t="str">
        <f t="shared" si="27"/>
        <v>Forested Wetland</v>
      </c>
      <c r="T122" s="249">
        <f t="shared" si="11"/>
        <v>0</v>
      </c>
      <c r="U122" s="249">
        <f t="shared" si="12"/>
        <v>0</v>
      </c>
      <c r="V122" s="249">
        <f t="shared" si="13"/>
        <v>0</v>
      </c>
      <c r="W122" s="249">
        <f t="shared" si="14"/>
        <v>0</v>
      </c>
      <c r="X122" s="249">
        <f t="shared" si="15"/>
        <v>0</v>
      </c>
      <c r="Y122" s="249">
        <f t="shared" si="16"/>
        <v>0</v>
      </c>
      <c r="Z122" s="249">
        <f t="shared" si="17"/>
        <v>0</v>
      </c>
      <c r="AA122" s="249">
        <f t="shared" si="18"/>
        <v>0</v>
      </c>
      <c r="AB122" s="249">
        <f t="shared" si="19"/>
        <v>0</v>
      </c>
      <c r="AC122" s="249">
        <f t="shared" si="20"/>
        <v>0</v>
      </c>
      <c r="AD122" s="249">
        <f t="shared" si="21"/>
        <v>0</v>
      </c>
      <c r="AE122" s="249">
        <f t="shared" si="22"/>
        <v>0</v>
      </c>
      <c r="AF122" s="249">
        <f t="shared" si="23"/>
        <v>0</v>
      </c>
      <c r="AG122" s="249">
        <f t="shared" si="24"/>
        <v>0</v>
      </c>
      <c r="AH122" s="249">
        <f>SUM(T122:AG122)</f>
        <v>0</v>
      </c>
    </row>
    <row r="123" spans="1:34" x14ac:dyDescent="0.2">
      <c r="A123" s="94" t="str">
        <f>A23</f>
        <v>Very Low Density Residential</v>
      </c>
      <c r="B123" s="250">
        <f t="shared" ref="B123:O123" si="48">$B23*B93*$B$8*10000</f>
        <v>0</v>
      </c>
      <c r="C123" s="250">
        <f t="shared" si="48"/>
        <v>0</v>
      </c>
      <c r="D123" s="250">
        <f t="shared" si="48"/>
        <v>0</v>
      </c>
      <c r="E123" s="250">
        <f t="shared" si="48"/>
        <v>0</v>
      </c>
      <c r="F123" s="250">
        <f t="shared" si="48"/>
        <v>0</v>
      </c>
      <c r="G123" s="250">
        <f t="shared" si="48"/>
        <v>0</v>
      </c>
      <c r="H123" s="250">
        <f t="shared" si="48"/>
        <v>0</v>
      </c>
      <c r="I123" s="250">
        <f t="shared" si="48"/>
        <v>0</v>
      </c>
      <c r="J123" s="250">
        <f t="shared" si="48"/>
        <v>0</v>
      </c>
      <c r="K123" s="250">
        <f t="shared" si="48"/>
        <v>0</v>
      </c>
      <c r="L123" s="250">
        <f t="shared" si="48"/>
        <v>0</v>
      </c>
      <c r="M123" s="250">
        <f t="shared" si="48"/>
        <v>0</v>
      </c>
      <c r="N123" s="250">
        <f t="shared" si="48"/>
        <v>0</v>
      </c>
      <c r="O123" s="250">
        <f t="shared" si="48"/>
        <v>0</v>
      </c>
      <c r="P123" s="250">
        <f>SUM(B123:O123)</f>
        <v>0</v>
      </c>
      <c r="Q123" s="188"/>
      <c r="R123" s="188"/>
      <c r="S123" s="94" t="str">
        <f t="shared" si="27"/>
        <v>Very Low Density Residential</v>
      </c>
      <c r="T123" s="249">
        <f t="shared" ref="T123:AG123" si="49">$E23*B93*$B$8*10000</f>
        <v>0</v>
      </c>
      <c r="U123" s="249">
        <f t="shared" si="49"/>
        <v>0</v>
      </c>
      <c r="V123" s="249">
        <f t="shared" si="49"/>
        <v>0</v>
      </c>
      <c r="W123" s="249">
        <f t="shared" si="49"/>
        <v>0</v>
      </c>
      <c r="X123" s="249">
        <f t="shared" si="49"/>
        <v>0</v>
      </c>
      <c r="Y123" s="249">
        <f t="shared" si="49"/>
        <v>0</v>
      </c>
      <c r="Z123" s="249">
        <f t="shared" si="49"/>
        <v>0</v>
      </c>
      <c r="AA123" s="249">
        <f t="shared" si="49"/>
        <v>0</v>
      </c>
      <c r="AB123" s="249">
        <f t="shared" si="49"/>
        <v>0</v>
      </c>
      <c r="AC123" s="249">
        <f t="shared" si="49"/>
        <v>0</v>
      </c>
      <c r="AD123" s="249">
        <f t="shared" si="49"/>
        <v>0</v>
      </c>
      <c r="AE123" s="249">
        <f t="shared" si="49"/>
        <v>0</v>
      </c>
      <c r="AF123" s="249">
        <f t="shared" si="49"/>
        <v>0</v>
      </c>
      <c r="AG123" s="249">
        <f t="shared" si="49"/>
        <v>0</v>
      </c>
      <c r="AH123" s="249">
        <f>SUM(T123:AG123)</f>
        <v>0</v>
      </c>
    </row>
    <row r="124" spans="1:34" x14ac:dyDescent="0.2">
      <c r="A124" s="94" t="str">
        <f t="shared" ref="A124" si="50">A33</f>
        <v>Brushland/Successional</v>
      </c>
      <c r="B124" s="250">
        <f t="shared" ref="B124" si="51">$B33*B94*$B$8*10000</f>
        <v>0</v>
      </c>
      <c r="C124" s="250">
        <f t="shared" ref="C124:E124" si="52">$B33*C94*$B$8*10000</f>
        <v>0</v>
      </c>
      <c r="D124" s="250">
        <f t="shared" si="52"/>
        <v>0</v>
      </c>
      <c r="E124" s="250">
        <f t="shared" si="52"/>
        <v>0</v>
      </c>
      <c r="F124" s="250">
        <f t="shared" ref="F124:O124" si="53">$B33*F94*$B$8*10000</f>
        <v>0</v>
      </c>
      <c r="G124" s="250">
        <f t="shared" si="53"/>
        <v>0</v>
      </c>
      <c r="H124" s="250">
        <f t="shared" si="53"/>
        <v>0</v>
      </c>
      <c r="I124" s="250">
        <f t="shared" si="53"/>
        <v>0</v>
      </c>
      <c r="J124" s="250">
        <f t="shared" si="53"/>
        <v>0</v>
      </c>
      <c r="K124" s="250">
        <f t="shared" si="53"/>
        <v>0</v>
      </c>
      <c r="L124" s="250">
        <f t="shared" si="53"/>
        <v>0</v>
      </c>
      <c r="M124" s="250">
        <f t="shared" si="53"/>
        <v>0</v>
      </c>
      <c r="N124" s="250">
        <f t="shared" si="53"/>
        <v>0</v>
      </c>
      <c r="O124" s="250">
        <f t="shared" si="53"/>
        <v>0</v>
      </c>
      <c r="P124" s="250">
        <f>SUM(B124:O124)</f>
        <v>0</v>
      </c>
      <c r="Q124" s="188"/>
      <c r="R124" s="188"/>
      <c r="S124" s="94" t="str">
        <f t="shared" si="27"/>
        <v>Brushland/Successional</v>
      </c>
      <c r="T124" s="249">
        <f t="shared" ref="T124" si="54">$E33*B94*$B$8*10000</f>
        <v>0</v>
      </c>
      <c r="U124" s="249">
        <f t="shared" ref="U124:W124" si="55">$E33*C94*$B$8*10000</f>
        <v>0</v>
      </c>
      <c r="V124" s="249">
        <f t="shared" ref="V124" si="56">$E33*D94*$B$8*10000</f>
        <v>0</v>
      </c>
      <c r="W124" s="249">
        <f t="shared" si="55"/>
        <v>0</v>
      </c>
      <c r="X124" s="249">
        <f t="shared" ref="X124:AG124" si="57">$E33*F94*$B$8*10000</f>
        <v>0</v>
      </c>
      <c r="Y124" s="249">
        <f t="shared" si="57"/>
        <v>0</v>
      </c>
      <c r="Z124" s="249">
        <f t="shared" si="57"/>
        <v>0</v>
      </c>
      <c r="AA124" s="249">
        <f t="shared" si="57"/>
        <v>0</v>
      </c>
      <c r="AB124" s="249">
        <f t="shared" si="57"/>
        <v>0</v>
      </c>
      <c r="AC124" s="249">
        <f t="shared" si="57"/>
        <v>0</v>
      </c>
      <c r="AD124" s="249">
        <f t="shared" si="57"/>
        <v>0</v>
      </c>
      <c r="AE124" s="249">
        <f t="shared" si="57"/>
        <v>0</v>
      </c>
      <c r="AF124" s="249">
        <f t="shared" si="57"/>
        <v>0</v>
      </c>
      <c r="AG124" s="249">
        <f t="shared" si="57"/>
        <v>0</v>
      </c>
      <c r="AH124" s="249">
        <f>SUM(T124:AG124)</f>
        <v>0</v>
      </c>
    </row>
    <row r="125" spans="1:34" x14ac:dyDescent="0.2">
      <c r="A125" s="349"/>
      <c r="B125" s="250"/>
      <c r="C125" s="250"/>
      <c r="D125" s="250"/>
      <c r="E125" s="250"/>
      <c r="F125" s="250"/>
      <c r="G125" s="250"/>
      <c r="H125" s="250"/>
      <c r="I125" s="250"/>
      <c r="J125" s="250"/>
      <c r="K125" s="250"/>
      <c r="L125" s="250"/>
      <c r="M125" s="250"/>
      <c r="N125" s="250"/>
      <c r="O125" s="250"/>
      <c r="P125" s="250"/>
      <c r="Q125" s="188"/>
      <c r="R125" s="188"/>
      <c r="S125" s="94" t="str">
        <f>A52</f>
        <v>PS-1</v>
      </c>
      <c r="T125" s="249">
        <f>IF(B$57=1,$J52,0)</f>
        <v>0</v>
      </c>
      <c r="U125" s="249">
        <f t="shared" ref="U125:V127" si="58">IF(C57=1,$J52,0)</f>
        <v>0</v>
      </c>
      <c r="V125" s="249">
        <f t="shared" si="58"/>
        <v>0</v>
      </c>
      <c r="W125" s="249">
        <f t="shared" ref="W125:AG125" si="59">IF(E57=1,$J52,0)</f>
        <v>0</v>
      </c>
      <c r="X125" s="249">
        <f t="shared" si="59"/>
        <v>0</v>
      </c>
      <c r="Y125" s="249">
        <f t="shared" si="59"/>
        <v>0</v>
      </c>
      <c r="Z125" s="249">
        <f t="shared" si="59"/>
        <v>0</v>
      </c>
      <c r="AA125" s="249">
        <f t="shared" si="59"/>
        <v>0</v>
      </c>
      <c r="AB125" s="249">
        <f t="shared" si="59"/>
        <v>0</v>
      </c>
      <c r="AC125" s="249">
        <f t="shared" si="59"/>
        <v>0</v>
      </c>
      <c r="AD125" s="249">
        <f t="shared" si="59"/>
        <v>0</v>
      </c>
      <c r="AE125" s="249">
        <f t="shared" si="59"/>
        <v>0</v>
      </c>
      <c r="AF125" s="249">
        <f t="shared" si="59"/>
        <v>0</v>
      </c>
      <c r="AG125" s="249">
        <f t="shared" si="59"/>
        <v>0</v>
      </c>
      <c r="AH125" s="249">
        <f t="shared" si="28"/>
        <v>0</v>
      </c>
    </row>
    <row r="126" spans="1:34" x14ac:dyDescent="0.2">
      <c r="A126" s="349"/>
      <c r="B126" s="250"/>
      <c r="C126" s="250"/>
      <c r="D126" s="250"/>
      <c r="E126" s="250"/>
      <c r="F126" s="250"/>
      <c r="G126" s="250"/>
      <c r="H126" s="250"/>
      <c r="I126" s="250"/>
      <c r="J126" s="250"/>
      <c r="K126" s="250"/>
      <c r="L126" s="250"/>
      <c r="M126" s="250"/>
      <c r="N126" s="250"/>
      <c r="O126" s="250"/>
      <c r="P126" s="250"/>
      <c r="Q126" s="188"/>
      <c r="R126" s="188"/>
      <c r="S126" s="94" t="str">
        <f t="shared" ref="S126:S127" si="60">A53</f>
        <v>PS-2</v>
      </c>
      <c r="T126" s="249">
        <f>IF(B58=1,$J53,0)</f>
        <v>0</v>
      </c>
      <c r="U126" s="249">
        <f t="shared" si="58"/>
        <v>0</v>
      </c>
      <c r="V126" s="249">
        <f t="shared" si="58"/>
        <v>0</v>
      </c>
      <c r="W126" s="249">
        <f t="shared" ref="W126:AG126" si="61">IF(E58=1,$J53,0)</f>
        <v>0</v>
      </c>
      <c r="X126" s="249">
        <f t="shared" si="61"/>
        <v>0</v>
      </c>
      <c r="Y126" s="249">
        <f t="shared" si="61"/>
        <v>0</v>
      </c>
      <c r="Z126" s="249">
        <f t="shared" si="61"/>
        <v>0</v>
      </c>
      <c r="AA126" s="249">
        <f t="shared" si="61"/>
        <v>0</v>
      </c>
      <c r="AB126" s="249">
        <f t="shared" si="61"/>
        <v>0</v>
      </c>
      <c r="AC126" s="249">
        <f t="shared" si="61"/>
        <v>0</v>
      </c>
      <c r="AD126" s="249">
        <f t="shared" si="61"/>
        <v>0</v>
      </c>
      <c r="AE126" s="249">
        <f t="shared" si="61"/>
        <v>0</v>
      </c>
      <c r="AF126" s="249">
        <f t="shared" si="61"/>
        <v>0</v>
      </c>
      <c r="AG126" s="249">
        <f t="shared" si="61"/>
        <v>0</v>
      </c>
      <c r="AH126" s="249">
        <f t="shared" si="28"/>
        <v>0</v>
      </c>
    </row>
    <row r="127" spans="1:34" x14ac:dyDescent="0.2">
      <c r="A127" s="349"/>
      <c r="B127" s="250"/>
      <c r="C127" s="250"/>
      <c r="D127" s="250"/>
      <c r="E127" s="250"/>
      <c r="F127" s="250"/>
      <c r="G127" s="250"/>
      <c r="H127" s="250"/>
      <c r="I127" s="250"/>
      <c r="J127" s="250"/>
      <c r="K127" s="250"/>
      <c r="L127" s="250"/>
      <c r="M127" s="250"/>
      <c r="N127" s="250"/>
      <c r="O127" s="250"/>
      <c r="P127" s="250"/>
      <c r="Q127" s="188"/>
      <c r="R127" s="188"/>
      <c r="S127" s="94" t="str">
        <f t="shared" si="60"/>
        <v>PS-3</v>
      </c>
      <c r="T127" s="249">
        <f>IF(B59=1,$J54,0)</f>
        <v>0</v>
      </c>
      <c r="U127" s="249">
        <f t="shared" si="58"/>
        <v>0</v>
      </c>
      <c r="V127" s="249">
        <f t="shared" si="58"/>
        <v>0</v>
      </c>
      <c r="W127" s="249">
        <f t="shared" ref="W127:AG127" si="62">IF(E59=1,$J54,0)</f>
        <v>0</v>
      </c>
      <c r="X127" s="249">
        <f t="shared" si="62"/>
        <v>0</v>
      </c>
      <c r="Y127" s="249">
        <f t="shared" si="62"/>
        <v>0</v>
      </c>
      <c r="Z127" s="249">
        <f t="shared" si="62"/>
        <v>0</v>
      </c>
      <c r="AA127" s="249">
        <f t="shared" si="62"/>
        <v>0</v>
      </c>
      <c r="AB127" s="249">
        <f t="shared" si="62"/>
        <v>0</v>
      </c>
      <c r="AC127" s="249">
        <f t="shared" si="62"/>
        <v>0</v>
      </c>
      <c r="AD127" s="249">
        <f t="shared" si="62"/>
        <v>0</v>
      </c>
      <c r="AE127" s="249">
        <f t="shared" si="62"/>
        <v>0</v>
      </c>
      <c r="AF127" s="249">
        <f t="shared" si="62"/>
        <v>0</v>
      </c>
      <c r="AG127" s="249">
        <f t="shared" si="62"/>
        <v>0</v>
      </c>
      <c r="AH127" s="249">
        <f t="shared" si="28"/>
        <v>0</v>
      </c>
    </row>
    <row r="128" spans="1:34" ht="17.45" customHeight="1" x14ac:dyDescent="0.2">
      <c r="A128" s="197" t="s">
        <v>375</v>
      </c>
      <c r="B128" s="249">
        <f t="shared" ref="B128:P128" si="63">SUM(B104:B127)</f>
        <v>0</v>
      </c>
      <c r="C128" s="249">
        <f t="shared" si="63"/>
        <v>0</v>
      </c>
      <c r="D128" s="249">
        <f t="shared" si="63"/>
        <v>0</v>
      </c>
      <c r="E128" s="249">
        <f t="shared" si="63"/>
        <v>0</v>
      </c>
      <c r="F128" s="249">
        <f t="shared" si="63"/>
        <v>0</v>
      </c>
      <c r="G128" s="249">
        <f t="shared" si="63"/>
        <v>0</v>
      </c>
      <c r="H128" s="249">
        <f t="shared" si="63"/>
        <v>0</v>
      </c>
      <c r="I128" s="249">
        <f t="shared" si="63"/>
        <v>0</v>
      </c>
      <c r="J128" s="249">
        <f t="shared" si="63"/>
        <v>0</v>
      </c>
      <c r="K128" s="249">
        <f t="shared" si="63"/>
        <v>0</v>
      </c>
      <c r="L128" s="249">
        <f t="shared" si="63"/>
        <v>0</v>
      </c>
      <c r="M128" s="249">
        <f t="shared" si="63"/>
        <v>0</v>
      </c>
      <c r="N128" s="249">
        <f t="shared" si="63"/>
        <v>0</v>
      </c>
      <c r="O128" s="249">
        <f t="shared" si="63"/>
        <v>0</v>
      </c>
      <c r="P128" s="249">
        <f t="shared" si="63"/>
        <v>0</v>
      </c>
      <c r="Q128" s="188"/>
      <c r="R128" s="188"/>
      <c r="S128" s="197" t="s">
        <v>375</v>
      </c>
      <c r="T128" s="249">
        <f t="shared" ref="T128:AH128" si="64">SUM(T104:T127)</f>
        <v>0</v>
      </c>
      <c r="U128" s="249">
        <f t="shared" si="64"/>
        <v>0</v>
      </c>
      <c r="V128" s="249">
        <f t="shared" si="64"/>
        <v>0</v>
      </c>
      <c r="W128" s="249">
        <f t="shared" si="64"/>
        <v>0</v>
      </c>
      <c r="X128" s="249">
        <f t="shared" si="64"/>
        <v>0</v>
      </c>
      <c r="Y128" s="249">
        <f t="shared" si="64"/>
        <v>0</v>
      </c>
      <c r="Z128" s="249">
        <f t="shared" si="64"/>
        <v>0</v>
      </c>
      <c r="AA128" s="249">
        <f t="shared" si="64"/>
        <v>0</v>
      </c>
      <c r="AB128" s="249">
        <f t="shared" si="64"/>
        <v>0</v>
      </c>
      <c r="AC128" s="249">
        <f t="shared" si="64"/>
        <v>0</v>
      </c>
      <c r="AD128" s="249">
        <f t="shared" si="64"/>
        <v>0</v>
      </c>
      <c r="AE128" s="249">
        <f t="shared" si="64"/>
        <v>0</v>
      </c>
      <c r="AF128" s="249">
        <f t="shared" si="64"/>
        <v>0</v>
      </c>
      <c r="AG128" s="249">
        <f t="shared" si="64"/>
        <v>0</v>
      </c>
      <c r="AH128" s="249">
        <f t="shared" si="64"/>
        <v>0</v>
      </c>
    </row>
    <row r="129" spans="1:35" ht="17.45" customHeight="1" x14ac:dyDescent="0.2">
      <c r="A129" s="197" t="s">
        <v>376</v>
      </c>
      <c r="B129" s="201">
        <f t="shared" ref="B129:P129" si="65">(B128/365/24/60/60)*35.314667</f>
        <v>0</v>
      </c>
      <c r="C129" s="201">
        <f t="shared" si="65"/>
        <v>0</v>
      </c>
      <c r="D129" s="201">
        <f t="shared" si="65"/>
        <v>0</v>
      </c>
      <c r="E129" s="201">
        <f t="shared" si="65"/>
        <v>0</v>
      </c>
      <c r="F129" s="201">
        <f t="shared" ref="F129:O129" si="66">(F128/365/24/60/60)*35.314667</f>
        <v>0</v>
      </c>
      <c r="G129" s="201">
        <f t="shared" si="66"/>
        <v>0</v>
      </c>
      <c r="H129" s="201">
        <f t="shared" si="66"/>
        <v>0</v>
      </c>
      <c r="I129" s="201">
        <f t="shared" si="66"/>
        <v>0</v>
      </c>
      <c r="J129" s="201">
        <f t="shared" si="66"/>
        <v>0</v>
      </c>
      <c r="K129" s="201">
        <f t="shared" si="66"/>
        <v>0</v>
      </c>
      <c r="L129" s="201">
        <f t="shared" si="66"/>
        <v>0</v>
      </c>
      <c r="M129" s="201">
        <f t="shared" si="66"/>
        <v>0</v>
      </c>
      <c r="N129" s="201">
        <f t="shared" si="66"/>
        <v>0</v>
      </c>
      <c r="O129" s="201">
        <f t="shared" si="66"/>
        <v>0</v>
      </c>
      <c r="P129" s="201">
        <f t="shared" si="65"/>
        <v>0</v>
      </c>
      <c r="Q129" s="188"/>
      <c r="R129" s="188"/>
      <c r="S129" s="197" t="s">
        <v>376</v>
      </c>
      <c r="T129" s="201">
        <f t="shared" ref="T129:AH129" si="67">(T128/365/24/60/60)*35.314667</f>
        <v>0</v>
      </c>
      <c r="U129" s="201">
        <f t="shared" si="67"/>
        <v>0</v>
      </c>
      <c r="V129" s="201">
        <f t="shared" si="67"/>
        <v>0</v>
      </c>
      <c r="W129" s="201">
        <f t="shared" si="67"/>
        <v>0</v>
      </c>
      <c r="X129" s="201">
        <f t="shared" si="67"/>
        <v>0</v>
      </c>
      <c r="Y129" s="201">
        <f t="shared" si="67"/>
        <v>0</v>
      </c>
      <c r="Z129" s="201">
        <f t="shared" si="67"/>
        <v>0</v>
      </c>
      <c r="AA129" s="201">
        <f t="shared" si="67"/>
        <v>0</v>
      </c>
      <c r="AB129" s="201">
        <f t="shared" si="67"/>
        <v>0</v>
      </c>
      <c r="AC129" s="200">
        <f t="shared" si="67"/>
        <v>0</v>
      </c>
      <c r="AD129" s="200">
        <f t="shared" si="67"/>
        <v>0</v>
      </c>
      <c r="AE129" s="200">
        <f t="shared" si="67"/>
        <v>0</v>
      </c>
      <c r="AF129" s="200">
        <f t="shared" si="67"/>
        <v>0</v>
      </c>
      <c r="AG129" s="200">
        <f t="shared" si="67"/>
        <v>0</v>
      </c>
      <c r="AH129" s="201">
        <f t="shared" si="67"/>
        <v>0</v>
      </c>
    </row>
    <row r="130" spans="1:35" ht="28.15" customHeight="1" x14ac:dyDescent="0.2">
      <c r="A130" s="339"/>
      <c r="B130" s="188"/>
      <c r="C130" s="188"/>
      <c r="D130" s="188"/>
      <c r="E130" s="332"/>
      <c r="F130" s="188"/>
      <c r="G130" s="188"/>
      <c r="H130" s="188"/>
      <c r="I130" s="188"/>
      <c r="J130" s="188"/>
      <c r="K130" s="188"/>
      <c r="L130" s="188"/>
      <c r="M130" s="188"/>
      <c r="N130" s="188"/>
      <c r="O130" s="188"/>
      <c r="P130" s="188"/>
      <c r="Q130" s="188"/>
      <c r="R130" s="188"/>
    </row>
    <row r="131" spans="1:35" x14ac:dyDescent="0.2">
      <c r="A131" s="21" t="s">
        <v>99</v>
      </c>
      <c r="Q131" s="188"/>
      <c r="R131" s="188"/>
      <c r="S131" s="18" t="s">
        <v>547</v>
      </c>
    </row>
    <row r="132" spans="1:35" x14ac:dyDescent="0.2">
      <c r="A132" s="450" t="s">
        <v>75</v>
      </c>
      <c r="B132" s="75" t="s">
        <v>89</v>
      </c>
      <c r="C132" s="75" t="s">
        <v>90</v>
      </c>
      <c r="D132" s="75" t="s">
        <v>91</v>
      </c>
      <c r="E132" s="75" t="s">
        <v>239</v>
      </c>
      <c r="F132" s="75" t="s">
        <v>240</v>
      </c>
      <c r="G132" s="75" t="s">
        <v>241</v>
      </c>
      <c r="H132" s="75" t="s">
        <v>242</v>
      </c>
      <c r="I132" s="75" t="s">
        <v>243</v>
      </c>
      <c r="J132" s="75" t="s">
        <v>92</v>
      </c>
      <c r="K132" s="75" t="s">
        <v>244</v>
      </c>
      <c r="L132" s="75" t="s">
        <v>429</v>
      </c>
      <c r="M132" s="75" t="s">
        <v>430</v>
      </c>
      <c r="N132" s="75" t="s">
        <v>431</v>
      </c>
      <c r="O132" s="75" t="s">
        <v>432</v>
      </c>
      <c r="P132" s="75" t="s">
        <v>94</v>
      </c>
      <c r="Q132" s="188"/>
      <c r="R132" s="188"/>
      <c r="S132" s="450" t="s">
        <v>75</v>
      </c>
      <c r="T132" s="75" t="s">
        <v>89</v>
      </c>
      <c r="U132" s="75" t="s">
        <v>90</v>
      </c>
      <c r="V132" s="75" t="s">
        <v>91</v>
      </c>
      <c r="W132" s="75" t="s">
        <v>239</v>
      </c>
      <c r="X132" s="75" t="s">
        <v>240</v>
      </c>
      <c r="Y132" s="75" t="s">
        <v>241</v>
      </c>
      <c r="Z132" s="75" t="s">
        <v>242</v>
      </c>
      <c r="AA132" s="75" t="s">
        <v>243</v>
      </c>
      <c r="AB132" s="75" t="s">
        <v>92</v>
      </c>
      <c r="AC132" s="75" t="s">
        <v>244</v>
      </c>
      <c r="AD132" s="75" t="s">
        <v>429</v>
      </c>
      <c r="AE132" s="75" t="s">
        <v>430</v>
      </c>
      <c r="AF132" s="75" t="s">
        <v>431</v>
      </c>
      <c r="AG132" s="75" t="s">
        <v>432</v>
      </c>
      <c r="AH132" s="75" t="s">
        <v>94</v>
      </c>
    </row>
    <row r="133" spans="1:35" x14ac:dyDescent="0.2">
      <c r="A133" s="451"/>
      <c r="B133" s="76" t="str">
        <f t="shared" ref="B133:O133" si="68">B102</f>
        <v>Watershed 1</v>
      </c>
      <c r="C133" s="76" t="str">
        <f t="shared" si="68"/>
        <v>Watershed 2</v>
      </c>
      <c r="D133" s="76" t="str">
        <f t="shared" si="68"/>
        <v>Watershed 3</v>
      </c>
      <c r="E133" s="76" t="str">
        <f t="shared" si="68"/>
        <v>Watershed 4</v>
      </c>
      <c r="F133" s="76" t="str">
        <f t="shared" si="68"/>
        <v>Watershed 5</v>
      </c>
      <c r="G133" s="76" t="str">
        <f t="shared" si="68"/>
        <v>Watershed 6</v>
      </c>
      <c r="H133" s="76" t="str">
        <f t="shared" si="68"/>
        <v>Watershed 7</v>
      </c>
      <c r="I133" s="76" t="str">
        <f t="shared" si="68"/>
        <v>Watershed 8</v>
      </c>
      <c r="J133" s="76" t="str">
        <f t="shared" si="68"/>
        <v>Watershed 9</v>
      </c>
      <c r="K133" s="76" t="str">
        <f t="shared" si="68"/>
        <v>Watershed 10</v>
      </c>
      <c r="L133" s="76" t="str">
        <f t="shared" si="68"/>
        <v>Watershed 11</v>
      </c>
      <c r="M133" s="76" t="str">
        <f t="shared" si="68"/>
        <v>Watershed 12</v>
      </c>
      <c r="N133" s="76" t="str">
        <f t="shared" si="68"/>
        <v>Watershed 13</v>
      </c>
      <c r="O133" s="76" t="str">
        <f t="shared" si="68"/>
        <v>Watershed 14</v>
      </c>
      <c r="P133" s="76"/>
      <c r="Q133" s="188"/>
      <c r="R133" s="188"/>
      <c r="S133" s="451"/>
      <c r="T133" s="76">
        <f t="shared" ref="T133:AG133" si="69">T102</f>
        <v>0</v>
      </c>
      <c r="U133" s="76">
        <f t="shared" si="69"/>
        <v>0</v>
      </c>
      <c r="V133" s="76">
        <f t="shared" si="69"/>
        <v>0</v>
      </c>
      <c r="W133" s="76">
        <f t="shared" si="69"/>
        <v>0</v>
      </c>
      <c r="X133" s="76">
        <f t="shared" si="69"/>
        <v>0</v>
      </c>
      <c r="Y133" s="76">
        <f t="shared" si="69"/>
        <v>0</v>
      </c>
      <c r="Z133" s="76">
        <f t="shared" si="69"/>
        <v>0</v>
      </c>
      <c r="AA133" s="76">
        <f t="shared" si="69"/>
        <v>0</v>
      </c>
      <c r="AB133" s="76">
        <f t="shared" si="69"/>
        <v>0</v>
      </c>
      <c r="AC133" s="76">
        <f t="shared" si="69"/>
        <v>0</v>
      </c>
      <c r="AD133" s="76">
        <f t="shared" si="69"/>
        <v>0</v>
      </c>
      <c r="AE133" s="76">
        <f t="shared" si="69"/>
        <v>0</v>
      </c>
      <c r="AF133" s="76">
        <f t="shared" si="69"/>
        <v>0</v>
      </c>
      <c r="AG133" s="76">
        <f t="shared" si="69"/>
        <v>0</v>
      </c>
      <c r="AH133" s="76"/>
      <c r="AI133" s="1"/>
    </row>
    <row r="134" spans="1:35" x14ac:dyDescent="0.2">
      <c r="A134" s="452"/>
      <c r="B134" s="77" t="s">
        <v>100</v>
      </c>
      <c r="C134" s="77" t="s">
        <v>100</v>
      </c>
      <c r="D134" s="77" t="s">
        <v>100</v>
      </c>
      <c r="E134" s="77" t="s">
        <v>100</v>
      </c>
      <c r="F134" s="77" t="s">
        <v>100</v>
      </c>
      <c r="G134" s="77" t="s">
        <v>100</v>
      </c>
      <c r="H134" s="77" t="s">
        <v>100</v>
      </c>
      <c r="I134" s="77" t="s">
        <v>100</v>
      </c>
      <c r="J134" s="77" t="s">
        <v>100</v>
      </c>
      <c r="K134" s="77" t="s">
        <v>100</v>
      </c>
      <c r="L134" s="77" t="s">
        <v>100</v>
      </c>
      <c r="M134" s="77" t="s">
        <v>100</v>
      </c>
      <c r="N134" s="77" t="s">
        <v>100</v>
      </c>
      <c r="O134" s="77" t="s">
        <v>100</v>
      </c>
      <c r="P134" s="77" t="s">
        <v>100</v>
      </c>
      <c r="Q134" s="188"/>
      <c r="R134" s="188"/>
      <c r="S134" s="452"/>
      <c r="T134" s="77" t="s">
        <v>100</v>
      </c>
      <c r="U134" s="77" t="s">
        <v>100</v>
      </c>
      <c r="V134" s="77" t="s">
        <v>100</v>
      </c>
      <c r="W134" s="77" t="s">
        <v>100</v>
      </c>
      <c r="X134" s="77" t="s">
        <v>100</v>
      </c>
      <c r="Y134" s="77" t="s">
        <v>100</v>
      </c>
      <c r="Z134" s="77" t="s">
        <v>100</v>
      </c>
      <c r="AA134" s="77" t="s">
        <v>100</v>
      </c>
      <c r="AB134" s="77" t="s">
        <v>100</v>
      </c>
      <c r="AC134" s="77" t="s">
        <v>100</v>
      </c>
      <c r="AD134" s="77" t="s">
        <v>100</v>
      </c>
      <c r="AE134" s="77" t="s">
        <v>100</v>
      </c>
      <c r="AF134" s="77" t="s">
        <v>100</v>
      </c>
      <c r="AG134" s="77" t="s">
        <v>100</v>
      </c>
      <c r="AH134" s="77" t="s">
        <v>100</v>
      </c>
      <c r="AI134" s="1"/>
    </row>
    <row r="135" spans="1:35" x14ac:dyDescent="0.2">
      <c r="A135" s="94" t="str">
        <f t="shared" ref="A135:A154" si="70">A14</f>
        <v>Cropland</v>
      </c>
      <c r="B135" s="259">
        <f t="shared" ref="B135:O135" si="71">$C14*B74</f>
        <v>0</v>
      </c>
      <c r="C135" s="259">
        <f t="shared" si="71"/>
        <v>0</v>
      </c>
      <c r="D135" s="259">
        <f t="shared" si="71"/>
        <v>0</v>
      </c>
      <c r="E135" s="259">
        <f t="shared" si="71"/>
        <v>0</v>
      </c>
      <c r="F135" s="259">
        <f t="shared" si="71"/>
        <v>0</v>
      </c>
      <c r="G135" s="259">
        <f t="shared" si="71"/>
        <v>0</v>
      </c>
      <c r="H135" s="259">
        <f t="shared" si="71"/>
        <v>0</v>
      </c>
      <c r="I135" s="259">
        <f t="shared" si="71"/>
        <v>0</v>
      </c>
      <c r="J135" s="259">
        <f t="shared" si="71"/>
        <v>0</v>
      </c>
      <c r="K135" s="259">
        <f t="shared" si="71"/>
        <v>0</v>
      </c>
      <c r="L135" s="259">
        <f t="shared" si="71"/>
        <v>0</v>
      </c>
      <c r="M135" s="259">
        <f t="shared" si="71"/>
        <v>0</v>
      </c>
      <c r="N135" s="259">
        <f t="shared" si="71"/>
        <v>0</v>
      </c>
      <c r="O135" s="259">
        <f t="shared" si="71"/>
        <v>0</v>
      </c>
      <c r="P135" s="259">
        <f>SUM(B135:O135)</f>
        <v>0</v>
      </c>
      <c r="Q135" s="7"/>
      <c r="R135" s="7"/>
      <c r="S135" s="94" t="str">
        <f t="shared" ref="S135:S157" si="72">A14</f>
        <v>Cropland</v>
      </c>
      <c r="T135" s="259">
        <f t="shared" ref="T135:T153" si="73">$D14*B74</f>
        <v>0</v>
      </c>
      <c r="U135" s="259">
        <f t="shared" ref="U135:U153" si="74">$D14*C74</f>
        <v>0</v>
      </c>
      <c r="V135" s="259">
        <f t="shared" ref="V135:V153" si="75">$D14*D74</f>
        <v>0</v>
      </c>
      <c r="W135" s="259">
        <f t="shared" ref="W135:W153" si="76">$D14*E74</f>
        <v>0</v>
      </c>
      <c r="X135" s="259">
        <f t="shared" ref="X135:X153" si="77">$D14*F74</f>
        <v>0</v>
      </c>
      <c r="Y135" s="259">
        <f t="shared" ref="Y135:Y153" si="78">$D14*G74</f>
        <v>0</v>
      </c>
      <c r="Z135" s="259">
        <f t="shared" ref="Z135:Z153" si="79">$D14*H74</f>
        <v>0</v>
      </c>
      <c r="AA135" s="259">
        <f t="shared" ref="AA135:AA153" si="80">$D14*I74</f>
        <v>0</v>
      </c>
      <c r="AB135" s="259">
        <f t="shared" ref="AB135:AB153" si="81">$D14*J74</f>
        <v>0</v>
      </c>
      <c r="AC135" s="259">
        <f t="shared" ref="AC135:AC153" si="82">$D14*K74</f>
        <v>0</v>
      </c>
      <c r="AD135" s="259">
        <f t="shared" ref="AD135:AD153" si="83">$D14*L74</f>
        <v>0</v>
      </c>
      <c r="AE135" s="259">
        <f t="shared" ref="AE135:AE153" si="84">$D14*M74</f>
        <v>0</v>
      </c>
      <c r="AF135" s="259">
        <f t="shared" ref="AF135:AF153" si="85">$D14*N74</f>
        <v>0</v>
      </c>
      <c r="AG135" s="259">
        <f t="shared" ref="AG135:AG153" si="86">$D14*O74</f>
        <v>0</v>
      </c>
      <c r="AH135" s="259">
        <f t="shared" ref="AH135:AH153" si="87">$D14*P74</f>
        <v>0</v>
      </c>
      <c r="AI135" s="3"/>
    </row>
    <row r="136" spans="1:35" x14ac:dyDescent="0.2">
      <c r="A136" s="94" t="str">
        <f t="shared" si="70"/>
        <v>Pasture</v>
      </c>
      <c r="B136" s="259">
        <f t="shared" ref="B136:O136" si="88">$C15*B75</f>
        <v>0</v>
      </c>
      <c r="C136" s="259">
        <f t="shared" si="88"/>
        <v>0</v>
      </c>
      <c r="D136" s="259">
        <f t="shared" si="88"/>
        <v>0</v>
      </c>
      <c r="E136" s="259">
        <f t="shared" si="88"/>
        <v>0</v>
      </c>
      <c r="F136" s="259">
        <f t="shared" si="88"/>
        <v>0</v>
      </c>
      <c r="G136" s="259">
        <f t="shared" si="88"/>
        <v>0</v>
      </c>
      <c r="H136" s="259">
        <f t="shared" si="88"/>
        <v>0</v>
      </c>
      <c r="I136" s="259">
        <f t="shared" si="88"/>
        <v>0</v>
      </c>
      <c r="J136" s="259">
        <f t="shared" si="88"/>
        <v>0</v>
      </c>
      <c r="K136" s="259">
        <f t="shared" si="88"/>
        <v>0</v>
      </c>
      <c r="L136" s="259">
        <f t="shared" si="88"/>
        <v>0</v>
      </c>
      <c r="M136" s="259">
        <f t="shared" si="88"/>
        <v>0</v>
      </c>
      <c r="N136" s="259">
        <f t="shared" si="88"/>
        <v>0</v>
      </c>
      <c r="O136" s="259">
        <f t="shared" si="88"/>
        <v>0</v>
      </c>
      <c r="P136" s="259">
        <f t="shared" ref="P136:P150" si="89">SUM(B136:O136)</f>
        <v>0</v>
      </c>
      <c r="S136" s="94" t="str">
        <f t="shared" si="72"/>
        <v>Pasture</v>
      </c>
      <c r="T136" s="259">
        <f t="shared" si="73"/>
        <v>0</v>
      </c>
      <c r="U136" s="259">
        <f t="shared" si="74"/>
        <v>0</v>
      </c>
      <c r="V136" s="259">
        <f t="shared" si="75"/>
        <v>0</v>
      </c>
      <c r="W136" s="259">
        <f t="shared" si="76"/>
        <v>0</v>
      </c>
      <c r="X136" s="259">
        <f t="shared" si="77"/>
        <v>0</v>
      </c>
      <c r="Y136" s="259">
        <f t="shared" si="78"/>
        <v>0</v>
      </c>
      <c r="Z136" s="259">
        <f t="shared" si="79"/>
        <v>0</v>
      </c>
      <c r="AA136" s="259">
        <f t="shared" si="80"/>
        <v>0</v>
      </c>
      <c r="AB136" s="259">
        <f t="shared" si="81"/>
        <v>0</v>
      </c>
      <c r="AC136" s="259">
        <f t="shared" si="82"/>
        <v>0</v>
      </c>
      <c r="AD136" s="259">
        <f t="shared" si="83"/>
        <v>0</v>
      </c>
      <c r="AE136" s="259">
        <f t="shared" si="84"/>
        <v>0</v>
      </c>
      <c r="AF136" s="259">
        <f t="shared" si="85"/>
        <v>0</v>
      </c>
      <c r="AG136" s="259">
        <f t="shared" si="86"/>
        <v>0</v>
      </c>
      <c r="AH136" s="259">
        <f t="shared" si="87"/>
        <v>0</v>
      </c>
      <c r="AI136" s="3"/>
    </row>
    <row r="137" spans="1:35" x14ac:dyDescent="0.2">
      <c r="A137" s="94" t="str">
        <f t="shared" si="70"/>
        <v>Forest</v>
      </c>
      <c r="B137" s="259">
        <f t="shared" ref="B137:O137" si="90">$C16*B76</f>
        <v>0</v>
      </c>
      <c r="C137" s="259">
        <f t="shared" si="90"/>
        <v>0</v>
      </c>
      <c r="D137" s="259">
        <f t="shared" si="90"/>
        <v>0</v>
      </c>
      <c r="E137" s="259">
        <f t="shared" si="90"/>
        <v>0</v>
      </c>
      <c r="F137" s="259">
        <f t="shared" si="90"/>
        <v>0</v>
      </c>
      <c r="G137" s="259">
        <f t="shared" si="90"/>
        <v>0</v>
      </c>
      <c r="H137" s="259">
        <f t="shared" si="90"/>
        <v>0</v>
      </c>
      <c r="I137" s="259">
        <f t="shared" si="90"/>
        <v>0</v>
      </c>
      <c r="J137" s="259">
        <f t="shared" si="90"/>
        <v>0</v>
      </c>
      <c r="K137" s="259">
        <f t="shared" si="90"/>
        <v>0</v>
      </c>
      <c r="L137" s="259">
        <f t="shared" si="90"/>
        <v>0</v>
      </c>
      <c r="M137" s="259">
        <f t="shared" si="90"/>
        <v>0</v>
      </c>
      <c r="N137" s="259">
        <f t="shared" si="90"/>
        <v>0</v>
      </c>
      <c r="O137" s="259">
        <f t="shared" si="90"/>
        <v>0</v>
      </c>
      <c r="P137" s="259">
        <f t="shared" si="89"/>
        <v>0</v>
      </c>
      <c r="S137" s="94" t="str">
        <f t="shared" si="72"/>
        <v>Forest</v>
      </c>
      <c r="T137" s="259">
        <f t="shared" si="73"/>
        <v>0</v>
      </c>
      <c r="U137" s="259">
        <f t="shared" si="74"/>
        <v>0</v>
      </c>
      <c r="V137" s="259">
        <f t="shared" si="75"/>
        <v>0</v>
      </c>
      <c r="W137" s="259">
        <f t="shared" si="76"/>
        <v>0</v>
      </c>
      <c r="X137" s="259">
        <f t="shared" si="77"/>
        <v>0</v>
      </c>
      <c r="Y137" s="259">
        <f t="shared" si="78"/>
        <v>0</v>
      </c>
      <c r="Z137" s="259">
        <f t="shared" si="79"/>
        <v>0</v>
      </c>
      <c r="AA137" s="259">
        <f t="shared" si="80"/>
        <v>0</v>
      </c>
      <c r="AB137" s="259">
        <f t="shared" si="81"/>
        <v>0</v>
      </c>
      <c r="AC137" s="259">
        <f t="shared" si="82"/>
        <v>0</v>
      </c>
      <c r="AD137" s="259">
        <f t="shared" si="83"/>
        <v>0</v>
      </c>
      <c r="AE137" s="259">
        <f t="shared" si="84"/>
        <v>0</v>
      </c>
      <c r="AF137" s="259">
        <f t="shared" si="85"/>
        <v>0</v>
      </c>
      <c r="AG137" s="259">
        <f t="shared" si="86"/>
        <v>0</v>
      </c>
      <c r="AH137" s="259">
        <f t="shared" si="87"/>
        <v>0</v>
      </c>
      <c r="AI137" s="3"/>
    </row>
    <row r="138" spans="1:35" x14ac:dyDescent="0.2">
      <c r="A138" s="94" t="str">
        <f t="shared" si="70"/>
        <v>Non-Forested Wetland</v>
      </c>
      <c r="B138" s="259">
        <f t="shared" ref="B138:O138" si="91">$C17*B77</f>
        <v>0</v>
      </c>
      <c r="C138" s="259">
        <f t="shared" si="91"/>
        <v>0</v>
      </c>
      <c r="D138" s="259">
        <f t="shared" si="91"/>
        <v>0</v>
      </c>
      <c r="E138" s="259">
        <f t="shared" si="91"/>
        <v>0</v>
      </c>
      <c r="F138" s="259">
        <f t="shared" si="91"/>
        <v>0</v>
      </c>
      <c r="G138" s="259">
        <f t="shared" si="91"/>
        <v>0</v>
      </c>
      <c r="H138" s="259">
        <f t="shared" si="91"/>
        <v>0</v>
      </c>
      <c r="I138" s="259">
        <f t="shared" si="91"/>
        <v>0</v>
      </c>
      <c r="J138" s="259">
        <f t="shared" si="91"/>
        <v>0</v>
      </c>
      <c r="K138" s="259">
        <f t="shared" si="91"/>
        <v>0</v>
      </c>
      <c r="L138" s="259">
        <f t="shared" si="91"/>
        <v>0</v>
      </c>
      <c r="M138" s="259">
        <f t="shared" si="91"/>
        <v>0</v>
      </c>
      <c r="N138" s="259">
        <f t="shared" si="91"/>
        <v>0</v>
      </c>
      <c r="O138" s="259">
        <f t="shared" si="91"/>
        <v>0</v>
      </c>
      <c r="P138" s="259">
        <f t="shared" si="89"/>
        <v>0</v>
      </c>
      <c r="S138" s="94" t="str">
        <f t="shared" si="72"/>
        <v>Non-Forested Wetland</v>
      </c>
      <c r="T138" s="259">
        <f t="shared" si="73"/>
        <v>0</v>
      </c>
      <c r="U138" s="259">
        <f t="shared" si="74"/>
        <v>0</v>
      </c>
      <c r="V138" s="259">
        <f t="shared" si="75"/>
        <v>0</v>
      </c>
      <c r="W138" s="259">
        <f t="shared" si="76"/>
        <v>0</v>
      </c>
      <c r="X138" s="259">
        <f t="shared" si="77"/>
        <v>0</v>
      </c>
      <c r="Y138" s="259">
        <f t="shared" si="78"/>
        <v>0</v>
      </c>
      <c r="Z138" s="259">
        <f t="shared" si="79"/>
        <v>0</v>
      </c>
      <c r="AA138" s="259">
        <f t="shared" si="80"/>
        <v>0</v>
      </c>
      <c r="AB138" s="259">
        <f t="shared" si="81"/>
        <v>0</v>
      </c>
      <c r="AC138" s="259">
        <f t="shared" si="82"/>
        <v>0</v>
      </c>
      <c r="AD138" s="259">
        <f t="shared" si="83"/>
        <v>0</v>
      </c>
      <c r="AE138" s="259">
        <f t="shared" si="84"/>
        <v>0</v>
      </c>
      <c r="AF138" s="259">
        <f t="shared" si="85"/>
        <v>0</v>
      </c>
      <c r="AG138" s="259">
        <f t="shared" si="86"/>
        <v>0</v>
      </c>
      <c r="AH138" s="259">
        <f t="shared" si="87"/>
        <v>0</v>
      </c>
      <c r="AI138" s="3"/>
    </row>
    <row r="139" spans="1:35" x14ac:dyDescent="0.2">
      <c r="A139" s="94" t="str">
        <f t="shared" si="70"/>
        <v>Open Land</v>
      </c>
      <c r="B139" s="259">
        <f t="shared" ref="B139:O139" si="92">$C18*B78</f>
        <v>0</v>
      </c>
      <c r="C139" s="259">
        <f t="shared" si="92"/>
        <v>0</v>
      </c>
      <c r="D139" s="259">
        <f t="shared" si="92"/>
        <v>0</v>
      </c>
      <c r="E139" s="259">
        <f t="shared" si="92"/>
        <v>0</v>
      </c>
      <c r="F139" s="259">
        <f t="shared" si="92"/>
        <v>0</v>
      </c>
      <c r="G139" s="259">
        <f t="shared" si="92"/>
        <v>0</v>
      </c>
      <c r="H139" s="259">
        <f t="shared" si="92"/>
        <v>0</v>
      </c>
      <c r="I139" s="259">
        <f t="shared" si="92"/>
        <v>0</v>
      </c>
      <c r="J139" s="259">
        <f t="shared" si="92"/>
        <v>0</v>
      </c>
      <c r="K139" s="259">
        <f t="shared" si="92"/>
        <v>0</v>
      </c>
      <c r="L139" s="259">
        <f t="shared" si="92"/>
        <v>0</v>
      </c>
      <c r="M139" s="259">
        <f t="shared" si="92"/>
        <v>0</v>
      </c>
      <c r="N139" s="259">
        <f t="shared" si="92"/>
        <v>0</v>
      </c>
      <c r="O139" s="259">
        <f t="shared" si="92"/>
        <v>0</v>
      </c>
      <c r="P139" s="259">
        <f t="shared" si="89"/>
        <v>0</v>
      </c>
      <c r="S139" s="94" t="str">
        <f t="shared" si="72"/>
        <v>Open Land</v>
      </c>
      <c r="T139" s="259">
        <f t="shared" si="73"/>
        <v>0</v>
      </c>
      <c r="U139" s="259">
        <f t="shared" si="74"/>
        <v>0</v>
      </c>
      <c r="V139" s="259">
        <f t="shared" si="75"/>
        <v>0</v>
      </c>
      <c r="W139" s="259">
        <f t="shared" si="76"/>
        <v>0</v>
      </c>
      <c r="X139" s="259">
        <f t="shared" si="77"/>
        <v>0</v>
      </c>
      <c r="Y139" s="259">
        <f t="shared" si="78"/>
        <v>0</v>
      </c>
      <c r="Z139" s="259">
        <f t="shared" si="79"/>
        <v>0</v>
      </c>
      <c r="AA139" s="259">
        <f t="shared" si="80"/>
        <v>0</v>
      </c>
      <c r="AB139" s="259">
        <f t="shared" si="81"/>
        <v>0</v>
      </c>
      <c r="AC139" s="259">
        <f t="shared" si="82"/>
        <v>0</v>
      </c>
      <c r="AD139" s="259">
        <f t="shared" si="83"/>
        <v>0</v>
      </c>
      <c r="AE139" s="259">
        <f t="shared" si="84"/>
        <v>0</v>
      </c>
      <c r="AF139" s="259">
        <f t="shared" si="85"/>
        <v>0</v>
      </c>
      <c r="AG139" s="259">
        <f t="shared" si="86"/>
        <v>0</v>
      </c>
      <c r="AH139" s="259">
        <f t="shared" si="87"/>
        <v>0</v>
      </c>
      <c r="AI139" s="3"/>
    </row>
    <row r="140" spans="1:35" x14ac:dyDescent="0.2">
      <c r="A140" s="94" t="str">
        <f t="shared" si="70"/>
        <v>Participation Recreation</v>
      </c>
      <c r="B140" s="259">
        <f t="shared" ref="B140:O140" si="93">$C19*B79</f>
        <v>0</v>
      </c>
      <c r="C140" s="259">
        <f t="shared" si="93"/>
        <v>0</v>
      </c>
      <c r="D140" s="259">
        <f t="shared" si="93"/>
        <v>0</v>
      </c>
      <c r="E140" s="259">
        <f t="shared" si="93"/>
        <v>0</v>
      </c>
      <c r="F140" s="259">
        <f t="shared" si="93"/>
        <v>0</v>
      </c>
      <c r="G140" s="259">
        <f t="shared" si="93"/>
        <v>0</v>
      </c>
      <c r="H140" s="259">
        <f t="shared" si="93"/>
        <v>0</v>
      </c>
      <c r="I140" s="259">
        <f t="shared" si="93"/>
        <v>0</v>
      </c>
      <c r="J140" s="259">
        <f t="shared" si="93"/>
        <v>0</v>
      </c>
      <c r="K140" s="259">
        <f t="shared" si="93"/>
        <v>0</v>
      </c>
      <c r="L140" s="259">
        <f t="shared" si="93"/>
        <v>0</v>
      </c>
      <c r="M140" s="259">
        <f t="shared" si="93"/>
        <v>0</v>
      </c>
      <c r="N140" s="259">
        <f t="shared" si="93"/>
        <v>0</v>
      </c>
      <c r="O140" s="259">
        <f t="shared" si="93"/>
        <v>0</v>
      </c>
      <c r="P140" s="259">
        <f t="shared" si="89"/>
        <v>0</v>
      </c>
      <c r="Q140" s="7"/>
      <c r="R140" s="7"/>
      <c r="S140" s="94" t="str">
        <f t="shared" si="72"/>
        <v>Participation Recreation</v>
      </c>
      <c r="T140" s="259">
        <f t="shared" si="73"/>
        <v>0</v>
      </c>
      <c r="U140" s="259">
        <f t="shared" si="74"/>
        <v>0</v>
      </c>
      <c r="V140" s="259">
        <f t="shared" si="75"/>
        <v>0</v>
      </c>
      <c r="W140" s="259">
        <f t="shared" si="76"/>
        <v>0</v>
      </c>
      <c r="X140" s="259">
        <f t="shared" si="77"/>
        <v>0</v>
      </c>
      <c r="Y140" s="259">
        <f t="shared" si="78"/>
        <v>0</v>
      </c>
      <c r="Z140" s="259">
        <f t="shared" si="79"/>
        <v>0</v>
      </c>
      <c r="AA140" s="259">
        <f t="shared" si="80"/>
        <v>0</v>
      </c>
      <c r="AB140" s="259">
        <f t="shared" si="81"/>
        <v>0</v>
      </c>
      <c r="AC140" s="259">
        <f t="shared" si="82"/>
        <v>0</v>
      </c>
      <c r="AD140" s="259">
        <f t="shared" si="83"/>
        <v>0</v>
      </c>
      <c r="AE140" s="259">
        <f t="shared" si="84"/>
        <v>0</v>
      </c>
      <c r="AF140" s="259">
        <f t="shared" si="85"/>
        <v>0</v>
      </c>
      <c r="AG140" s="259">
        <f t="shared" si="86"/>
        <v>0</v>
      </c>
      <c r="AH140" s="259">
        <f t="shared" si="87"/>
        <v>0</v>
      </c>
      <c r="AI140" s="3"/>
    </row>
    <row r="141" spans="1:35" x14ac:dyDescent="0.2">
      <c r="A141" s="94" t="str">
        <f t="shared" si="70"/>
        <v>High Density Residential</v>
      </c>
      <c r="B141" s="259">
        <f t="shared" ref="B141:O141" si="94">$C20*B80</f>
        <v>0</v>
      </c>
      <c r="C141" s="259">
        <f t="shared" si="94"/>
        <v>0</v>
      </c>
      <c r="D141" s="259">
        <f t="shared" si="94"/>
        <v>0</v>
      </c>
      <c r="E141" s="259">
        <f t="shared" si="94"/>
        <v>0</v>
      </c>
      <c r="F141" s="259">
        <f t="shared" si="94"/>
        <v>0</v>
      </c>
      <c r="G141" s="259">
        <f t="shared" si="94"/>
        <v>0</v>
      </c>
      <c r="H141" s="259">
        <f t="shared" si="94"/>
        <v>0</v>
      </c>
      <c r="I141" s="259">
        <f t="shared" si="94"/>
        <v>0</v>
      </c>
      <c r="J141" s="259">
        <f t="shared" si="94"/>
        <v>0</v>
      </c>
      <c r="K141" s="259">
        <f t="shared" si="94"/>
        <v>0</v>
      </c>
      <c r="L141" s="259">
        <f t="shared" si="94"/>
        <v>0</v>
      </c>
      <c r="M141" s="259">
        <f t="shared" si="94"/>
        <v>0</v>
      </c>
      <c r="N141" s="259">
        <f t="shared" si="94"/>
        <v>0</v>
      </c>
      <c r="O141" s="259">
        <f t="shared" si="94"/>
        <v>0</v>
      </c>
      <c r="P141" s="259">
        <f t="shared" si="89"/>
        <v>0</v>
      </c>
      <c r="S141" s="94" t="str">
        <f t="shared" si="72"/>
        <v>High Density Residential</v>
      </c>
      <c r="T141" s="259">
        <f t="shared" si="73"/>
        <v>0</v>
      </c>
      <c r="U141" s="259">
        <f t="shared" si="74"/>
        <v>0</v>
      </c>
      <c r="V141" s="259">
        <f t="shared" si="75"/>
        <v>0</v>
      </c>
      <c r="W141" s="259">
        <f t="shared" si="76"/>
        <v>0</v>
      </c>
      <c r="X141" s="259">
        <f t="shared" si="77"/>
        <v>0</v>
      </c>
      <c r="Y141" s="259">
        <f t="shared" si="78"/>
        <v>0</v>
      </c>
      <c r="Z141" s="259">
        <f t="shared" si="79"/>
        <v>0</v>
      </c>
      <c r="AA141" s="259">
        <f t="shared" si="80"/>
        <v>0</v>
      </c>
      <c r="AB141" s="259">
        <f t="shared" si="81"/>
        <v>0</v>
      </c>
      <c r="AC141" s="259">
        <f t="shared" si="82"/>
        <v>0</v>
      </c>
      <c r="AD141" s="259">
        <f t="shared" si="83"/>
        <v>0</v>
      </c>
      <c r="AE141" s="259">
        <f t="shared" si="84"/>
        <v>0</v>
      </c>
      <c r="AF141" s="259">
        <f t="shared" si="85"/>
        <v>0</v>
      </c>
      <c r="AG141" s="259">
        <f t="shared" si="86"/>
        <v>0</v>
      </c>
      <c r="AH141" s="259">
        <f t="shared" si="87"/>
        <v>0</v>
      </c>
      <c r="AI141" s="3"/>
    </row>
    <row r="142" spans="1:35" x14ac:dyDescent="0.2">
      <c r="A142" s="94" t="str">
        <f t="shared" si="70"/>
        <v>Medium Density Residential</v>
      </c>
      <c r="B142" s="259">
        <f t="shared" ref="B142:O142" si="95">$C21*B81</f>
        <v>0</v>
      </c>
      <c r="C142" s="259">
        <f t="shared" si="95"/>
        <v>0</v>
      </c>
      <c r="D142" s="259">
        <f t="shared" si="95"/>
        <v>0</v>
      </c>
      <c r="E142" s="259">
        <f t="shared" si="95"/>
        <v>0</v>
      </c>
      <c r="F142" s="259">
        <f t="shared" si="95"/>
        <v>0</v>
      </c>
      <c r="G142" s="259">
        <f t="shared" si="95"/>
        <v>0</v>
      </c>
      <c r="H142" s="259">
        <f t="shared" si="95"/>
        <v>0</v>
      </c>
      <c r="I142" s="259">
        <f t="shared" si="95"/>
        <v>0</v>
      </c>
      <c r="J142" s="259">
        <f t="shared" si="95"/>
        <v>0</v>
      </c>
      <c r="K142" s="259">
        <f t="shared" si="95"/>
        <v>0</v>
      </c>
      <c r="L142" s="259">
        <f t="shared" si="95"/>
        <v>0</v>
      </c>
      <c r="M142" s="259">
        <f t="shared" si="95"/>
        <v>0</v>
      </c>
      <c r="N142" s="259">
        <f t="shared" si="95"/>
        <v>0</v>
      </c>
      <c r="O142" s="259">
        <f t="shared" si="95"/>
        <v>0</v>
      </c>
      <c r="P142" s="259">
        <f t="shared" si="89"/>
        <v>0</v>
      </c>
      <c r="S142" s="94" t="str">
        <f t="shared" si="72"/>
        <v>Medium Density Residential</v>
      </c>
      <c r="T142" s="259">
        <f t="shared" si="73"/>
        <v>0</v>
      </c>
      <c r="U142" s="259">
        <f t="shared" si="74"/>
        <v>0</v>
      </c>
      <c r="V142" s="259">
        <f t="shared" si="75"/>
        <v>0</v>
      </c>
      <c r="W142" s="259">
        <f t="shared" si="76"/>
        <v>0</v>
      </c>
      <c r="X142" s="259">
        <f t="shared" si="77"/>
        <v>0</v>
      </c>
      <c r="Y142" s="259">
        <f t="shared" si="78"/>
        <v>0</v>
      </c>
      <c r="Z142" s="259">
        <f t="shared" si="79"/>
        <v>0</v>
      </c>
      <c r="AA142" s="259">
        <f t="shared" si="80"/>
        <v>0</v>
      </c>
      <c r="AB142" s="259">
        <f t="shared" si="81"/>
        <v>0</v>
      </c>
      <c r="AC142" s="259">
        <f t="shared" si="82"/>
        <v>0</v>
      </c>
      <c r="AD142" s="259">
        <f t="shared" si="83"/>
        <v>0</v>
      </c>
      <c r="AE142" s="259">
        <f t="shared" si="84"/>
        <v>0</v>
      </c>
      <c r="AF142" s="259">
        <f t="shared" si="85"/>
        <v>0</v>
      </c>
      <c r="AG142" s="259">
        <f t="shared" si="86"/>
        <v>0</v>
      </c>
      <c r="AH142" s="259">
        <f t="shared" si="87"/>
        <v>0</v>
      </c>
      <c r="AI142" s="3"/>
    </row>
    <row r="143" spans="1:35" x14ac:dyDescent="0.2">
      <c r="A143" s="94" t="str">
        <f t="shared" si="70"/>
        <v>Low Density Residential</v>
      </c>
      <c r="B143" s="259">
        <f t="shared" ref="B143:O143" si="96">$C22*B82</f>
        <v>0</v>
      </c>
      <c r="C143" s="259">
        <f t="shared" si="96"/>
        <v>0</v>
      </c>
      <c r="D143" s="259">
        <f t="shared" si="96"/>
        <v>0</v>
      </c>
      <c r="E143" s="259">
        <f t="shared" si="96"/>
        <v>0</v>
      </c>
      <c r="F143" s="259">
        <f t="shared" si="96"/>
        <v>0</v>
      </c>
      <c r="G143" s="259">
        <f t="shared" si="96"/>
        <v>0</v>
      </c>
      <c r="H143" s="259">
        <f t="shared" si="96"/>
        <v>0</v>
      </c>
      <c r="I143" s="259">
        <f t="shared" si="96"/>
        <v>0</v>
      </c>
      <c r="J143" s="259">
        <f t="shared" si="96"/>
        <v>0</v>
      </c>
      <c r="K143" s="259">
        <f t="shared" si="96"/>
        <v>0</v>
      </c>
      <c r="L143" s="259">
        <f t="shared" si="96"/>
        <v>0</v>
      </c>
      <c r="M143" s="259">
        <f t="shared" si="96"/>
        <v>0</v>
      </c>
      <c r="N143" s="259">
        <f t="shared" si="96"/>
        <v>0</v>
      </c>
      <c r="O143" s="259">
        <f t="shared" si="96"/>
        <v>0</v>
      </c>
      <c r="P143" s="259">
        <f t="shared" si="89"/>
        <v>0</v>
      </c>
      <c r="S143" s="94" t="str">
        <f t="shared" si="72"/>
        <v>Low Density Residential</v>
      </c>
      <c r="T143" s="259">
        <f t="shared" si="73"/>
        <v>0</v>
      </c>
      <c r="U143" s="259">
        <f t="shared" si="74"/>
        <v>0</v>
      </c>
      <c r="V143" s="259">
        <f t="shared" si="75"/>
        <v>0</v>
      </c>
      <c r="W143" s="259">
        <f t="shared" si="76"/>
        <v>0</v>
      </c>
      <c r="X143" s="259">
        <f t="shared" si="77"/>
        <v>0</v>
      </c>
      <c r="Y143" s="259">
        <f t="shared" si="78"/>
        <v>0</v>
      </c>
      <c r="Z143" s="259">
        <f t="shared" si="79"/>
        <v>0</v>
      </c>
      <c r="AA143" s="259">
        <f t="shared" si="80"/>
        <v>0</v>
      </c>
      <c r="AB143" s="259">
        <f t="shared" si="81"/>
        <v>0</v>
      </c>
      <c r="AC143" s="259">
        <f t="shared" si="82"/>
        <v>0</v>
      </c>
      <c r="AD143" s="259">
        <f t="shared" si="83"/>
        <v>0</v>
      </c>
      <c r="AE143" s="259">
        <f t="shared" si="84"/>
        <v>0</v>
      </c>
      <c r="AF143" s="259">
        <f t="shared" si="85"/>
        <v>0</v>
      </c>
      <c r="AG143" s="259">
        <f t="shared" si="86"/>
        <v>0</v>
      </c>
      <c r="AH143" s="259">
        <f t="shared" si="87"/>
        <v>0</v>
      </c>
      <c r="AI143" s="3"/>
    </row>
    <row r="144" spans="1:35" x14ac:dyDescent="0.2">
      <c r="A144" s="94" t="str">
        <f t="shared" si="70"/>
        <v>Very Low Density Residential</v>
      </c>
      <c r="B144" s="259">
        <f t="shared" ref="B144:O144" si="97">$C23*B83</f>
        <v>0</v>
      </c>
      <c r="C144" s="259">
        <f t="shared" si="97"/>
        <v>0</v>
      </c>
      <c r="D144" s="259">
        <f t="shared" si="97"/>
        <v>0</v>
      </c>
      <c r="E144" s="259">
        <f t="shared" si="97"/>
        <v>0</v>
      </c>
      <c r="F144" s="259">
        <f t="shared" si="97"/>
        <v>0</v>
      </c>
      <c r="G144" s="259">
        <f t="shared" si="97"/>
        <v>0</v>
      </c>
      <c r="H144" s="259">
        <f t="shared" si="97"/>
        <v>0</v>
      </c>
      <c r="I144" s="259">
        <f t="shared" si="97"/>
        <v>0</v>
      </c>
      <c r="J144" s="259">
        <f t="shared" si="97"/>
        <v>0</v>
      </c>
      <c r="K144" s="259">
        <f t="shared" si="97"/>
        <v>0</v>
      </c>
      <c r="L144" s="259">
        <f t="shared" si="97"/>
        <v>0</v>
      </c>
      <c r="M144" s="259">
        <f t="shared" si="97"/>
        <v>0</v>
      </c>
      <c r="N144" s="259">
        <f t="shared" si="97"/>
        <v>0</v>
      </c>
      <c r="O144" s="259">
        <f t="shared" si="97"/>
        <v>0</v>
      </c>
      <c r="P144" s="259">
        <f t="shared" ref="P144" si="98">SUM(B144:O144)</f>
        <v>0</v>
      </c>
      <c r="S144" s="94" t="str">
        <f t="shared" si="72"/>
        <v>Very Low Density Residential</v>
      </c>
      <c r="T144" s="259">
        <f t="shared" si="73"/>
        <v>0</v>
      </c>
      <c r="U144" s="259">
        <f t="shared" si="74"/>
        <v>0</v>
      </c>
      <c r="V144" s="259">
        <f t="shared" si="75"/>
        <v>0</v>
      </c>
      <c r="W144" s="259">
        <f t="shared" si="76"/>
        <v>0</v>
      </c>
      <c r="X144" s="259">
        <f t="shared" si="77"/>
        <v>0</v>
      </c>
      <c r="Y144" s="259">
        <f t="shared" si="78"/>
        <v>0</v>
      </c>
      <c r="Z144" s="259">
        <f t="shared" si="79"/>
        <v>0</v>
      </c>
      <c r="AA144" s="259">
        <f t="shared" si="80"/>
        <v>0</v>
      </c>
      <c r="AB144" s="259">
        <f t="shared" si="81"/>
        <v>0</v>
      </c>
      <c r="AC144" s="259">
        <f t="shared" si="82"/>
        <v>0</v>
      </c>
      <c r="AD144" s="259">
        <f t="shared" si="83"/>
        <v>0</v>
      </c>
      <c r="AE144" s="259">
        <f t="shared" si="84"/>
        <v>0</v>
      </c>
      <c r="AF144" s="259">
        <f t="shared" si="85"/>
        <v>0</v>
      </c>
      <c r="AG144" s="259">
        <f t="shared" si="86"/>
        <v>0</v>
      </c>
      <c r="AH144" s="259">
        <f t="shared" si="87"/>
        <v>0</v>
      </c>
      <c r="AI144" s="3"/>
    </row>
    <row r="145" spans="1:48" x14ac:dyDescent="0.2">
      <c r="A145" s="94" t="str">
        <f t="shared" si="70"/>
        <v>Commercial</v>
      </c>
      <c r="B145" s="259">
        <f t="shared" ref="B145:O145" si="99">$C24*B84</f>
        <v>0</v>
      </c>
      <c r="C145" s="259">
        <f t="shared" si="99"/>
        <v>0</v>
      </c>
      <c r="D145" s="259">
        <f t="shared" si="99"/>
        <v>0</v>
      </c>
      <c r="E145" s="259">
        <f t="shared" si="99"/>
        <v>0</v>
      </c>
      <c r="F145" s="259">
        <f t="shared" si="99"/>
        <v>0</v>
      </c>
      <c r="G145" s="259">
        <f t="shared" si="99"/>
        <v>0</v>
      </c>
      <c r="H145" s="259">
        <f t="shared" si="99"/>
        <v>0</v>
      </c>
      <c r="I145" s="259">
        <f t="shared" si="99"/>
        <v>0</v>
      </c>
      <c r="J145" s="259">
        <f t="shared" si="99"/>
        <v>0</v>
      </c>
      <c r="K145" s="259">
        <f t="shared" si="99"/>
        <v>0</v>
      </c>
      <c r="L145" s="259">
        <f t="shared" si="99"/>
        <v>0</v>
      </c>
      <c r="M145" s="259">
        <f t="shared" si="99"/>
        <v>0</v>
      </c>
      <c r="N145" s="259">
        <f t="shared" si="99"/>
        <v>0</v>
      </c>
      <c r="O145" s="259">
        <f t="shared" si="99"/>
        <v>0</v>
      </c>
      <c r="P145" s="259">
        <f t="shared" si="89"/>
        <v>0</v>
      </c>
      <c r="S145" s="94" t="str">
        <f t="shared" si="72"/>
        <v>Commercial</v>
      </c>
      <c r="T145" s="259">
        <f t="shared" si="73"/>
        <v>0</v>
      </c>
      <c r="U145" s="259">
        <f t="shared" si="74"/>
        <v>0</v>
      </c>
      <c r="V145" s="259">
        <f t="shared" si="75"/>
        <v>0</v>
      </c>
      <c r="W145" s="259">
        <f t="shared" si="76"/>
        <v>0</v>
      </c>
      <c r="X145" s="259">
        <f t="shared" si="77"/>
        <v>0</v>
      </c>
      <c r="Y145" s="259">
        <f t="shared" si="78"/>
        <v>0</v>
      </c>
      <c r="Z145" s="259">
        <f t="shared" si="79"/>
        <v>0</v>
      </c>
      <c r="AA145" s="259">
        <f t="shared" si="80"/>
        <v>0</v>
      </c>
      <c r="AB145" s="259">
        <f t="shared" si="81"/>
        <v>0</v>
      </c>
      <c r="AC145" s="259">
        <f t="shared" si="82"/>
        <v>0</v>
      </c>
      <c r="AD145" s="259">
        <f t="shared" si="83"/>
        <v>0</v>
      </c>
      <c r="AE145" s="259">
        <f t="shared" si="84"/>
        <v>0</v>
      </c>
      <c r="AF145" s="259">
        <f t="shared" si="85"/>
        <v>0</v>
      </c>
      <c r="AG145" s="259">
        <f t="shared" si="86"/>
        <v>0</v>
      </c>
      <c r="AH145" s="259">
        <f t="shared" si="87"/>
        <v>0</v>
      </c>
      <c r="AI145" s="3"/>
    </row>
    <row r="146" spans="1:48" x14ac:dyDescent="0.2">
      <c r="A146" s="94" t="str">
        <f t="shared" si="70"/>
        <v>Transportation</v>
      </c>
      <c r="B146" s="259">
        <f t="shared" ref="B146:O146" si="100">$C25*B85</f>
        <v>0</v>
      </c>
      <c r="C146" s="259">
        <f t="shared" si="100"/>
        <v>0</v>
      </c>
      <c r="D146" s="259">
        <f t="shared" si="100"/>
        <v>0</v>
      </c>
      <c r="E146" s="259">
        <f t="shared" si="100"/>
        <v>0</v>
      </c>
      <c r="F146" s="259">
        <f t="shared" si="100"/>
        <v>0</v>
      </c>
      <c r="G146" s="259">
        <f t="shared" si="100"/>
        <v>0</v>
      </c>
      <c r="H146" s="259">
        <f t="shared" si="100"/>
        <v>0</v>
      </c>
      <c r="I146" s="259">
        <f t="shared" si="100"/>
        <v>0</v>
      </c>
      <c r="J146" s="259">
        <f t="shared" si="100"/>
        <v>0</v>
      </c>
      <c r="K146" s="259">
        <f t="shared" si="100"/>
        <v>0</v>
      </c>
      <c r="L146" s="259">
        <f t="shared" si="100"/>
        <v>0</v>
      </c>
      <c r="M146" s="259">
        <f t="shared" si="100"/>
        <v>0</v>
      </c>
      <c r="N146" s="259">
        <f t="shared" si="100"/>
        <v>0</v>
      </c>
      <c r="O146" s="259">
        <f t="shared" si="100"/>
        <v>0</v>
      </c>
      <c r="P146" s="259">
        <f t="shared" si="89"/>
        <v>0</v>
      </c>
      <c r="Q146" s="3"/>
      <c r="R146" s="3"/>
      <c r="S146" s="94" t="str">
        <f t="shared" si="72"/>
        <v>Transportation</v>
      </c>
      <c r="T146" s="259">
        <f t="shared" si="73"/>
        <v>0</v>
      </c>
      <c r="U146" s="259">
        <f t="shared" si="74"/>
        <v>0</v>
      </c>
      <c r="V146" s="259">
        <f t="shared" si="75"/>
        <v>0</v>
      </c>
      <c r="W146" s="259">
        <f t="shared" si="76"/>
        <v>0</v>
      </c>
      <c r="X146" s="259">
        <f t="shared" si="77"/>
        <v>0</v>
      </c>
      <c r="Y146" s="259">
        <f t="shared" si="78"/>
        <v>0</v>
      </c>
      <c r="Z146" s="259">
        <f t="shared" si="79"/>
        <v>0</v>
      </c>
      <c r="AA146" s="259">
        <f t="shared" si="80"/>
        <v>0</v>
      </c>
      <c r="AB146" s="259">
        <f t="shared" si="81"/>
        <v>0</v>
      </c>
      <c r="AC146" s="259">
        <f t="shared" si="82"/>
        <v>0</v>
      </c>
      <c r="AD146" s="259">
        <f t="shared" si="83"/>
        <v>0</v>
      </c>
      <c r="AE146" s="259">
        <f t="shared" si="84"/>
        <v>0</v>
      </c>
      <c r="AF146" s="259">
        <f t="shared" si="85"/>
        <v>0</v>
      </c>
      <c r="AG146" s="259">
        <f t="shared" si="86"/>
        <v>0</v>
      </c>
      <c r="AH146" s="259">
        <f t="shared" si="87"/>
        <v>0</v>
      </c>
      <c r="AI146" s="3"/>
    </row>
    <row r="147" spans="1:48" x14ac:dyDescent="0.2">
      <c r="A147" s="94" t="str">
        <f t="shared" si="70"/>
        <v>Waste Disposal</v>
      </c>
      <c r="B147" s="259">
        <f t="shared" ref="B147:O147" si="101">$C26*B86</f>
        <v>0</v>
      </c>
      <c r="C147" s="259">
        <f t="shared" si="101"/>
        <v>0</v>
      </c>
      <c r="D147" s="259">
        <f t="shared" si="101"/>
        <v>0</v>
      </c>
      <c r="E147" s="259">
        <f t="shared" si="101"/>
        <v>0</v>
      </c>
      <c r="F147" s="259">
        <f t="shared" si="101"/>
        <v>0</v>
      </c>
      <c r="G147" s="259">
        <f t="shared" si="101"/>
        <v>0</v>
      </c>
      <c r="H147" s="259">
        <f t="shared" si="101"/>
        <v>0</v>
      </c>
      <c r="I147" s="259">
        <f t="shared" si="101"/>
        <v>0</v>
      </c>
      <c r="J147" s="259">
        <f t="shared" si="101"/>
        <v>0</v>
      </c>
      <c r="K147" s="259">
        <f t="shared" si="101"/>
        <v>0</v>
      </c>
      <c r="L147" s="259">
        <f t="shared" si="101"/>
        <v>0</v>
      </c>
      <c r="M147" s="259">
        <f t="shared" si="101"/>
        <v>0</v>
      </c>
      <c r="N147" s="259">
        <f t="shared" si="101"/>
        <v>0</v>
      </c>
      <c r="O147" s="259">
        <f t="shared" si="101"/>
        <v>0</v>
      </c>
      <c r="P147" s="259">
        <f t="shared" si="89"/>
        <v>0</v>
      </c>
      <c r="S147" s="94" t="str">
        <f t="shared" si="72"/>
        <v>Waste Disposal</v>
      </c>
      <c r="T147" s="259">
        <f t="shared" si="73"/>
        <v>0</v>
      </c>
      <c r="U147" s="259">
        <f t="shared" si="74"/>
        <v>0</v>
      </c>
      <c r="V147" s="259">
        <f t="shared" si="75"/>
        <v>0</v>
      </c>
      <c r="W147" s="259">
        <f t="shared" si="76"/>
        <v>0</v>
      </c>
      <c r="X147" s="259">
        <f t="shared" si="77"/>
        <v>0</v>
      </c>
      <c r="Y147" s="259">
        <f t="shared" si="78"/>
        <v>0</v>
      </c>
      <c r="Z147" s="259">
        <f t="shared" si="79"/>
        <v>0</v>
      </c>
      <c r="AA147" s="259">
        <f t="shared" si="80"/>
        <v>0</v>
      </c>
      <c r="AB147" s="259">
        <f t="shared" si="81"/>
        <v>0</v>
      </c>
      <c r="AC147" s="259">
        <f t="shared" si="82"/>
        <v>0</v>
      </c>
      <c r="AD147" s="259">
        <f t="shared" si="83"/>
        <v>0</v>
      </c>
      <c r="AE147" s="259">
        <f t="shared" si="84"/>
        <v>0</v>
      </c>
      <c r="AF147" s="259">
        <f t="shared" si="85"/>
        <v>0</v>
      </c>
      <c r="AG147" s="259">
        <f t="shared" si="86"/>
        <v>0</v>
      </c>
      <c r="AH147" s="259">
        <f t="shared" si="87"/>
        <v>0</v>
      </c>
      <c r="AI147" s="3"/>
    </row>
    <row r="148" spans="1:48" x14ac:dyDescent="0.2">
      <c r="A148" s="94" t="str">
        <f t="shared" si="70"/>
        <v>Water</v>
      </c>
      <c r="B148" s="259">
        <f t="shared" ref="B148:O148" si="102">$C27*B87</f>
        <v>0</v>
      </c>
      <c r="C148" s="259">
        <f t="shared" si="102"/>
        <v>0</v>
      </c>
      <c r="D148" s="259">
        <f t="shared" si="102"/>
        <v>0</v>
      </c>
      <c r="E148" s="259">
        <f t="shared" si="102"/>
        <v>0</v>
      </c>
      <c r="F148" s="259">
        <f t="shared" si="102"/>
        <v>0</v>
      </c>
      <c r="G148" s="259">
        <f t="shared" si="102"/>
        <v>0</v>
      </c>
      <c r="H148" s="259">
        <f t="shared" si="102"/>
        <v>0</v>
      </c>
      <c r="I148" s="259">
        <f t="shared" si="102"/>
        <v>0</v>
      </c>
      <c r="J148" s="259">
        <f t="shared" si="102"/>
        <v>0</v>
      </c>
      <c r="K148" s="259">
        <f t="shared" si="102"/>
        <v>0</v>
      </c>
      <c r="L148" s="259">
        <f t="shared" si="102"/>
        <v>0</v>
      </c>
      <c r="M148" s="259">
        <f t="shared" si="102"/>
        <v>0</v>
      </c>
      <c r="N148" s="259">
        <f t="shared" si="102"/>
        <v>0</v>
      </c>
      <c r="O148" s="259">
        <f t="shared" si="102"/>
        <v>0</v>
      </c>
      <c r="P148" s="259">
        <f t="shared" si="89"/>
        <v>0</v>
      </c>
      <c r="S148" s="94" t="str">
        <f t="shared" si="72"/>
        <v>Water</v>
      </c>
      <c r="T148" s="259">
        <f t="shared" si="73"/>
        <v>0</v>
      </c>
      <c r="U148" s="259">
        <f t="shared" si="74"/>
        <v>0</v>
      </c>
      <c r="V148" s="259">
        <f t="shared" si="75"/>
        <v>0</v>
      </c>
      <c r="W148" s="259">
        <f t="shared" si="76"/>
        <v>0</v>
      </c>
      <c r="X148" s="259">
        <f t="shared" si="77"/>
        <v>0</v>
      </c>
      <c r="Y148" s="259">
        <f t="shared" si="78"/>
        <v>0</v>
      </c>
      <c r="Z148" s="259">
        <f t="shared" si="79"/>
        <v>0</v>
      </c>
      <c r="AA148" s="259">
        <f t="shared" si="80"/>
        <v>0</v>
      </c>
      <c r="AB148" s="259">
        <f t="shared" si="81"/>
        <v>0</v>
      </c>
      <c r="AC148" s="259">
        <f t="shared" si="82"/>
        <v>0</v>
      </c>
      <c r="AD148" s="259">
        <f t="shared" si="83"/>
        <v>0</v>
      </c>
      <c r="AE148" s="259">
        <f t="shared" si="84"/>
        <v>0</v>
      </c>
      <c r="AF148" s="259">
        <f t="shared" si="85"/>
        <v>0</v>
      </c>
      <c r="AG148" s="259">
        <f t="shared" si="86"/>
        <v>0</v>
      </c>
      <c r="AH148" s="259">
        <f t="shared" si="87"/>
        <v>0</v>
      </c>
      <c r="AI148" s="3"/>
    </row>
    <row r="149" spans="1:48" x14ac:dyDescent="0.2">
      <c r="A149" s="94" t="str">
        <f t="shared" si="70"/>
        <v>Urban Public/Institutional</v>
      </c>
      <c r="B149" s="259">
        <f t="shared" ref="B149:O149" si="103">$C28*B88</f>
        <v>0</v>
      </c>
      <c r="C149" s="259">
        <f t="shared" si="103"/>
        <v>0</v>
      </c>
      <c r="D149" s="259">
        <f t="shared" si="103"/>
        <v>0</v>
      </c>
      <c r="E149" s="259">
        <f t="shared" si="103"/>
        <v>0</v>
      </c>
      <c r="F149" s="259">
        <f t="shared" si="103"/>
        <v>0</v>
      </c>
      <c r="G149" s="259">
        <f t="shared" si="103"/>
        <v>0</v>
      </c>
      <c r="H149" s="259">
        <f t="shared" si="103"/>
        <v>0</v>
      </c>
      <c r="I149" s="259">
        <f t="shared" si="103"/>
        <v>0</v>
      </c>
      <c r="J149" s="259">
        <f t="shared" si="103"/>
        <v>0</v>
      </c>
      <c r="K149" s="259">
        <f t="shared" si="103"/>
        <v>0</v>
      </c>
      <c r="L149" s="259">
        <f t="shared" si="103"/>
        <v>0</v>
      </c>
      <c r="M149" s="259">
        <f t="shared" si="103"/>
        <v>0</v>
      </c>
      <c r="N149" s="259">
        <f t="shared" si="103"/>
        <v>0</v>
      </c>
      <c r="O149" s="259">
        <f t="shared" si="103"/>
        <v>0</v>
      </c>
      <c r="P149" s="259">
        <f t="shared" si="89"/>
        <v>0</v>
      </c>
      <c r="S149" s="94" t="str">
        <f t="shared" si="72"/>
        <v>Urban Public/Institutional</v>
      </c>
      <c r="T149" s="259">
        <f t="shared" si="73"/>
        <v>0</v>
      </c>
      <c r="U149" s="259">
        <f t="shared" si="74"/>
        <v>0</v>
      </c>
      <c r="V149" s="259">
        <f t="shared" si="75"/>
        <v>0</v>
      </c>
      <c r="W149" s="259">
        <f t="shared" si="76"/>
        <v>0</v>
      </c>
      <c r="X149" s="259">
        <f t="shared" si="77"/>
        <v>0</v>
      </c>
      <c r="Y149" s="259">
        <f t="shared" si="78"/>
        <v>0</v>
      </c>
      <c r="Z149" s="259">
        <f t="shared" si="79"/>
        <v>0</v>
      </c>
      <c r="AA149" s="259">
        <f t="shared" si="80"/>
        <v>0</v>
      </c>
      <c r="AB149" s="259">
        <f t="shared" si="81"/>
        <v>0</v>
      </c>
      <c r="AC149" s="259">
        <f t="shared" si="82"/>
        <v>0</v>
      </c>
      <c r="AD149" s="259">
        <f t="shared" si="83"/>
        <v>0</v>
      </c>
      <c r="AE149" s="259">
        <f t="shared" si="84"/>
        <v>0</v>
      </c>
      <c r="AF149" s="259">
        <f t="shared" si="85"/>
        <v>0</v>
      </c>
      <c r="AG149" s="259">
        <f t="shared" si="86"/>
        <v>0</v>
      </c>
      <c r="AH149" s="259">
        <f t="shared" si="87"/>
        <v>0</v>
      </c>
      <c r="AI149" s="3"/>
    </row>
    <row r="150" spans="1:48" x14ac:dyDescent="0.2">
      <c r="A150" s="94" t="str">
        <f t="shared" si="70"/>
        <v>Cemetery</v>
      </c>
      <c r="B150" s="259">
        <f t="shared" ref="B150:O150" si="104">$C29*B89</f>
        <v>0</v>
      </c>
      <c r="C150" s="259">
        <f t="shared" si="104"/>
        <v>0</v>
      </c>
      <c r="D150" s="259">
        <f t="shared" si="104"/>
        <v>0</v>
      </c>
      <c r="E150" s="259">
        <f t="shared" si="104"/>
        <v>0</v>
      </c>
      <c r="F150" s="259">
        <f t="shared" si="104"/>
        <v>0</v>
      </c>
      <c r="G150" s="259">
        <f t="shared" si="104"/>
        <v>0</v>
      </c>
      <c r="H150" s="259">
        <f t="shared" si="104"/>
        <v>0</v>
      </c>
      <c r="I150" s="259">
        <f t="shared" si="104"/>
        <v>0</v>
      </c>
      <c r="J150" s="259">
        <f t="shared" si="104"/>
        <v>0</v>
      </c>
      <c r="K150" s="259">
        <f t="shared" si="104"/>
        <v>0</v>
      </c>
      <c r="L150" s="259">
        <f t="shared" si="104"/>
        <v>0</v>
      </c>
      <c r="M150" s="259">
        <f t="shared" si="104"/>
        <v>0</v>
      </c>
      <c r="N150" s="259">
        <f t="shared" si="104"/>
        <v>0</v>
      </c>
      <c r="O150" s="259">
        <f t="shared" si="104"/>
        <v>0</v>
      </c>
      <c r="P150" s="259">
        <f t="shared" si="89"/>
        <v>0</v>
      </c>
      <c r="S150" s="94" t="str">
        <f t="shared" si="72"/>
        <v>Cemetery</v>
      </c>
      <c r="T150" s="259">
        <f t="shared" si="73"/>
        <v>0</v>
      </c>
      <c r="U150" s="259">
        <f t="shared" si="74"/>
        <v>0</v>
      </c>
      <c r="V150" s="259">
        <f t="shared" si="75"/>
        <v>0</v>
      </c>
      <c r="W150" s="259">
        <f t="shared" si="76"/>
        <v>0</v>
      </c>
      <c r="X150" s="259">
        <f t="shared" si="77"/>
        <v>0</v>
      </c>
      <c r="Y150" s="259">
        <f t="shared" si="78"/>
        <v>0</v>
      </c>
      <c r="Z150" s="259">
        <f t="shared" si="79"/>
        <v>0</v>
      </c>
      <c r="AA150" s="259">
        <f t="shared" si="80"/>
        <v>0</v>
      </c>
      <c r="AB150" s="259">
        <f t="shared" si="81"/>
        <v>0</v>
      </c>
      <c r="AC150" s="259">
        <f t="shared" si="82"/>
        <v>0</v>
      </c>
      <c r="AD150" s="259">
        <f t="shared" si="83"/>
        <v>0</v>
      </c>
      <c r="AE150" s="259">
        <f t="shared" si="84"/>
        <v>0</v>
      </c>
      <c r="AF150" s="259">
        <f t="shared" si="85"/>
        <v>0</v>
      </c>
      <c r="AG150" s="259">
        <f t="shared" si="86"/>
        <v>0</v>
      </c>
      <c r="AH150" s="259">
        <f t="shared" si="87"/>
        <v>0</v>
      </c>
      <c r="AI150" s="3"/>
    </row>
    <row r="151" spans="1:48" x14ac:dyDescent="0.2">
      <c r="A151" s="94" t="str">
        <f t="shared" si="70"/>
        <v>Orchard</v>
      </c>
      <c r="B151" s="259">
        <f t="shared" ref="B151:O151" si="105">$C30*B90</f>
        <v>0</v>
      </c>
      <c r="C151" s="259">
        <f t="shared" si="105"/>
        <v>0</v>
      </c>
      <c r="D151" s="259">
        <f t="shared" si="105"/>
        <v>0</v>
      </c>
      <c r="E151" s="259">
        <f t="shared" si="105"/>
        <v>0</v>
      </c>
      <c r="F151" s="259">
        <f t="shared" si="105"/>
        <v>0</v>
      </c>
      <c r="G151" s="259">
        <f t="shared" si="105"/>
        <v>0</v>
      </c>
      <c r="H151" s="259">
        <f t="shared" si="105"/>
        <v>0</v>
      </c>
      <c r="I151" s="259">
        <f t="shared" si="105"/>
        <v>0</v>
      </c>
      <c r="J151" s="259">
        <f t="shared" si="105"/>
        <v>0</v>
      </c>
      <c r="K151" s="259">
        <f t="shared" si="105"/>
        <v>0</v>
      </c>
      <c r="L151" s="259">
        <f t="shared" si="105"/>
        <v>0</v>
      </c>
      <c r="M151" s="259">
        <f t="shared" si="105"/>
        <v>0</v>
      </c>
      <c r="N151" s="259">
        <f t="shared" si="105"/>
        <v>0</v>
      </c>
      <c r="O151" s="259">
        <f t="shared" si="105"/>
        <v>0</v>
      </c>
      <c r="P151" s="259">
        <f t="shared" ref="P151:P157" si="106">SUM(B151:O151)</f>
        <v>0</v>
      </c>
      <c r="S151" s="94" t="str">
        <f t="shared" si="72"/>
        <v>Orchard</v>
      </c>
      <c r="T151" s="259">
        <f t="shared" si="73"/>
        <v>0</v>
      </c>
      <c r="U151" s="259">
        <f t="shared" si="74"/>
        <v>0</v>
      </c>
      <c r="V151" s="259">
        <f t="shared" si="75"/>
        <v>0</v>
      </c>
      <c r="W151" s="259">
        <f t="shared" si="76"/>
        <v>0</v>
      </c>
      <c r="X151" s="259">
        <f t="shared" si="77"/>
        <v>0</v>
      </c>
      <c r="Y151" s="259">
        <f t="shared" si="78"/>
        <v>0</v>
      </c>
      <c r="Z151" s="259">
        <f t="shared" si="79"/>
        <v>0</v>
      </c>
      <c r="AA151" s="259">
        <f t="shared" si="80"/>
        <v>0</v>
      </c>
      <c r="AB151" s="259">
        <f t="shared" si="81"/>
        <v>0</v>
      </c>
      <c r="AC151" s="259">
        <f t="shared" si="82"/>
        <v>0</v>
      </c>
      <c r="AD151" s="259">
        <f t="shared" si="83"/>
        <v>0</v>
      </c>
      <c r="AE151" s="259">
        <f t="shared" si="84"/>
        <v>0</v>
      </c>
      <c r="AF151" s="259">
        <f t="shared" si="85"/>
        <v>0</v>
      </c>
      <c r="AG151" s="259">
        <f t="shared" si="86"/>
        <v>0</v>
      </c>
      <c r="AH151" s="259">
        <f t="shared" si="87"/>
        <v>0</v>
      </c>
      <c r="AI151" s="3"/>
    </row>
    <row r="152" spans="1:48" x14ac:dyDescent="0.2">
      <c r="A152" s="94" t="str">
        <f t="shared" si="70"/>
        <v>Nursery</v>
      </c>
      <c r="B152" s="259">
        <f t="shared" ref="B152:O152" si="107">$C31*B91</f>
        <v>0</v>
      </c>
      <c r="C152" s="259">
        <f t="shared" si="107"/>
        <v>0</v>
      </c>
      <c r="D152" s="259">
        <f t="shared" si="107"/>
        <v>0</v>
      </c>
      <c r="E152" s="259">
        <f t="shared" si="107"/>
        <v>0</v>
      </c>
      <c r="F152" s="259">
        <f t="shared" si="107"/>
        <v>0</v>
      </c>
      <c r="G152" s="259">
        <f t="shared" si="107"/>
        <v>0</v>
      </c>
      <c r="H152" s="259">
        <f t="shared" si="107"/>
        <v>0</v>
      </c>
      <c r="I152" s="259">
        <f t="shared" si="107"/>
        <v>0</v>
      </c>
      <c r="J152" s="259">
        <f t="shared" si="107"/>
        <v>0</v>
      </c>
      <c r="K152" s="259">
        <f t="shared" si="107"/>
        <v>0</v>
      </c>
      <c r="L152" s="259">
        <f t="shared" si="107"/>
        <v>0</v>
      </c>
      <c r="M152" s="259">
        <f t="shared" si="107"/>
        <v>0</v>
      </c>
      <c r="N152" s="259">
        <f t="shared" si="107"/>
        <v>0</v>
      </c>
      <c r="O152" s="259">
        <f t="shared" si="107"/>
        <v>0</v>
      </c>
      <c r="P152" s="259">
        <f t="shared" si="106"/>
        <v>0</v>
      </c>
      <c r="S152" s="94" t="str">
        <f t="shared" si="72"/>
        <v>Nursery</v>
      </c>
      <c r="T152" s="259">
        <f t="shared" si="73"/>
        <v>0</v>
      </c>
      <c r="U152" s="259">
        <f t="shared" si="74"/>
        <v>0</v>
      </c>
      <c r="V152" s="259">
        <f t="shared" si="75"/>
        <v>0</v>
      </c>
      <c r="W152" s="259">
        <f t="shared" si="76"/>
        <v>0</v>
      </c>
      <c r="X152" s="259">
        <f t="shared" si="77"/>
        <v>0</v>
      </c>
      <c r="Y152" s="259">
        <f t="shared" si="78"/>
        <v>0</v>
      </c>
      <c r="Z152" s="259">
        <f t="shared" si="79"/>
        <v>0</v>
      </c>
      <c r="AA152" s="259">
        <f t="shared" si="80"/>
        <v>0</v>
      </c>
      <c r="AB152" s="259">
        <f t="shared" si="81"/>
        <v>0</v>
      </c>
      <c r="AC152" s="259">
        <f t="shared" si="82"/>
        <v>0</v>
      </c>
      <c r="AD152" s="259">
        <f t="shared" si="83"/>
        <v>0</v>
      </c>
      <c r="AE152" s="259">
        <f t="shared" si="84"/>
        <v>0</v>
      </c>
      <c r="AF152" s="259">
        <f t="shared" si="85"/>
        <v>0</v>
      </c>
      <c r="AG152" s="259">
        <f t="shared" si="86"/>
        <v>0</v>
      </c>
      <c r="AH152" s="259">
        <f t="shared" si="87"/>
        <v>0</v>
      </c>
      <c r="AI152" s="3"/>
    </row>
    <row r="153" spans="1:48" x14ac:dyDescent="0.2">
      <c r="A153" s="94" t="str">
        <f t="shared" si="70"/>
        <v>Forested Wetland</v>
      </c>
      <c r="B153" s="259">
        <f t="shared" ref="B153:O153" si="108">$C32*B92</f>
        <v>0</v>
      </c>
      <c r="C153" s="259">
        <f t="shared" si="108"/>
        <v>0</v>
      </c>
      <c r="D153" s="259">
        <f t="shared" si="108"/>
        <v>0</v>
      </c>
      <c r="E153" s="259">
        <f t="shared" si="108"/>
        <v>0</v>
      </c>
      <c r="F153" s="259">
        <f t="shared" si="108"/>
        <v>0</v>
      </c>
      <c r="G153" s="259">
        <f t="shared" si="108"/>
        <v>0</v>
      </c>
      <c r="H153" s="259">
        <f t="shared" si="108"/>
        <v>0</v>
      </c>
      <c r="I153" s="259">
        <f t="shared" si="108"/>
        <v>0</v>
      </c>
      <c r="J153" s="259">
        <f t="shared" si="108"/>
        <v>0</v>
      </c>
      <c r="K153" s="259">
        <f t="shared" si="108"/>
        <v>0</v>
      </c>
      <c r="L153" s="259">
        <f t="shared" si="108"/>
        <v>0</v>
      </c>
      <c r="M153" s="259">
        <f t="shared" si="108"/>
        <v>0</v>
      </c>
      <c r="N153" s="259">
        <f t="shared" si="108"/>
        <v>0</v>
      </c>
      <c r="O153" s="259">
        <f t="shared" si="108"/>
        <v>0</v>
      </c>
      <c r="P153" s="259">
        <f t="shared" si="106"/>
        <v>0</v>
      </c>
      <c r="S153" s="94" t="str">
        <f t="shared" si="72"/>
        <v>Forested Wetland</v>
      </c>
      <c r="T153" s="259">
        <f t="shared" si="73"/>
        <v>0</v>
      </c>
      <c r="U153" s="259">
        <f t="shared" si="74"/>
        <v>0</v>
      </c>
      <c r="V153" s="259">
        <f t="shared" si="75"/>
        <v>0</v>
      </c>
      <c r="W153" s="259">
        <f t="shared" si="76"/>
        <v>0</v>
      </c>
      <c r="X153" s="259">
        <f t="shared" si="77"/>
        <v>0</v>
      </c>
      <c r="Y153" s="259">
        <f t="shared" si="78"/>
        <v>0</v>
      </c>
      <c r="Z153" s="259">
        <f t="shared" si="79"/>
        <v>0</v>
      </c>
      <c r="AA153" s="259">
        <f t="shared" si="80"/>
        <v>0</v>
      </c>
      <c r="AB153" s="259">
        <f t="shared" si="81"/>
        <v>0</v>
      </c>
      <c r="AC153" s="259">
        <f t="shared" si="82"/>
        <v>0</v>
      </c>
      <c r="AD153" s="259">
        <f t="shared" si="83"/>
        <v>0</v>
      </c>
      <c r="AE153" s="259">
        <f t="shared" si="84"/>
        <v>0</v>
      </c>
      <c r="AF153" s="259">
        <f t="shared" si="85"/>
        <v>0</v>
      </c>
      <c r="AG153" s="259">
        <f t="shared" si="86"/>
        <v>0</v>
      </c>
      <c r="AH153" s="259">
        <f t="shared" si="87"/>
        <v>0</v>
      </c>
      <c r="AI153" s="3"/>
    </row>
    <row r="154" spans="1:48" x14ac:dyDescent="0.2">
      <c r="A154" s="94" t="str">
        <f t="shared" si="70"/>
        <v>Brushland/Successional</v>
      </c>
      <c r="B154" s="259">
        <f t="shared" ref="B154:O154" si="109">$C33*B94</f>
        <v>0</v>
      </c>
      <c r="C154" s="259">
        <f t="shared" si="109"/>
        <v>0</v>
      </c>
      <c r="D154" s="259">
        <f t="shared" si="109"/>
        <v>0</v>
      </c>
      <c r="E154" s="259">
        <f t="shared" si="109"/>
        <v>0</v>
      </c>
      <c r="F154" s="259">
        <f t="shared" si="109"/>
        <v>0</v>
      </c>
      <c r="G154" s="259">
        <f t="shared" si="109"/>
        <v>0</v>
      </c>
      <c r="H154" s="259">
        <f t="shared" si="109"/>
        <v>0</v>
      </c>
      <c r="I154" s="259">
        <f t="shared" si="109"/>
        <v>0</v>
      </c>
      <c r="J154" s="259">
        <f t="shared" si="109"/>
        <v>0</v>
      </c>
      <c r="K154" s="259">
        <f t="shared" si="109"/>
        <v>0</v>
      </c>
      <c r="L154" s="259">
        <f t="shared" si="109"/>
        <v>0</v>
      </c>
      <c r="M154" s="259">
        <f t="shared" si="109"/>
        <v>0</v>
      </c>
      <c r="N154" s="259">
        <f t="shared" si="109"/>
        <v>0</v>
      </c>
      <c r="O154" s="259">
        <f t="shared" si="109"/>
        <v>0</v>
      </c>
      <c r="P154" s="259">
        <f t="shared" si="106"/>
        <v>0</v>
      </c>
      <c r="S154" s="94" t="str">
        <f t="shared" si="72"/>
        <v>Brushland/Successional</v>
      </c>
      <c r="T154" s="259">
        <f t="shared" ref="T154:AH157" si="110">$D33*B94</f>
        <v>0</v>
      </c>
      <c r="U154" s="259">
        <f t="shared" si="110"/>
        <v>0</v>
      </c>
      <c r="V154" s="259">
        <f t="shared" si="110"/>
        <v>0</v>
      </c>
      <c r="W154" s="259">
        <f t="shared" si="110"/>
        <v>0</v>
      </c>
      <c r="X154" s="259">
        <f t="shared" si="110"/>
        <v>0</v>
      </c>
      <c r="Y154" s="259">
        <f t="shared" si="110"/>
        <v>0</v>
      </c>
      <c r="Z154" s="259">
        <f t="shared" si="110"/>
        <v>0</v>
      </c>
      <c r="AA154" s="259">
        <f t="shared" si="110"/>
        <v>0</v>
      </c>
      <c r="AB154" s="259">
        <f t="shared" si="110"/>
        <v>0</v>
      </c>
      <c r="AC154" s="259">
        <f t="shared" si="110"/>
        <v>0</v>
      </c>
      <c r="AD154" s="259">
        <f t="shared" si="110"/>
        <v>0</v>
      </c>
      <c r="AE154" s="259">
        <f t="shared" si="110"/>
        <v>0</v>
      </c>
      <c r="AF154" s="259">
        <f t="shared" si="110"/>
        <v>0</v>
      </c>
      <c r="AG154" s="259">
        <f t="shared" si="110"/>
        <v>0</v>
      </c>
      <c r="AH154" s="259">
        <f t="shared" si="110"/>
        <v>0</v>
      </c>
      <c r="AI154" s="3"/>
    </row>
    <row r="155" spans="1:48" x14ac:dyDescent="0.2">
      <c r="A155" s="94"/>
      <c r="B155" s="259">
        <f t="shared" ref="B155:O155" si="111">$C34*B95</f>
        <v>0</v>
      </c>
      <c r="C155" s="259">
        <f t="shared" si="111"/>
        <v>0</v>
      </c>
      <c r="D155" s="259">
        <f t="shared" si="111"/>
        <v>0</v>
      </c>
      <c r="E155" s="259">
        <f t="shared" si="111"/>
        <v>0</v>
      </c>
      <c r="F155" s="259">
        <f t="shared" si="111"/>
        <v>0</v>
      </c>
      <c r="G155" s="259">
        <f t="shared" si="111"/>
        <v>0</v>
      </c>
      <c r="H155" s="259">
        <f t="shared" si="111"/>
        <v>0</v>
      </c>
      <c r="I155" s="259">
        <f t="shared" si="111"/>
        <v>0</v>
      </c>
      <c r="J155" s="259">
        <f t="shared" si="111"/>
        <v>0</v>
      </c>
      <c r="K155" s="259">
        <f t="shared" si="111"/>
        <v>0</v>
      </c>
      <c r="L155" s="259">
        <f t="shared" si="111"/>
        <v>0</v>
      </c>
      <c r="M155" s="259">
        <f t="shared" si="111"/>
        <v>0</v>
      </c>
      <c r="N155" s="259">
        <f t="shared" si="111"/>
        <v>0</v>
      </c>
      <c r="O155" s="259">
        <f t="shared" si="111"/>
        <v>0</v>
      </c>
      <c r="P155" s="259">
        <f t="shared" si="106"/>
        <v>0</v>
      </c>
      <c r="S155" s="94">
        <f t="shared" si="72"/>
        <v>0</v>
      </c>
      <c r="T155" s="259">
        <f t="shared" si="110"/>
        <v>0</v>
      </c>
      <c r="U155" s="259">
        <f t="shared" si="110"/>
        <v>0</v>
      </c>
      <c r="V155" s="259">
        <f t="shared" si="110"/>
        <v>0</v>
      </c>
      <c r="W155" s="259">
        <f t="shared" si="110"/>
        <v>0</v>
      </c>
      <c r="X155" s="259">
        <f t="shared" si="110"/>
        <v>0</v>
      </c>
      <c r="Y155" s="259">
        <f t="shared" si="110"/>
        <v>0</v>
      </c>
      <c r="Z155" s="259">
        <f t="shared" si="110"/>
        <v>0</v>
      </c>
      <c r="AA155" s="259">
        <f t="shared" si="110"/>
        <v>0</v>
      </c>
      <c r="AB155" s="259">
        <f t="shared" si="110"/>
        <v>0</v>
      </c>
      <c r="AC155" s="259">
        <f t="shared" si="110"/>
        <v>0</v>
      </c>
      <c r="AD155" s="259">
        <f t="shared" si="110"/>
        <v>0</v>
      </c>
      <c r="AE155" s="259">
        <f t="shared" si="110"/>
        <v>0</v>
      </c>
      <c r="AF155" s="259">
        <f t="shared" si="110"/>
        <v>0</v>
      </c>
      <c r="AG155" s="259">
        <f t="shared" si="110"/>
        <v>0</v>
      </c>
      <c r="AH155" s="259">
        <f t="shared" si="110"/>
        <v>0</v>
      </c>
      <c r="AI155" s="3"/>
    </row>
    <row r="156" spans="1:48" x14ac:dyDescent="0.2">
      <c r="A156" s="94"/>
      <c r="B156" s="259">
        <f t="shared" ref="B156:O156" si="112">$C35*B96</f>
        <v>0</v>
      </c>
      <c r="C156" s="259">
        <f t="shared" si="112"/>
        <v>0</v>
      </c>
      <c r="D156" s="259">
        <f t="shared" si="112"/>
        <v>0</v>
      </c>
      <c r="E156" s="259">
        <f t="shared" si="112"/>
        <v>0</v>
      </c>
      <c r="F156" s="259">
        <f t="shared" si="112"/>
        <v>0</v>
      </c>
      <c r="G156" s="259">
        <f t="shared" si="112"/>
        <v>0</v>
      </c>
      <c r="H156" s="259">
        <f t="shared" si="112"/>
        <v>0</v>
      </c>
      <c r="I156" s="259">
        <f t="shared" si="112"/>
        <v>0</v>
      </c>
      <c r="J156" s="259">
        <f t="shared" si="112"/>
        <v>0</v>
      </c>
      <c r="K156" s="259">
        <f t="shared" si="112"/>
        <v>0</v>
      </c>
      <c r="L156" s="259">
        <f t="shared" si="112"/>
        <v>0</v>
      </c>
      <c r="M156" s="259">
        <f t="shared" si="112"/>
        <v>0</v>
      </c>
      <c r="N156" s="259">
        <f t="shared" si="112"/>
        <v>0</v>
      </c>
      <c r="O156" s="259">
        <f t="shared" si="112"/>
        <v>0</v>
      </c>
      <c r="P156" s="259">
        <f t="shared" si="106"/>
        <v>0</v>
      </c>
      <c r="S156" s="94">
        <f t="shared" si="72"/>
        <v>0</v>
      </c>
      <c r="T156" s="259">
        <f t="shared" si="110"/>
        <v>0</v>
      </c>
      <c r="U156" s="259">
        <f t="shared" si="110"/>
        <v>0</v>
      </c>
      <c r="V156" s="259">
        <f t="shared" si="110"/>
        <v>0</v>
      </c>
      <c r="W156" s="259">
        <f t="shared" si="110"/>
        <v>0</v>
      </c>
      <c r="X156" s="259">
        <f t="shared" si="110"/>
        <v>0</v>
      </c>
      <c r="Y156" s="259">
        <f t="shared" si="110"/>
        <v>0</v>
      </c>
      <c r="Z156" s="259">
        <f t="shared" si="110"/>
        <v>0</v>
      </c>
      <c r="AA156" s="259">
        <f t="shared" si="110"/>
        <v>0</v>
      </c>
      <c r="AB156" s="259">
        <f t="shared" si="110"/>
        <v>0</v>
      </c>
      <c r="AC156" s="259">
        <f t="shared" si="110"/>
        <v>0</v>
      </c>
      <c r="AD156" s="259">
        <f t="shared" si="110"/>
        <v>0</v>
      </c>
      <c r="AE156" s="259">
        <f t="shared" si="110"/>
        <v>0</v>
      </c>
      <c r="AF156" s="259">
        <f t="shared" si="110"/>
        <v>0</v>
      </c>
      <c r="AG156" s="259">
        <f t="shared" si="110"/>
        <v>0</v>
      </c>
      <c r="AH156" s="259">
        <f t="shared" si="110"/>
        <v>0</v>
      </c>
      <c r="AI156" s="3"/>
    </row>
    <row r="157" spans="1:48" x14ac:dyDescent="0.2">
      <c r="A157" s="94"/>
      <c r="B157" s="259">
        <f t="shared" ref="B157:O157" si="113">$C36*B97</f>
        <v>0</v>
      </c>
      <c r="C157" s="259">
        <f t="shared" si="113"/>
        <v>0</v>
      </c>
      <c r="D157" s="259">
        <f t="shared" si="113"/>
        <v>0</v>
      </c>
      <c r="E157" s="259">
        <f t="shared" si="113"/>
        <v>0</v>
      </c>
      <c r="F157" s="259">
        <f t="shared" si="113"/>
        <v>0</v>
      </c>
      <c r="G157" s="259">
        <f t="shared" si="113"/>
        <v>0</v>
      </c>
      <c r="H157" s="259">
        <f t="shared" si="113"/>
        <v>0</v>
      </c>
      <c r="I157" s="259">
        <f t="shared" si="113"/>
        <v>0</v>
      </c>
      <c r="J157" s="259">
        <f t="shared" si="113"/>
        <v>0</v>
      </c>
      <c r="K157" s="259">
        <f t="shared" si="113"/>
        <v>0</v>
      </c>
      <c r="L157" s="259">
        <f t="shared" si="113"/>
        <v>0</v>
      </c>
      <c r="M157" s="259">
        <f t="shared" si="113"/>
        <v>0</v>
      </c>
      <c r="N157" s="259">
        <f t="shared" si="113"/>
        <v>0</v>
      </c>
      <c r="O157" s="259">
        <f t="shared" si="113"/>
        <v>0</v>
      </c>
      <c r="P157" s="259">
        <f t="shared" si="106"/>
        <v>0</v>
      </c>
      <c r="S157" s="94">
        <f t="shared" si="72"/>
        <v>0</v>
      </c>
      <c r="T157" s="259">
        <f t="shared" si="110"/>
        <v>0</v>
      </c>
      <c r="U157" s="259">
        <f t="shared" si="110"/>
        <v>0</v>
      </c>
      <c r="V157" s="259">
        <f t="shared" si="110"/>
        <v>0</v>
      </c>
      <c r="W157" s="259">
        <f t="shared" si="110"/>
        <v>0</v>
      </c>
      <c r="X157" s="259">
        <f t="shared" si="110"/>
        <v>0</v>
      </c>
      <c r="Y157" s="259">
        <f t="shared" si="110"/>
        <v>0</v>
      </c>
      <c r="Z157" s="259">
        <f t="shared" si="110"/>
        <v>0</v>
      </c>
      <c r="AA157" s="259">
        <f t="shared" si="110"/>
        <v>0</v>
      </c>
      <c r="AB157" s="259">
        <f t="shared" si="110"/>
        <v>0</v>
      </c>
      <c r="AC157" s="259">
        <f t="shared" si="110"/>
        <v>0</v>
      </c>
      <c r="AD157" s="259">
        <f t="shared" si="110"/>
        <v>0</v>
      </c>
      <c r="AE157" s="259">
        <f t="shared" si="110"/>
        <v>0</v>
      </c>
      <c r="AF157" s="259">
        <f t="shared" si="110"/>
        <v>0</v>
      </c>
      <c r="AG157" s="259">
        <f t="shared" si="110"/>
        <v>0</v>
      </c>
      <c r="AH157" s="259">
        <f t="shared" si="110"/>
        <v>0</v>
      </c>
      <c r="AI157" s="3"/>
    </row>
    <row r="158" spans="1:48" s="3" customFormat="1" ht="20.45" customHeight="1" x14ac:dyDescent="0.2">
      <c r="A158" s="251" t="s">
        <v>94</v>
      </c>
      <c r="B158" s="259">
        <f t="shared" ref="B158:P158" si="114">SUM(B135:B157)</f>
        <v>0</v>
      </c>
      <c r="C158" s="259">
        <f t="shared" si="114"/>
        <v>0</v>
      </c>
      <c r="D158" s="259">
        <f t="shared" si="114"/>
        <v>0</v>
      </c>
      <c r="E158" s="259">
        <f t="shared" si="114"/>
        <v>0</v>
      </c>
      <c r="F158" s="259">
        <f t="shared" si="114"/>
        <v>0</v>
      </c>
      <c r="G158" s="259">
        <f t="shared" si="114"/>
        <v>0</v>
      </c>
      <c r="H158" s="259">
        <f t="shared" si="114"/>
        <v>0</v>
      </c>
      <c r="I158" s="259">
        <f t="shared" si="114"/>
        <v>0</v>
      </c>
      <c r="J158" s="259">
        <f t="shared" si="114"/>
        <v>0</v>
      </c>
      <c r="K158" s="259">
        <f t="shared" si="114"/>
        <v>0</v>
      </c>
      <c r="L158" s="259">
        <f t="shared" si="114"/>
        <v>0</v>
      </c>
      <c r="M158" s="259">
        <f t="shared" si="114"/>
        <v>0</v>
      </c>
      <c r="N158" s="259">
        <f t="shared" si="114"/>
        <v>0</v>
      </c>
      <c r="O158" s="259">
        <f t="shared" si="114"/>
        <v>0</v>
      </c>
      <c r="P158" s="259">
        <f t="shared" si="114"/>
        <v>0</v>
      </c>
      <c r="S158" s="251" t="s">
        <v>94</v>
      </c>
      <c r="T158" s="259">
        <f t="shared" ref="T158:AH158" si="115">SUM(T135:T157)</f>
        <v>0</v>
      </c>
      <c r="U158" s="259">
        <f t="shared" si="115"/>
        <v>0</v>
      </c>
      <c r="V158" s="259">
        <f t="shared" si="115"/>
        <v>0</v>
      </c>
      <c r="W158" s="259">
        <f t="shared" si="115"/>
        <v>0</v>
      </c>
      <c r="X158" s="259">
        <f t="shared" si="115"/>
        <v>0</v>
      </c>
      <c r="Y158" s="259">
        <f t="shared" si="115"/>
        <v>0</v>
      </c>
      <c r="Z158" s="259">
        <f t="shared" si="115"/>
        <v>0</v>
      </c>
      <c r="AA158" s="259">
        <f t="shared" si="115"/>
        <v>0</v>
      </c>
      <c r="AB158" s="259">
        <f t="shared" si="115"/>
        <v>0</v>
      </c>
      <c r="AC158" s="259">
        <f t="shared" si="115"/>
        <v>0</v>
      </c>
      <c r="AD158" s="259">
        <f t="shared" si="115"/>
        <v>0</v>
      </c>
      <c r="AE158" s="259">
        <f t="shared" si="115"/>
        <v>0</v>
      </c>
      <c r="AF158" s="259">
        <f t="shared" si="115"/>
        <v>0</v>
      </c>
      <c r="AG158" s="259">
        <f t="shared" si="115"/>
        <v>0</v>
      </c>
      <c r="AH158" s="259">
        <f t="shared" si="115"/>
        <v>0</v>
      </c>
      <c r="AK158"/>
      <c r="AL158"/>
      <c r="AM158"/>
      <c r="AN158"/>
      <c r="AO158"/>
      <c r="AP158"/>
      <c r="AQ158"/>
      <c r="AR158"/>
      <c r="AS158"/>
      <c r="AT158"/>
      <c r="AU158"/>
      <c r="AV158"/>
    </row>
    <row r="159" spans="1:48" ht="23.45" customHeight="1" x14ac:dyDescent="0.2">
      <c r="AE159" s="256"/>
      <c r="AF159" s="257"/>
      <c r="AG159" s="258"/>
      <c r="AH159" s="255"/>
    </row>
    <row r="160" spans="1:48" x14ac:dyDescent="0.2">
      <c r="A160" s="21" t="s">
        <v>101</v>
      </c>
      <c r="Q160" s="188"/>
      <c r="R160" s="188"/>
      <c r="S160" s="18" t="s">
        <v>548</v>
      </c>
      <c r="AI160" s="188"/>
    </row>
    <row r="161" spans="1:35" x14ac:dyDescent="0.2">
      <c r="A161" s="450" t="s">
        <v>75</v>
      </c>
      <c r="B161" s="75" t="s">
        <v>89</v>
      </c>
      <c r="C161" s="75" t="s">
        <v>90</v>
      </c>
      <c r="D161" s="75" t="s">
        <v>91</v>
      </c>
      <c r="E161" s="75" t="s">
        <v>239</v>
      </c>
      <c r="F161" s="75" t="s">
        <v>240</v>
      </c>
      <c r="G161" s="75" t="s">
        <v>241</v>
      </c>
      <c r="H161" s="75" t="s">
        <v>242</v>
      </c>
      <c r="I161" s="75" t="s">
        <v>243</v>
      </c>
      <c r="J161" s="75" t="s">
        <v>92</v>
      </c>
      <c r="K161" s="75" t="s">
        <v>244</v>
      </c>
      <c r="L161" s="75" t="s">
        <v>429</v>
      </c>
      <c r="M161" s="75" t="s">
        <v>430</v>
      </c>
      <c r="N161" s="75" t="s">
        <v>431</v>
      </c>
      <c r="O161" s="75" t="s">
        <v>432</v>
      </c>
      <c r="P161" s="75" t="s">
        <v>94</v>
      </c>
      <c r="Q161" s="188"/>
      <c r="R161" s="188"/>
      <c r="S161" s="450" t="s">
        <v>75</v>
      </c>
      <c r="T161" s="75" t="s">
        <v>89</v>
      </c>
      <c r="U161" s="75" t="s">
        <v>90</v>
      </c>
      <c r="V161" s="75" t="s">
        <v>91</v>
      </c>
      <c r="W161" s="75" t="s">
        <v>239</v>
      </c>
      <c r="X161" s="75" t="s">
        <v>240</v>
      </c>
      <c r="Y161" s="75" t="s">
        <v>241</v>
      </c>
      <c r="Z161" s="75" t="s">
        <v>242</v>
      </c>
      <c r="AA161" s="75" t="s">
        <v>243</v>
      </c>
      <c r="AB161" s="75" t="s">
        <v>92</v>
      </c>
      <c r="AC161" s="75" t="s">
        <v>244</v>
      </c>
      <c r="AD161" s="75" t="s">
        <v>429</v>
      </c>
      <c r="AE161" s="75" t="s">
        <v>430</v>
      </c>
      <c r="AF161" s="75" t="s">
        <v>431</v>
      </c>
      <c r="AG161" s="75" t="s">
        <v>432</v>
      </c>
      <c r="AH161" s="75" t="s">
        <v>94</v>
      </c>
      <c r="AI161" s="188"/>
    </row>
    <row r="162" spans="1:35" x14ac:dyDescent="0.2">
      <c r="A162" s="451"/>
      <c r="B162" s="76" t="str">
        <f t="shared" ref="B162:O162" si="116">B133</f>
        <v>Watershed 1</v>
      </c>
      <c r="C162" s="76" t="str">
        <f t="shared" si="116"/>
        <v>Watershed 2</v>
      </c>
      <c r="D162" s="76" t="str">
        <f t="shared" si="116"/>
        <v>Watershed 3</v>
      </c>
      <c r="E162" s="76" t="str">
        <f t="shared" si="116"/>
        <v>Watershed 4</v>
      </c>
      <c r="F162" s="76" t="str">
        <f t="shared" si="116"/>
        <v>Watershed 5</v>
      </c>
      <c r="G162" s="76" t="str">
        <f t="shared" si="116"/>
        <v>Watershed 6</v>
      </c>
      <c r="H162" s="76" t="str">
        <f t="shared" si="116"/>
        <v>Watershed 7</v>
      </c>
      <c r="I162" s="76" t="str">
        <f t="shared" si="116"/>
        <v>Watershed 8</v>
      </c>
      <c r="J162" s="76" t="str">
        <f t="shared" si="116"/>
        <v>Watershed 9</v>
      </c>
      <c r="K162" s="76" t="str">
        <f t="shared" si="116"/>
        <v>Watershed 10</v>
      </c>
      <c r="L162" s="76" t="str">
        <f t="shared" si="116"/>
        <v>Watershed 11</v>
      </c>
      <c r="M162" s="76" t="str">
        <f t="shared" si="116"/>
        <v>Watershed 12</v>
      </c>
      <c r="N162" s="76" t="str">
        <f t="shared" si="116"/>
        <v>Watershed 13</v>
      </c>
      <c r="O162" s="76" t="str">
        <f t="shared" si="116"/>
        <v>Watershed 14</v>
      </c>
      <c r="P162" s="76"/>
      <c r="Q162" s="188"/>
      <c r="R162" s="188"/>
      <c r="S162" s="451"/>
      <c r="T162" s="76">
        <f t="shared" ref="T162:AG162" si="117">T133</f>
        <v>0</v>
      </c>
      <c r="U162" s="76">
        <f t="shared" si="117"/>
        <v>0</v>
      </c>
      <c r="V162" s="76">
        <f t="shared" si="117"/>
        <v>0</v>
      </c>
      <c r="W162" s="76">
        <f t="shared" si="117"/>
        <v>0</v>
      </c>
      <c r="X162" s="76">
        <f t="shared" si="117"/>
        <v>0</v>
      </c>
      <c r="Y162" s="76">
        <f t="shared" si="117"/>
        <v>0</v>
      </c>
      <c r="Z162" s="76">
        <f t="shared" si="117"/>
        <v>0</v>
      </c>
      <c r="AA162" s="76">
        <f t="shared" si="117"/>
        <v>0</v>
      </c>
      <c r="AB162" s="76">
        <f t="shared" si="117"/>
        <v>0</v>
      </c>
      <c r="AC162" s="76">
        <f t="shared" si="117"/>
        <v>0</v>
      </c>
      <c r="AD162" s="76">
        <f t="shared" si="117"/>
        <v>0</v>
      </c>
      <c r="AE162" s="76">
        <f t="shared" si="117"/>
        <v>0</v>
      </c>
      <c r="AF162" s="76">
        <f t="shared" si="117"/>
        <v>0</v>
      </c>
      <c r="AG162" s="76">
        <f t="shared" si="117"/>
        <v>0</v>
      </c>
      <c r="AH162" s="76"/>
      <c r="AI162" s="188"/>
    </row>
    <row r="163" spans="1:35" x14ac:dyDescent="0.2">
      <c r="A163" s="452"/>
      <c r="B163" s="77" t="s">
        <v>100</v>
      </c>
      <c r="C163" s="77" t="s">
        <v>100</v>
      </c>
      <c r="D163" s="77" t="s">
        <v>100</v>
      </c>
      <c r="E163" s="77" t="s">
        <v>100</v>
      </c>
      <c r="F163" s="77" t="s">
        <v>100</v>
      </c>
      <c r="G163" s="77" t="s">
        <v>100</v>
      </c>
      <c r="H163" s="77" t="s">
        <v>100</v>
      </c>
      <c r="I163" s="77" t="s">
        <v>100</v>
      </c>
      <c r="J163" s="77" t="s">
        <v>100</v>
      </c>
      <c r="K163" s="77" t="s">
        <v>100</v>
      </c>
      <c r="L163" s="77" t="s">
        <v>100</v>
      </c>
      <c r="M163" s="77" t="s">
        <v>100</v>
      </c>
      <c r="N163" s="77" t="s">
        <v>100</v>
      </c>
      <c r="O163" s="77" t="s">
        <v>100</v>
      </c>
      <c r="P163" s="77" t="s">
        <v>100</v>
      </c>
      <c r="Q163" s="188"/>
      <c r="R163" s="188"/>
      <c r="S163" s="452"/>
      <c r="T163" s="77" t="s">
        <v>100</v>
      </c>
      <c r="U163" s="77" t="s">
        <v>100</v>
      </c>
      <c r="V163" s="77" t="s">
        <v>100</v>
      </c>
      <c r="W163" s="77" t="s">
        <v>100</v>
      </c>
      <c r="X163" s="77" t="s">
        <v>100</v>
      </c>
      <c r="Y163" s="77" t="s">
        <v>100</v>
      </c>
      <c r="Z163" s="77" t="s">
        <v>100</v>
      </c>
      <c r="AA163" s="77" t="s">
        <v>100</v>
      </c>
      <c r="AB163" s="77" t="s">
        <v>100</v>
      </c>
      <c r="AC163" s="77" t="s">
        <v>100</v>
      </c>
      <c r="AD163" s="77" t="s">
        <v>100</v>
      </c>
      <c r="AE163" s="77" t="s">
        <v>100</v>
      </c>
      <c r="AF163" s="77" t="s">
        <v>100</v>
      </c>
      <c r="AG163" s="77" t="s">
        <v>100</v>
      </c>
      <c r="AH163" s="77" t="s">
        <v>100</v>
      </c>
      <c r="AI163" s="188"/>
    </row>
    <row r="164" spans="1:35" s="2" customFormat="1" x14ac:dyDescent="0.2">
      <c r="A164" s="94" t="str">
        <f t="shared" ref="A164:A183" si="118">A14</f>
        <v>Cropland</v>
      </c>
      <c r="B164" s="201">
        <f t="shared" ref="B164:O164" si="119">$F14*B74</f>
        <v>0</v>
      </c>
      <c r="C164" s="201">
        <f t="shared" si="119"/>
        <v>0</v>
      </c>
      <c r="D164" s="201">
        <f t="shared" si="119"/>
        <v>0</v>
      </c>
      <c r="E164" s="201">
        <f t="shared" si="119"/>
        <v>0</v>
      </c>
      <c r="F164" s="201">
        <f t="shared" si="119"/>
        <v>0</v>
      </c>
      <c r="G164" s="201">
        <f t="shared" si="119"/>
        <v>0</v>
      </c>
      <c r="H164" s="201">
        <f t="shared" si="119"/>
        <v>0</v>
      </c>
      <c r="I164" s="201">
        <f t="shared" si="119"/>
        <v>0</v>
      </c>
      <c r="J164" s="201">
        <f t="shared" si="119"/>
        <v>0</v>
      </c>
      <c r="K164" s="201">
        <f t="shared" si="119"/>
        <v>0</v>
      </c>
      <c r="L164" s="201">
        <f t="shared" si="119"/>
        <v>0</v>
      </c>
      <c r="M164" s="201">
        <f t="shared" si="119"/>
        <v>0</v>
      </c>
      <c r="N164" s="201">
        <f t="shared" si="119"/>
        <v>0</v>
      </c>
      <c r="O164" s="201">
        <f t="shared" si="119"/>
        <v>0</v>
      </c>
      <c r="P164" s="201">
        <f>SUM(B164:O164)</f>
        <v>0</v>
      </c>
      <c r="Q164" s="269"/>
      <c r="R164" s="269"/>
      <c r="S164" s="94" t="str">
        <f t="shared" ref="S164:S183" si="120">A14</f>
        <v>Cropland</v>
      </c>
      <c r="T164" s="259">
        <f t="shared" ref="T164:T182" si="121">$G14*B74</f>
        <v>0</v>
      </c>
      <c r="U164" s="259">
        <f t="shared" ref="U164:U182" si="122">$G14*C74</f>
        <v>0</v>
      </c>
      <c r="V164" s="259">
        <f t="shared" ref="V164:V182" si="123">$G14*D74</f>
        <v>0</v>
      </c>
      <c r="W164" s="259">
        <f t="shared" ref="W164:W182" si="124">$G14*E74</f>
        <v>0</v>
      </c>
      <c r="X164" s="259">
        <f t="shared" ref="X164:X182" si="125">$G14*F74</f>
        <v>0</v>
      </c>
      <c r="Y164" s="259">
        <f t="shared" ref="Y164:Y182" si="126">$G14*G74</f>
        <v>0</v>
      </c>
      <c r="Z164" s="259">
        <f t="shared" ref="Z164:Z182" si="127">$G14*H74</f>
        <v>0</v>
      </c>
      <c r="AA164" s="259">
        <f t="shared" ref="AA164:AA182" si="128">$G14*I74</f>
        <v>0</v>
      </c>
      <c r="AB164" s="259">
        <f t="shared" ref="AB164:AB182" si="129">$G14*J74</f>
        <v>0</v>
      </c>
      <c r="AC164" s="259">
        <f t="shared" ref="AC164:AC182" si="130">$G14*K74</f>
        <v>0</v>
      </c>
      <c r="AD164" s="259">
        <f t="shared" ref="AD164:AD182" si="131">$G14*L74</f>
        <v>0</v>
      </c>
      <c r="AE164" s="259">
        <f t="shared" ref="AE164:AE182" si="132">$G14*M74</f>
        <v>0</v>
      </c>
      <c r="AF164" s="259">
        <f t="shared" ref="AF164:AF182" si="133">$G14*N74</f>
        <v>0</v>
      </c>
      <c r="AG164" s="259">
        <f t="shared" ref="AG164:AG182" si="134">$G14*O74</f>
        <v>0</v>
      </c>
      <c r="AH164" s="259">
        <f t="shared" ref="AH164:AH182" si="135">$G14*P74</f>
        <v>0</v>
      </c>
      <c r="AI164" s="269"/>
    </row>
    <row r="165" spans="1:35" s="2" customFormat="1" x14ac:dyDescent="0.2">
      <c r="A165" s="94" t="str">
        <f t="shared" si="118"/>
        <v>Pasture</v>
      </c>
      <c r="B165" s="201">
        <f t="shared" ref="B165:O165" si="136">$F15*B75</f>
        <v>0</v>
      </c>
      <c r="C165" s="201">
        <f t="shared" si="136"/>
        <v>0</v>
      </c>
      <c r="D165" s="201">
        <f t="shared" si="136"/>
        <v>0</v>
      </c>
      <c r="E165" s="201">
        <f t="shared" si="136"/>
        <v>0</v>
      </c>
      <c r="F165" s="201">
        <f t="shared" si="136"/>
        <v>0</v>
      </c>
      <c r="G165" s="201">
        <f t="shared" si="136"/>
        <v>0</v>
      </c>
      <c r="H165" s="201">
        <f t="shared" si="136"/>
        <v>0</v>
      </c>
      <c r="I165" s="201">
        <f t="shared" si="136"/>
        <v>0</v>
      </c>
      <c r="J165" s="201">
        <f t="shared" si="136"/>
        <v>0</v>
      </c>
      <c r="K165" s="201">
        <f t="shared" si="136"/>
        <v>0</v>
      </c>
      <c r="L165" s="201">
        <f t="shared" si="136"/>
        <v>0</v>
      </c>
      <c r="M165" s="201">
        <f t="shared" si="136"/>
        <v>0</v>
      </c>
      <c r="N165" s="201">
        <f t="shared" si="136"/>
        <v>0</v>
      </c>
      <c r="O165" s="201">
        <f t="shared" si="136"/>
        <v>0</v>
      </c>
      <c r="P165" s="201">
        <f t="shared" ref="P165:P179" si="137">SUM(B165:O165)</f>
        <v>0</v>
      </c>
      <c r="Q165" s="269"/>
      <c r="R165" s="269"/>
      <c r="S165" s="94" t="str">
        <f t="shared" si="120"/>
        <v>Pasture</v>
      </c>
      <c r="T165" s="259">
        <f t="shared" si="121"/>
        <v>0</v>
      </c>
      <c r="U165" s="259">
        <f t="shared" si="122"/>
        <v>0</v>
      </c>
      <c r="V165" s="259">
        <f t="shared" si="123"/>
        <v>0</v>
      </c>
      <c r="W165" s="259">
        <f t="shared" si="124"/>
        <v>0</v>
      </c>
      <c r="X165" s="259">
        <f t="shared" si="125"/>
        <v>0</v>
      </c>
      <c r="Y165" s="259">
        <f t="shared" si="126"/>
        <v>0</v>
      </c>
      <c r="Z165" s="259">
        <f t="shared" si="127"/>
        <v>0</v>
      </c>
      <c r="AA165" s="259">
        <f t="shared" si="128"/>
        <v>0</v>
      </c>
      <c r="AB165" s="259">
        <f t="shared" si="129"/>
        <v>0</v>
      </c>
      <c r="AC165" s="259">
        <f t="shared" si="130"/>
        <v>0</v>
      </c>
      <c r="AD165" s="259">
        <f t="shared" si="131"/>
        <v>0</v>
      </c>
      <c r="AE165" s="259">
        <f t="shared" si="132"/>
        <v>0</v>
      </c>
      <c r="AF165" s="259">
        <f t="shared" si="133"/>
        <v>0</v>
      </c>
      <c r="AG165" s="259">
        <f t="shared" si="134"/>
        <v>0</v>
      </c>
      <c r="AH165" s="259">
        <f t="shared" si="135"/>
        <v>0</v>
      </c>
      <c r="AI165" s="269"/>
    </row>
    <row r="166" spans="1:35" s="2" customFormat="1" x14ac:dyDescent="0.2">
      <c r="A166" s="94" t="str">
        <f t="shared" si="118"/>
        <v>Forest</v>
      </c>
      <c r="B166" s="201">
        <f t="shared" ref="B166:O166" si="138">$F16*B76</f>
        <v>0</v>
      </c>
      <c r="C166" s="201">
        <f t="shared" si="138"/>
        <v>0</v>
      </c>
      <c r="D166" s="201">
        <f t="shared" si="138"/>
        <v>0</v>
      </c>
      <c r="E166" s="201">
        <f t="shared" si="138"/>
        <v>0</v>
      </c>
      <c r="F166" s="201">
        <f t="shared" si="138"/>
        <v>0</v>
      </c>
      <c r="G166" s="201">
        <f t="shared" si="138"/>
        <v>0</v>
      </c>
      <c r="H166" s="201">
        <f t="shared" si="138"/>
        <v>0</v>
      </c>
      <c r="I166" s="201">
        <f t="shared" si="138"/>
        <v>0</v>
      </c>
      <c r="J166" s="201">
        <f t="shared" si="138"/>
        <v>0</v>
      </c>
      <c r="K166" s="201">
        <f t="shared" si="138"/>
        <v>0</v>
      </c>
      <c r="L166" s="201">
        <f t="shared" si="138"/>
        <v>0</v>
      </c>
      <c r="M166" s="201">
        <f t="shared" si="138"/>
        <v>0</v>
      </c>
      <c r="N166" s="201">
        <f t="shared" si="138"/>
        <v>0</v>
      </c>
      <c r="O166" s="201">
        <f t="shared" si="138"/>
        <v>0</v>
      </c>
      <c r="P166" s="201">
        <f t="shared" si="137"/>
        <v>0</v>
      </c>
      <c r="Q166" s="269"/>
      <c r="R166" s="269"/>
      <c r="S166" s="94" t="str">
        <f t="shared" si="120"/>
        <v>Forest</v>
      </c>
      <c r="T166" s="259">
        <f t="shared" si="121"/>
        <v>0</v>
      </c>
      <c r="U166" s="259">
        <f t="shared" si="122"/>
        <v>0</v>
      </c>
      <c r="V166" s="259">
        <f t="shared" si="123"/>
        <v>0</v>
      </c>
      <c r="W166" s="259">
        <f t="shared" si="124"/>
        <v>0</v>
      </c>
      <c r="X166" s="259">
        <f t="shared" si="125"/>
        <v>0</v>
      </c>
      <c r="Y166" s="259">
        <f t="shared" si="126"/>
        <v>0</v>
      </c>
      <c r="Z166" s="259">
        <f t="shared" si="127"/>
        <v>0</v>
      </c>
      <c r="AA166" s="259">
        <f t="shared" si="128"/>
        <v>0</v>
      </c>
      <c r="AB166" s="259">
        <f t="shared" si="129"/>
        <v>0</v>
      </c>
      <c r="AC166" s="259">
        <f t="shared" si="130"/>
        <v>0</v>
      </c>
      <c r="AD166" s="259">
        <f t="shared" si="131"/>
        <v>0</v>
      </c>
      <c r="AE166" s="259">
        <f t="shared" si="132"/>
        <v>0</v>
      </c>
      <c r="AF166" s="259">
        <f t="shared" si="133"/>
        <v>0</v>
      </c>
      <c r="AG166" s="259">
        <f t="shared" si="134"/>
        <v>0</v>
      </c>
      <c r="AH166" s="259">
        <f t="shared" si="135"/>
        <v>0</v>
      </c>
      <c r="AI166" s="269"/>
    </row>
    <row r="167" spans="1:35" s="2" customFormat="1" x14ac:dyDescent="0.2">
      <c r="A167" s="94" t="str">
        <f t="shared" si="118"/>
        <v>Non-Forested Wetland</v>
      </c>
      <c r="B167" s="201">
        <f t="shared" ref="B167:O167" si="139">$F17*B77</f>
        <v>0</v>
      </c>
      <c r="C167" s="201">
        <f t="shared" si="139"/>
        <v>0</v>
      </c>
      <c r="D167" s="201">
        <f t="shared" si="139"/>
        <v>0</v>
      </c>
      <c r="E167" s="201">
        <f t="shared" si="139"/>
        <v>0</v>
      </c>
      <c r="F167" s="201">
        <f t="shared" si="139"/>
        <v>0</v>
      </c>
      <c r="G167" s="201">
        <f t="shared" si="139"/>
        <v>0</v>
      </c>
      <c r="H167" s="201">
        <f t="shared" si="139"/>
        <v>0</v>
      </c>
      <c r="I167" s="201">
        <f t="shared" si="139"/>
        <v>0</v>
      </c>
      <c r="J167" s="201">
        <f t="shared" si="139"/>
        <v>0</v>
      </c>
      <c r="K167" s="201">
        <f t="shared" si="139"/>
        <v>0</v>
      </c>
      <c r="L167" s="201">
        <f t="shared" si="139"/>
        <v>0</v>
      </c>
      <c r="M167" s="201">
        <f t="shared" si="139"/>
        <v>0</v>
      </c>
      <c r="N167" s="201">
        <f t="shared" si="139"/>
        <v>0</v>
      </c>
      <c r="O167" s="201">
        <f t="shared" si="139"/>
        <v>0</v>
      </c>
      <c r="P167" s="201">
        <f t="shared" si="137"/>
        <v>0</v>
      </c>
      <c r="Q167" s="269"/>
      <c r="R167" s="269"/>
      <c r="S167" s="94" t="str">
        <f t="shared" si="120"/>
        <v>Non-Forested Wetland</v>
      </c>
      <c r="T167" s="259">
        <f t="shared" si="121"/>
        <v>0</v>
      </c>
      <c r="U167" s="259">
        <f t="shared" si="122"/>
        <v>0</v>
      </c>
      <c r="V167" s="259">
        <f t="shared" si="123"/>
        <v>0</v>
      </c>
      <c r="W167" s="259">
        <f t="shared" si="124"/>
        <v>0</v>
      </c>
      <c r="X167" s="259">
        <f t="shared" si="125"/>
        <v>0</v>
      </c>
      <c r="Y167" s="259">
        <f t="shared" si="126"/>
        <v>0</v>
      </c>
      <c r="Z167" s="259">
        <f t="shared" si="127"/>
        <v>0</v>
      </c>
      <c r="AA167" s="259">
        <f t="shared" si="128"/>
        <v>0</v>
      </c>
      <c r="AB167" s="259">
        <f t="shared" si="129"/>
        <v>0</v>
      </c>
      <c r="AC167" s="259">
        <f t="shared" si="130"/>
        <v>0</v>
      </c>
      <c r="AD167" s="259">
        <f t="shared" si="131"/>
        <v>0</v>
      </c>
      <c r="AE167" s="259">
        <f t="shared" si="132"/>
        <v>0</v>
      </c>
      <c r="AF167" s="259">
        <f t="shared" si="133"/>
        <v>0</v>
      </c>
      <c r="AG167" s="259">
        <f t="shared" si="134"/>
        <v>0</v>
      </c>
      <c r="AH167" s="259">
        <f t="shared" si="135"/>
        <v>0</v>
      </c>
      <c r="AI167" s="269"/>
    </row>
    <row r="168" spans="1:35" s="2" customFormat="1" x14ac:dyDescent="0.2">
      <c r="A168" s="94" t="str">
        <f t="shared" si="118"/>
        <v>Open Land</v>
      </c>
      <c r="B168" s="201">
        <f t="shared" ref="B168:O168" si="140">$F18*B78</f>
        <v>0</v>
      </c>
      <c r="C168" s="201">
        <f t="shared" si="140"/>
        <v>0</v>
      </c>
      <c r="D168" s="201">
        <f t="shared" si="140"/>
        <v>0</v>
      </c>
      <c r="E168" s="201">
        <f t="shared" si="140"/>
        <v>0</v>
      </c>
      <c r="F168" s="201">
        <f t="shared" si="140"/>
        <v>0</v>
      </c>
      <c r="G168" s="201">
        <f t="shared" si="140"/>
        <v>0</v>
      </c>
      <c r="H168" s="201">
        <f t="shared" si="140"/>
        <v>0</v>
      </c>
      <c r="I168" s="201">
        <f t="shared" si="140"/>
        <v>0</v>
      </c>
      <c r="J168" s="201">
        <f t="shared" si="140"/>
        <v>0</v>
      </c>
      <c r="K168" s="201">
        <f t="shared" si="140"/>
        <v>0</v>
      </c>
      <c r="L168" s="201">
        <f t="shared" si="140"/>
        <v>0</v>
      </c>
      <c r="M168" s="201">
        <f t="shared" si="140"/>
        <v>0</v>
      </c>
      <c r="N168" s="201">
        <f t="shared" si="140"/>
        <v>0</v>
      </c>
      <c r="O168" s="201">
        <f t="shared" si="140"/>
        <v>0</v>
      </c>
      <c r="P168" s="201">
        <f t="shared" si="137"/>
        <v>0</v>
      </c>
      <c r="Q168" s="269"/>
      <c r="R168" s="269"/>
      <c r="S168" s="94" t="str">
        <f t="shared" si="120"/>
        <v>Open Land</v>
      </c>
      <c r="T168" s="259">
        <f t="shared" si="121"/>
        <v>0</v>
      </c>
      <c r="U168" s="259">
        <f t="shared" si="122"/>
        <v>0</v>
      </c>
      <c r="V168" s="259">
        <f t="shared" si="123"/>
        <v>0</v>
      </c>
      <c r="W168" s="259">
        <f t="shared" si="124"/>
        <v>0</v>
      </c>
      <c r="X168" s="259">
        <f t="shared" si="125"/>
        <v>0</v>
      </c>
      <c r="Y168" s="259">
        <f t="shared" si="126"/>
        <v>0</v>
      </c>
      <c r="Z168" s="259">
        <f t="shared" si="127"/>
        <v>0</v>
      </c>
      <c r="AA168" s="259">
        <f t="shared" si="128"/>
        <v>0</v>
      </c>
      <c r="AB168" s="259">
        <f t="shared" si="129"/>
        <v>0</v>
      </c>
      <c r="AC168" s="259">
        <f t="shared" si="130"/>
        <v>0</v>
      </c>
      <c r="AD168" s="259">
        <f t="shared" si="131"/>
        <v>0</v>
      </c>
      <c r="AE168" s="259">
        <f t="shared" si="132"/>
        <v>0</v>
      </c>
      <c r="AF168" s="259">
        <f t="shared" si="133"/>
        <v>0</v>
      </c>
      <c r="AG168" s="259">
        <f t="shared" si="134"/>
        <v>0</v>
      </c>
      <c r="AH168" s="259">
        <f t="shared" si="135"/>
        <v>0</v>
      </c>
      <c r="AI168" s="269"/>
    </row>
    <row r="169" spans="1:35" s="2" customFormat="1" x14ac:dyDescent="0.2">
      <c r="A169" s="94" t="str">
        <f t="shared" si="118"/>
        <v>Participation Recreation</v>
      </c>
      <c r="B169" s="201">
        <f t="shared" ref="B169:O169" si="141">$F19*B79</f>
        <v>0</v>
      </c>
      <c r="C169" s="201">
        <f t="shared" si="141"/>
        <v>0</v>
      </c>
      <c r="D169" s="201">
        <f t="shared" si="141"/>
        <v>0</v>
      </c>
      <c r="E169" s="201">
        <f t="shared" si="141"/>
        <v>0</v>
      </c>
      <c r="F169" s="201">
        <f t="shared" si="141"/>
        <v>0</v>
      </c>
      <c r="G169" s="201">
        <f t="shared" si="141"/>
        <v>0</v>
      </c>
      <c r="H169" s="201">
        <f t="shared" si="141"/>
        <v>0</v>
      </c>
      <c r="I169" s="201">
        <f t="shared" si="141"/>
        <v>0</v>
      </c>
      <c r="J169" s="201">
        <f t="shared" si="141"/>
        <v>0</v>
      </c>
      <c r="K169" s="201">
        <f t="shared" si="141"/>
        <v>0</v>
      </c>
      <c r="L169" s="201">
        <f t="shared" si="141"/>
        <v>0</v>
      </c>
      <c r="M169" s="201">
        <f t="shared" si="141"/>
        <v>0</v>
      </c>
      <c r="N169" s="201">
        <f t="shared" si="141"/>
        <v>0</v>
      </c>
      <c r="O169" s="201">
        <f t="shared" si="141"/>
        <v>0</v>
      </c>
      <c r="P169" s="201">
        <f t="shared" si="137"/>
        <v>0</v>
      </c>
      <c r="Q169" s="269"/>
      <c r="R169" s="269"/>
      <c r="S169" s="94" t="str">
        <f t="shared" si="120"/>
        <v>Participation Recreation</v>
      </c>
      <c r="T169" s="259">
        <f t="shared" si="121"/>
        <v>0</v>
      </c>
      <c r="U169" s="259">
        <f t="shared" si="122"/>
        <v>0</v>
      </c>
      <c r="V169" s="259">
        <f t="shared" si="123"/>
        <v>0</v>
      </c>
      <c r="W169" s="259">
        <f t="shared" si="124"/>
        <v>0</v>
      </c>
      <c r="X169" s="259">
        <f t="shared" si="125"/>
        <v>0</v>
      </c>
      <c r="Y169" s="259">
        <f t="shared" si="126"/>
        <v>0</v>
      </c>
      <c r="Z169" s="259">
        <f t="shared" si="127"/>
        <v>0</v>
      </c>
      <c r="AA169" s="259">
        <f t="shared" si="128"/>
        <v>0</v>
      </c>
      <c r="AB169" s="259">
        <f t="shared" si="129"/>
        <v>0</v>
      </c>
      <c r="AC169" s="259">
        <f t="shared" si="130"/>
        <v>0</v>
      </c>
      <c r="AD169" s="259">
        <f t="shared" si="131"/>
        <v>0</v>
      </c>
      <c r="AE169" s="259">
        <f t="shared" si="132"/>
        <v>0</v>
      </c>
      <c r="AF169" s="259">
        <f t="shared" si="133"/>
        <v>0</v>
      </c>
      <c r="AG169" s="259">
        <f t="shared" si="134"/>
        <v>0</v>
      </c>
      <c r="AH169" s="259">
        <f t="shared" si="135"/>
        <v>0</v>
      </c>
      <c r="AI169" s="269"/>
    </row>
    <row r="170" spans="1:35" s="2" customFormat="1" x14ac:dyDescent="0.2">
      <c r="A170" s="94" t="str">
        <f t="shared" si="118"/>
        <v>High Density Residential</v>
      </c>
      <c r="B170" s="201">
        <f t="shared" ref="B170:O170" si="142">$F20*B80</f>
        <v>0</v>
      </c>
      <c r="C170" s="201">
        <f t="shared" si="142"/>
        <v>0</v>
      </c>
      <c r="D170" s="201">
        <f t="shared" si="142"/>
        <v>0</v>
      </c>
      <c r="E170" s="201">
        <f t="shared" si="142"/>
        <v>0</v>
      </c>
      <c r="F170" s="201">
        <f t="shared" si="142"/>
        <v>0</v>
      </c>
      <c r="G170" s="201">
        <f t="shared" si="142"/>
        <v>0</v>
      </c>
      <c r="H170" s="201">
        <f t="shared" si="142"/>
        <v>0</v>
      </c>
      <c r="I170" s="201">
        <f t="shared" si="142"/>
        <v>0</v>
      </c>
      <c r="J170" s="201">
        <f t="shared" si="142"/>
        <v>0</v>
      </c>
      <c r="K170" s="201">
        <f t="shared" si="142"/>
        <v>0</v>
      </c>
      <c r="L170" s="201">
        <f t="shared" si="142"/>
        <v>0</v>
      </c>
      <c r="M170" s="201">
        <f t="shared" si="142"/>
        <v>0</v>
      </c>
      <c r="N170" s="201">
        <f t="shared" si="142"/>
        <v>0</v>
      </c>
      <c r="O170" s="201">
        <f t="shared" si="142"/>
        <v>0</v>
      </c>
      <c r="P170" s="201">
        <f t="shared" si="137"/>
        <v>0</v>
      </c>
      <c r="Q170" s="269"/>
      <c r="R170" s="269"/>
      <c r="S170" s="94" t="str">
        <f t="shared" si="120"/>
        <v>High Density Residential</v>
      </c>
      <c r="T170" s="259">
        <f t="shared" si="121"/>
        <v>0</v>
      </c>
      <c r="U170" s="259">
        <f t="shared" si="122"/>
        <v>0</v>
      </c>
      <c r="V170" s="259">
        <f t="shared" si="123"/>
        <v>0</v>
      </c>
      <c r="W170" s="259">
        <f t="shared" si="124"/>
        <v>0</v>
      </c>
      <c r="X170" s="259">
        <f t="shared" si="125"/>
        <v>0</v>
      </c>
      <c r="Y170" s="259">
        <f t="shared" si="126"/>
        <v>0</v>
      </c>
      <c r="Z170" s="259">
        <f t="shared" si="127"/>
        <v>0</v>
      </c>
      <c r="AA170" s="259">
        <f t="shared" si="128"/>
        <v>0</v>
      </c>
      <c r="AB170" s="259">
        <f t="shared" si="129"/>
        <v>0</v>
      </c>
      <c r="AC170" s="259">
        <f t="shared" si="130"/>
        <v>0</v>
      </c>
      <c r="AD170" s="259">
        <f t="shared" si="131"/>
        <v>0</v>
      </c>
      <c r="AE170" s="259">
        <f t="shared" si="132"/>
        <v>0</v>
      </c>
      <c r="AF170" s="259">
        <f t="shared" si="133"/>
        <v>0</v>
      </c>
      <c r="AG170" s="259">
        <f t="shared" si="134"/>
        <v>0</v>
      </c>
      <c r="AH170" s="259">
        <f t="shared" si="135"/>
        <v>0</v>
      </c>
      <c r="AI170" s="269"/>
    </row>
    <row r="171" spans="1:35" s="2" customFormat="1" x14ac:dyDescent="0.2">
      <c r="A171" s="94" t="str">
        <f t="shared" si="118"/>
        <v>Medium Density Residential</v>
      </c>
      <c r="B171" s="201">
        <f t="shared" ref="B171:O171" si="143">$F21*B81</f>
        <v>0</v>
      </c>
      <c r="C171" s="201">
        <f t="shared" si="143"/>
        <v>0</v>
      </c>
      <c r="D171" s="201">
        <f t="shared" si="143"/>
        <v>0</v>
      </c>
      <c r="E171" s="201">
        <f t="shared" si="143"/>
        <v>0</v>
      </c>
      <c r="F171" s="201">
        <f t="shared" si="143"/>
        <v>0</v>
      </c>
      <c r="G171" s="201">
        <f t="shared" si="143"/>
        <v>0</v>
      </c>
      <c r="H171" s="201">
        <f t="shared" si="143"/>
        <v>0</v>
      </c>
      <c r="I171" s="201">
        <f t="shared" si="143"/>
        <v>0</v>
      </c>
      <c r="J171" s="201">
        <f t="shared" si="143"/>
        <v>0</v>
      </c>
      <c r="K171" s="201">
        <f t="shared" si="143"/>
        <v>0</v>
      </c>
      <c r="L171" s="201">
        <f t="shared" si="143"/>
        <v>0</v>
      </c>
      <c r="M171" s="201">
        <f t="shared" si="143"/>
        <v>0</v>
      </c>
      <c r="N171" s="201">
        <f t="shared" si="143"/>
        <v>0</v>
      </c>
      <c r="O171" s="201">
        <f t="shared" si="143"/>
        <v>0</v>
      </c>
      <c r="P171" s="201">
        <f t="shared" si="137"/>
        <v>0</v>
      </c>
      <c r="Q171" s="269"/>
      <c r="R171" s="269"/>
      <c r="S171" s="94" t="str">
        <f t="shared" si="120"/>
        <v>Medium Density Residential</v>
      </c>
      <c r="T171" s="259">
        <f t="shared" si="121"/>
        <v>0</v>
      </c>
      <c r="U171" s="259">
        <f t="shared" si="122"/>
        <v>0</v>
      </c>
      <c r="V171" s="259">
        <f t="shared" si="123"/>
        <v>0</v>
      </c>
      <c r="W171" s="259">
        <f t="shared" si="124"/>
        <v>0</v>
      </c>
      <c r="X171" s="259">
        <f t="shared" si="125"/>
        <v>0</v>
      </c>
      <c r="Y171" s="259">
        <f t="shared" si="126"/>
        <v>0</v>
      </c>
      <c r="Z171" s="259">
        <f t="shared" si="127"/>
        <v>0</v>
      </c>
      <c r="AA171" s="259">
        <f t="shared" si="128"/>
        <v>0</v>
      </c>
      <c r="AB171" s="259">
        <f t="shared" si="129"/>
        <v>0</v>
      </c>
      <c r="AC171" s="259">
        <f t="shared" si="130"/>
        <v>0</v>
      </c>
      <c r="AD171" s="259">
        <f t="shared" si="131"/>
        <v>0</v>
      </c>
      <c r="AE171" s="259">
        <f t="shared" si="132"/>
        <v>0</v>
      </c>
      <c r="AF171" s="259">
        <f t="shared" si="133"/>
        <v>0</v>
      </c>
      <c r="AG171" s="259">
        <f t="shared" si="134"/>
        <v>0</v>
      </c>
      <c r="AH171" s="259">
        <f t="shared" si="135"/>
        <v>0</v>
      </c>
      <c r="AI171" s="269"/>
    </row>
    <row r="172" spans="1:35" s="2" customFormat="1" x14ac:dyDescent="0.2">
      <c r="A172" s="94" t="str">
        <f t="shared" si="118"/>
        <v>Low Density Residential</v>
      </c>
      <c r="B172" s="201">
        <f t="shared" ref="B172:O172" si="144">$F22*B82</f>
        <v>0</v>
      </c>
      <c r="C172" s="201">
        <f t="shared" si="144"/>
        <v>0</v>
      </c>
      <c r="D172" s="201">
        <f t="shared" si="144"/>
        <v>0</v>
      </c>
      <c r="E172" s="201">
        <f t="shared" si="144"/>
        <v>0</v>
      </c>
      <c r="F172" s="201">
        <f t="shared" si="144"/>
        <v>0</v>
      </c>
      <c r="G172" s="201">
        <f t="shared" si="144"/>
        <v>0</v>
      </c>
      <c r="H172" s="201">
        <f t="shared" si="144"/>
        <v>0</v>
      </c>
      <c r="I172" s="201">
        <f t="shared" si="144"/>
        <v>0</v>
      </c>
      <c r="J172" s="201">
        <f t="shared" si="144"/>
        <v>0</v>
      </c>
      <c r="K172" s="201">
        <f t="shared" si="144"/>
        <v>0</v>
      </c>
      <c r="L172" s="201">
        <f t="shared" si="144"/>
        <v>0</v>
      </c>
      <c r="M172" s="201">
        <f t="shared" si="144"/>
        <v>0</v>
      </c>
      <c r="N172" s="201">
        <f t="shared" si="144"/>
        <v>0</v>
      </c>
      <c r="O172" s="201">
        <f t="shared" si="144"/>
        <v>0</v>
      </c>
      <c r="P172" s="201">
        <f t="shared" si="137"/>
        <v>0</v>
      </c>
      <c r="Q172" s="269"/>
      <c r="R172" s="269"/>
      <c r="S172" s="94" t="str">
        <f t="shared" si="120"/>
        <v>Low Density Residential</v>
      </c>
      <c r="T172" s="259">
        <f t="shared" si="121"/>
        <v>0</v>
      </c>
      <c r="U172" s="259">
        <f t="shared" si="122"/>
        <v>0</v>
      </c>
      <c r="V172" s="259">
        <f t="shared" si="123"/>
        <v>0</v>
      </c>
      <c r="W172" s="259">
        <f t="shared" si="124"/>
        <v>0</v>
      </c>
      <c r="X172" s="259">
        <f t="shared" si="125"/>
        <v>0</v>
      </c>
      <c r="Y172" s="259">
        <f t="shared" si="126"/>
        <v>0</v>
      </c>
      <c r="Z172" s="259">
        <f t="shared" si="127"/>
        <v>0</v>
      </c>
      <c r="AA172" s="259">
        <f t="shared" si="128"/>
        <v>0</v>
      </c>
      <c r="AB172" s="259">
        <f t="shared" si="129"/>
        <v>0</v>
      </c>
      <c r="AC172" s="259">
        <f t="shared" si="130"/>
        <v>0</v>
      </c>
      <c r="AD172" s="259">
        <f t="shared" si="131"/>
        <v>0</v>
      </c>
      <c r="AE172" s="259">
        <f t="shared" si="132"/>
        <v>0</v>
      </c>
      <c r="AF172" s="259">
        <f t="shared" si="133"/>
        <v>0</v>
      </c>
      <c r="AG172" s="259">
        <f t="shared" si="134"/>
        <v>0</v>
      </c>
      <c r="AH172" s="259">
        <f t="shared" si="135"/>
        <v>0</v>
      </c>
      <c r="AI172" s="269"/>
    </row>
    <row r="173" spans="1:35" s="2" customFormat="1" x14ac:dyDescent="0.2">
      <c r="A173" s="94" t="str">
        <f t="shared" si="118"/>
        <v>Very Low Density Residential</v>
      </c>
      <c r="B173" s="201">
        <f t="shared" ref="B173:O173" si="145">$F23*B83</f>
        <v>0</v>
      </c>
      <c r="C173" s="201">
        <f t="shared" si="145"/>
        <v>0</v>
      </c>
      <c r="D173" s="201">
        <f t="shared" si="145"/>
        <v>0</v>
      </c>
      <c r="E173" s="201">
        <f t="shared" si="145"/>
        <v>0</v>
      </c>
      <c r="F173" s="201">
        <f t="shared" si="145"/>
        <v>0</v>
      </c>
      <c r="G173" s="201">
        <f t="shared" si="145"/>
        <v>0</v>
      </c>
      <c r="H173" s="201">
        <f t="shared" si="145"/>
        <v>0</v>
      </c>
      <c r="I173" s="201">
        <f t="shared" si="145"/>
        <v>0</v>
      </c>
      <c r="J173" s="201">
        <f t="shared" si="145"/>
        <v>0</v>
      </c>
      <c r="K173" s="201">
        <f t="shared" si="145"/>
        <v>0</v>
      </c>
      <c r="L173" s="201">
        <f t="shared" si="145"/>
        <v>0</v>
      </c>
      <c r="M173" s="201">
        <f t="shared" si="145"/>
        <v>0</v>
      </c>
      <c r="N173" s="201">
        <f t="shared" si="145"/>
        <v>0</v>
      </c>
      <c r="O173" s="201">
        <f t="shared" si="145"/>
        <v>0</v>
      </c>
      <c r="P173" s="201">
        <f t="shared" ref="P173" si="146">SUM(B173:O173)</f>
        <v>0</v>
      </c>
      <c r="Q173" s="269"/>
      <c r="R173" s="269"/>
      <c r="S173" s="94" t="str">
        <f t="shared" si="120"/>
        <v>Very Low Density Residential</v>
      </c>
      <c r="T173" s="259">
        <f t="shared" si="121"/>
        <v>0</v>
      </c>
      <c r="U173" s="259">
        <f t="shared" si="122"/>
        <v>0</v>
      </c>
      <c r="V173" s="259">
        <f t="shared" si="123"/>
        <v>0</v>
      </c>
      <c r="W173" s="259">
        <f t="shared" si="124"/>
        <v>0</v>
      </c>
      <c r="X173" s="259">
        <f t="shared" si="125"/>
        <v>0</v>
      </c>
      <c r="Y173" s="259">
        <f t="shared" si="126"/>
        <v>0</v>
      </c>
      <c r="Z173" s="259">
        <f t="shared" si="127"/>
        <v>0</v>
      </c>
      <c r="AA173" s="259">
        <f t="shared" si="128"/>
        <v>0</v>
      </c>
      <c r="AB173" s="259">
        <f t="shared" si="129"/>
        <v>0</v>
      </c>
      <c r="AC173" s="259">
        <f t="shared" si="130"/>
        <v>0</v>
      </c>
      <c r="AD173" s="259">
        <f t="shared" si="131"/>
        <v>0</v>
      </c>
      <c r="AE173" s="259">
        <f t="shared" si="132"/>
        <v>0</v>
      </c>
      <c r="AF173" s="259">
        <f t="shared" si="133"/>
        <v>0</v>
      </c>
      <c r="AG173" s="259">
        <f t="shared" si="134"/>
        <v>0</v>
      </c>
      <c r="AH173" s="259">
        <f t="shared" si="135"/>
        <v>0</v>
      </c>
      <c r="AI173" s="269"/>
    </row>
    <row r="174" spans="1:35" s="2" customFormat="1" x14ac:dyDescent="0.2">
      <c r="A174" s="94" t="str">
        <f t="shared" si="118"/>
        <v>Commercial</v>
      </c>
      <c r="B174" s="201">
        <f t="shared" ref="B174:O174" si="147">$F24*B84</f>
        <v>0</v>
      </c>
      <c r="C174" s="201">
        <f t="shared" si="147"/>
        <v>0</v>
      </c>
      <c r="D174" s="201">
        <f t="shared" si="147"/>
        <v>0</v>
      </c>
      <c r="E174" s="201">
        <f t="shared" si="147"/>
        <v>0</v>
      </c>
      <c r="F174" s="201">
        <f t="shared" si="147"/>
        <v>0</v>
      </c>
      <c r="G174" s="201">
        <f t="shared" si="147"/>
        <v>0</v>
      </c>
      <c r="H174" s="201">
        <f t="shared" si="147"/>
        <v>0</v>
      </c>
      <c r="I174" s="201">
        <f t="shared" si="147"/>
        <v>0</v>
      </c>
      <c r="J174" s="201">
        <f t="shared" si="147"/>
        <v>0</v>
      </c>
      <c r="K174" s="201">
        <f t="shared" si="147"/>
        <v>0</v>
      </c>
      <c r="L174" s="201">
        <f t="shared" si="147"/>
        <v>0</v>
      </c>
      <c r="M174" s="201">
        <f t="shared" si="147"/>
        <v>0</v>
      </c>
      <c r="N174" s="201">
        <f t="shared" si="147"/>
        <v>0</v>
      </c>
      <c r="O174" s="201">
        <f t="shared" si="147"/>
        <v>0</v>
      </c>
      <c r="P174" s="201">
        <f t="shared" si="137"/>
        <v>0</v>
      </c>
      <c r="Q174" s="269"/>
      <c r="R174" s="269"/>
      <c r="S174" s="94" t="str">
        <f t="shared" si="120"/>
        <v>Commercial</v>
      </c>
      <c r="T174" s="259">
        <f t="shared" si="121"/>
        <v>0</v>
      </c>
      <c r="U174" s="259">
        <f t="shared" si="122"/>
        <v>0</v>
      </c>
      <c r="V174" s="259">
        <f t="shared" si="123"/>
        <v>0</v>
      </c>
      <c r="W174" s="259">
        <f t="shared" si="124"/>
        <v>0</v>
      </c>
      <c r="X174" s="259">
        <f t="shared" si="125"/>
        <v>0</v>
      </c>
      <c r="Y174" s="259">
        <f t="shared" si="126"/>
        <v>0</v>
      </c>
      <c r="Z174" s="259">
        <f t="shared" si="127"/>
        <v>0</v>
      </c>
      <c r="AA174" s="259">
        <f t="shared" si="128"/>
        <v>0</v>
      </c>
      <c r="AB174" s="259">
        <f t="shared" si="129"/>
        <v>0</v>
      </c>
      <c r="AC174" s="259">
        <f t="shared" si="130"/>
        <v>0</v>
      </c>
      <c r="AD174" s="259">
        <f t="shared" si="131"/>
        <v>0</v>
      </c>
      <c r="AE174" s="259">
        <f t="shared" si="132"/>
        <v>0</v>
      </c>
      <c r="AF174" s="259">
        <f t="shared" si="133"/>
        <v>0</v>
      </c>
      <c r="AG174" s="259">
        <f t="shared" si="134"/>
        <v>0</v>
      </c>
      <c r="AH174" s="259">
        <f t="shared" si="135"/>
        <v>0</v>
      </c>
      <c r="AI174" s="269"/>
    </row>
    <row r="175" spans="1:35" s="2" customFormat="1" x14ac:dyDescent="0.2">
      <c r="A175" s="94" t="str">
        <f t="shared" si="118"/>
        <v>Transportation</v>
      </c>
      <c r="B175" s="201">
        <f t="shared" ref="B175:O175" si="148">$F25*B85</f>
        <v>0</v>
      </c>
      <c r="C175" s="201">
        <f t="shared" si="148"/>
        <v>0</v>
      </c>
      <c r="D175" s="201">
        <f t="shared" si="148"/>
        <v>0</v>
      </c>
      <c r="E175" s="201">
        <f t="shared" si="148"/>
        <v>0</v>
      </c>
      <c r="F175" s="201">
        <f t="shared" si="148"/>
        <v>0</v>
      </c>
      <c r="G175" s="201">
        <f t="shared" si="148"/>
        <v>0</v>
      </c>
      <c r="H175" s="201">
        <f t="shared" si="148"/>
        <v>0</v>
      </c>
      <c r="I175" s="201">
        <f t="shared" si="148"/>
        <v>0</v>
      </c>
      <c r="J175" s="201">
        <f t="shared" si="148"/>
        <v>0</v>
      </c>
      <c r="K175" s="201">
        <f t="shared" si="148"/>
        <v>0</v>
      </c>
      <c r="L175" s="201">
        <f t="shared" si="148"/>
        <v>0</v>
      </c>
      <c r="M175" s="201">
        <f t="shared" si="148"/>
        <v>0</v>
      </c>
      <c r="N175" s="201">
        <f t="shared" si="148"/>
        <v>0</v>
      </c>
      <c r="O175" s="201">
        <f t="shared" si="148"/>
        <v>0</v>
      </c>
      <c r="P175" s="201">
        <f t="shared" si="137"/>
        <v>0</v>
      </c>
      <c r="Q175" s="269"/>
      <c r="R175" s="269"/>
      <c r="S175" s="94" t="str">
        <f t="shared" si="120"/>
        <v>Transportation</v>
      </c>
      <c r="T175" s="259">
        <f t="shared" si="121"/>
        <v>0</v>
      </c>
      <c r="U175" s="259">
        <f t="shared" si="122"/>
        <v>0</v>
      </c>
      <c r="V175" s="259">
        <f t="shared" si="123"/>
        <v>0</v>
      </c>
      <c r="W175" s="259">
        <f t="shared" si="124"/>
        <v>0</v>
      </c>
      <c r="X175" s="259">
        <f t="shared" si="125"/>
        <v>0</v>
      </c>
      <c r="Y175" s="259">
        <f t="shared" si="126"/>
        <v>0</v>
      </c>
      <c r="Z175" s="259">
        <f t="shared" si="127"/>
        <v>0</v>
      </c>
      <c r="AA175" s="259">
        <f t="shared" si="128"/>
        <v>0</v>
      </c>
      <c r="AB175" s="259">
        <f t="shared" si="129"/>
        <v>0</v>
      </c>
      <c r="AC175" s="259">
        <f t="shared" si="130"/>
        <v>0</v>
      </c>
      <c r="AD175" s="259">
        <f t="shared" si="131"/>
        <v>0</v>
      </c>
      <c r="AE175" s="259">
        <f t="shared" si="132"/>
        <v>0</v>
      </c>
      <c r="AF175" s="259">
        <f t="shared" si="133"/>
        <v>0</v>
      </c>
      <c r="AG175" s="259">
        <f t="shared" si="134"/>
        <v>0</v>
      </c>
      <c r="AH175" s="259">
        <f t="shared" si="135"/>
        <v>0</v>
      </c>
      <c r="AI175" s="269"/>
    </row>
    <row r="176" spans="1:35" s="2" customFormat="1" x14ac:dyDescent="0.2">
      <c r="A176" s="94" t="str">
        <f t="shared" si="118"/>
        <v>Waste Disposal</v>
      </c>
      <c r="B176" s="201">
        <f t="shared" ref="B176:O176" si="149">$F26*B86</f>
        <v>0</v>
      </c>
      <c r="C176" s="201">
        <f t="shared" si="149"/>
        <v>0</v>
      </c>
      <c r="D176" s="201">
        <f t="shared" si="149"/>
        <v>0</v>
      </c>
      <c r="E176" s="201">
        <f t="shared" si="149"/>
        <v>0</v>
      </c>
      <c r="F176" s="201">
        <f t="shared" si="149"/>
        <v>0</v>
      </c>
      <c r="G176" s="201">
        <f t="shared" si="149"/>
        <v>0</v>
      </c>
      <c r="H176" s="201">
        <f t="shared" si="149"/>
        <v>0</v>
      </c>
      <c r="I176" s="201">
        <f t="shared" si="149"/>
        <v>0</v>
      </c>
      <c r="J176" s="201">
        <f t="shared" si="149"/>
        <v>0</v>
      </c>
      <c r="K176" s="201">
        <f t="shared" si="149"/>
        <v>0</v>
      </c>
      <c r="L176" s="201">
        <f t="shared" si="149"/>
        <v>0</v>
      </c>
      <c r="M176" s="201">
        <f t="shared" si="149"/>
        <v>0</v>
      </c>
      <c r="N176" s="201">
        <f t="shared" si="149"/>
        <v>0</v>
      </c>
      <c r="O176" s="201">
        <f t="shared" si="149"/>
        <v>0</v>
      </c>
      <c r="P176" s="201">
        <f t="shared" si="137"/>
        <v>0</v>
      </c>
      <c r="Q176" s="269"/>
      <c r="R176" s="269"/>
      <c r="S176" s="94" t="str">
        <f t="shared" si="120"/>
        <v>Waste Disposal</v>
      </c>
      <c r="T176" s="259">
        <f t="shared" si="121"/>
        <v>0</v>
      </c>
      <c r="U176" s="259">
        <f t="shared" si="122"/>
        <v>0</v>
      </c>
      <c r="V176" s="259">
        <f t="shared" si="123"/>
        <v>0</v>
      </c>
      <c r="W176" s="259">
        <f t="shared" si="124"/>
        <v>0</v>
      </c>
      <c r="X176" s="259">
        <f t="shared" si="125"/>
        <v>0</v>
      </c>
      <c r="Y176" s="259">
        <f t="shared" si="126"/>
        <v>0</v>
      </c>
      <c r="Z176" s="259">
        <f t="shared" si="127"/>
        <v>0</v>
      </c>
      <c r="AA176" s="259">
        <f t="shared" si="128"/>
        <v>0</v>
      </c>
      <c r="AB176" s="259">
        <f t="shared" si="129"/>
        <v>0</v>
      </c>
      <c r="AC176" s="259">
        <f t="shared" si="130"/>
        <v>0</v>
      </c>
      <c r="AD176" s="259">
        <f t="shared" si="131"/>
        <v>0</v>
      </c>
      <c r="AE176" s="259">
        <f t="shared" si="132"/>
        <v>0</v>
      </c>
      <c r="AF176" s="259">
        <f t="shared" si="133"/>
        <v>0</v>
      </c>
      <c r="AG176" s="259">
        <f t="shared" si="134"/>
        <v>0</v>
      </c>
      <c r="AH176" s="259">
        <f t="shared" si="135"/>
        <v>0</v>
      </c>
      <c r="AI176" s="269"/>
    </row>
    <row r="177" spans="1:47" s="2" customFormat="1" x14ac:dyDescent="0.2">
      <c r="A177" s="94" t="str">
        <f t="shared" si="118"/>
        <v>Water</v>
      </c>
      <c r="B177" s="201">
        <f t="shared" ref="B177:O177" si="150">$F27*B87</f>
        <v>0</v>
      </c>
      <c r="C177" s="201">
        <f t="shared" si="150"/>
        <v>0</v>
      </c>
      <c r="D177" s="201">
        <f t="shared" si="150"/>
        <v>0</v>
      </c>
      <c r="E177" s="201">
        <f t="shared" si="150"/>
        <v>0</v>
      </c>
      <c r="F177" s="201">
        <f t="shared" si="150"/>
        <v>0</v>
      </c>
      <c r="G177" s="201">
        <f t="shared" si="150"/>
        <v>0</v>
      </c>
      <c r="H177" s="201">
        <f t="shared" si="150"/>
        <v>0</v>
      </c>
      <c r="I177" s="201">
        <f t="shared" si="150"/>
        <v>0</v>
      </c>
      <c r="J177" s="201">
        <f t="shared" si="150"/>
        <v>0</v>
      </c>
      <c r="K177" s="201">
        <f t="shared" si="150"/>
        <v>0</v>
      </c>
      <c r="L177" s="201">
        <f t="shared" si="150"/>
        <v>0</v>
      </c>
      <c r="M177" s="201">
        <f t="shared" si="150"/>
        <v>0</v>
      </c>
      <c r="N177" s="201">
        <f t="shared" si="150"/>
        <v>0</v>
      </c>
      <c r="O177" s="201">
        <f t="shared" si="150"/>
        <v>0</v>
      </c>
      <c r="P177" s="201">
        <f t="shared" si="137"/>
        <v>0</v>
      </c>
      <c r="Q177" s="269"/>
      <c r="R177" s="269"/>
      <c r="S177" s="94" t="str">
        <f t="shared" si="120"/>
        <v>Water</v>
      </c>
      <c r="T177" s="259">
        <f t="shared" si="121"/>
        <v>0</v>
      </c>
      <c r="U177" s="259">
        <f t="shared" si="122"/>
        <v>0</v>
      </c>
      <c r="V177" s="259">
        <f t="shared" si="123"/>
        <v>0</v>
      </c>
      <c r="W177" s="259">
        <f t="shared" si="124"/>
        <v>0</v>
      </c>
      <c r="X177" s="259">
        <f t="shared" si="125"/>
        <v>0</v>
      </c>
      <c r="Y177" s="259">
        <f t="shared" si="126"/>
        <v>0</v>
      </c>
      <c r="Z177" s="259">
        <f t="shared" si="127"/>
        <v>0</v>
      </c>
      <c r="AA177" s="259">
        <f t="shared" si="128"/>
        <v>0</v>
      </c>
      <c r="AB177" s="259">
        <f t="shared" si="129"/>
        <v>0</v>
      </c>
      <c r="AC177" s="259">
        <f t="shared" si="130"/>
        <v>0</v>
      </c>
      <c r="AD177" s="259">
        <f t="shared" si="131"/>
        <v>0</v>
      </c>
      <c r="AE177" s="259">
        <f t="shared" si="132"/>
        <v>0</v>
      </c>
      <c r="AF177" s="259">
        <f t="shared" si="133"/>
        <v>0</v>
      </c>
      <c r="AG177" s="259">
        <f t="shared" si="134"/>
        <v>0</v>
      </c>
      <c r="AH177" s="259">
        <f t="shared" si="135"/>
        <v>0</v>
      </c>
      <c r="AI177" s="269"/>
    </row>
    <row r="178" spans="1:47" s="2" customFormat="1" x14ac:dyDescent="0.2">
      <c r="A178" s="94" t="str">
        <f t="shared" si="118"/>
        <v>Urban Public/Institutional</v>
      </c>
      <c r="B178" s="201">
        <f t="shared" ref="B178:O178" si="151">$F28*B88</f>
        <v>0</v>
      </c>
      <c r="C178" s="201">
        <f t="shared" si="151"/>
        <v>0</v>
      </c>
      <c r="D178" s="201">
        <f t="shared" si="151"/>
        <v>0</v>
      </c>
      <c r="E178" s="201">
        <f t="shared" si="151"/>
        <v>0</v>
      </c>
      <c r="F178" s="201">
        <f t="shared" si="151"/>
        <v>0</v>
      </c>
      <c r="G178" s="201">
        <f t="shared" si="151"/>
        <v>0</v>
      </c>
      <c r="H178" s="201">
        <f t="shared" si="151"/>
        <v>0</v>
      </c>
      <c r="I178" s="201">
        <f t="shared" si="151"/>
        <v>0</v>
      </c>
      <c r="J178" s="201">
        <f t="shared" si="151"/>
        <v>0</v>
      </c>
      <c r="K178" s="201">
        <f t="shared" si="151"/>
        <v>0</v>
      </c>
      <c r="L178" s="201">
        <f t="shared" si="151"/>
        <v>0</v>
      </c>
      <c r="M178" s="201">
        <f t="shared" si="151"/>
        <v>0</v>
      </c>
      <c r="N178" s="201">
        <f t="shared" si="151"/>
        <v>0</v>
      </c>
      <c r="O178" s="201">
        <f t="shared" si="151"/>
        <v>0</v>
      </c>
      <c r="P178" s="201">
        <f t="shared" si="137"/>
        <v>0</v>
      </c>
      <c r="Q178" s="269"/>
      <c r="R178" s="269"/>
      <c r="S178" s="94" t="str">
        <f t="shared" si="120"/>
        <v>Urban Public/Institutional</v>
      </c>
      <c r="T178" s="259">
        <f t="shared" si="121"/>
        <v>0</v>
      </c>
      <c r="U178" s="259">
        <f t="shared" si="122"/>
        <v>0</v>
      </c>
      <c r="V178" s="259">
        <f t="shared" si="123"/>
        <v>0</v>
      </c>
      <c r="W178" s="259">
        <f t="shared" si="124"/>
        <v>0</v>
      </c>
      <c r="X178" s="259">
        <f t="shared" si="125"/>
        <v>0</v>
      </c>
      <c r="Y178" s="259">
        <f t="shared" si="126"/>
        <v>0</v>
      </c>
      <c r="Z178" s="259">
        <f t="shared" si="127"/>
        <v>0</v>
      </c>
      <c r="AA178" s="259">
        <f t="shared" si="128"/>
        <v>0</v>
      </c>
      <c r="AB178" s="259">
        <f t="shared" si="129"/>
        <v>0</v>
      </c>
      <c r="AC178" s="259">
        <f t="shared" si="130"/>
        <v>0</v>
      </c>
      <c r="AD178" s="259">
        <f t="shared" si="131"/>
        <v>0</v>
      </c>
      <c r="AE178" s="259">
        <f t="shared" si="132"/>
        <v>0</v>
      </c>
      <c r="AF178" s="259">
        <f t="shared" si="133"/>
        <v>0</v>
      </c>
      <c r="AG178" s="259">
        <f t="shared" si="134"/>
        <v>0</v>
      </c>
      <c r="AH178" s="259">
        <f t="shared" si="135"/>
        <v>0</v>
      </c>
      <c r="AI178" s="269"/>
    </row>
    <row r="179" spans="1:47" s="2" customFormat="1" x14ac:dyDescent="0.2">
      <c r="A179" s="94" t="str">
        <f t="shared" si="118"/>
        <v>Cemetery</v>
      </c>
      <c r="B179" s="201">
        <f t="shared" ref="B179:O179" si="152">$F29*B89</f>
        <v>0</v>
      </c>
      <c r="C179" s="201">
        <f t="shared" si="152"/>
        <v>0</v>
      </c>
      <c r="D179" s="201">
        <f t="shared" si="152"/>
        <v>0</v>
      </c>
      <c r="E179" s="201">
        <f t="shared" si="152"/>
        <v>0</v>
      </c>
      <c r="F179" s="201">
        <f t="shared" si="152"/>
        <v>0</v>
      </c>
      <c r="G179" s="201">
        <f t="shared" si="152"/>
        <v>0</v>
      </c>
      <c r="H179" s="201">
        <f t="shared" si="152"/>
        <v>0</v>
      </c>
      <c r="I179" s="201">
        <f t="shared" si="152"/>
        <v>0</v>
      </c>
      <c r="J179" s="201">
        <f t="shared" si="152"/>
        <v>0</v>
      </c>
      <c r="K179" s="201">
        <f t="shared" si="152"/>
        <v>0</v>
      </c>
      <c r="L179" s="201">
        <f t="shared" si="152"/>
        <v>0</v>
      </c>
      <c r="M179" s="201">
        <f t="shared" si="152"/>
        <v>0</v>
      </c>
      <c r="N179" s="201">
        <f t="shared" si="152"/>
        <v>0</v>
      </c>
      <c r="O179" s="201">
        <f t="shared" si="152"/>
        <v>0</v>
      </c>
      <c r="P179" s="201">
        <f t="shared" si="137"/>
        <v>0</v>
      </c>
      <c r="Q179" s="269"/>
      <c r="R179" s="269"/>
      <c r="S179" s="94" t="str">
        <f t="shared" si="120"/>
        <v>Cemetery</v>
      </c>
      <c r="T179" s="259">
        <f t="shared" si="121"/>
        <v>0</v>
      </c>
      <c r="U179" s="259">
        <f t="shared" si="122"/>
        <v>0</v>
      </c>
      <c r="V179" s="259">
        <f t="shared" si="123"/>
        <v>0</v>
      </c>
      <c r="W179" s="259">
        <f t="shared" si="124"/>
        <v>0</v>
      </c>
      <c r="X179" s="259">
        <f t="shared" si="125"/>
        <v>0</v>
      </c>
      <c r="Y179" s="259">
        <f t="shared" si="126"/>
        <v>0</v>
      </c>
      <c r="Z179" s="259">
        <f t="shared" si="127"/>
        <v>0</v>
      </c>
      <c r="AA179" s="259">
        <f t="shared" si="128"/>
        <v>0</v>
      </c>
      <c r="AB179" s="259">
        <f t="shared" si="129"/>
        <v>0</v>
      </c>
      <c r="AC179" s="259">
        <f t="shared" si="130"/>
        <v>0</v>
      </c>
      <c r="AD179" s="259">
        <f t="shared" si="131"/>
        <v>0</v>
      </c>
      <c r="AE179" s="259">
        <f t="shared" si="132"/>
        <v>0</v>
      </c>
      <c r="AF179" s="259">
        <f t="shared" si="133"/>
        <v>0</v>
      </c>
      <c r="AG179" s="259">
        <f t="shared" si="134"/>
        <v>0</v>
      </c>
      <c r="AH179" s="259">
        <f t="shared" si="135"/>
        <v>0</v>
      </c>
      <c r="AI179" s="269"/>
    </row>
    <row r="180" spans="1:47" s="2" customFormat="1" x14ac:dyDescent="0.2">
      <c r="A180" s="94" t="str">
        <f t="shared" si="118"/>
        <v>Orchard</v>
      </c>
      <c r="B180" s="201">
        <f t="shared" ref="B180:O180" si="153">$F30*B90</f>
        <v>0</v>
      </c>
      <c r="C180" s="201">
        <f t="shared" si="153"/>
        <v>0</v>
      </c>
      <c r="D180" s="201">
        <f t="shared" si="153"/>
        <v>0</v>
      </c>
      <c r="E180" s="201">
        <f t="shared" si="153"/>
        <v>0</v>
      </c>
      <c r="F180" s="201">
        <f t="shared" si="153"/>
        <v>0</v>
      </c>
      <c r="G180" s="201">
        <f t="shared" si="153"/>
        <v>0</v>
      </c>
      <c r="H180" s="201">
        <f t="shared" si="153"/>
        <v>0</v>
      </c>
      <c r="I180" s="201">
        <f t="shared" si="153"/>
        <v>0</v>
      </c>
      <c r="J180" s="201">
        <f t="shared" si="153"/>
        <v>0</v>
      </c>
      <c r="K180" s="201">
        <f t="shared" si="153"/>
        <v>0</v>
      </c>
      <c r="L180" s="201">
        <f t="shared" si="153"/>
        <v>0</v>
      </c>
      <c r="M180" s="201">
        <f t="shared" si="153"/>
        <v>0</v>
      </c>
      <c r="N180" s="201">
        <f t="shared" si="153"/>
        <v>0</v>
      </c>
      <c r="O180" s="201">
        <f t="shared" si="153"/>
        <v>0</v>
      </c>
      <c r="P180" s="201">
        <f>SUM(B180:O180)</f>
        <v>0</v>
      </c>
      <c r="Q180" s="269"/>
      <c r="R180" s="269"/>
      <c r="S180" s="94" t="str">
        <f t="shared" si="120"/>
        <v>Orchard</v>
      </c>
      <c r="T180" s="259">
        <f t="shared" si="121"/>
        <v>0</v>
      </c>
      <c r="U180" s="259">
        <f t="shared" si="122"/>
        <v>0</v>
      </c>
      <c r="V180" s="259">
        <f t="shared" si="123"/>
        <v>0</v>
      </c>
      <c r="W180" s="259">
        <f t="shared" si="124"/>
        <v>0</v>
      </c>
      <c r="X180" s="259">
        <f t="shared" si="125"/>
        <v>0</v>
      </c>
      <c r="Y180" s="259">
        <f t="shared" si="126"/>
        <v>0</v>
      </c>
      <c r="Z180" s="259">
        <f t="shared" si="127"/>
        <v>0</v>
      </c>
      <c r="AA180" s="259">
        <f t="shared" si="128"/>
        <v>0</v>
      </c>
      <c r="AB180" s="259">
        <f t="shared" si="129"/>
        <v>0</v>
      </c>
      <c r="AC180" s="259">
        <f t="shared" si="130"/>
        <v>0</v>
      </c>
      <c r="AD180" s="259">
        <f t="shared" si="131"/>
        <v>0</v>
      </c>
      <c r="AE180" s="259">
        <f t="shared" si="132"/>
        <v>0</v>
      </c>
      <c r="AF180" s="259">
        <f t="shared" si="133"/>
        <v>0</v>
      </c>
      <c r="AG180" s="259">
        <f t="shared" si="134"/>
        <v>0</v>
      </c>
      <c r="AH180" s="259">
        <f t="shared" si="135"/>
        <v>0</v>
      </c>
      <c r="AI180" s="269"/>
    </row>
    <row r="181" spans="1:47" s="2" customFormat="1" x14ac:dyDescent="0.2">
      <c r="A181" s="94" t="str">
        <f t="shared" si="118"/>
        <v>Nursery</v>
      </c>
      <c r="B181" s="201">
        <f t="shared" ref="B181:O181" si="154">$F31*B91</f>
        <v>0</v>
      </c>
      <c r="C181" s="201">
        <f t="shared" si="154"/>
        <v>0</v>
      </c>
      <c r="D181" s="201">
        <f t="shared" si="154"/>
        <v>0</v>
      </c>
      <c r="E181" s="201">
        <f t="shared" si="154"/>
        <v>0</v>
      </c>
      <c r="F181" s="201">
        <f t="shared" si="154"/>
        <v>0</v>
      </c>
      <c r="G181" s="201">
        <f t="shared" si="154"/>
        <v>0</v>
      </c>
      <c r="H181" s="201">
        <f t="shared" si="154"/>
        <v>0</v>
      </c>
      <c r="I181" s="201">
        <f t="shared" si="154"/>
        <v>0</v>
      </c>
      <c r="J181" s="201">
        <f t="shared" si="154"/>
        <v>0</v>
      </c>
      <c r="K181" s="201">
        <f t="shared" si="154"/>
        <v>0</v>
      </c>
      <c r="L181" s="201">
        <f t="shared" si="154"/>
        <v>0</v>
      </c>
      <c r="M181" s="201">
        <f t="shared" si="154"/>
        <v>0</v>
      </c>
      <c r="N181" s="201">
        <f t="shared" si="154"/>
        <v>0</v>
      </c>
      <c r="O181" s="201">
        <f t="shared" si="154"/>
        <v>0</v>
      </c>
      <c r="P181" s="201">
        <f>SUM(B181:O181)</f>
        <v>0</v>
      </c>
      <c r="Q181" s="269"/>
      <c r="R181" s="269"/>
      <c r="S181" s="94" t="str">
        <f t="shared" si="120"/>
        <v>Nursery</v>
      </c>
      <c r="T181" s="259">
        <f t="shared" si="121"/>
        <v>0</v>
      </c>
      <c r="U181" s="259">
        <f t="shared" si="122"/>
        <v>0</v>
      </c>
      <c r="V181" s="259">
        <f t="shared" si="123"/>
        <v>0</v>
      </c>
      <c r="W181" s="259">
        <f t="shared" si="124"/>
        <v>0</v>
      </c>
      <c r="X181" s="259">
        <f t="shared" si="125"/>
        <v>0</v>
      </c>
      <c r="Y181" s="259">
        <f t="shared" si="126"/>
        <v>0</v>
      </c>
      <c r="Z181" s="259">
        <f t="shared" si="127"/>
        <v>0</v>
      </c>
      <c r="AA181" s="259">
        <f t="shared" si="128"/>
        <v>0</v>
      </c>
      <c r="AB181" s="259">
        <f t="shared" si="129"/>
        <v>0</v>
      </c>
      <c r="AC181" s="259">
        <f t="shared" si="130"/>
        <v>0</v>
      </c>
      <c r="AD181" s="259">
        <f t="shared" si="131"/>
        <v>0</v>
      </c>
      <c r="AE181" s="259">
        <f t="shared" si="132"/>
        <v>0</v>
      </c>
      <c r="AF181" s="259">
        <f t="shared" si="133"/>
        <v>0</v>
      </c>
      <c r="AG181" s="259">
        <f t="shared" si="134"/>
        <v>0</v>
      </c>
      <c r="AH181" s="259">
        <f t="shared" si="135"/>
        <v>0</v>
      </c>
      <c r="AI181" s="269"/>
    </row>
    <row r="182" spans="1:47" s="2" customFormat="1" x14ac:dyDescent="0.2">
      <c r="A182" s="94" t="str">
        <f t="shared" si="118"/>
        <v>Forested Wetland</v>
      </c>
      <c r="B182" s="201">
        <f t="shared" ref="B182:O182" si="155">$F32*B92</f>
        <v>0</v>
      </c>
      <c r="C182" s="201">
        <f t="shared" si="155"/>
        <v>0</v>
      </c>
      <c r="D182" s="201">
        <f t="shared" si="155"/>
        <v>0</v>
      </c>
      <c r="E182" s="201">
        <f t="shared" si="155"/>
        <v>0</v>
      </c>
      <c r="F182" s="201">
        <f t="shared" si="155"/>
        <v>0</v>
      </c>
      <c r="G182" s="201">
        <f t="shared" si="155"/>
        <v>0</v>
      </c>
      <c r="H182" s="201">
        <f t="shared" si="155"/>
        <v>0</v>
      </c>
      <c r="I182" s="201">
        <f t="shared" si="155"/>
        <v>0</v>
      </c>
      <c r="J182" s="201">
        <f t="shared" si="155"/>
        <v>0</v>
      </c>
      <c r="K182" s="201">
        <f t="shared" si="155"/>
        <v>0</v>
      </c>
      <c r="L182" s="201">
        <f t="shared" si="155"/>
        <v>0</v>
      </c>
      <c r="M182" s="201">
        <f t="shared" si="155"/>
        <v>0</v>
      </c>
      <c r="N182" s="201">
        <f t="shared" si="155"/>
        <v>0</v>
      </c>
      <c r="O182" s="201">
        <f t="shared" si="155"/>
        <v>0</v>
      </c>
      <c r="P182" s="201">
        <f>SUM(B182:O182)</f>
        <v>0</v>
      </c>
      <c r="Q182" s="269"/>
      <c r="R182" s="269"/>
      <c r="S182" s="94" t="str">
        <f t="shared" si="120"/>
        <v>Forested Wetland</v>
      </c>
      <c r="T182" s="259">
        <f t="shared" si="121"/>
        <v>0</v>
      </c>
      <c r="U182" s="259">
        <f t="shared" si="122"/>
        <v>0</v>
      </c>
      <c r="V182" s="259">
        <f t="shared" si="123"/>
        <v>0</v>
      </c>
      <c r="W182" s="259">
        <f t="shared" si="124"/>
        <v>0</v>
      </c>
      <c r="X182" s="259">
        <f t="shared" si="125"/>
        <v>0</v>
      </c>
      <c r="Y182" s="259">
        <f t="shared" si="126"/>
        <v>0</v>
      </c>
      <c r="Z182" s="259">
        <f t="shared" si="127"/>
        <v>0</v>
      </c>
      <c r="AA182" s="259">
        <f t="shared" si="128"/>
        <v>0</v>
      </c>
      <c r="AB182" s="259">
        <f t="shared" si="129"/>
        <v>0</v>
      </c>
      <c r="AC182" s="259">
        <f t="shared" si="130"/>
        <v>0</v>
      </c>
      <c r="AD182" s="259">
        <f t="shared" si="131"/>
        <v>0</v>
      </c>
      <c r="AE182" s="259">
        <f t="shared" si="132"/>
        <v>0</v>
      </c>
      <c r="AF182" s="259">
        <f t="shared" si="133"/>
        <v>0</v>
      </c>
      <c r="AG182" s="259">
        <f t="shared" si="134"/>
        <v>0</v>
      </c>
      <c r="AH182" s="259">
        <f t="shared" si="135"/>
        <v>0</v>
      </c>
      <c r="AI182" s="269"/>
    </row>
    <row r="183" spans="1:47" s="2" customFormat="1" x14ac:dyDescent="0.2">
      <c r="A183" s="94" t="str">
        <f t="shared" si="118"/>
        <v>Brushland/Successional</v>
      </c>
      <c r="B183" s="201">
        <f t="shared" ref="B183:O183" si="156">$F33*B94</f>
        <v>0</v>
      </c>
      <c r="C183" s="201">
        <f t="shared" si="156"/>
        <v>0</v>
      </c>
      <c r="D183" s="201">
        <f t="shared" si="156"/>
        <v>0</v>
      </c>
      <c r="E183" s="201">
        <f t="shared" si="156"/>
        <v>0</v>
      </c>
      <c r="F183" s="201">
        <f t="shared" si="156"/>
        <v>0</v>
      </c>
      <c r="G183" s="201">
        <f t="shared" si="156"/>
        <v>0</v>
      </c>
      <c r="H183" s="201">
        <f t="shared" si="156"/>
        <v>0</v>
      </c>
      <c r="I183" s="201">
        <f t="shared" si="156"/>
        <v>0</v>
      </c>
      <c r="J183" s="201">
        <f t="shared" si="156"/>
        <v>0</v>
      </c>
      <c r="K183" s="201">
        <f t="shared" si="156"/>
        <v>0</v>
      </c>
      <c r="L183" s="201">
        <f t="shared" si="156"/>
        <v>0</v>
      </c>
      <c r="M183" s="201">
        <f t="shared" si="156"/>
        <v>0</v>
      </c>
      <c r="N183" s="201">
        <f t="shared" si="156"/>
        <v>0</v>
      </c>
      <c r="O183" s="201">
        <f t="shared" si="156"/>
        <v>0</v>
      </c>
      <c r="P183" s="201">
        <f>SUM(B183:O183)</f>
        <v>0</v>
      </c>
      <c r="Q183" s="269"/>
      <c r="R183" s="269"/>
      <c r="S183" s="94" t="str">
        <f t="shared" si="120"/>
        <v>Brushland/Successional</v>
      </c>
      <c r="T183" s="259">
        <f t="shared" ref="T183:AH183" si="157">$G33*B94</f>
        <v>0</v>
      </c>
      <c r="U183" s="259">
        <f t="shared" si="157"/>
        <v>0</v>
      </c>
      <c r="V183" s="259">
        <f t="shared" si="157"/>
        <v>0</v>
      </c>
      <c r="W183" s="259">
        <f t="shared" si="157"/>
        <v>0</v>
      </c>
      <c r="X183" s="259">
        <f t="shared" si="157"/>
        <v>0</v>
      </c>
      <c r="Y183" s="259">
        <f t="shared" si="157"/>
        <v>0</v>
      </c>
      <c r="Z183" s="259">
        <f t="shared" si="157"/>
        <v>0</v>
      </c>
      <c r="AA183" s="259">
        <f t="shared" si="157"/>
        <v>0</v>
      </c>
      <c r="AB183" s="259">
        <f t="shared" si="157"/>
        <v>0</v>
      </c>
      <c r="AC183" s="259">
        <f t="shared" si="157"/>
        <v>0</v>
      </c>
      <c r="AD183" s="259">
        <f t="shared" si="157"/>
        <v>0</v>
      </c>
      <c r="AE183" s="259">
        <f t="shared" si="157"/>
        <v>0</v>
      </c>
      <c r="AF183" s="259">
        <f t="shared" si="157"/>
        <v>0</v>
      </c>
      <c r="AG183" s="259">
        <f t="shared" si="157"/>
        <v>0</v>
      </c>
      <c r="AH183" s="259">
        <f t="shared" si="157"/>
        <v>0</v>
      </c>
      <c r="AI183" s="269"/>
    </row>
    <row r="184" spans="1:47" s="2" customFormat="1" x14ac:dyDescent="0.2">
      <c r="A184" s="201" t="str">
        <f>A52</f>
        <v>PS-1</v>
      </c>
      <c r="B184" s="201">
        <f t="shared" ref="B184:P184" si="158">IF(B57=1,($I52),0)</f>
        <v>0</v>
      </c>
      <c r="C184" s="201">
        <f t="shared" si="158"/>
        <v>0</v>
      </c>
      <c r="D184" s="201">
        <f t="shared" si="158"/>
        <v>0</v>
      </c>
      <c r="E184" s="201">
        <f t="shared" si="158"/>
        <v>0</v>
      </c>
      <c r="F184" s="201">
        <f t="shared" si="158"/>
        <v>0</v>
      </c>
      <c r="G184" s="201">
        <f t="shared" si="158"/>
        <v>0</v>
      </c>
      <c r="H184" s="201">
        <f t="shared" si="158"/>
        <v>0</v>
      </c>
      <c r="I184" s="201">
        <f t="shared" si="158"/>
        <v>0</v>
      </c>
      <c r="J184" s="201">
        <f t="shared" si="158"/>
        <v>0</v>
      </c>
      <c r="K184" s="201">
        <f t="shared" si="158"/>
        <v>0</v>
      </c>
      <c r="L184" s="201">
        <f t="shared" si="158"/>
        <v>0</v>
      </c>
      <c r="M184" s="201">
        <f t="shared" si="158"/>
        <v>0</v>
      </c>
      <c r="N184" s="201">
        <f t="shared" si="158"/>
        <v>0</v>
      </c>
      <c r="O184" s="201">
        <f t="shared" si="158"/>
        <v>0</v>
      </c>
      <c r="P184" s="201">
        <f t="shared" si="158"/>
        <v>0</v>
      </c>
      <c r="Q184" s="269"/>
      <c r="R184" s="269"/>
      <c r="S184" s="201" t="str">
        <f>A52</f>
        <v>PS-1</v>
      </c>
      <c r="T184" s="201">
        <f t="shared" ref="T184:AH186" si="159">IF(B57=1,($K52),0)</f>
        <v>0</v>
      </c>
      <c r="U184" s="201">
        <f t="shared" si="159"/>
        <v>0</v>
      </c>
      <c r="V184" s="201">
        <f t="shared" si="159"/>
        <v>0</v>
      </c>
      <c r="W184" s="201">
        <f t="shared" si="159"/>
        <v>0</v>
      </c>
      <c r="X184" s="201">
        <f t="shared" si="159"/>
        <v>0</v>
      </c>
      <c r="Y184" s="201">
        <f t="shared" si="159"/>
        <v>0</v>
      </c>
      <c r="Z184" s="201">
        <f t="shared" si="159"/>
        <v>0</v>
      </c>
      <c r="AA184" s="201">
        <f t="shared" si="159"/>
        <v>0</v>
      </c>
      <c r="AB184" s="201">
        <f t="shared" si="159"/>
        <v>0</v>
      </c>
      <c r="AC184" s="201">
        <f t="shared" si="159"/>
        <v>0</v>
      </c>
      <c r="AD184" s="201">
        <f t="shared" si="159"/>
        <v>0</v>
      </c>
      <c r="AE184" s="201">
        <f t="shared" si="159"/>
        <v>0</v>
      </c>
      <c r="AF184" s="201">
        <f t="shared" si="159"/>
        <v>0</v>
      </c>
      <c r="AG184" s="201">
        <f t="shared" si="159"/>
        <v>0</v>
      </c>
      <c r="AH184" s="201">
        <f t="shared" si="159"/>
        <v>0</v>
      </c>
      <c r="AI184" s="269"/>
    </row>
    <row r="185" spans="1:47" s="2" customFormat="1" x14ac:dyDescent="0.2">
      <c r="A185" s="201" t="str">
        <f t="shared" ref="A185:A186" si="160">A53</f>
        <v>PS-2</v>
      </c>
      <c r="B185" s="201">
        <f t="shared" ref="B185:P185" si="161">IF(B58=1,($I53),0)</f>
        <v>0</v>
      </c>
      <c r="C185" s="201">
        <f t="shared" si="161"/>
        <v>0</v>
      </c>
      <c r="D185" s="201">
        <f t="shared" si="161"/>
        <v>0</v>
      </c>
      <c r="E185" s="201">
        <f t="shared" si="161"/>
        <v>0</v>
      </c>
      <c r="F185" s="201">
        <f t="shared" si="161"/>
        <v>0</v>
      </c>
      <c r="G185" s="201">
        <f t="shared" si="161"/>
        <v>0</v>
      </c>
      <c r="H185" s="201">
        <f t="shared" si="161"/>
        <v>0</v>
      </c>
      <c r="I185" s="201">
        <f t="shared" si="161"/>
        <v>0</v>
      </c>
      <c r="J185" s="201">
        <f t="shared" si="161"/>
        <v>0</v>
      </c>
      <c r="K185" s="201">
        <f t="shared" si="161"/>
        <v>0</v>
      </c>
      <c r="L185" s="201">
        <f t="shared" si="161"/>
        <v>0</v>
      </c>
      <c r="M185" s="201">
        <f t="shared" si="161"/>
        <v>0</v>
      </c>
      <c r="N185" s="201">
        <f t="shared" si="161"/>
        <v>0</v>
      </c>
      <c r="O185" s="201">
        <f t="shared" si="161"/>
        <v>0</v>
      </c>
      <c r="P185" s="201">
        <f t="shared" si="161"/>
        <v>0</v>
      </c>
      <c r="Q185" s="269"/>
      <c r="R185" s="269"/>
      <c r="S185" s="201" t="str">
        <f t="shared" ref="S185:S186" si="162">A53</f>
        <v>PS-2</v>
      </c>
      <c r="T185" s="201">
        <f t="shared" si="159"/>
        <v>0</v>
      </c>
      <c r="U185" s="201">
        <f t="shared" si="159"/>
        <v>0</v>
      </c>
      <c r="V185" s="201">
        <f t="shared" si="159"/>
        <v>0</v>
      </c>
      <c r="W185" s="201">
        <f t="shared" si="159"/>
        <v>0</v>
      </c>
      <c r="X185" s="201">
        <f t="shared" si="159"/>
        <v>0</v>
      </c>
      <c r="Y185" s="201">
        <f t="shared" si="159"/>
        <v>0</v>
      </c>
      <c r="Z185" s="201">
        <f t="shared" si="159"/>
        <v>0</v>
      </c>
      <c r="AA185" s="201">
        <f t="shared" si="159"/>
        <v>0</v>
      </c>
      <c r="AB185" s="201">
        <f t="shared" si="159"/>
        <v>0</v>
      </c>
      <c r="AC185" s="201">
        <f t="shared" si="159"/>
        <v>0</v>
      </c>
      <c r="AD185" s="201">
        <f t="shared" si="159"/>
        <v>0</v>
      </c>
      <c r="AE185" s="201">
        <f t="shared" si="159"/>
        <v>0</v>
      </c>
      <c r="AF185" s="201">
        <f t="shared" si="159"/>
        <v>0</v>
      </c>
      <c r="AG185" s="201">
        <f t="shared" si="159"/>
        <v>0</v>
      </c>
      <c r="AH185" s="201">
        <f t="shared" si="159"/>
        <v>0</v>
      </c>
      <c r="AI185" s="269"/>
    </row>
    <row r="186" spans="1:47" s="2" customFormat="1" x14ac:dyDescent="0.2">
      <c r="A186" s="201" t="str">
        <f t="shared" si="160"/>
        <v>PS-3</v>
      </c>
      <c r="B186" s="201">
        <f t="shared" ref="B186:P186" si="163">IF(B59=1,($I54),0)</f>
        <v>0</v>
      </c>
      <c r="C186" s="201">
        <f t="shared" si="163"/>
        <v>0</v>
      </c>
      <c r="D186" s="201">
        <f t="shared" si="163"/>
        <v>0</v>
      </c>
      <c r="E186" s="201">
        <f t="shared" si="163"/>
        <v>0</v>
      </c>
      <c r="F186" s="201">
        <f t="shared" si="163"/>
        <v>0</v>
      </c>
      <c r="G186" s="201">
        <f t="shared" si="163"/>
        <v>0</v>
      </c>
      <c r="H186" s="201">
        <f t="shared" si="163"/>
        <v>0</v>
      </c>
      <c r="I186" s="201">
        <f t="shared" si="163"/>
        <v>0</v>
      </c>
      <c r="J186" s="201">
        <f t="shared" si="163"/>
        <v>0</v>
      </c>
      <c r="K186" s="201">
        <f t="shared" si="163"/>
        <v>0</v>
      </c>
      <c r="L186" s="201">
        <f t="shared" si="163"/>
        <v>0</v>
      </c>
      <c r="M186" s="201">
        <f t="shared" si="163"/>
        <v>0</v>
      </c>
      <c r="N186" s="201">
        <f t="shared" si="163"/>
        <v>0</v>
      </c>
      <c r="O186" s="201">
        <f t="shared" si="163"/>
        <v>0</v>
      </c>
      <c r="P186" s="201">
        <f t="shared" si="163"/>
        <v>0</v>
      </c>
      <c r="Q186" s="269"/>
      <c r="R186" s="269"/>
      <c r="S186" s="201" t="str">
        <f t="shared" si="162"/>
        <v>PS-3</v>
      </c>
      <c r="T186" s="201">
        <f t="shared" si="159"/>
        <v>0</v>
      </c>
      <c r="U186" s="201">
        <f t="shared" si="159"/>
        <v>0</v>
      </c>
      <c r="V186" s="201">
        <f t="shared" si="159"/>
        <v>0</v>
      </c>
      <c r="W186" s="201">
        <f t="shared" si="159"/>
        <v>0</v>
      </c>
      <c r="X186" s="201">
        <f t="shared" si="159"/>
        <v>0</v>
      </c>
      <c r="Y186" s="201">
        <f t="shared" si="159"/>
        <v>0</v>
      </c>
      <c r="Z186" s="201">
        <f t="shared" si="159"/>
        <v>0</v>
      </c>
      <c r="AA186" s="201">
        <f t="shared" si="159"/>
        <v>0</v>
      </c>
      <c r="AB186" s="201">
        <f t="shared" si="159"/>
        <v>0</v>
      </c>
      <c r="AC186" s="201">
        <f t="shared" si="159"/>
        <v>0</v>
      </c>
      <c r="AD186" s="201">
        <f t="shared" si="159"/>
        <v>0</v>
      </c>
      <c r="AE186" s="201">
        <f t="shared" si="159"/>
        <v>0</v>
      </c>
      <c r="AF186" s="201">
        <f t="shared" si="159"/>
        <v>0</v>
      </c>
      <c r="AG186" s="201">
        <f t="shared" si="159"/>
        <v>0</v>
      </c>
      <c r="AH186" s="201">
        <f t="shared" si="159"/>
        <v>0</v>
      </c>
      <c r="AI186" s="269"/>
    </row>
    <row r="187" spans="1:47" s="2" customFormat="1" x14ac:dyDescent="0.2">
      <c r="Q187" s="269"/>
      <c r="R187" s="269"/>
      <c r="AI187" s="269"/>
    </row>
    <row r="188" spans="1:47" s="2" customFormat="1" ht="20.45" customHeight="1" x14ac:dyDescent="0.2">
      <c r="A188" s="254" t="s">
        <v>94</v>
      </c>
      <c r="B188" s="201">
        <f t="shared" ref="B188:P188" si="164">SUM(B164:B187)</f>
        <v>0</v>
      </c>
      <c r="C188" s="201">
        <f t="shared" si="164"/>
        <v>0</v>
      </c>
      <c r="D188" s="201">
        <f t="shared" si="164"/>
        <v>0</v>
      </c>
      <c r="E188" s="201">
        <f t="shared" si="164"/>
        <v>0</v>
      </c>
      <c r="F188" s="201">
        <f t="shared" si="164"/>
        <v>0</v>
      </c>
      <c r="G188" s="201">
        <f t="shared" si="164"/>
        <v>0</v>
      </c>
      <c r="H188" s="201">
        <f t="shared" si="164"/>
        <v>0</v>
      </c>
      <c r="I188" s="201">
        <f t="shared" si="164"/>
        <v>0</v>
      </c>
      <c r="J188" s="201">
        <f t="shared" si="164"/>
        <v>0</v>
      </c>
      <c r="K188" s="201">
        <f t="shared" si="164"/>
        <v>0</v>
      </c>
      <c r="L188" s="201">
        <f t="shared" si="164"/>
        <v>0</v>
      </c>
      <c r="M188" s="201">
        <f t="shared" si="164"/>
        <v>0</v>
      </c>
      <c r="N188" s="201">
        <f t="shared" si="164"/>
        <v>0</v>
      </c>
      <c r="O188" s="201">
        <f t="shared" si="164"/>
        <v>0</v>
      </c>
      <c r="P188" s="201">
        <f t="shared" si="164"/>
        <v>0</v>
      </c>
      <c r="Q188" s="269"/>
      <c r="R188" s="269"/>
      <c r="S188" s="254" t="s">
        <v>94</v>
      </c>
      <c r="T188" s="201">
        <f t="shared" ref="T188:AH188" si="165">SUM(T164:T187)</f>
        <v>0</v>
      </c>
      <c r="U188" s="201">
        <f t="shared" si="165"/>
        <v>0</v>
      </c>
      <c r="V188" s="201">
        <f t="shared" si="165"/>
        <v>0</v>
      </c>
      <c r="W188" s="201">
        <f t="shared" si="165"/>
        <v>0</v>
      </c>
      <c r="X188" s="201">
        <f t="shared" si="165"/>
        <v>0</v>
      </c>
      <c r="Y188" s="201">
        <f t="shared" si="165"/>
        <v>0</v>
      </c>
      <c r="Z188" s="201">
        <f t="shared" si="165"/>
        <v>0</v>
      </c>
      <c r="AA188" s="201">
        <f t="shared" si="165"/>
        <v>0</v>
      </c>
      <c r="AB188" s="201">
        <f t="shared" si="165"/>
        <v>0</v>
      </c>
      <c r="AC188" s="201">
        <f t="shared" si="165"/>
        <v>0</v>
      </c>
      <c r="AD188" s="201">
        <f t="shared" si="165"/>
        <v>0</v>
      </c>
      <c r="AE188" s="201">
        <f t="shared" si="165"/>
        <v>0</v>
      </c>
      <c r="AF188" s="201">
        <f t="shared" si="165"/>
        <v>0</v>
      </c>
      <c r="AG188" s="201">
        <f t="shared" si="165"/>
        <v>0</v>
      </c>
      <c r="AH188" s="201">
        <f t="shared" si="165"/>
        <v>0</v>
      </c>
      <c r="AI188" s="269"/>
    </row>
    <row r="189" spans="1:47" x14ac:dyDescent="0.2">
      <c r="Q189" s="188"/>
      <c r="R189" s="188"/>
      <c r="S189" s="188"/>
      <c r="T189" s="188"/>
      <c r="U189" s="188"/>
      <c r="V189" s="188"/>
      <c r="W189" s="188"/>
      <c r="X189" s="188"/>
      <c r="Y189" s="188"/>
      <c r="Z189" s="188"/>
      <c r="AA189" s="188"/>
      <c r="AB189" s="188"/>
      <c r="AC189" s="188"/>
      <c r="AD189" s="188"/>
      <c r="AE189" s="188"/>
      <c r="AF189" s="188"/>
      <c r="AG189" s="188"/>
      <c r="AH189" s="188"/>
      <c r="AI189" s="188"/>
    </row>
    <row r="190" spans="1:47" x14ac:dyDescent="0.2">
      <c r="A190" s="21" t="s">
        <v>377</v>
      </c>
    </row>
    <row r="191" spans="1:47" x14ac:dyDescent="0.2">
      <c r="B191" s="100" t="s">
        <v>378</v>
      </c>
      <c r="C191" s="100"/>
      <c r="D191" s="100"/>
      <c r="E191" s="100"/>
      <c r="F191" s="100"/>
      <c r="G191" s="100"/>
      <c r="H191" s="100"/>
      <c r="I191" s="100"/>
      <c r="J191" s="100"/>
      <c r="K191" s="100"/>
      <c r="P191" s="188"/>
      <c r="Q191" s="188"/>
      <c r="R191" s="188"/>
      <c r="S191" s="188"/>
      <c r="T191" s="188"/>
      <c r="U191" s="188"/>
      <c r="V191" s="188"/>
      <c r="W191" s="188"/>
      <c r="X191" s="188"/>
      <c r="Y191" s="188"/>
      <c r="Z191" s="188"/>
      <c r="AA191" s="188"/>
      <c r="AB191" s="188"/>
      <c r="AC191" s="188"/>
      <c r="AD191" s="188"/>
      <c r="AE191" s="188"/>
      <c r="AF191" s="188"/>
      <c r="AG191" s="188"/>
      <c r="AH191" s="188"/>
      <c r="AI191" s="188"/>
      <c r="AJ191" s="188"/>
      <c r="AK191" s="188"/>
      <c r="AL191" s="188"/>
      <c r="AM191" s="188"/>
      <c r="AN191" s="188"/>
      <c r="AO191" s="188"/>
      <c r="AP191" s="188"/>
      <c r="AQ191" s="188"/>
      <c r="AR191" s="188"/>
      <c r="AS191" s="188"/>
      <c r="AT191" s="188"/>
      <c r="AU191" s="188"/>
    </row>
    <row r="192" spans="1:47" x14ac:dyDescent="0.2">
      <c r="A192" s="450" t="s">
        <v>102</v>
      </c>
      <c r="B192" s="75" t="s">
        <v>89</v>
      </c>
      <c r="C192" s="75" t="s">
        <v>90</v>
      </c>
      <c r="D192" s="75" t="s">
        <v>91</v>
      </c>
      <c r="E192" s="75" t="s">
        <v>239</v>
      </c>
      <c r="F192" s="75" t="s">
        <v>240</v>
      </c>
      <c r="G192" s="75" t="s">
        <v>241</v>
      </c>
      <c r="H192" s="75" t="s">
        <v>242</v>
      </c>
      <c r="I192" s="75" t="s">
        <v>243</v>
      </c>
      <c r="J192" s="75" t="s">
        <v>92</v>
      </c>
      <c r="K192" s="75" t="s">
        <v>244</v>
      </c>
      <c r="L192" s="75" t="s">
        <v>429</v>
      </c>
      <c r="M192" s="75" t="s">
        <v>430</v>
      </c>
      <c r="N192" s="75" t="s">
        <v>431</v>
      </c>
      <c r="O192" s="75" t="s">
        <v>432</v>
      </c>
      <c r="P192" s="188"/>
      <c r="Q192" s="188"/>
      <c r="R192" s="188"/>
      <c r="S192" s="188"/>
      <c r="T192" s="188"/>
      <c r="U192" s="188"/>
      <c r="V192" s="188"/>
      <c r="W192" s="188"/>
      <c r="X192" s="188"/>
      <c r="Y192" s="188"/>
      <c r="Z192" s="188"/>
      <c r="AA192" s="188"/>
      <c r="AB192" s="188"/>
      <c r="AC192" s="188"/>
      <c r="AD192" s="188"/>
      <c r="AE192" s="188"/>
      <c r="AF192" s="188"/>
      <c r="AG192" s="188"/>
      <c r="AH192" s="188"/>
      <c r="AI192" s="188"/>
      <c r="AJ192" s="188"/>
      <c r="AK192" s="188"/>
      <c r="AL192" s="188"/>
      <c r="AM192" s="188"/>
      <c r="AN192" s="188"/>
      <c r="AO192" s="188"/>
      <c r="AP192" s="188"/>
      <c r="AQ192" s="188"/>
      <c r="AR192" s="188"/>
      <c r="AS192" s="188"/>
      <c r="AT192" s="188"/>
      <c r="AU192" s="188"/>
    </row>
    <row r="193" spans="1:47" x14ac:dyDescent="0.2">
      <c r="A193" s="451"/>
      <c r="B193" s="76" t="str">
        <f t="shared" ref="B193:O193" si="166">B162</f>
        <v>Watershed 1</v>
      </c>
      <c r="C193" s="76" t="str">
        <f t="shared" si="166"/>
        <v>Watershed 2</v>
      </c>
      <c r="D193" s="76" t="str">
        <f t="shared" si="166"/>
        <v>Watershed 3</v>
      </c>
      <c r="E193" s="76" t="str">
        <f t="shared" si="166"/>
        <v>Watershed 4</v>
      </c>
      <c r="F193" s="76" t="str">
        <f t="shared" si="166"/>
        <v>Watershed 5</v>
      </c>
      <c r="G193" s="76" t="str">
        <f t="shared" si="166"/>
        <v>Watershed 6</v>
      </c>
      <c r="H193" s="76" t="str">
        <f t="shared" si="166"/>
        <v>Watershed 7</v>
      </c>
      <c r="I193" s="76" t="str">
        <f t="shared" si="166"/>
        <v>Watershed 8</v>
      </c>
      <c r="J193" s="76" t="str">
        <f t="shared" si="166"/>
        <v>Watershed 9</v>
      </c>
      <c r="K193" s="76" t="str">
        <f t="shared" si="166"/>
        <v>Watershed 10</v>
      </c>
      <c r="L193" s="76" t="str">
        <f t="shared" si="166"/>
        <v>Watershed 11</v>
      </c>
      <c r="M193" s="76" t="str">
        <f t="shared" si="166"/>
        <v>Watershed 12</v>
      </c>
      <c r="N193" s="76" t="str">
        <f t="shared" si="166"/>
        <v>Watershed 13</v>
      </c>
      <c r="O193" s="76" t="str">
        <f t="shared" si="166"/>
        <v>Watershed 14</v>
      </c>
      <c r="P193" s="234"/>
      <c r="Q193" s="234"/>
      <c r="R193" s="234"/>
      <c r="S193" s="234"/>
      <c r="T193" s="234"/>
      <c r="U193" s="234"/>
      <c r="V193" s="234"/>
      <c r="W193" s="196"/>
      <c r="X193" s="196"/>
      <c r="Y193" s="196"/>
      <c r="Z193" s="196"/>
      <c r="AA193" s="188"/>
      <c r="AB193" s="188"/>
      <c r="AC193" s="188"/>
      <c r="AD193" s="188"/>
      <c r="AE193" s="188"/>
      <c r="AF193" s="188"/>
      <c r="AG193" s="188"/>
      <c r="AH193" s="188"/>
      <c r="AI193" s="188"/>
      <c r="AJ193" s="188"/>
      <c r="AK193" s="188"/>
      <c r="AL193" s="188"/>
      <c r="AM193" s="188"/>
      <c r="AN193" s="188"/>
      <c r="AO193" s="188"/>
      <c r="AP193" s="188"/>
      <c r="AQ193" s="188"/>
      <c r="AR193" s="188"/>
      <c r="AS193" s="188"/>
      <c r="AT193" s="188"/>
      <c r="AU193" s="188"/>
    </row>
    <row r="194" spans="1:47" x14ac:dyDescent="0.2">
      <c r="A194" s="452"/>
      <c r="B194" s="77" t="s">
        <v>98</v>
      </c>
      <c r="C194" s="77" t="s">
        <v>98</v>
      </c>
      <c r="D194" s="77" t="s">
        <v>98</v>
      </c>
      <c r="E194" s="77" t="s">
        <v>98</v>
      </c>
      <c r="F194" s="77" t="s">
        <v>98</v>
      </c>
      <c r="G194" s="77" t="s">
        <v>98</v>
      </c>
      <c r="H194" s="77" t="s">
        <v>98</v>
      </c>
      <c r="I194" s="77" t="s">
        <v>98</v>
      </c>
      <c r="J194" s="77" t="s">
        <v>98</v>
      </c>
      <c r="K194" s="77" t="s">
        <v>98</v>
      </c>
      <c r="L194" s="77" t="s">
        <v>98</v>
      </c>
      <c r="M194" s="77" t="s">
        <v>98</v>
      </c>
      <c r="N194" s="77" t="s">
        <v>98</v>
      </c>
      <c r="O194" s="77" t="s">
        <v>98</v>
      </c>
      <c r="P194" s="188"/>
      <c r="Q194" s="188"/>
      <c r="R194" s="188"/>
      <c r="S194" s="188"/>
      <c r="T194" s="188"/>
      <c r="U194" s="188"/>
      <c r="V194" s="188"/>
      <c r="W194" s="188"/>
      <c r="X194" s="188"/>
      <c r="Y194" s="188"/>
      <c r="Z194" s="188"/>
      <c r="AA194" s="188"/>
      <c r="AB194" s="188"/>
      <c r="AC194" s="188"/>
      <c r="AD194" s="188"/>
      <c r="AE194" s="188"/>
      <c r="AF194" s="188"/>
      <c r="AG194" s="188"/>
      <c r="AH194" s="188"/>
      <c r="AI194" s="188"/>
      <c r="AJ194" s="188"/>
      <c r="AK194" s="188"/>
      <c r="AL194" s="188"/>
      <c r="AM194" s="188"/>
      <c r="AN194" s="188"/>
      <c r="AO194" s="188"/>
      <c r="AP194" s="188"/>
      <c r="AQ194" s="188"/>
      <c r="AR194" s="188"/>
      <c r="AS194" s="188"/>
      <c r="AT194" s="188"/>
      <c r="AU194" s="188"/>
    </row>
    <row r="195" spans="1:47" x14ac:dyDescent="0.2">
      <c r="A195" s="94" t="s">
        <v>103</v>
      </c>
      <c r="B195" s="131">
        <v>1</v>
      </c>
      <c r="C195" s="131">
        <v>1</v>
      </c>
      <c r="D195" s="131">
        <v>1</v>
      </c>
      <c r="E195" s="131">
        <v>1</v>
      </c>
      <c r="F195" s="131">
        <v>1</v>
      </c>
      <c r="G195" s="131">
        <v>1</v>
      </c>
      <c r="H195" s="131">
        <v>1</v>
      </c>
      <c r="I195" s="131">
        <v>1</v>
      </c>
      <c r="J195" s="131">
        <v>1</v>
      </c>
      <c r="K195" s="131">
        <v>1</v>
      </c>
      <c r="L195" s="131">
        <v>1</v>
      </c>
      <c r="M195" s="131">
        <v>1</v>
      </c>
      <c r="N195" s="131">
        <v>1</v>
      </c>
      <c r="O195" s="131">
        <v>1</v>
      </c>
      <c r="P195" s="188"/>
      <c r="Q195" s="188"/>
      <c r="R195" s="188"/>
      <c r="S195" s="188"/>
      <c r="T195" s="188"/>
      <c r="U195" s="188"/>
      <c r="V195" s="188"/>
      <c r="W195" s="188"/>
      <c r="X195" s="188"/>
      <c r="Y195" s="188"/>
      <c r="Z195" s="188"/>
      <c r="AA195" s="188"/>
      <c r="AB195" s="188"/>
      <c r="AC195" s="188"/>
      <c r="AD195" s="188"/>
      <c r="AE195" s="188"/>
      <c r="AF195" s="188"/>
      <c r="AG195" s="188"/>
      <c r="AH195" s="188"/>
      <c r="AI195" s="188"/>
      <c r="AJ195" s="188"/>
      <c r="AK195" s="188"/>
      <c r="AL195" s="188"/>
      <c r="AM195" s="188"/>
      <c r="AN195" s="188"/>
      <c r="AO195" s="188"/>
      <c r="AP195" s="188"/>
      <c r="AQ195" s="188"/>
      <c r="AR195" s="188"/>
      <c r="AS195" s="188"/>
      <c r="AT195" s="188"/>
      <c r="AU195" s="188"/>
    </row>
    <row r="196" spans="1:47" x14ac:dyDescent="0.2">
      <c r="A196" s="94" t="s">
        <v>104</v>
      </c>
      <c r="B196" s="131" t="s">
        <v>105</v>
      </c>
      <c r="C196" s="187">
        <v>0</v>
      </c>
      <c r="D196" s="187">
        <v>0</v>
      </c>
      <c r="E196" s="187">
        <v>0</v>
      </c>
      <c r="F196" s="187">
        <v>0</v>
      </c>
      <c r="G196" s="187">
        <v>0</v>
      </c>
      <c r="H196" s="187">
        <v>0</v>
      </c>
      <c r="I196" s="187">
        <v>0</v>
      </c>
      <c r="J196" s="187">
        <v>0</v>
      </c>
      <c r="K196" s="187">
        <v>0</v>
      </c>
      <c r="L196" s="187">
        <v>0</v>
      </c>
      <c r="M196" s="187">
        <v>0</v>
      </c>
      <c r="N196" s="187">
        <v>0</v>
      </c>
      <c r="O196" s="187">
        <v>0</v>
      </c>
      <c r="P196" s="188"/>
      <c r="Q196" s="188"/>
      <c r="R196" s="188"/>
      <c r="S196" s="188"/>
      <c r="T196" s="188"/>
      <c r="U196" s="188"/>
      <c r="V196" s="188"/>
      <c r="W196" s="188"/>
      <c r="X196" s="188"/>
      <c r="Y196" s="188"/>
      <c r="Z196" s="188"/>
      <c r="AA196" s="188"/>
      <c r="AB196" s="188"/>
      <c r="AC196" s="188"/>
      <c r="AD196" s="188"/>
      <c r="AE196" s="188"/>
      <c r="AF196" s="188"/>
      <c r="AG196" s="188"/>
      <c r="AH196" s="188"/>
      <c r="AI196" s="188"/>
      <c r="AJ196" s="188"/>
      <c r="AK196" s="188"/>
      <c r="AL196" s="188"/>
      <c r="AM196" s="188"/>
      <c r="AN196" s="188"/>
      <c r="AO196" s="188"/>
      <c r="AP196" s="188"/>
      <c r="AQ196" s="188"/>
      <c r="AR196" s="188"/>
      <c r="AS196" s="188"/>
      <c r="AT196" s="188"/>
      <c r="AU196" s="188"/>
    </row>
    <row r="197" spans="1:47" x14ac:dyDescent="0.2">
      <c r="A197" s="94" t="s">
        <v>106</v>
      </c>
      <c r="B197" s="187">
        <v>0</v>
      </c>
      <c r="C197" s="131" t="s">
        <v>105</v>
      </c>
      <c r="D197" s="187">
        <v>0</v>
      </c>
      <c r="E197" s="187">
        <v>0</v>
      </c>
      <c r="F197" s="187">
        <v>0</v>
      </c>
      <c r="G197" s="187">
        <v>0</v>
      </c>
      <c r="H197" s="187">
        <v>0</v>
      </c>
      <c r="I197" s="187">
        <v>0</v>
      </c>
      <c r="J197" s="187">
        <v>0</v>
      </c>
      <c r="K197" s="187">
        <v>0</v>
      </c>
      <c r="L197" s="187">
        <v>0</v>
      </c>
      <c r="M197" s="187">
        <v>0</v>
      </c>
      <c r="N197" s="187">
        <v>0</v>
      </c>
      <c r="O197" s="187">
        <v>0</v>
      </c>
      <c r="P197" s="188"/>
      <c r="Q197" s="188"/>
      <c r="R197" s="188"/>
      <c r="S197" s="188"/>
      <c r="T197" s="188"/>
      <c r="U197" s="188"/>
      <c r="V197" s="188"/>
      <c r="W197" s="188"/>
      <c r="X197" s="188"/>
      <c r="Y197" s="188"/>
      <c r="Z197" s="188"/>
      <c r="AA197" s="188"/>
      <c r="AB197" s="188"/>
      <c r="AC197" s="188"/>
      <c r="AD197" s="188"/>
      <c r="AE197" s="188"/>
      <c r="AF197" s="188"/>
      <c r="AG197" s="188"/>
      <c r="AH197" s="188"/>
      <c r="AI197" s="188"/>
      <c r="AJ197" s="188"/>
      <c r="AK197" s="188"/>
      <c r="AL197" s="188"/>
      <c r="AM197" s="188"/>
      <c r="AN197" s="188"/>
      <c r="AO197" s="188"/>
      <c r="AP197" s="188"/>
      <c r="AQ197" s="188"/>
      <c r="AR197" s="188"/>
      <c r="AS197" s="188"/>
      <c r="AT197" s="188"/>
      <c r="AU197" s="188"/>
    </row>
    <row r="198" spans="1:47" x14ac:dyDescent="0.2">
      <c r="A198" s="94" t="s">
        <v>107</v>
      </c>
      <c r="B198" s="187">
        <v>0</v>
      </c>
      <c r="C198" s="187">
        <v>0</v>
      </c>
      <c r="D198" s="131" t="s">
        <v>105</v>
      </c>
      <c r="E198" s="187">
        <v>0</v>
      </c>
      <c r="F198" s="187">
        <v>0</v>
      </c>
      <c r="G198" s="187">
        <v>0</v>
      </c>
      <c r="H198" s="187">
        <v>0</v>
      </c>
      <c r="I198" s="187">
        <v>0</v>
      </c>
      <c r="J198" s="187">
        <v>0</v>
      </c>
      <c r="K198" s="187">
        <v>0</v>
      </c>
      <c r="L198" s="187">
        <v>0</v>
      </c>
      <c r="M198" s="187">
        <v>0</v>
      </c>
      <c r="N198" s="187">
        <v>0</v>
      </c>
      <c r="O198" s="187">
        <v>0</v>
      </c>
      <c r="P198" s="188"/>
      <c r="Q198" s="188"/>
      <c r="R198" s="188"/>
      <c r="S198" s="188"/>
      <c r="T198" s="188"/>
      <c r="U198" s="188"/>
      <c r="V198" s="188"/>
      <c r="W198" s="188"/>
      <c r="X198" s="188"/>
      <c r="Y198" s="188"/>
      <c r="Z198" s="188"/>
      <c r="AA198" s="188"/>
      <c r="AB198" s="188"/>
      <c r="AC198" s="188"/>
      <c r="AD198" s="188"/>
      <c r="AE198" s="188"/>
      <c r="AF198" s="188"/>
      <c r="AG198" s="188"/>
      <c r="AH198" s="188"/>
      <c r="AI198" s="188"/>
      <c r="AJ198" s="188"/>
      <c r="AK198" s="188"/>
      <c r="AL198" s="188"/>
      <c r="AM198" s="188"/>
      <c r="AN198" s="188"/>
      <c r="AO198" s="188"/>
      <c r="AP198" s="188"/>
      <c r="AQ198" s="188"/>
      <c r="AR198" s="188"/>
      <c r="AS198" s="188"/>
      <c r="AT198" s="188"/>
      <c r="AU198" s="188"/>
    </row>
    <row r="199" spans="1:47" x14ac:dyDescent="0.2">
      <c r="A199" s="94" t="s">
        <v>108</v>
      </c>
      <c r="B199" s="187">
        <v>0</v>
      </c>
      <c r="C199" s="187">
        <v>0</v>
      </c>
      <c r="D199" s="187">
        <v>0</v>
      </c>
      <c r="E199" s="131" t="s">
        <v>105</v>
      </c>
      <c r="F199" s="187">
        <v>0</v>
      </c>
      <c r="G199" s="187">
        <v>0</v>
      </c>
      <c r="H199" s="187">
        <v>0</v>
      </c>
      <c r="I199" s="187">
        <v>0</v>
      </c>
      <c r="J199" s="187">
        <v>0</v>
      </c>
      <c r="K199" s="187">
        <v>0</v>
      </c>
      <c r="L199" s="187">
        <v>0</v>
      </c>
      <c r="M199" s="187">
        <v>0</v>
      </c>
      <c r="N199" s="187">
        <v>0</v>
      </c>
      <c r="O199" s="187">
        <v>0</v>
      </c>
      <c r="P199" s="188"/>
      <c r="Q199" s="188"/>
      <c r="R199" s="188"/>
      <c r="S199" s="188"/>
      <c r="T199" s="188"/>
      <c r="U199" s="188"/>
      <c r="V199" s="188"/>
      <c r="W199" s="188"/>
      <c r="X199" s="188"/>
      <c r="Y199" s="188"/>
      <c r="Z199" s="188"/>
      <c r="AA199" s="188"/>
      <c r="AB199" s="188"/>
      <c r="AC199" s="188"/>
      <c r="AD199" s="188"/>
      <c r="AE199" s="188"/>
      <c r="AF199" s="188"/>
      <c r="AG199" s="188"/>
      <c r="AH199" s="188"/>
      <c r="AI199" s="188"/>
      <c r="AJ199" s="188"/>
      <c r="AK199" s="188"/>
      <c r="AL199" s="188"/>
      <c r="AM199" s="188"/>
      <c r="AN199" s="188"/>
      <c r="AO199" s="188"/>
      <c r="AP199" s="188"/>
      <c r="AQ199" s="188"/>
      <c r="AR199" s="188"/>
      <c r="AS199" s="188"/>
      <c r="AT199" s="188"/>
      <c r="AU199" s="188"/>
    </row>
    <row r="200" spans="1:47" x14ac:dyDescent="0.2">
      <c r="A200" s="94" t="s">
        <v>109</v>
      </c>
      <c r="B200" s="187">
        <v>0</v>
      </c>
      <c r="C200" s="187">
        <v>0</v>
      </c>
      <c r="D200" s="187">
        <v>0</v>
      </c>
      <c r="E200" s="187">
        <v>0</v>
      </c>
      <c r="F200" s="131" t="s">
        <v>105</v>
      </c>
      <c r="G200" s="187">
        <v>0</v>
      </c>
      <c r="H200" s="187">
        <v>0</v>
      </c>
      <c r="I200" s="187">
        <v>0</v>
      </c>
      <c r="J200" s="187">
        <v>0</v>
      </c>
      <c r="K200" s="187">
        <v>0</v>
      </c>
      <c r="L200" s="187">
        <v>0</v>
      </c>
      <c r="M200" s="187">
        <v>0</v>
      </c>
      <c r="N200" s="187">
        <v>0</v>
      </c>
      <c r="O200" s="187">
        <v>0</v>
      </c>
      <c r="P200" s="188"/>
      <c r="Q200" s="188"/>
      <c r="R200" s="188"/>
      <c r="S200" s="188"/>
      <c r="T200" s="188"/>
      <c r="U200" s="188"/>
      <c r="V200" s="188"/>
      <c r="W200" s="188"/>
      <c r="X200" s="188"/>
      <c r="Y200" s="188"/>
      <c r="Z200" s="188"/>
      <c r="AA200" s="188"/>
      <c r="AB200" s="188"/>
      <c r="AC200" s="188"/>
      <c r="AD200" s="188"/>
      <c r="AE200" s="188"/>
      <c r="AF200" s="188"/>
      <c r="AG200" s="188"/>
      <c r="AH200" s="188"/>
      <c r="AI200" s="188"/>
      <c r="AJ200" s="188"/>
      <c r="AK200" s="188"/>
      <c r="AL200" s="188"/>
      <c r="AM200" s="188"/>
      <c r="AN200" s="188"/>
      <c r="AO200" s="188"/>
      <c r="AP200" s="188"/>
      <c r="AQ200" s="188"/>
      <c r="AR200" s="188"/>
      <c r="AS200" s="188"/>
      <c r="AT200" s="188"/>
      <c r="AU200" s="188"/>
    </row>
    <row r="201" spans="1:47" x14ac:dyDescent="0.2">
      <c r="A201" s="94" t="s">
        <v>110</v>
      </c>
      <c r="B201" s="187">
        <v>0</v>
      </c>
      <c r="C201" s="187">
        <v>0</v>
      </c>
      <c r="D201" s="187">
        <v>0</v>
      </c>
      <c r="E201" s="187">
        <v>0</v>
      </c>
      <c r="F201" s="187">
        <v>0</v>
      </c>
      <c r="G201" s="131" t="s">
        <v>105</v>
      </c>
      <c r="H201" s="187">
        <v>0</v>
      </c>
      <c r="I201" s="187">
        <v>0</v>
      </c>
      <c r="J201" s="187">
        <v>0</v>
      </c>
      <c r="K201" s="187">
        <v>0</v>
      </c>
      <c r="L201" s="187">
        <v>0</v>
      </c>
      <c r="M201" s="187">
        <v>0</v>
      </c>
      <c r="N201" s="187">
        <v>0</v>
      </c>
      <c r="O201" s="187">
        <v>0</v>
      </c>
      <c r="P201" s="188"/>
      <c r="Q201" s="188"/>
      <c r="R201" s="188"/>
      <c r="S201" s="188"/>
      <c r="T201" s="188"/>
      <c r="U201" s="188"/>
      <c r="V201" s="188"/>
      <c r="W201" s="188"/>
      <c r="X201" s="188"/>
      <c r="Y201" s="188"/>
      <c r="Z201" s="188"/>
      <c r="AA201" s="188"/>
      <c r="AB201" s="188"/>
      <c r="AC201" s="188"/>
      <c r="AD201" s="188"/>
      <c r="AE201" s="188"/>
      <c r="AF201" s="188"/>
      <c r="AG201" s="188"/>
      <c r="AH201" s="188"/>
      <c r="AI201" s="188"/>
      <c r="AJ201" s="188"/>
      <c r="AK201" s="188"/>
      <c r="AL201" s="188"/>
      <c r="AM201" s="188"/>
      <c r="AN201" s="188"/>
      <c r="AO201" s="188"/>
      <c r="AP201" s="188"/>
      <c r="AQ201" s="188"/>
      <c r="AR201" s="188"/>
      <c r="AS201" s="188"/>
      <c r="AT201" s="188"/>
      <c r="AU201" s="188"/>
    </row>
    <row r="202" spans="1:47" x14ac:dyDescent="0.2">
      <c r="A202" s="94" t="s">
        <v>111</v>
      </c>
      <c r="B202" s="187">
        <v>0</v>
      </c>
      <c r="C202" s="187">
        <v>0</v>
      </c>
      <c r="D202" s="187">
        <v>0</v>
      </c>
      <c r="E202" s="187">
        <v>0</v>
      </c>
      <c r="F202" s="187">
        <v>0</v>
      </c>
      <c r="G202" s="187">
        <v>0</v>
      </c>
      <c r="H202" s="131" t="s">
        <v>105</v>
      </c>
      <c r="I202" s="187">
        <v>0</v>
      </c>
      <c r="J202" s="187">
        <v>0</v>
      </c>
      <c r="K202" s="187">
        <v>0</v>
      </c>
      <c r="L202" s="187">
        <v>0</v>
      </c>
      <c r="M202" s="187">
        <v>0</v>
      </c>
      <c r="N202" s="187">
        <v>0</v>
      </c>
      <c r="O202" s="187">
        <v>0</v>
      </c>
      <c r="P202" s="188"/>
      <c r="Q202" s="188"/>
      <c r="R202" s="188"/>
      <c r="S202" s="188"/>
      <c r="T202" s="188"/>
      <c r="U202" s="188"/>
      <c r="V202" s="188"/>
      <c r="W202" s="188"/>
      <c r="X202" s="188"/>
      <c r="Y202" s="188"/>
      <c r="Z202" s="188"/>
      <c r="AA202" s="188"/>
      <c r="AB202" s="188"/>
      <c r="AC202" s="188"/>
      <c r="AD202" s="188"/>
      <c r="AE202" s="188"/>
      <c r="AF202" s="188"/>
      <c r="AG202" s="188"/>
      <c r="AH202" s="188"/>
      <c r="AI202" s="188"/>
      <c r="AJ202" s="188"/>
      <c r="AK202" s="188"/>
      <c r="AL202" s="188"/>
      <c r="AM202" s="188"/>
      <c r="AN202" s="188"/>
      <c r="AO202" s="188"/>
      <c r="AP202" s="188"/>
      <c r="AQ202" s="188"/>
      <c r="AR202" s="188"/>
      <c r="AS202" s="188"/>
      <c r="AT202" s="188"/>
      <c r="AU202" s="188"/>
    </row>
    <row r="203" spans="1:47" x14ac:dyDescent="0.2">
      <c r="A203" s="94" t="s">
        <v>112</v>
      </c>
      <c r="B203" s="187">
        <v>0</v>
      </c>
      <c r="C203" s="187">
        <v>0</v>
      </c>
      <c r="D203" s="187">
        <v>0</v>
      </c>
      <c r="E203" s="187">
        <v>0</v>
      </c>
      <c r="F203" s="187">
        <v>0</v>
      </c>
      <c r="G203" s="187">
        <v>0</v>
      </c>
      <c r="H203" s="187">
        <v>0</v>
      </c>
      <c r="I203" s="131" t="s">
        <v>105</v>
      </c>
      <c r="J203" s="187">
        <v>0</v>
      </c>
      <c r="K203" s="187">
        <v>0</v>
      </c>
      <c r="L203" s="187">
        <v>0</v>
      </c>
      <c r="M203" s="187">
        <v>0</v>
      </c>
      <c r="N203" s="187">
        <v>0</v>
      </c>
      <c r="O203" s="187">
        <v>0</v>
      </c>
      <c r="P203" s="188"/>
      <c r="Q203" s="188"/>
      <c r="R203" s="188"/>
      <c r="S203" s="188"/>
      <c r="T203" s="188"/>
      <c r="U203" s="188"/>
      <c r="V203" s="188"/>
      <c r="W203" s="188"/>
      <c r="X203" s="188"/>
      <c r="Y203" s="188"/>
      <c r="Z203" s="188"/>
      <c r="AA203" s="188"/>
      <c r="AB203" s="188"/>
      <c r="AC203" s="188"/>
      <c r="AD203" s="188"/>
      <c r="AE203" s="188"/>
      <c r="AF203" s="188"/>
      <c r="AG203" s="188"/>
      <c r="AH203" s="188"/>
      <c r="AI203" s="188"/>
      <c r="AJ203" s="188"/>
      <c r="AK203" s="188"/>
      <c r="AL203" s="188"/>
      <c r="AM203" s="188"/>
      <c r="AN203" s="188"/>
      <c r="AO203" s="188"/>
      <c r="AP203" s="188"/>
      <c r="AQ203" s="188"/>
      <c r="AR203" s="188"/>
      <c r="AS203" s="188"/>
      <c r="AT203" s="188"/>
      <c r="AU203" s="188"/>
    </row>
    <row r="204" spans="1:47" x14ac:dyDescent="0.2">
      <c r="A204" s="94" t="s">
        <v>113</v>
      </c>
      <c r="B204" s="187">
        <v>0</v>
      </c>
      <c r="C204" s="187">
        <v>0</v>
      </c>
      <c r="D204" s="187">
        <v>0</v>
      </c>
      <c r="E204" s="187">
        <v>0</v>
      </c>
      <c r="F204" s="187">
        <v>0</v>
      </c>
      <c r="G204" s="187">
        <v>0</v>
      </c>
      <c r="H204" s="187">
        <v>0</v>
      </c>
      <c r="I204" s="187">
        <v>0</v>
      </c>
      <c r="J204" s="131" t="s">
        <v>105</v>
      </c>
      <c r="K204" s="187">
        <v>0</v>
      </c>
      <c r="L204" s="187">
        <v>0</v>
      </c>
      <c r="M204" s="187">
        <v>0</v>
      </c>
      <c r="N204" s="187">
        <v>0</v>
      </c>
      <c r="O204" s="187">
        <v>0</v>
      </c>
      <c r="P204" s="188"/>
      <c r="Q204" s="188"/>
      <c r="R204" s="188"/>
      <c r="S204" s="188"/>
      <c r="T204" s="188"/>
      <c r="U204" s="188"/>
      <c r="V204" s="188"/>
      <c r="W204" s="188"/>
      <c r="X204" s="188"/>
      <c r="Y204" s="188"/>
      <c r="Z204" s="188"/>
      <c r="AA204" s="188"/>
      <c r="AB204" s="188"/>
      <c r="AC204" s="188"/>
      <c r="AD204" s="188"/>
      <c r="AE204" s="188"/>
      <c r="AF204" s="188"/>
      <c r="AG204" s="188"/>
      <c r="AH204" s="188"/>
      <c r="AI204" s="188"/>
      <c r="AJ204" s="188"/>
      <c r="AK204" s="188"/>
      <c r="AL204" s="188"/>
      <c r="AM204" s="188"/>
      <c r="AN204" s="188"/>
      <c r="AO204" s="188"/>
      <c r="AP204" s="188"/>
      <c r="AQ204" s="188"/>
      <c r="AR204" s="188"/>
      <c r="AS204" s="188"/>
      <c r="AT204" s="188"/>
      <c r="AU204" s="188"/>
    </row>
    <row r="205" spans="1:47" x14ac:dyDescent="0.2">
      <c r="A205" s="94" t="s">
        <v>114</v>
      </c>
      <c r="B205" s="187">
        <v>0</v>
      </c>
      <c r="C205" s="187">
        <v>0</v>
      </c>
      <c r="D205" s="187">
        <v>0</v>
      </c>
      <c r="E205" s="187">
        <v>0</v>
      </c>
      <c r="F205" s="187">
        <v>0</v>
      </c>
      <c r="G205" s="187">
        <v>0</v>
      </c>
      <c r="H205" s="187">
        <v>0</v>
      </c>
      <c r="I205" s="187">
        <v>0</v>
      </c>
      <c r="J205" s="187">
        <v>0</v>
      </c>
      <c r="K205" s="131" t="s">
        <v>105</v>
      </c>
      <c r="L205" s="187">
        <v>0</v>
      </c>
      <c r="M205" s="187">
        <v>0</v>
      </c>
      <c r="N205" s="187">
        <v>0</v>
      </c>
      <c r="O205" s="187">
        <v>0</v>
      </c>
      <c r="P205" s="188"/>
      <c r="Q205" s="188"/>
      <c r="R205" s="188"/>
      <c r="S205" s="188"/>
      <c r="T205" s="188"/>
      <c r="U205" s="188"/>
      <c r="V205" s="188"/>
      <c r="W205" s="188"/>
      <c r="X205" s="188"/>
      <c r="Y205" s="188"/>
      <c r="Z205" s="188"/>
      <c r="AA205" s="188"/>
      <c r="AB205" s="188"/>
      <c r="AC205" s="188"/>
      <c r="AD205" s="188"/>
      <c r="AE205" s="188"/>
      <c r="AF205" s="188"/>
      <c r="AG205" s="188"/>
      <c r="AH205" s="188"/>
      <c r="AI205" s="188"/>
      <c r="AJ205" s="188"/>
      <c r="AK205" s="188"/>
      <c r="AL205" s="188"/>
      <c r="AM205" s="188"/>
      <c r="AN205" s="188"/>
      <c r="AO205" s="188"/>
      <c r="AP205" s="188"/>
      <c r="AQ205" s="188"/>
      <c r="AR205" s="188"/>
      <c r="AS205" s="188"/>
      <c r="AT205" s="188"/>
      <c r="AU205" s="188"/>
    </row>
    <row r="206" spans="1:47" x14ac:dyDescent="0.2">
      <c r="A206" s="94" t="s">
        <v>435</v>
      </c>
      <c r="B206" s="187">
        <v>0</v>
      </c>
      <c r="C206" s="187">
        <v>0</v>
      </c>
      <c r="D206" s="187">
        <v>0</v>
      </c>
      <c r="E206" s="187">
        <v>0</v>
      </c>
      <c r="F206" s="187">
        <v>0</v>
      </c>
      <c r="G206" s="187">
        <v>0</v>
      </c>
      <c r="H206" s="187">
        <v>0</v>
      </c>
      <c r="I206" s="187">
        <v>0</v>
      </c>
      <c r="J206" s="187">
        <v>0</v>
      </c>
      <c r="K206" s="187">
        <v>0</v>
      </c>
      <c r="L206" t="s">
        <v>105</v>
      </c>
      <c r="M206" s="187">
        <v>0</v>
      </c>
      <c r="N206" s="187">
        <v>0</v>
      </c>
      <c r="O206" s="187">
        <v>0</v>
      </c>
      <c r="P206" s="196"/>
      <c r="Q206" s="188"/>
      <c r="R206" s="188"/>
      <c r="S206" s="188"/>
      <c r="T206" s="188"/>
      <c r="U206" s="188"/>
      <c r="V206" s="188"/>
      <c r="W206" s="188"/>
      <c r="X206" s="188"/>
      <c r="Y206" s="188"/>
      <c r="Z206" s="188"/>
      <c r="AA206" s="188"/>
      <c r="AB206" s="188"/>
      <c r="AC206" s="188"/>
      <c r="AD206" s="188"/>
      <c r="AE206" s="188"/>
      <c r="AF206" s="188"/>
      <c r="AG206" s="188"/>
      <c r="AH206" s="188"/>
      <c r="AI206" s="188"/>
      <c r="AJ206" s="188"/>
      <c r="AK206" s="188"/>
      <c r="AL206" s="188"/>
      <c r="AM206" s="188"/>
      <c r="AN206" s="188"/>
      <c r="AO206" s="188"/>
      <c r="AP206" s="188"/>
      <c r="AQ206" s="188"/>
      <c r="AR206" s="188"/>
      <c r="AS206" s="188"/>
      <c r="AT206" s="188"/>
      <c r="AU206" s="188"/>
    </row>
    <row r="207" spans="1:47" x14ac:dyDescent="0.2">
      <c r="A207" s="94" t="s">
        <v>436</v>
      </c>
      <c r="B207" s="187">
        <v>0</v>
      </c>
      <c r="C207" s="187">
        <v>0</v>
      </c>
      <c r="D207" s="187">
        <v>0</v>
      </c>
      <c r="E207" s="187">
        <v>0</v>
      </c>
      <c r="F207" s="187">
        <v>0</v>
      </c>
      <c r="G207" s="187">
        <v>0</v>
      </c>
      <c r="H207" s="187">
        <v>0</v>
      </c>
      <c r="I207" s="187">
        <v>0</v>
      </c>
      <c r="J207" s="187">
        <v>0</v>
      </c>
      <c r="K207" s="187">
        <v>0</v>
      </c>
      <c r="L207" s="187">
        <v>0</v>
      </c>
      <c r="M207" t="s">
        <v>105</v>
      </c>
      <c r="N207" s="187">
        <v>0</v>
      </c>
      <c r="O207" s="187">
        <v>0</v>
      </c>
      <c r="P207" s="196"/>
      <c r="Q207" s="196"/>
      <c r="R207" s="188"/>
      <c r="S207" s="188"/>
      <c r="T207" s="188"/>
      <c r="U207" s="188"/>
      <c r="V207" s="188"/>
      <c r="W207" s="188"/>
      <c r="X207" s="188"/>
      <c r="Y207" s="188"/>
      <c r="Z207" s="188"/>
      <c r="AA207" s="188"/>
      <c r="AB207" s="188"/>
      <c r="AC207" s="188"/>
      <c r="AD207" s="188"/>
      <c r="AE207" s="188"/>
      <c r="AF207" s="188"/>
      <c r="AG207" s="188"/>
      <c r="AH207" s="188"/>
      <c r="AI207" s="188"/>
      <c r="AJ207" s="188"/>
      <c r="AK207" s="188"/>
      <c r="AL207" s="188"/>
      <c r="AM207" s="188"/>
      <c r="AN207" s="188"/>
      <c r="AO207" s="188"/>
      <c r="AP207" s="188"/>
      <c r="AQ207" s="188"/>
      <c r="AR207" s="188"/>
      <c r="AS207" s="188"/>
      <c r="AT207" s="188"/>
      <c r="AU207" s="188"/>
    </row>
    <row r="208" spans="1:47" x14ac:dyDescent="0.2">
      <c r="A208" s="94" t="s">
        <v>437</v>
      </c>
      <c r="B208" s="187">
        <v>0</v>
      </c>
      <c r="C208" s="187">
        <v>0</v>
      </c>
      <c r="D208" s="187">
        <v>0</v>
      </c>
      <c r="E208" s="187">
        <v>0</v>
      </c>
      <c r="F208" s="187">
        <v>0</v>
      </c>
      <c r="G208" s="187">
        <v>0</v>
      </c>
      <c r="H208" s="187">
        <v>0</v>
      </c>
      <c r="I208" s="187">
        <v>0</v>
      </c>
      <c r="J208" s="187">
        <v>0</v>
      </c>
      <c r="K208" s="187">
        <v>0</v>
      </c>
      <c r="L208" s="187">
        <v>0</v>
      </c>
      <c r="M208" s="187">
        <v>0</v>
      </c>
      <c r="N208" t="s">
        <v>105</v>
      </c>
      <c r="O208" s="187">
        <v>0</v>
      </c>
      <c r="P208" s="196"/>
      <c r="Q208" s="196"/>
      <c r="R208" s="196"/>
      <c r="S208" s="188"/>
      <c r="T208" s="188"/>
      <c r="U208" s="188"/>
      <c r="V208" s="188"/>
      <c r="W208" s="188"/>
      <c r="X208" s="188"/>
      <c r="Y208" s="188"/>
      <c r="Z208" s="188"/>
      <c r="AA208" s="188"/>
      <c r="AB208" s="188"/>
      <c r="AC208" s="188"/>
      <c r="AD208" s="188"/>
      <c r="AE208" s="188"/>
      <c r="AF208" s="188"/>
      <c r="AG208" s="188"/>
      <c r="AH208" s="188"/>
      <c r="AI208" s="188"/>
      <c r="AJ208" s="188"/>
      <c r="AK208" s="188"/>
      <c r="AL208" s="188"/>
      <c r="AM208" s="188"/>
      <c r="AN208" s="188"/>
      <c r="AO208" s="188"/>
      <c r="AP208" s="188"/>
      <c r="AQ208" s="188"/>
      <c r="AR208" s="188"/>
      <c r="AS208" s="188"/>
      <c r="AT208" s="188"/>
      <c r="AU208" s="188"/>
    </row>
    <row r="209" spans="1:47" x14ac:dyDescent="0.2">
      <c r="A209" s="94" t="s">
        <v>438</v>
      </c>
      <c r="B209" s="187">
        <v>0</v>
      </c>
      <c r="C209" s="187">
        <v>0</v>
      </c>
      <c r="D209" s="187">
        <v>0</v>
      </c>
      <c r="E209" s="187">
        <v>0</v>
      </c>
      <c r="F209" s="187">
        <v>0</v>
      </c>
      <c r="G209" s="187">
        <v>0</v>
      </c>
      <c r="H209" s="187">
        <v>0</v>
      </c>
      <c r="I209" s="187">
        <v>0</v>
      </c>
      <c r="J209" s="187">
        <v>0</v>
      </c>
      <c r="K209" s="187">
        <v>0</v>
      </c>
      <c r="L209" s="187">
        <v>0</v>
      </c>
      <c r="M209" s="187">
        <v>0</v>
      </c>
      <c r="N209" s="187">
        <v>0</v>
      </c>
      <c r="O209" s="94" t="s">
        <v>105</v>
      </c>
      <c r="P209" s="188"/>
      <c r="Q209" s="188"/>
      <c r="R209" s="188"/>
      <c r="S209" s="188"/>
      <c r="T209" s="188"/>
      <c r="U209" s="188"/>
      <c r="V209" s="188"/>
      <c r="W209" s="188"/>
      <c r="X209" s="188"/>
      <c r="Y209" s="188"/>
      <c r="Z209" s="188"/>
      <c r="AA209" s="188"/>
      <c r="AB209" s="188"/>
      <c r="AC209" s="188"/>
      <c r="AD209" s="188"/>
      <c r="AE209" s="188"/>
      <c r="AF209" s="188"/>
      <c r="AG209" s="188"/>
      <c r="AH209" s="188"/>
      <c r="AI209" s="188"/>
      <c r="AJ209" s="188"/>
      <c r="AK209" s="188"/>
      <c r="AL209" s="188"/>
      <c r="AM209" s="188"/>
      <c r="AN209" s="188"/>
      <c r="AO209" s="188"/>
      <c r="AP209" s="188"/>
      <c r="AQ209" s="188"/>
      <c r="AR209" s="188"/>
      <c r="AS209" s="188"/>
      <c r="AT209" s="188"/>
      <c r="AU209" s="188"/>
    </row>
    <row r="210" spans="1:47" x14ac:dyDescent="0.2">
      <c r="B210" s="1"/>
      <c r="C210" s="1"/>
      <c r="D210" s="1"/>
      <c r="E210" s="1"/>
      <c r="F210" s="1"/>
      <c r="G210" s="1"/>
      <c r="H210" s="1"/>
      <c r="I210" s="1"/>
      <c r="J210" s="1"/>
      <c r="K210" s="1"/>
      <c r="L210" s="1"/>
      <c r="M210" s="1"/>
      <c r="N210" s="1"/>
      <c r="P210" s="188"/>
      <c r="Q210" s="188"/>
      <c r="R210" s="188"/>
      <c r="S210" s="188"/>
      <c r="T210" s="188"/>
      <c r="U210" s="188"/>
      <c r="V210" s="188"/>
      <c r="W210" s="188"/>
      <c r="X210" s="188"/>
      <c r="Y210" s="188"/>
      <c r="Z210" s="188"/>
      <c r="AA210" s="188"/>
      <c r="AB210" s="188"/>
      <c r="AC210" s="188"/>
      <c r="AD210" s="188"/>
      <c r="AE210" s="188"/>
      <c r="AF210" s="188"/>
      <c r="AG210" s="188"/>
      <c r="AH210" s="188"/>
      <c r="AI210" s="188"/>
      <c r="AJ210" s="188"/>
      <c r="AK210" s="188"/>
      <c r="AL210" s="188"/>
      <c r="AM210" s="188"/>
      <c r="AN210" s="188"/>
      <c r="AO210" s="188"/>
      <c r="AP210" s="188"/>
      <c r="AQ210" s="188"/>
      <c r="AR210" s="188"/>
      <c r="AS210" s="188"/>
      <c r="AT210" s="188"/>
      <c r="AU210" s="188"/>
    </row>
    <row r="211" spans="1:47" x14ac:dyDescent="0.2">
      <c r="K211" s="1"/>
      <c r="M211" s="1"/>
      <c r="N211" s="1"/>
      <c r="P211" s="188"/>
      <c r="Q211" s="188"/>
      <c r="R211" s="188"/>
      <c r="S211" s="188"/>
      <c r="T211" s="188"/>
      <c r="U211" s="188"/>
      <c r="V211" s="188"/>
      <c r="W211" s="188"/>
      <c r="X211" s="188"/>
      <c r="Y211" s="188"/>
      <c r="Z211" s="188"/>
      <c r="AA211" s="188"/>
      <c r="AB211" s="188"/>
      <c r="AC211" s="188"/>
      <c r="AD211" s="188"/>
      <c r="AE211" s="188"/>
      <c r="AF211" s="188"/>
      <c r="AG211" s="188"/>
      <c r="AH211" s="188"/>
      <c r="AI211" s="188"/>
      <c r="AJ211" s="188"/>
      <c r="AK211" s="188"/>
      <c r="AL211" s="188"/>
      <c r="AM211" s="188"/>
      <c r="AN211" s="188"/>
      <c r="AO211" s="188"/>
      <c r="AP211" s="188"/>
      <c r="AQ211" s="188"/>
      <c r="AR211" s="188"/>
      <c r="AS211" s="188"/>
      <c r="AT211" s="188"/>
      <c r="AU211" s="188"/>
    </row>
    <row r="212" spans="1:47" x14ac:dyDescent="0.2">
      <c r="A212" s="21" t="s">
        <v>382</v>
      </c>
      <c r="N212" s="1"/>
      <c r="P212" s="188"/>
      <c r="Q212" s="188"/>
      <c r="R212" s="188"/>
      <c r="S212" s="188"/>
      <c r="T212" s="188"/>
      <c r="U212" s="188"/>
      <c r="V212" s="188"/>
      <c r="W212" s="188"/>
      <c r="X212" s="188"/>
      <c r="Y212" s="188"/>
      <c r="Z212" s="188"/>
      <c r="AA212" s="188"/>
      <c r="AB212" s="188"/>
      <c r="AC212" s="188"/>
      <c r="AD212" s="188"/>
      <c r="AE212" s="188"/>
      <c r="AF212" s="188"/>
      <c r="AG212" s="188"/>
      <c r="AH212" s="188"/>
      <c r="AI212" s="188"/>
      <c r="AJ212" s="188"/>
      <c r="AK212" s="188"/>
      <c r="AL212" s="188"/>
      <c r="AM212" s="188"/>
      <c r="AN212" s="188"/>
      <c r="AO212" s="188"/>
      <c r="AP212" s="188"/>
      <c r="AQ212" s="188"/>
      <c r="AR212" s="188"/>
      <c r="AS212" s="188"/>
      <c r="AT212" s="188"/>
      <c r="AU212" s="188"/>
    </row>
    <row r="213" spans="1:47" x14ac:dyDescent="0.2">
      <c r="A213" s="458" t="s">
        <v>102</v>
      </c>
      <c r="B213" s="455" t="s">
        <v>411</v>
      </c>
      <c r="C213" s="456"/>
      <c r="D213" s="456"/>
      <c r="E213" s="456"/>
      <c r="F213" s="456"/>
      <c r="G213" s="456"/>
      <c r="H213" s="456"/>
      <c r="I213" s="456"/>
      <c r="J213" s="456"/>
      <c r="K213" s="456"/>
      <c r="L213" s="456"/>
      <c r="M213" s="456"/>
      <c r="N213" s="456"/>
      <c r="O213" s="457"/>
      <c r="P213" s="188"/>
      <c r="Q213" s="188"/>
      <c r="R213" s="188"/>
      <c r="S213" s="188"/>
      <c r="T213" s="188"/>
      <c r="U213" s="188"/>
      <c r="V213" s="188"/>
      <c r="W213" s="188"/>
      <c r="X213" s="188"/>
      <c r="Y213" s="188"/>
      <c r="Z213" s="188"/>
      <c r="AA213" s="188"/>
      <c r="AB213" s="188"/>
      <c r="AC213" s="188"/>
      <c r="AD213" s="188"/>
      <c r="AE213" s="188"/>
      <c r="AF213" s="188"/>
      <c r="AG213" s="188"/>
      <c r="AH213" s="188"/>
      <c r="AI213" s="188"/>
      <c r="AJ213" s="188"/>
      <c r="AK213" s="188"/>
      <c r="AL213" s="188"/>
      <c r="AM213" s="188"/>
      <c r="AN213" s="188"/>
      <c r="AO213" s="188"/>
      <c r="AP213" s="188"/>
      <c r="AQ213" s="188"/>
      <c r="AR213" s="188"/>
      <c r="AS213" s="188"/>
      <c r="AT213" s="188"/>
      <c r="AU213" s="188"/>
    </row>
    <row r="214" spans="1:47" x14ac:dyDescent="0.2">
      <c r="A214" s="459"/>
      <c r="B214" s="75" t="s">
        <v>89</v>
      </c>
      <c r="C214" s="75" t="s">
        <v>90</v>
      </c>
      <c r="D214" s="75" t="s">
        <v>91</v>
      </c>
      <c r="E214" s="75" t="s">
        <v>239</v>
      </c>
      <c r="F214" s="75" t="s">
        <v>240</v>
      </c>
      <c r="G214" s="75" t="s">
        <v>241</v>
      </c>
      <c r="H214" s="75" t="s">
        <v>242</v>
      </c>
      <c r="I214" s="75" t="s">
        <v>243</v>
      </c>
      <c r="J214" s="75" t="s">
        <v>92</v>
      </c>
      <c r="K214" s="75" t="s">
        <v>244</v>
      </c>
      <c r="L214" s="75" t="s">
        <v>429</v>
      </c>
      <c r="M214" s="75" t="s">
        <v>430</v>
      </c>
      <c r="N214" s="75" t="s">
        <v>431</v>
      </c>
      <c r="O214" s="75" t="s">
        <v>432</v>
      </c>
      <c r="P214" s="188"/>
      <c r="Q214" s="188"/>
      <c r="R214" s="188"/>
      <c r="S214" s="188"/>
      <c r="T214" s="188"/>
      <c r="U214" s="188"/>
      <c r="V214" s="188"/>
      <c r="W214" s="188"/>
      <c r="X214" s="188"/>
      <c r="Y214" s="188"/>
      <c r="Z214" s="188"/>
      <c r="AA214" s="188"/>
      <c r="AB214" s="188"/>
      <c r="AC214" s="188"/>
      <c r="AD214" s="188"/>
      <c r="AE214" s="188"/>
      <c r="AF214" s="188"/>
      <c r="AG214" s="188"/>
      <c r="AH214" s="188"/>
      <c r="AI214" s="188"/>
      <c r="AJ214" s="188"/>
      <c r="AK214" s="188"/>
      <c r="AL214" s="188"/>
      <c r="AM214" s="188"/>
      <c r="AN214" s="188"/>
      <c r="AO214" s="188"/>
      <c r="AP214" s="188"/>
      <c r="AQ214" s="188"/>
      <c r="AR214" s="188"/>
      <c r="AS214" s="188"/>
      <c r="AT214" s="188"/>
      <c r="AU214" s="188"/>
    </row>
    <row r="215" spans="1:47" x14ac:dyDescent="0.2">
      <c r="A215" s="459"/>
      <c r="B215" s="76" t="str">
        <f t="shared" ref="B215:I215" si="167">B193</f>
        <v>Watershed 1</v>
      </c>
      <c r="C215" s="76" t="str">
        <f t="shared" si="167"/>
        <v>Watershed 2</v>
      </c>
      <c r="D215" s="76" t="str">
        <f t="shared" si="167"/>
        <v>Watershed 3</v>
      </c>
      <c r="E215" s="76" t="str">
        <f t="shared" si="167"/>
        <v>Watershed 4</v>
      </c>
      <c r="F215" s="76" t="str">
        <f t="shared" si="167"/>
        <v>Watershed 5</v>
      </c>
      <c r="G215" s="76" t="str">
        <f t="shared" si="167"/>
        <v>Watershed 6</v>
      </c>
      <c r="H215" s="76" t="str">
        <f t="shared" si="167"/>
        <v>Watershed 7</v>
      </c>
      <c r="I215" s="76" t="str">
        <f t="shared" si="167"/>
        <v>Watershed 8</v>
      </c>
      <c r="J215" s="76" t="str">
        <f t="shared" ref="J215:O215" si="168">J193</f>
        <v>Watershed 9</v>
      </c>
      <c r="K215" s="76" t="str">
        <f t="shared" si="168"/>
        <v>Watershed 10</v>
      </c>
      <c r="L215" s="76" t="str">
        <f t="shared" si="168"/>
        <v>Watershed 11</v>
      </c>
      <c r="M215" s="76" t="str">
        <f t="shared" si="168"/>
        <v>Watershed 12</v>
      </c>
      <c r="N215" s="76" t="str">
        <f t="shared" si="168"/>
        <v>Watershed 13</v>
      </c>
      <c r="O215" s="76" t="str">
        <f t="shared" si="168"/>
        <v>Watershed 14</v>
      </c>
      <c r="P215" s="234"/>
      <c r="Q215" s="234"/>
      <c r="R215" s="234"/>
      <c r="S215" s="234"/>
      <c r="T215" s="234"/>
      <c r="U215" s="234"/>
      <c r="V215" s="234"/>
      <c r="W215" s="196"/>
      <c r="X215" s="196"/>
      <c r="Y215" s="196"/>
      <c r="Z215" s="196"/>
      <c r="AA215" s="188"/>
      <c r="AB215" s="188"/>
      <c r="AC215" s="188"/>
      <c r="AD215" s="188"/>
      <c r="AE215" s="188"/>
      <c r="AF215" s="188"/>
      <c r="AG215" s="188"/>
      <c r="AH215" s="188"/>
      <c r="AI215" s="188"/>
      <c r="AJ215" s="188"/>
      <c r="AK215" s="188"/>
      <c r="AL215" s="188"/>
      <c r="AM215" s="188"/>
      <c r="AN215" s="188"/>
      <c r="AO215" s="188"/>
      <c r="AP215" s="188"/>
      <c r="AQ215" s="188"/>
      <c r="AR215" s="188"/>
      <c r="AS215" s="188"/>
      <c r="AT215" s="188"/>
      <c r="AU215" s="188"/>
    </row>
    <row r="216" spans="1:47" x14ac:dyDescent="0.2">
      <c r="A216" s="460"/>
      <c r="B216" s="77" t="s">
        <v>98</v>
      </c>
      <c r="C216" s="77" t="s">
        <v>98</v>
      </c>
      <c r="D216" s="77" t="s">
        <v>98</v>
      </c>
      <c r="E216" s="77" t="s">
        <v>98</v>
      </c>
      <c r="F216" s="77" t="s">
        <v>98</v>
      </c>
      <c r="G216" s="77" t="s">
        <v>98</v>
      </c>
      <c r="H216" s="77" t="s">
        <v>98</v>
      </c>
      <c r="I216" s="77" t="s">
        <v>98</v>
      </c>
      <c r="J216" s="77" t="s">
        <v>98</v>
      </c>
      <c r="K216" s="77" t="s">
        <v>98</v>
      </c>
      <c r="L216" s="77" t="s">
        <v>98</v>
      </c>
      <c r="M216" s="77" t="s">
        <v>98</v>
      </c>
      <c r="N216" s="77" t="s">
        <v>98</v>
      </c>
      <c r="O216" s="77" t="s">
        <v>98</v>
      </c>
      <c r="P216" s="188"/>
      <c r="Q216" s="188"/>
      <c r="R216" s="188"/>
      <c r="S216" s="188"/>
      <c r="T216" s="188"/>
      <c r="U216" s="188"/>
      <c r="V216" s="188"/>
      <c r="W216" s="188"/>
      <c r="X216" s="188"/>
      <c r="Y216" s="188"/>
      <c r="Z216" s="188"/>
      <c r="AA216" s="188"/>
      <c r="AB216" s="188"/>
      <c r="AC216" s="188"/>
      <c r="AD216" s="188"/>
      <c r="AE216" s="188"/>
      <c r="AF216" s="188"/>
      <c r="AG216" s="188"/>
      <c r="AH216" s="188"/>
      <c r="AI216" s="188"/>
      <c r="AJ216" s="188"/>
      <c r="AK216" s="188"/>
      <c r="AL216" s="188"/>
      <c r="AM216" s="188"/>
      <c r="AN216" s="188"/>
      <c r="AO216" s="188"/>
      <c r="AP216" s="188"/>
      <c r="AQ216" s="188"/>
      <c r="AR216" s="188"/>
      <c r="AS216" s="188"/>
      <c r="AT216" s="188"/>
      <c r="AU216" s="188"/>
    </row>
    <row r="217" spans="1:47" x14ac:dyDescent="0.2">
      <c r="A217" s="94" t="s">
        <v>103</v>
      </c>
      <c r="B217" s="259">
        <f t="shared" ref="B217:O217" si="169">B98</f>
        <v>0</v>
      </c>
      <c r="C217" s="259">
        <f t="shared" si="169"/>
        <v>0</v>
      </c>
      <c r="D217" s="259">
        <f t="shared" si="169"/>
        <v>0</v>
      </c>
      <c r="E217" s="259">
        <f t="shared" si="169"/>
        <v>0</v>
      </c>
      <c r="F217" s="259">
        <f t="shared" si="169"/>
        <v>0</v>
      </c>
      <c r="G217" s="259">
        <f t="shared" si="169"/>
        <v>0</v>
      </c>
      <c r="H217" s="259">
        <f t="shared" si="169"/>
        <v>0</v>
      </c>
      <c r="I217" s="259">
        <f t="shared" si="169"/>
        <v>0</v>
      </c>
      <c r="J217" s="259">
        <f t="shared" si="169"/>
        <v>0</v>
      </c>
      <c r="K217" s="259">
        <f t="shared" si="169"/>
        <v>0</v>
      </c>
      <c r="L217" s="259">
        <f t="shared" si="169"/>
        <v>0</v>
      </c>
      <c r="M217" s="259">
        <f t="shared" si="169"/>
        <v>0</v>
      </c>
      <c r="N217" s="259">
        <f t="shared" si="169"/>
        <v>0</v>
      </c>
      <c r="O217" s="259">
        <f t="shared" si="169"/>
        <v>0</v>
      </c>
      <c r="P217" s="188"/>
      <c r="Q217" s="188"/>
      <c r="R217" s="188"/>
      <c r="S217" s="188"/>
      <c r="T217" s="188"/>
      <c r="U217" s="188"/>
      <c r="V217" s="188"/>
      <c r="W217" s="188"/>
      <c r="X217" s="188"/>
      <c r="Y217" s="188"/>
      <c r="Z217" s="188"/>
      <c r="AA217" s="188"/>
      <c r="AB217" s="188"/>
      <c r="AC217" s="188"/>
      <c r="AD217" s="188"/>
      <c r="AE217" s="188"/>
      <c r="AF217" s="188"/>
      <c r="AG217" s="188"/>
      <c r="AH217" s="188"/>
      <c r="AI217" s="188"/>
      <c r="AJ217" s="188"/>
      <c r="AK217" s="188"/>
      <c r="AL217" s="188"/>
      <c r="AM217" s="188"/>
      <c r="AN217" s="188"/>
      <c r="AO217" s="188"/>
      <c r="AP217" s="188"/>
      <c r="AQ217" s="188"/>
      <c r="AR217" s="188"/>
      <c r="AS217" s="188"/>
      <c r="AT217" s="188"/>
      <c r="AU217" s="188"/>
    </row>
    <row r="218" spans="1:47" x14ac:dyDescent="0.2">
      <c r="A218" s="94" t="s">
        <v>104</v>
      </c>
      <c r="B218" s="114" t="s">
        <v>105</v>
      </c>
      <c r="C218" s="202">
        <f>IF(C196=1,$B$217,0)</f>
        <v>0</v>
      </c>
      <c r="D218" s="202">
        <f t="shared" ref="D218:O218" si="170">IF(D196=1,$B$217,0)</f>
        <v>0</v>
      </c>
      <c r="E218" s="202">
        <f t="shared" si="170"/>
        <v>0</v>
      </c>
      <c r="F218" s="202">
        <f t="shared" si="170"/>
        <v>0</v>
      </c>
      <c r="G218" s="202">
        <f t="shared" si="170"/>
        <v>0</v>
      </c>
      <c r="H218" s="202">
        <f t="shared" si="170"/>
        <v>0</v>
      </c>
      <c r="I218" s="202">
        <f t="shared" si="170"/>
        <v>0</v>
      </c>
      <c r="J218" s="202">
        <f t="shared" si="170"/>
        <v>0</v>
      </c>
      <c r="K218" s="202">
        <f t="shared" si="170"/>
        <v>0</v>
      </c>
      <c r="L218" s="202">
        <f t="shared" si="170"/>
        <v>0</v>
      </c>
      <c r="M218" s="202">
        <f t="shared" si="170"/>
        <v>0</v>
      </c>
      <c r="N218" s="202">
        <f t="shared" si="170"/>
        <v>0</v>
      </c>
      <c r="O218" s="202">
        <f t="shared" si="170"/>
        <v>0</v>
      </c>
      <c r="P218" s="188"/>
      <c r="Q218" s="188"/>
      <c r="R218" s="188"/>
      <c r="S218" s="188"/>
      <c r="T218" s="188"/>
      <c r="U218" s="188"/>
      <c r="V218" s="188"/>
      <c r="W218" s="188"/>
      <c r="X218" s="188"/>
      <c r="Y218" s="188"/>
      <c r="Z218" s="188"/>
      <c r="AA218" s="188"/>
      <c r="AB218" s="188"/>
      <c r="AC218" s="188"/>
      <c r="AD218" s="188"/>
      <c r="AE218" s="188"/>
      <c r="AF218" s="188"/>
      <c r="AG218" s="188"/>
      <c r="AH218" s="188"/>
      <c r="AI218" s="188"/>
      <c r="AJ218" s="188"/>
      <c r="AK218" s="188"/>
      <c r="AL218" s="188"/>
      <c r="AM218" s="188"/>
      <c r="AN218" s="188"/>
      <c r="AO218" s="188"/>
      <c r="AP218" s="188"/>
      <c r="AQ218" s="188"/>
      <c r="AR218" s="188"/>
      <c r="AS218" s="188"/>
      <c r="AT218" s="188"/>
      <c r="AU218" s="188"/>
    </row>
    <row r="219" spans="1:47" x14ac:dyDescent="0.2">
      <c r="A219" s="94" t="s">
        <v>106</v>
      </c>
      <c r="B219" s="202">
        <f>IF(B197=1,$C$217,0)</f>
        <v>0</v>
      </c>
      <c r="C219" s="114" t="s">
        <v>105</v>
      </c>
      <c r="D219" s="202">
        <f>IF(D197=1,$C$217,0)</f>
        <v>0</v>
      </c>
      <c r="E219" s="202">
        <f t="shared" ref="E219:K219" si="171">IF(E197=1,$C$217,0)</f>
        <v>0</v>
      </c>
      <c r="F219" s="202">
        <f t="shared" si="171"/>
        <v>0</v>
      </c>
      <c r="G219" s="202">
        <f t="shared" si="171"/>
        <v>0</v>
      </c>
      <c r="H219" s="202">
        <f t="shared" si="171"/>
        <v>0</v>
      </c>
      <c r="I219" s="202">
        <f t="shared" si="171"/>
        <v>0</v>
      </c>
      <c r="J219" s="202">
        <f t="shared" si="171"/>
        <v>0</v>
      </c>
      <c r="K219" s="202">
        <f t="shared" si="171"/>
        <v>0</v>
      </c>
      <c r="L219" s="202">
        <f>IF(L197=1,$C$217,0)</f>
        <v>0</v>
      </c>
      <c r="M219" s="202">
        <f>IF(M197=1,$C$217,0)</f>
        <v>0</v>
      </c>
      <c r="N219" s="202">
        <f>IF(N197=1,$C$217,0)</f>
        <v>0</v>
      </c>
      <c r="O219" s="202">
        <f>IF(O197=1,$C$217,0)</f>
        <v>0</v>
      </c>
      <c r="P219" s="188"/>
      <c r="Q219" s="188"/>
      <c r="R219" s="188"/>
      <c r="S219" s="188"/>
      <c r="T219" s="188"/>
      <c r="U219" s="188"/>
      <c r="V219" s="188"/>
      <c r="W219" s="188"/>
      <c r="X219" s="188"/>
      <c r="Y219" s="188"/>
      <c r="Z219" s="188"/>
      <c r="AA219" s="188"/>
      <c r="AB219" s="188"/>
      <c r="AC219" s="188"/>
      <c r="AD219" s="188"/>
      <c r="AE219" s="188"/>
      <c r="AF219" s="188"/>
      <c r="AG219" s="188"/>
      <c r="AH219" s="188"/>
      <c r="AI219" s="188"/>
      <c r="AJ219" s="188"/>
      <c r="AK219" s="188"/>
      <c r="AL219" s="188"/>
      <c r="AM219" s="188"/>
      <c r="AN219" s="188"/>
      <c r="AO219" s="188"/>
      <c r="AP219" s="188"/>
      <c r="AQ219" s="188"/>
      <c r="AR219" s="188"/>
      <c r="AS219" s="188"/>
      <c r="AT219" s="188"/>
      <c r="AU219" s="188"/>
    </row>
    <row r="220" spans="1:47" x14ac:dyDescent="0.2">
      <c r="A220" s="94" t="s">
        <v>107</v>
      </c>
      <c r="B220" s="202">
        <f>IF(B198=1,$D$217,0)</f>
        <v>0</v>
      </c>
      <c r="C220" s="202">
        <f>IF(C198=1,$D$217,0)</f>
        <v>0</v>
      </c>
      <c r="D220" s="114" t="s">
        <v>105</v>
      </c>
      <c r="E220" s="202">
        <f>IF(E198=1,$D$217,0)</f>
        <v>0</v>
      </c>
      <c r="F220" s="202">
        <f t="shared" ref="F220:K220" si="172">IF(F198=1,$D$217,0)</f>
        <v>0</v>
      </c>
      <c r="G220" s="202">
        <f t="shared" si="172"/>
        <v>0</v>
      </c>
      <c r="H220" s="202">
        <f t="shared" si="172"/>
        <v>0</v>
      </c>
      <c r="I220" s="202">
        <f t="shared" si="172"/>
        <v>0</v>
      </c>
      <c r="J220" s="202">
        <f t="shared" si="172"/>
        <v>0</v>
      </c>
      <c r="K220" s="202">
        <f t="shared" si="172"/>
        <v>0</v>
      </c>
      <c r="L220" s="202">
        <f>IF(L198=1,$D$217,0)</f>
        <v>0</v>
      </c>
      <c r="M220" s="202">
        <f>IF(M198=1,$D$217,0)</f>
        <v>0</v>
      </c>
      <c r="N220" s="202">
        <f>IF(N198=1,$D$217,0)</f>
        <v>0</v>
      </c>
      <c r="O220" s="202">
        <f>IF(O198=1,$D$217,0)</f>
        <v>0</v>
      </c>
      <c r="P220" s="188"/>
      <c r="Q220" s="188"/>
      <c r="R220" s="188"/>
      <c r="S220" s="188"/>
      <c r="T220" s="188"/>
      <c r="U220" s="188"/>
      <c r="V220" s="188"/>
      <c r="W220" s="188"/>
      <c r="X220" s="188"/>
      <c r="Y220" s="188"/>
      <c r="Z220" s="188"/>
      <c r="AA220" s="188"/>
      <c r="AB220" s="188"/>
      <c r="AC220" s="188"/>
      <c r="AD220" s="188"/>
      <c r="AE220" s="188"/>
      <c r="AF220" s="188"/>
      <c r="AG220" s="188"/>
      <c r="AH220" s="188"/>
      <c r="AI220" s="188"/>
      <c r="AJ220" s="188"/>
      <c r="AK220" s="188"/>
      <c r="AL220" s="188"/>
      <c r="AM220" s="188"/>
      <c r="AN220" s="188"/>
      <c r="AO220" s="188"/>
      <c r="AP220" s="188"/>
      <c r="AQ220" s="188"/>
      <c r="AR220" s="188"/>
      <c r="AS220" s="188"/>
      <c r="AT220" s="188"/>
      <c r="AU220" s="188"/>
    </row>
    <row r="221" spans="1:47" x14ac:dyDescent="0.2">
      <c r="A221" s="94" t="s">
        <v>108</v>
      </c>
      <c r="B221" s="202">
        <f>IF(B199=1,$E$217,0)</f>
        <v>0</v>
      </c>
      <c r="C221" s="202">
        <f>IF(C199=1,$E$217,0)</f>
        <v>0</v>
      </c>
      <c r="D221" s="202">
        <f>IF(D199=1,$E$217,0)</f>
        <v>0</v>
      </c>
      <c r="E221" s="114" t="s">
        <v>105</v>
      </c>
      <c r="F221" s="202">
        <f t="shared" ref="F221:K221" si="173">IF(F199=1,$E$217,0)</f>
        <v>0</v>
      </c>
      <c r="G221" s="202">
        <f t="shared" si="173"/>
        <v>0</v>
      </c>
      <c r="H221" s="202">
        <f t="shared" si="173"/>
        <v>0</v>
      </c>
      <c r="I221" s="202">
        <f t="shared" si="173"/>
        <v>0</v>
      </c>
      <c r="J221" s="202">
        <f t="shared" si="173"/>
        <v>0</v>
      </c>
      <c r="K221" s="202">
        <f t="shared" si="173"/>
        <v>0</v>
      </c>
      <c r="L221" s="202">
        <f>IF(L199=1,$E$217,0)</f>
        <v>0</v>
      </c>
      <c r="M221" s="202">
        <f>IF(M199=1,$E$217,0)</f>
        <v>0</v>
      </c>
      <c r="N221" s="202">
        <f>IF(N199=1,$E$217,0)</f>
        <v>0</v>
      </c>
      <c r="O221" s="202">
        <f>IF(O199=1,$E$217,0)</f>
        <v>0</v>
      </c>
      <c r="P221" s="188"/>
      <c r="Q221" s="188"/>
      <c r="R221" s="188"/>
      <c r="S221" s="188"/>
      <c r="T221" s="188"/>
      <c r="U221" s="188"/>
      <c r="V221" s="188"/>
      <c r="W221" s="188"/>
      <c r="X221" s="188"/>
      <c r="Y221" s="188"/>
      <c r="Z221" s="188"/>
      <c r="AA221" s="188"/>
      <c r="AB221" s="188"/>
      <c r="AC221" s="188"/>
      <c r="AD221" s="188"/>
      <c r="AE221" s="188"/>
      <c r="AF221" s="188"/>
      <c r="AG221" s="188"/>
      <c r="AH221" s="188"/>
      <c r="AI221" s="188"/>
      <c r="AJ221" s="188"/>
      <c r="AK221" s="188"/>
      <c r="AL221" s="188"/>
      <c r="AM221" s="188"/>
      <c r="AN221" s="188"/>
      <c r="AO221" s="188"/>
      <c r="AP221" s="188"/>
      <c r="AQ221" s="188"/>
      <c r="AR221" s="188"/>
      <c r="AS221" s="188"/>
      <c r="AT221" s="188"/>
      <c r="AU221" s="188"/>
    </row>
    <row r="222" spans="1:47" x14ac:dyDescent="0.2">
      <c r="A222" s="94" t="s">
        <v>109</v>
      </c>
      <c r="B222" s="202">
        <f>IF(B200=1,$F$217,0)</f>
        <v>0</v>
      </c>
      <c r="C222" s="202">
        <f>IF(C200=1,$F$217,0)</f>
        <v>0</v>
      </c>
      <c r="D222" s="202">
        <f>IF(D200=1,$F$217,0)</f>
        <v>0</v>
      </c>
      <c r="E222" s="202">
        <f>IF(E200=1,$F$217,0)</f>
        <v>0</v>
      </c>
      <c r="F222" s="114" t="s">
        <v>105</v>
      </c>
      <c r="G222" s="202">
        <f t="shared" ref="G222:O222" si="174">IF(G200=1,$F$217,0)</f>
        <v>0</v>
      </c>
      <c r="H222" s="202">
        <f t="shared" si="174"/>
        <v>0</v>
      </c>
      <c r="I222" s="202">
        <f t="shared" si="174"/>
        <v>0</v>
      </c>
      <c r="J222" s="202">
        <f t="shared" si="174"/>
        <v>0</v>
      </c>
      <c r="K222" s="202">
        <f t="shared" si="174"/>
        <v>0</v>
      </c>
      <c r="L222" s="202">
        <f t="shared" si="174"/>
        <v>0</v>
      </c>
      <c r="M222" s="202">
        <f t="shared" si="174"/>
        <v>0</v>
      </c>
      <c r="N222" s="202">
        <f t="shared" si="174"/>
        <v>0</v>
      </c>
      <c r="O222" s="202">
        <f t="shared" si="174"/>
        <v>0</v>
      </c>
      <c r="P222" s="188"/>
      <c r="Q222" s="188"/>
      <c r="R222" s="188"/>
      <c r="S222" s="188"/>
      <c r="T222" s="188"/>
      <c r="U222" s="188"/>
      <c r="V222" s="188"/>
      <c r="W222" s="188"/>
      <c r="X222" s="188"/>
      <c r="Y222" s="188"/>
      <c r="Z222" s="188"/>
      <c r="AA222" s="188"/>
      <c r="AB222" s="188"/>
      <c r="AC222" s="188"/>
      <c r="AD222" s="188"/>
      <c r="AE222" s="188"/>
      <c r="AF222" s="188"/>
      <c r="AG222" s="188"/>
      <c r="AH222" s="188"/>
      <c r="AI222" s="188"/>
      <c r="AJ222" s="188"/>
      <c r="AK222" s="188"/>
      <c r="AL222" s="188"/>
      <c r="AM222" s="188"/>
      <c r="AN222" s="188"/>
      <c r="AO222" s="188"/>
      <c r="AP222" s="188"/>
      <c r="AQ222" s="188"/>
      <c r="AR222" s="188"/>
      <c r="AS222" s="188"/>
      <c r="AT222" s="188"/>
      <c r="AU222" s="188"/>
    </row>
    <row r="223" spans="1:47" x14ac:dyDescent="0.2">
      <c r="A223" s="94" t="s">
        <v>110</v>
      </c>
      <c r="B223" s="202">
        <f>IF(B201=1,$G$217,0)</f>
        <v>0</v>
      </c>
      <c r="C223" s="202">
        <f>IF(C201=1,$G$217,0)</f>
        <v>0</v>
      </c>
      <c r="D223" s="202">
        <f>IF(D201=1,$G$217,0)</f>
        <v>0</v>
      </c>
      <c r="E223" s="202">
        <f>IF(E201=1,$G$217,0)</f>
        <v>0</v>
      </c>
      <c r="F223" s="202">
        <f>IF(F201=1,$G$217,0)</f>
        <v>0</v>
      </c>
      <c r="G223" s="114" t="s">
        <v>105</v>
      </c>
      <c r="H223" s="202">
        <f t="shared" ref="H223:O223" si="175">IF(H201=1,$G$217,0)</f>
        <v>0</v>
      </c>
      <c r="I223" s="202">
        <f t="shared" si="175"/>
        <v>0</v>
      </c>
      <c r="J223" s="202">
        <f t="shared" si="175"/>
        <v>0</v>
      </c>
      <c r="K223" s="202">
        <f t="shared" si="175"/>
        <v>0</v>
      </c>
      <c r="L223" s="202">
        <f t="shared" si="175"/>
        <v>0</v>
      </c>
      <c r="M223" s="202">
        <f t="shared" si="175"/>
        <v>0</v>
      </c>
      <c r="N223" s="202">
        <f t="shared" si="175"/>
        <v>0</v>
      </c>
      <c r="O223" s="202">
        <f t="shared" si="175"/>
        <v>0</v>
      </c>
      <c r="P223" s="188"/>
      <c r="Q223" s="188"/>
      <c r="R223" s="188"/>
      <c r="S223" s="188"/>
      <c r="T223" s="188"/>
      <c r="U223" s="188"/>
      <c r="V223" s="188"/>
      <c r="W223" s="188"/>
      <c r="X223" s="188"/>
      <c r="Y223" s="188"/>
      <c r="Z223" s="188"/>
      <c r="AA223" s="188"/>
      <c r="AB223" s="188"/>
      <c r="AC223" s="188"/>
      <c r="AD223" s="188"/>
      <c r="AE223" s="188"/>
      <c r="AF223" s="188"/>
      <c r="AG223" s="188"/>
      <c r="AH223" s="188"/>
      <c r="AI223" s="188"/>
      <c r="AJ223" s="188"/>
      <c r="AK223" s="188"/>
      <c r="AL223" s="188"/>
      <c r="AM223" s="188"/>
      <c r="AN223" s="188"/>
      <c r="AO223" s="188"/>
      <c r="AP223" s="188"/>
      <c r="AQ223" s="188"/>
      <c r="AR223" s="188"/>
      <c r="AS223" s="188"/>
      <c r="AT223" s="188"/>
      <c r="AU223" s="188"/>
    </row>
    <row r="224" spans="1:47" x14ac:dyDescent="0.2">
      <c r="A224" s="94" t="s">
        <v>111</v>
      </c>
      <c r="B224" s="202">
        <f t="shared" ref="B224:G224" si="176">IF(B202=1,$H$217,0)</f>
        <v>0</v>
      </c>
      <c r="C224" s="202">
        <f t="shared" si="176"/>
        <v>0</v>
      </c>
      <c r="D224" s="202">
        <f t="shared" si="176"/>
        <v>0</v>
      </c>
      <c r="E224" s="202">
        <f t="shared" si="176"/>
        <v>0</v>
      </c>
      <c r="F224" s="202">
        <f t="shared" si="176"/>
        <v>0</v>
      </c>
      <c r="G224" s="202">
        <f t="shared" si="176"/>
        <v>0</v>
      </c>
      <c r="H224" s="114" t="s">
        <v>105</v>
      </c>
      <c r="I224" s="202">
        <f t="shared" ref="I224:O224" si="177">IF(I202=1,$H$217,0)</f>
        <v>0</v>
      </c>
      <c r="J224" s="202">
        <f t="shared" si="177"/>
        <v>0</v>
      </c>
      <c r="K224" s="202">
        <f t="shared" si="177"/>
        <v>0</v>
      </c>
      <c r="L224" s="202">
        <f t="shared" si="177"/>
        <v>0</v>
      </c>
      <c r="M224" s="202">
        <f t="shared" si="177"/>
        <v>0</v>
      </c>
      <c r="N224" s="202">
        <f t="shared" si="177"/>
        <v>0</v>
      </c>
      <c r="O224" s="202">
        <f t="shared" si="177"/>
        <v>0</v>
      </c>
      <c r="P224" s="188"/>
      <c r="Q224" s="188"/>
      <c r="R224" s="188"/>
      <c r="S224" s="188"/>
      <c r="T224" s="188"/>
      <c r="U224" s="188"/>
      <c r="V224" s="188"/>
      <c r="W224" s="188"/>
      <c r="X224" s="188"/>
      <c r="Y224" s="188"/>
      <c r="Z224" s="188"/>
      <c r="AA224" s="188"/>
      <c r="AB224" s="188"/>
      <c r="AC224" s="188"/>
      <c r="AD224" s="188"/>
      <c r="AE224" s="188"/>
      <c r="AF224" s="188"/>
      <c r="AG224" s="188"/>
      <c r="AH224" s="188"/>
      <c r="AI224" s="188"/>
      <c r="AJ224" s="188"/>
      <c r="AK224" s="188"/>
      <c r="AL224" s="188"/>
      <c r="AM224" s="188"/>
      <c r="AN224" s="188"/>
      <c r="AO224" s="188"/>
      <c r="AP224" s="188"/>
      <c r="AQ224" s="188"/>
      <c r="AR224" s="188"/>
      <c r="AS224" s="188"/>
      <c r="AT224" s="188"/>
      <c r="AU224" s="188"/>
    </row>
    <row r="225" spans="1:47" x14ac:dyDescent="0.2">
      <c r="A225" s="94" t="s">
        <v>112</v>
      </c>
      <c r="B225" s="202">
        <f t="shared" ref="B225:H225" si="178">IF(B203=1,$I$217,0)</f>
        <v>0</v>
      </c>
      <c r="C225" s="202">
        <f t="shared" si="178"/>
        <v>0</v>
      </c>
      <c r="D225" s="202">
        <f t="shared" si="178"/>
        <v>0</v>
      </c>
      <c r="E225" s="202">
        <f t="shared" si="178"/>
        <v>0</v>
      </c>
      <c r="F225" s="202">
        <f t="shared" si="178"/>
        <v>0</v>
      </c>
      <c r="G225" s="202">
        <f t="shared" si="178"/>
        <v>0</v>
      </c>
      <c r="H225" s="202">
        <f t="shared" si="178"/>
        <v>0</v>
      </c>
      <c r="I225" s="114" t="s">
        <v>105</v>
      </c>
      <c r="J225" s="202">
        <f t="shared" ref="J225:O225" si="179">IF(J203=1,$I$217,0)</f>
        <v>0</v>
      </c>
      <c r="K225" s="202">
        <f t="shared" si="179"/>
        <v>0</v>
      </c>
      <c r="L225" s="202">
        <f t="shared" si="179"/>
        <v>0</v>
      </c>
      <c r="M225" s="202">
        <f t="shared" si="179"/>
        <v>0</v>
      </c>
      <c r="N225" s="202">
        <f t="shared" si="179"/>
        <v>0</v>
      </c>
      <c r="O225" s="202">
        <f t="shared" si="179"/>
        <v>0</v>
      </c>
      <c r="P225" s="188"/>
      <c r="Q225" s="188"/>
      <c r="R225" s="188"/>
      <c r="S225" s="188"/>
      <c r="T225" s="188"/>
      <c r="U225" s="188"/>
      <c r="V225" s="188"/>
      <c r="W225" s="188"/>
      <c r="X225" s="188"/>
      <c r="Y225" s="188"/>
      <c r="Z225" s="188"/>
      <c r="AA225" s="188"/>
      <c r="AB225" s="188"/>
      <c r="AC225" s="188"/>
      <c r="AD225" s="188"/>
      <c r="AE225" s="188"/>
      <c r="AF225" s="188"/>
      <c r="AG225" s="188"/>
      <c r="AH225" s="188"/>
      <c r="AI225" s="188"/>
      <c r="AJ225" s="188"/>
      <c r="AK225" s="188"/>
      <c r="AL225" s="188"/>
      <c r="AM225" s="188"/>
      <c r="AN225" s="188"/>
      <c r="AO225" s="188"/>
      <c r="AP225" s="188"/>
      <c r="AQ225" s="188"/>
      <c r="AR225" s="188"/>
      <c r="AS225" s="188"/>
      <c r="AT225" s="188"/>
      <c r="AU225" s="188"/>
    </row>
    <row r="226" spans="1:47" x14ac:dyDescent="0.2">
      <c r="A226" s="94" t="s">
        <v>113</v>
      </c>
      <c r="B226" s="202">
        <f t="shared" ref="B226:I226" si="180">IF(B204=1,$J$217,0)</f>
        <v>0</v>
      </c>
      <c r="C226" s="202">
        <f t="shared" si="180"/>
        <v>0</v>
      </c>
      <c r="D226" s="202">
        <f t="shared" si="180"/>
        <v>0</v>
      </c>
      <c r="E226" s="202">
        <f t="shared" si="180"/>
        <v>0</v>
      </c>
      <c r="F226" s="202">
        <f t="shared" si="180"/>
        <v>0</v>
      </c>
      <c r="G226" s="202">
        <f t="shared" si="180"/>
        <v>0</v>
      </c>
      <c r="H226" s="202">
        <f t="shared" si="180"/>
        <v>0</v>
      </c>
      <c r="I226" s="202">
        <f t="shared" si="180"/>
        <v>0</v>
      </c>
      <c r="J226" s="114" t="s">
        <v>105</v>
      </c>
      <c r="K226" s="202">
        <f>IF(K204=1,$J$217,0)</f>
        <v>0</v>
      </c>
      <c r="L226" s="202">
        <f t="shared" ref="L226:O230" si="181">IF(L204=1,$J$217,0)</f>
        <v>0</v>
      </c>
      <c r="M226" s="202">
        <f t="shared" si="181"/>
        <v>0</v>
      </c>
      <c r="N226" s="202">
        <f t="shared" si="181"/>
        <v>0</v>
      </c>
      <c r="O226" s="202">
        <f t="shared" si="181"/>
        <v>0</v>
      </c>
      <c r="P226" s="188"/>
      <c r="Q226" s="188"/>
      <c r="R226" s="188"/>
      <c r="S226" s="188"/>
      <c r="T226" s="188"/>
      <c r="U226" s="188"/>
      <c r="V226" s="188"/>
      <c r="W226" s="188"/>
      <c r="X226" s="188"/>
      <c r="Y226" s="188"/>
      <c r="Z226" s="188"/>
      <c r="AA226" s="188"/>
      <c r="AB226" s="188"/>
      <c r="AC226" s="188"/>
      <c r="AD226" s="188"/>
      <c r="AE226" s="188"/>
      <c r="AF226" s="188"/>
      <c r="AG226" s="188"/>
      <c r="AH226" s="188"/>
      <c r="AI226" s="188"/>
      <c r="AJ226" s="188"/>
      <c r="AK226" s="188"/>
      <c r="AL226" s="188"/>
      <c r="AM226" s="188"/>
      <c r="AN226" s="188"/>
      <c r="AO226" s="188"/>
      <c r="AP226" s="188"/>
      <c r="AQ226" s="188"/>
      <c r="AR226" s="188"/>
      <c r="AS226" s="188"/>
      <c r="AT226" s="188"/>
      <c r="AU226" s="188"/>
    </row>
    <row r="227" spans="1:47" x14ac:dyDescent="0.2">
      <c r="A227" s="94" t="s">
        <v>114</v>
      </c>
      <c r="B227" s="202">
        <f>IF(B205=1,$K$217,0)</f>
        <v>0</v>
      </c>
      <c r="C227" s="202">
        <f t="shared" ref="C227:J227" si="182">IF(C205=1,$K$217,0)</f>
        <v>0</v>
      </c>
      <c r="D227" s="202">
        <f t="shared" si="182"/>
        <v>0</v>
      </c>
      <c r="E227" s="202">
        <f t="shared" si="182"/>
        <v>0</v>
      </c>
      <c r="F227" s="202">
        <f t="shared" si="182"/>
        <v>0</v>
      </c>
      <c r="G227" s="202">
        <f t="shared" si="182"/>
        <v>0</v>
      </c>
      <c r="H227" s="202">
        <f t="shared" si="182"/>
        <v>0</v>
      </c>
      <c r="I227" s="202">
        <f t="shared" si="182"/>
        <v>0</v>
      </c>
      <c r="J227" s="202">
        <f t="shared" si="182"/>
        <v>0</v>
      </c>
      <c r="K227" s="114" t="s">
        <v>105</v>
      </c>
      <c r="L227" s="202">
        <f t="shared" si="181"/>
        <v>0</v>
      </c>
      <c r="M227" s="202">
        <f t="shared" si="181"/>
        <v>0</v>
      </c>
      <c r="N227" s="202">
        <f t="shared" si="181"/>
        <v>0</v>
      </c>
      <c r="O227" s="202">
        <f t="shared" si="181"/>
        <v>0</v>
      </c>
      <c r="P227" s="188"/>
      <c r="Q227" s="188"/>
      <c r="R227" s="188"/>
      <c r="S227" s="188"/>
      <c r="T227" s="188"/>
      <c r="U227" s="188"/>
      <c r="V227" s="188"/>
      <c r="W227" s="188"/>
      <c r="X227" s="188"/>
      <c r="Y227" s="188"/>
      <c r="Z227" s="188"/>
      <c r="AA227" s="188"/>
      <c r="AB227" s="188"/>
      <c r="AC227" s="188"/>
      <c r="AD227" s="188"/>
      <c r="AE227" s="188"/>
      <c r="AF227" s="188"/>
      <c r="AG227" s="188"/>
      <c r="AH227" s="188"/>
      <c r="AI227" s="188"/>
      <c r="AJ227" s="188"/>
      <c r="AK227" s="188"/>
      <c r="AL227" s="188"/>
      <c r="AM227" s="188"/>
      <c r="AN227" s="188"/>
      <c r="AO227" s="188"/>
      <c r="AP227" s="188"/>
      <c r="AQ227" s="188"/>
      <c r="AR227" s="188"/>
      <c r="AS227" s="188"/>
      <c r="AT227" s="188"/>
      <c r="AU227" s="188"/>
    </row>
    <row r="228" spans="1:47" x14ac:dyDescent="0.2">
      <c r="A228" s="94" t="s">
        <v>435</v>
      </c>
      <c r="B228" s="202">
        <f>IF(B206=1,$K$217,0)</f>
        <v>0</v>
      </c>
      <c r="C228" s="202">
        <f t="shared" ref="C228:K228" si="183">IF(C206=1,$K$217,0)</f>
        <v>0</v>
      </c>
      <c r="D228" s="202">
        <f t="shared" si="183"/>
        <v>0</v>
      </c>
      <c r="E228" s="202">
        <f t="shared" si="183"/>
        <v>0</v>
      </c>
      <c r="F228" s="202">
        <f t="shared" si="183"/>
        <v>0</v>
      </c>
      <c r="G228" s="202">
        <f t="shared" si="183"/>
        <v>0</v>
      </c>
      <c r="H228" s="202">
        <f t="shared" si="183"/>
        <v>0</v>
      </c>
      <c r="I228" s="202">
        <f t="shared" si="183"/>
        <v>0</v>
      </c>
      <c r="J228" s="202">
        <f t="shared" si="183"/>
        <v>0</v>
      </c>
      <c r="K228" s="202">
        <f t="shared" si="183"/>
        <v>0</v>
      </c>
      <c r="L228" s="114" t="s">
        <v>105</v>
      </c>
      <c r="M228" s="202">
        <f t="shared" si="181"/>
        <v>0</v>
      </c>
      <c r="N228" s="202">
        <f t="shared" si="181"/>
        <v>0</v>
      </c>
      <c r="O228" s="202">
        <f t="shared" si="181"/>
        <v>0</v>
      </c>
      <c r="P228" s="188"/>
      <c r="Q228" s="188"/>
      <c r="R228" s="188"/>
      <c r="S228" s="188"/>
      <c r="T228" s="188"/>
      <c r="U228" s="188"/>
      <c r="V228" s="188"/>
      <c r="W228" s="188"/>
      <c r="X228" s="188"/>
      <c r="Y228" s="188"/>
      <c r="Z228" s="188"/>
      <c r="AA228" s="188"/>
      <c r="AB228" s="188"/>
      <c r="AC228" s="188"/>
      <c r="AD228" s="188"/>
      <c r="AE228" s="188"/>
      <c r="AF228" s="188"/>
      <c r="AG228" s="188"/>
      <c r="AH228" s="188"/>
      <c r="AI228" s="188"/>
      <c r="AJ228" s="188"/>
      <c r="AK228" s="188"/>
      <c r="AL228" s="188"/>
      <c r="AM228" s="188"/>
      <c r="AN228" s="188"/>
      <c r="AO228" s="188"/>
      <c r="AP228" s="188"/>
      <c r="AQ228" s="188"/>
      <c r="AR228" s="188"/>
      <c r="AS228" s="188"/>
      <c r="AT228" s="188"/>
      <c r="AU228" s="188"/>
    </row>
    <row r="229" spans="1:47" x14ac:dyDescent="0.2">
      <c r="A229" s="94" t="s">
        <v>436</v>
      </c>
      <c r="B229" s="202">
        <f>IF(B207=1,$K$217,0)</f>
        <v>0</v>
      </c>
      <c r="C229" s="202">
        <f t="shared" ref="C229:K229" si="184">IF(C207=1,$K$217,0)</f>
        <v>0</v>
      </c>
      <c r="D229" s="202">
        <f t="shared" si="184"/>
        <v>0</v>
      </c>
      <c r="E229" s="202">
        <f t="shared" si="184"/>
        <v>0</v>
      </c>
      <c r="F229" s="202">
        <f t="shared" si="184"/>
        <v>0</v>
      </c>
      <c r="G229" s="202">
        <f t="shared" si="184"/>
        <v>0</v>
      </c>
      <c r="H229" s="202">
        <f t="shared" si="184"/>
        <v>0</v>
      </c>
      <c r="I229" s="202">
        <f t="shared" si="184"/>
        <v>0</v>
      </c>
      <c r="J229" s="202">
        <f t="shared" si="184"/>
        <v>0</v>
      </c>
      <c r="K229" s="202">
        <f t="shared" si="184"/>
        <v>0</v>
      </c>
      <c r="L229" s="202">
        <f>IF(L207=1,$K$217,0)</f>
        <v>0</v>
      </c>
      <c r="M229" s="114" t="s">
        <v>105</v>
      </c>
      <c r="N229" s="202">
        <f t="shared" si="181"/>
        <v>0</v>
      </c>
      <c r="O229" s="202">
        <f t="shared" si="181"/>
        <v>0</v>
      </c>
      <c r="P229" s="188"/>
      <c r="Q229" s="188"/>
      <c r="R229" s="188"/>
      <c r="S229" s="188"/>
      <c r="T229" s="188"/>
      <c r="U229" s="188"/>
      <c r="V229" s="188"/>
      <c r="W229" s="188"/>
      <c r="X229" s="188"/>
      <c r="Y229" s="188"/>
      <c r="Z229" s="188"/>
      <c r="AA229" s="188"/>
      <c r="AB229" s="188"/>
      <c r="AC229" s="188"/>
      <c r="AD229" s="188"/>
      <c r="AE229" s="188"/>
      <c r="AF229" s="188"/>
      <c r="AG229" s="188"/>
      <c r="AH229" s="188"/>
      <c r="AI229" s="188"/>
      <c r="AJ229" s="188"/>
      <c r="AK229" s="188"/>
      <c r="AL229" s="188"/>
      <c r="AM229" s="188"/>
      <c r="AN229" s="188"/>
      <c r="AO229" s="188"/>
      <c r="AP229" s="188"/>
      <c r="AQ229" s="188"/>
      <c r="AR229" s="188"/>
      <c r="AS229" s="188"/>
      <c r="AT229" s="188"/>
      <c r="AU229" s="188"/>
    </row>
    <row r="230" spans="1:47" x14ac:dyDescent="0.2">
      <c r="A230" s="94" t="s">
        <v>437</v>
      </c>
      <c r="B230" s="202">
        <f t="shared" ref="B230:J230" si="185">IF(B208=1,$K$217,0)</f>
        <v>0</v>
      </c>
      <c r="C230" s="202">
        <f t="shared" si="185"/>
        <v>0</v>
      </c>
      <c r="D230" s="202">
        <f t="shared" si="185"/>
        <v>0</v>
      </c>
      <c r="E230" s="202">
        <f t="shared" si="185"/>
        <v>0</v>
      </c>
      <c r="F230" s="202">
        <f t="shared" si="185"/>
        <v>0</v>
      </c>
      <c r="G230" s="202">
        <f t="shared" si="185"/>
        <v>0</v>
      </c>
      <c r="H230" s="202">
        <f t="shared" si="185"/>
        <v>0</v>
      </c>
      <c r="I230" s="202">
        <f t="shared" si="185"/>
        <v>0</v>
      </c>
      <c r="J230" s="202">
        <f t="shared" si="185"/>
        <v>0</v>
      </c>
      <c r="K230" s="202">
        <f>IF(K208=1,$K$217,0)</f>
        <v>0</v>
      </c>
      <c r="L230" s="202">
        <f>IF(L208=1,$K$217,0)</f>
        <v>0</v>
      </c>
      <c r="M230" s="202">
        <f>IF(M208=1,$K$217,0)</f>
        <v>0</v>
      </c>
      <c r="N230" s="114" t="s">
        <v>105</v>
      </c>
      <c r="O230" s="202">
        <f t="shared" si="181"/>
        <v>0</v>
      </c>
      <c r="P230" s="188"/>
      <c r="Q230" s="188"/>
      <c r="R230" s="188"/>
      <c r="S230" s="188"/>
      <c r="T230" s="188"/>
      <c r="U230" s="188"/>
      <c r="V230" s="188"/>
      <c r="W230" s="188"/>
      <c r="X230" s="188"/>
      <c r="Y230" s="188"/>
      <c r="Z230" s="188"/>
      <c r="AA230" s="188"/>
      <c r="AB230" s="188"/>
      <c r="AC230" s="188"/>
      <c r="AD230" s="188"/>
      <c r="AE230" s="188"/>
      <c r="AF230" s="188"/>
      <c r="AG230" s="188"/>
      <c r="AH230" s="188"/>
      <c r="AI230" s="188"/>
      <c r="AJ230" s="188"/>
      <c r="AK230" s="188"/>
      <c r="AL230" s="188"/>
      <c r="AM230" s="188"/>
      <c r="AN230" s="188"/>
      <c r="AO230" s="188"/>
      <c r="AP230" s="188"/>
      <c r="AQ230" s="188"/>
      <c r="AR230" s="188"/>
      <c r="AS230" s="188"/>
      <c r="AT230" s="188"/>
      <c r="AU230" s="188"/>
    </row>
    <row r="231" spans="1:47" x14ac:dyDescent="0.2">
      <c r="A231" s="94" t="s">
        <v>438</v>
      </c>
      <c r="B231" s="202">
        <f t="shared" ref="B231:J231" si="186">IF(B209=1,$K$217,0)</f>
        <v>0</v>
      </c>
      <c r="C231" s="202">
        <f t="shared" si="186"/>
        <v>0</v>
      </c>
      <c r="D231" s="202">
        <f t="shared" si="186"/>
        <v>0</v>
      </c>
      <c r="E231" s="202">
        <f t="shared" si="186"/>
        <v>0</v>
      </c>
      <c r="F231" s="202">
        <f t="shared" si="186"/>
        <v>0</v>
      </c>
      <c r="G231" s="202">
        <f t="shared" si="186"/>
        <v>0</v>
      </c>
      <c r="H231" s="202">
        <f t="shared" si="186"/>
        <v>0</v>
      </c>
      <c r="I231" s="202">
        <f t="shared" si="186"/>
        <v>0</v>
      </c>
      <c r="J231" s="202">
        <f t="shared" si="186"/>
        <v>0</v>
      </c>
      <c r="K231" s="202">
        <f>IF(K209=1,$K$217,0)</f>
        <v>0</v>
      </c>
      <c r="L231" s="202">
        <f>IF(L209=1,$K$217,0)</f>
        <v>0</v>
      </c>
      <c r="M231" s="202">
        <f>IF(M209=1,$K$217,0)</f>
        <v>0</v>
      </c>
      <c r="N231" s="202">
        <f>IF(N209=1,$K$217,0)</f>
        <v>0</v>
      </c>
      <c r="O231" s="114" t="s">
        <v>105</v>
      </c>
      <c r="P231" s="188"/>
      <c r="Q231" s="188"/>
      <c r="R231" s="188"/>
      <c r="S231" s="188"/>
      <c r="T231" s="188"/>
      <c r="U231" s="188"/>
      <c r="V231" s="188"/>
      <c r="W231" s="188"/>
      <c r="X231" s="188"/>
      <c r="Y231" s="188"/>
      <c r="Z231" s="188"/>
      <c r="AA231" s="188"/>
      <c r="AB231" s="188"/>
      <c r="AC231" s="188"/>
      <c r="AD231" s="188"/>
      <c r="AE231" s="188"/>
      <c r="AF231" s="188"/>
      <c r="AG231" s="188"/>
      <c r="AH231" s="188"/>
      <c r="AI231" s="188"/>
      <c r="AJ231" s="188"/>
      <c r="AK231" s="188"/>
      <c r="AL231" s="188"/>
      <c r="AM231" s="188"/>
      <c r="AN231" s="188"/>
      <c r="AO231" s="188"/>
      <c r="AP231" s="188"/>
      <c r="AQ231" s="188"/>
      <c r="AR231" s="188"/>
      <c r="AS231" s="188"/>
      <c r="AT231" s="188"/>
      <c r="AU231" s="188"/>
    </row>
    <row r="232" spans="1:47" x14ac:dyDescent="0.2">
      <c r="A232" s="94" t="s">
        <v>381</v>
      </c>
      <c r="B232" s="202">
        <f>SUM(B217:B231)</f>
        <v>0</v>
      </c>
      <c r="C232" s="202">
        <f t="shared" ref="C232:N232" si="187">SUM(C217:C231)</f>
        <v>0</v>
      </c>
      <c r="D232" s="202">
        <f t="shared" si="187"/>
        <v>0</v>
      </c>
      <c r="E232" s="202">
        <f t="shared" si="187"/>
        <v>0</v>
      </c>
      <c r="F232" s="202">
        <f t="shared" si="187"/>
        <v>0</v>
      </c>
      <c r="G232" s="202">
        <f t="shared" si="187"/>
        <v>0</v>
      </c>
      <c r="H232" s="202">
        <f t="shared" si="187"/>
        <v>0</v>
      </c>
      <c r="I232" s="202">
        <f t="shared" si="187"/>
        <v>0</v>
      </c>
      <c r="J232" s="202">
        <f t="shared" si="187"/>
        <v>0</v>
      </c>
      <c r="K232" s="202">
        <f t="shared" si="187"/>
        <v>0</v>
      </c>
      <c r="L232" s="202">
        <f t="shared" si="187"/>
        <v>0</v>
      </c>
      <c r="M232" s="202">
        <f t="shared" si="187"/>
        <v>0</v>
      </c>
      <c r="N232" s="202">
        <f t="shared" si="187"/>
        <v>0</v>
      </c>
      <c r="O232" s="202">
        <f>SUM(O217:O231)</f>
        <v>0</v>
      </c>
      <c r="P232" s="188"/>
      <c r="Q232" s="188"/>
      <c r="R232" s="188"/>
      <c r="S232" s="188"/>
      <c r="T232" s="188"/>
      <c r="U232" s="188"/>
      <c r="V232" s="188"/>
      <c r="W232" s="188"/>
      <c r="X232" s="188"/>
      <c r="Y232" s="188"/>
      <c r="Z232" s="188"/>
      <c r="AA232" s="188"/>
      <c r="AB232" s="188"/>
      <c r="AC232" s="188"/>
      <c r="AD232" s="188"/>
      <c r="AE232" s="188"/>
      <c r="AF232" s="188"/>
      <c r="AG232" s="188"/>
      <c r="AH232" s="188"/>
      <c r="AI232" s="188"/>
      <c r="AJ232" s="188"/>
      <c r="AK232" s="188"/>
      <c r="AL232" s="188"/>
      <c r="AM232" s="188"/>
      <c r="AN232" s="188"/>
      <c r="AO232" s="188"/>
      <c r="AP232" s="188"/>
      <c r="AQ232" s="188"/>
      <c r="AR232" s="188"/>
      <c r="AS232" s="188"/>
      <c r="AT232" s="188"/>
      <c r="AU232" s="188"/>
    </row>
    <row r="233" spans="1:47" x14ac:dyDescent="0.2">
      <c r="K233" s="1"/>
      <c r="P233" s="188"/>
      <c r="Q233" s="188"/>
      <c r="R233" s="188"/>
      <c r="S233" s="188"/>
      <c r="T233" s="188"/>
      <c r="U233" s="188"/>
      <c r="V233" s="188"/>
      <c r="W233" s="188"/>
      <c r="X233" s="188"/>
      <c r="Y233" s="188"/>
      <c r="Z233" s="188"/>
      <c r="AA233" s="188"/>
      <c r="AB233" s="188"/>
      <c r="AC233" s="188"/>
      <c r="AD233" s="188"/>
      <c r="AE233" s="188"/>
      <c r="AF233" s="188"/>
      <c r="AG233" s="188"/>
      <c r="AH233" s="188"/>
      <c r="AI233" s="188"/>
      <c r="AJ233" s="188"/>
      <c r="AK233" s="188"/>
      <c r="AL233" s="188"/>
      <c r="AM233" s="188"/>
      <c r="AN233" s="188"/>
      <c r="AO233" s="188"/>
      <c r="AP233" s="188"/>
      <c r="AQ233" s="188"/>
      <c r="AR233" s="188"/>
      <c r="AS233" s="188"/>
      <c r="AT233" s="188"/>
      <c r="AU233" s="188"/>
    </row>
    <row r="234" spans="1:47" x14ac:dyDescent="0.2">
      <c r="A234" s="21" t="s">
        <v>115</v>
      </c>
      <c r="P234" s="188"/>
      <c r="Q234" s="188"/>
      <c r="R234" s="188"/>
      <c r="S234" s="188"/>
      <c r="T234" s="188"/>
      <c r="U234" s="188"/>
      <c r="V234" s="188"/>
      <c r="W234" s="188"/>
      <c r="X234" s="188"/>
      <c r="Y234" s="188"/>
      <c r="Z234" s="188"/>
      <c r="AA234" s="188"/>
      <c r="AB234" s="188"/>
      <c r="AC234" s="188"/>
      <c r="AD234" s="188"/>
      <c r="AE234" s="188"/>
      <c r="AF234" s="188"/>
      <c r="AG234" s="188"/>
      <c r="AH234" s="188"/>
      <c r="AI234" s="188"/>
      <c r="AJ234" s="188"/>
      <c r="AK234" s="188"/>
      <c r="AL234" s="188"/>
      <c r="AM234" s="188"/>
      <c r="AN234" s="188"/>
      <c r="AO234" s="188"/>
      <c r="AP234" s="188"/>
      <c r="AQ234" s="188"/>
      <c r="AR234" s="188"/>
      <c r="AS234" s="188"/>
      <c r="AT234" s="188"/>
      <c r="AU234" s="188"/>
    </row>
    <row r="235" spans="1:47" x14ac:dyDescent="0.2">
      <c r="A235" s="450" t="s">
        <v>116</v>
      </c>
      <c r="B235" s="75" t="s">
        <v>89</v>
      </c>
      <c r="C235" s="75" t="s">
        <v>90</v>
      </c>
      <c r="D235" s="75" t="s">
        <v>91</v>
      </c>
      <c r="E235" s="75" t="s">
        <v>239</v>
      </c>
      <c r="F235" s="75" t="s">
        <v>240</v>
      </c>
      <c r="G235" s="75" t="s">
        <v>241</v>
      </c>
      <c r="H235" s="75" t="s">
        <v>242</v>
      </c>
      <c r="I235" s="75" t="s">
        <v>243</v>
      </c>
      <c r="J235" s="75" t="s">
        <v>92</v>
      </c>
      <c r="K235" s="75" t="s">
        <v>244</v>
      </c>
      <c r="L235" s="75" t="s">
        <v>429</v>
      </c>
      <c r="M235" s="75" t="s">
        <v>430</v>
      </c>
      <c r="N235" s="75" t="s">
        <v>431</v>
      </c>
      <c r="O235" s="75" t="s">
        <v>432</v>
      </c>
      <c r="P235" s="188"/>
      <c r="Q235" s="188"/>
      <c r="R235" s="188"/>
      <c r="S235" s="188"/>
      <c r="T235" s="188"/>
      <c r="U235" s="188"/>
      <c r="V235" s="188"/>
      <c r="W235" s="188"/>
      <c r="X235" s="188"/>
      <c r="Y235" s="188"/>
      <c r="Z235" s="188"/>
      <c r="AA235" s="188"/>
      <c r="AB235" s="188"/>
      <c r="AC235" s="188"/>
      <c r="AD235" s="188"/>
      <c r="AE235" s="188"/>
      <c r="AF235" s="188"/>
      <c r="AG235" s="188"/>
      <c r="AH235" s="188"/>
      <c r="AI235" s="188"/>
      <c r="AJ235" s="188"/>
      <c r="AK235" s="188"/>
      <c r="AL235" s="188"/>
      <c r="AM235" s="188"/>
      <c r="AN235" s="188"/>
      <c r="AO235" s="188"/>
      <c r="AP235" s="188"/>
      <c r="AQ235" s="188"/>
      <c r="AR235" s="188"/>
      <c r="AS235" s="188"/>
      <c r="AT235" s="188"/>
      <c r="AU235" s="188"/>
    </row>
    <row r="236" spans="1:47" x14ac:dyDescent="0.2">
      <c r="A236" s="451"/>
      <c r="B236" s="76" t="str">
        <f t="shared" ref="B236:I236" si="188">B215</f>
        <v>Watershed 1</v>
      </c>
      <c r="C236" s="76" t="str">
        <f t="shared" si="188"/>
        <v>Watershed 2</v>
      </c>
      <c r="D236" s="76" t="str">
        <f t="shared" si="188"/>
        <v>Watershed 3</v>
      </c>
      <c r="E236" s="76" t="str">
        <f t="shared" si="188"/>
        <v>Watershed 4</v>
      </c>
      <c r="F236" s="76" t="str">
        <f t="shared" si="188"/>
        <v>Watershed 5</v>
      </c>
      <c r="G236" s="76" t="str">
        <f t="shared" si="188"/>
        <v>Watershed 6</v>
      </c>
      <c r="H236" s="76" t="str">
        <f t="shared" si="188"/>
        <v>Watershed 7</v>
      </c>
      <c r="I236" s="76" t="str">
        <f t="shared" si="188"/>
        <v>Watershed 8</v>
      </c>
      <c r="J236" s="76" t="str">
        <f t="shared" ref="J236:O236" si="189">J215</f>
        <v>Watershed 9</v>
      </c>
      <c r="K236" s="76" t="str">
        <f t="shared" si="189"/>
        <v>Watershed 10</v>
      </c>
      <c r="L236" s="76" t="str">
        <f t="shared" si="189"/>
        <v>Watershed 11</v>
      </c>
      <c r="M236" s="76" t="str">
        <f t="shared" si="189"/>
        <v>Watershed 12</v>
      </c>
      <c r="N236" s="76" t="str">
        <f t="shared" si="189"/>
        <v>Watershed 13</v>
      </c>
      <c r="O236" s="76" t="str">
        <f t="shared" si="189"/>
        <v>Watershed 14</v>
      </c>
      <c r="P236" s="234"/>
      <c r="Q236" s="234"/>
      <c r="R236" s="234"/>
      <c r="S236" s="234"/>
      <c r="T236" s="234"/>
      <c r="U236" s="234"/>
      <c r="V236" s="234"/>
      <c r="W236" s="196"/>
      <c r="X236" s="196"/>
      <c r="Y236" s="196"/>
      <c r="Z236" s="196"/>
      <c r="AA236" s="188"/>
      <c r="AB236" s="188"/>
      <c r="AC236" s="188"/>
      <c r="AD236" s="188"/>
      <c r="AE236" s="188"/>
      <c r="AF236" s="188"/>
      <c r="AG236" s="188"/>
      <c r="AH236" s="188"/>
      <c r="AI236" s="188"/>
      <c r="AJ236" s="188"/>
      <c r="AK236" s="188"/>
      <c r="AL236" s="188"/>
      <c r="AM236" s="188"/>
      <c r="AN236" s="188"/>
      <c r="AO236" s="188"/>
      <c r="AP236" s="188"/>
      <c r="AQ236" s="188"/>
      <c r="AR236" s="188"/>
      <c r="AS236" s="188"/>
      <c r="AT236" s="188"/>
      <c r="AU236" s="188"/>
    </row>
    <row r="237" spans="1:47" x14ac:dyDescent="0.2">
      <c r="A237" s="452"/>
      <c r="B237" s="77" t="s">
        <v>98</v>
      </c>
      <c r="C237" s="77" t="s">
        <v>98</v>
      </c>
      <c r="D237" s="77" t="s">
        <v>98</v>
      </c>
      <c r="E237" s="77" t="s">
        <v>98</v>
      </c>
      <c r="F237" s="77" t="s">
        <v>98</v>
      </c>
      <c r="G237" s="77" t="s">
        <v>98</v>
      </c>
      <c r="H237" s="77" t="s">
        <v>98</v>
      </c>
      <c r="I237" s="77" t="s">
        <v>98</v>
      </c>
      <c r="J237" s="77" t="s">
        <v>98</v>
      </c>
      <c r="K237" s="77" t="s">
        <v>98</v>
      </c>
      <c r="L237" s="77" t="s">
        <v>98</v>
      </c>
      <c r="M237" s="77" t="s">
        <v>98</v>
      </c>
      <c r="N237" s="77" t="s">
        <v>98</v>
      </c>
      <c r="O237" s="77" t="s">
        <v>98</v>
      </c>
      <c r="P237" s="188"/>
      <c r="Q237" s="188"/>
      <c r="R237" s="188"/>
      <c r="S237" s="188"/>
      <c r="T237" s="188"/>
      <c r="U237" s="188"/>
      <c r="V237" s="188"/>
      <c r="W237" s="188"/>
      <c r="X237" s="188"/>
      <c r="Y237" s="188"/>
      <c r="Z237" s="188"/>
      <c r="AA237" s="188"/>
      <c r="AB237" s="188"/>
      <c r="AC237" s="188"/>
      <c r="AD237" s="188"/>
      <c r="AE237" s="188"/>
      <c r="AF237" s="188"/>
      <c r="AG237" s="188"/>
      <c r="AH237" s="188"/>
      <c r="AI237" s="188"/>
      <c r="AJ237" s="188"/>
      <c r="AK237" s="188"/>
      <c r="AL237" s="188"/>
      <c r="AM237" s="188"/>
      <c r="AN237" s="188"/>
      <c r="AO237" s="188"/>
      <c r="AP237" s="188"/>
      <c r="AQ237" s="188"/>
      <c r="AR237" s="188"/>
      <c r="AS237" s="188"/>
      <c r="AT237" s="188"/>
      <c r="AU237" s="188"/>
    </row>
    <row r="238" spans="1:47" x14ac:dyDescent="0.2">
      <c r="A238" s="94" t="s">
        <v>103</v>
      </c>
      <c r="B238" s="249">
        <f t="shared" ref="B238:O238" si="190">B128+T128</f>
        <v>0</v>
      </c>
      <c r="C238" s="249">
        <f t="shared" si="190"/>
        <v>0</v>
      </c>
      <c r="D238" s="249">
        <f t="shared" si="190"/>
        <v>0</v>
      </c>
      <c r="E238" s="249">
        <f t="shared" si="190"/>
        <v>0</v>
      </c>
      <c r="F238" s="249">
        <f t="shared" si="190"/>
        <v>0</v>
      </c>
      <c r="G238" s="249">
        <f t="shared" si="190"/>
        <v>0</v>
      </c>
      <c r="H238" s="249">
        <f t="shared" si="190"/>
        <v>0</v>
      </c>
      <c r="I238" s="249">
        <f t="shared" si="190"/>
        <v>0</v>
      </c>
      <c r="J238" s="249">
        <f t="shared" si="190"/>
        <v>0</v>
      </c>
      <c r="K238" s="249">
        <f t="shared" si="190"/>
        <v>0</v>
      </c>
      <c r="L238" s="249">
        <f t="shared" si="190"/>
        <v>0</v>
      </c>
      <c r="M238" s="249">
        <f t="shared" si="190"/>
        <v>0</v>
      </c>
      <c r="N238" s="249">
        <f t="shared" si="190"/>
        <v>0</v>
      </c>
      <c r="O238" s="249">
        <f t="shared" si="190"/>
        <v>0</v>
      </c>
      <c r="P238" s="188"/>
      <c r="Q238" s="188"/>
      <c r="R238" s="188"/>
      <c r="S238" s="188"/>
      <c r="T238" s="188"/>
      <c r="U238" s="188"/>
      <c r="V238" s="188"/>
      <c r="W238" s="188"/>
      <c r="X238" s="188"/>
      <c r="Y238" s="188"/>
      <c r="Z238" s="188"/>
      <c r="AA238" s="188"/>
      <c r="AB238" s="188"/>
      <c r="AC238" s="188"/>
      <c r="AD238" s="188"/>
      <c r="AE238" s="188"/>
      <c r="AF238" s="188"/>
      <c r="AG238" s="188"/>
      <c r="AH238" s="188"/>
      <c r="AI238" s="188"/>
      <c r="AJ238" s="188"/>
      <c r="AK238" s="188"/>
      <c r="AL238" s="188"/>
      <c r="AM238" s="188"/>
      <c r="AN238" s="188"/>
      <c r="AO238" s="188"/>
      <c r="AP238" s="188"/>
      <c r="AQ238" s="188"/>
      <c r="AR238" s="188"/>
      <c r="AS238" s="188"/>
      <c r="AT238" s="188"/>
      <c r="AU238" s="188"/>
    </row>
    <row r="239" spans="1:47" x14ac:dyDescent="0.2">
      <c r="A239" s="94" t="s">
        <v>104</v>
      </c>
      <c r="B239" s="248" t="s">
        <v>105</v>
      </c>
      <c r="C239" s="249">
        <f>IF(C196=1,$B$255,0)</f>
        <v>0</v>
      </c>
      <c r="D239" s="249">
        <f t="shared" ref="D239:O239" si="191">IF(D196=1,$B$255,0)</f>
        <v>0</v>
      </c>
      <c r="E239" s="249">
        <f t="shared" si="191"/>
        <v>0</v>
      </c>
      <c r="F239" s="249">
        <f t="shared" si="191"/>
        <v>0</v>
      </c>
      <c r="G239" s="249">
        <f t="shared" si="191"/>
        <v>0</v>
      </c>
      <c r="H239" s="249">
        <f t="shared" si="191"/>
        <v>0</v>
      </c>
      <c r="I239" s="249">
        <f t="shared" si="191"/>
        <v>0</v>
      </c>
      <c r="J239" s="249">
        <f t="shared" si="191"/>
        <v>0</v>
      </c>
      <c r="K239" s="249">
        <f t="shared" si="191"/>
        <v>0</v>
      </c>
      <c r="L239" s="249">
        <f t="shared" si="191"/>
        <v>0</v>
      </c>
      <c r="M239" s="249">
        <f t="shared" si="191"/>
        <v>0</v>
      </c>
      <c r="N239" s="249">
        <f t="shared" si="191"/>
        <v>0</v>
      </c>
      <c r="O239" s="249">
        <f t="shared" si="191"/>
        <v>0</v>
      </c>
      <c r="P239" s="188"/>
      <c r="Q239" s="188"/>
      <c r="R239" s="188"/>
      <c r="S239" s="188"/>
      <c r="T239" s="188"/>
      <c r="U239" s="188"/>
      <c r="V239" s="188"/>
      <c r="W239" s="188"/>
      <c r="X239" s="188"/>
      <c r="Y239" s="188"/>
      <c r="Z239" s="188"/>
      <c r="AA239" s="188"/>
      <c r="AB239" s="188"/>
      <c r="AC239" s="188"/>
      <c r="AD239" s="188"/>
      <c r="AE239" s="188"/>
      <c r="AF239" s="188"/>
      <c r="AG239" s="188"/>
      <c r="AH239" s="188"/>
      <c r="AI239" s="188"/>
      <c r="AJ239" s="188"/>
      <c r="AK239" s="188"/>
      <c r="AL239" s="188"/>
      <c r="AM239" s="188"/>
      <c r="AN239" s="188"/>
      <c r="AO239" s="188"/>
      <c r="AP239" s="188"/>
      <c r="AQ239" s="188"/>
      <c r="AR239" s="188"/>
      <c r="AS239" s="188"/>
      <c r="AT239" s="188"/>
      <c r="AU239" s="188"/>
    </row>
    <row r="240" spans="1:47" x14ac:dyDescent="0.2">
      <c r="A240" s="94" t="s">
        <v>106</v>
      </c>
      <c r="B240" s="249">
        <f>IF(B197=1,$C$255,0)</f>
        <v>0</v>
      </c>
      <c r="C240" s="248" t="s">
        <v>105</v>
      </c>
      <c r="D240" s="249">
        <f>IF(D197=1,$C$255,0)</f>
        <v>0</v>
      </c>
      <c r="E240" s="249">
        <f t="shared" ref="E240:K240" si="192">IF(E197=1,$C$255,0)</f>
        <v>0</v>
      </c>
      <c r="F240" s="249">
        <f t="shared" si="192"/>
        <v>0</v>
      </c>
      <c r="G240" s="249">
        <f t="shared" si="192"/>
        <v>0</v>
      </c>
      <c r="H240" s="249">
        <f t="shared" si="192"/>
        <v>0</v>
      </c>
      <c r="I240" s="249">
        <f t="shared" si="192"/>
        <v>0</v>
      </c>
      <c r="J240" s="249">
        <f t="shared" si="192"/>
        <v>0</v>
      </c>
      <c r="K240" s="249">
        <f t="shared" si="192"/>
        <v>0</v>
      </c>
      <c r="L240" s="249">
        <f>IF(L197=1,$C$255,0)</f>
        <v>0</v>
      </c>
      <c r="M240" s="249">
        <f>IF(M197=1,$C$255,0)</f>
        <v>0</v>
      </c>
      <c r="N240" s="249">
        <f>IF(N197=1,$C$255,0)</f>
        <v>0</v>
      </c>
      <c r="O240" s="249">
        <f>IF(O197=1,$C$255,0)</f>
        <v>0</v>
      </c>
      <c r="P240" s="188"/>
      <c r="Q240" s="188"/>
      <c r="R240" s="188"/>
      <c r="S240" s="188"/>
      <c r="T240" s="188"/>
      <c r="U240" s="188"/>
      <c r="V240" s="188"/>
      <c r="W240" s="188"/>
      <c r="X240" s="188"/>
      <c r="Y240" s="188"/>
      <c r="Z240" s="188"/>
      <c r="AA240" s="188"/>
      <c r="AB240" s="188"/>
      <c r="AC240" s="188"/>
      <c r="AD240" s="188"/>
      <c r="AE240" s="188"/>
      <c r="AF240" s="188"/>
      <c r="AG240" s="188"/>
      <c r="AH240" s="188"/>
      <c r="AI240" s="188"/>
      <c r="AJ240" s="188"/>
      <c r="AK240" s="188"/>
      <c r="AL240" s="188"/>
      <c r="AM240" s="188"/>
      <c r="AN240" s="188"/>
      <c r="AO240" s="188"/>
      <c r="AP240" s="188"/>
      <c r="AQ240" s="188"/>
      <c r="AR240" s="188"/>
      <c r="AS240" s="188"/>
      <c r="AT240" s="188"/>
      <c r="AU240" s="188"/>
    </row>
    <row r="241" spans="1:47" x14ac:dyDescent="0.2">
      <c r="A241" s="94" t="s">
        <v>107</v>
      </c>
      <c r="B241" s="249">
        <f>IF(B198=1,$D$255,0)</f>
        <v>0</v>
      </c>
      <c r="C241" s="249">
        <f>IF(C198=1,$D$255,0)</f>
        <v>0</v>
      </c>
      <c r="D241" s="248" t="s">
        <v>105</v>
      </c>
      <c r="E241" s="249">
        <f t="shared" ref="E241:K241" si="193">IF(E198=1,$D$255,0)</f>
        <v>0</v>
      </c>
      <c r="F241" s="249">
        <f t="shared" si="193"/>
        <v>0</v>
      </c>
      <c r="G241" s="249">
        <f t="shared" si="193"/>
        <v>0</v>
      </c>
      <c r="H241" s="249">
        <f t="shared" si="193"/>
        <v>0</v>
      </c>
      <c r="I241" s="249">
        <f t="shared" si="193"/>
        <v>0</v>
      </c>
      <c r="J241" s="249">
        <f t="shared" si="193"/>
        <v>0</v>
      </c>
      <c r="K241" s="249">
        <f t="shared" si="193"/>
        <v>0</v>
      </c>
      <c r="L241" s="249">
        <f>IF(L198=1,$D$255,0)</f>
        <v>0</v>
      </c>
      <c r="M241" s="249">
        <f>IF(M198=1,$D$255,0)</f>
        <v>0</v>
      </c>
      <c r="N241" s="249">
        <f>IF(N198=1,$D$255,0)</f>
        <v>0</v>
      </c>
      <c r="O241" s="249">
        <f>IF(O198=1,$D$255,0)</f>
        <v>0</v>
      </c>
      <c r="P241" s="188"/>
      <c r="Q241" s="188"/>
      <c r="R241" s="188"/>
      <c r="S241" s="188"/>
      <c r="T241" s="188"/>
      <c r="U241" s="188"/>
      <c r="V241" s="188"/>
      <c r="W241" s="188"/>
      <c r="X241" s="188"/>
      <c r="Y241" s="188"/>
      <c r="Z241" s="188"/>
      <c r="AA241" s="188"/>
      <c r="AB241" s="188"/>
      <c r="AC241" s="188"/>
      <c r="AD241" s="188"/>
      <c r="AE241" s="188"/>
      <c r="AF241" s="188"/>
      <c r="AG241" s="188"/>
      <c r="AH241" s="188"/>
      <c r="AI241" s="188"/>
      <c r="AJ241" s="188"/>
      <c r="AK241" s="188"/>
      <c r="AL241" s="188"/>
      <c r="AM241" s="188"/>
      <c r="AN241" s="188"/>
      <c r="AO241" s="188"/>
      <c r="AP241" s="188"/>
      <c r="AQ241" s="188"/>
      <c r="AR241" s="188"/>
      <c r="AS241" s="188"/>
      <c r="AT241" s="188"/>
      <c r="AU241" s="188"/>
    </row>
    <row r="242" spans="1:47" x14ac:dyDescent="0.2">
      <c r="A242" s="94" t="s">
        <v>108</v>
      </c>
      <c r="B242" s="249">
        <f>IF(B199=1,$E$255,0)</f>
        <v>0</v>
      </c>
      <c r="C242" s="249">
        <f>IF(C199=1,$E$255,0)</f>
        <v>0</v>
      </c>
      <c r="D242" s="249">
        <f>IF(D199=1,$E$255,0)</f>
        <v>0</v>
      </c>
      <c r="E242" s="248" t="s">
        <v>105</v>
      </c>
      <c r="F242" s="249">
        <f t="shared" ref="F242:K242" si="194">IF(F199=1,$E$255,0)</f>
        <v>0</v>
      </c>
      <c r="G242" s="249">
        <f t="shared" si="194"/>
        <v>0</v>
      </c>
      <c r="H242" s="249">
        <f t="shared" si="194"/>
        <v>0</v>
      </c>
      <c r="I242" s="249">
        <f t="shared" si="194"/>
        <v>0</v>
      </c>
      <c r="J242" s="249">
        <f t="shared" si="194"/>
        <v>0</v>
      </c>
      <c r="K242" s="249">
        <f t="shared" si="194"/>
        <v>0</v>
      </c>
      <c r="L242" s="249">
        <f>IF(L199=1,$E$255,0)</f>
        <v>0</v>
      </c>
      <c r="M242" s="249">
        <f>IF(M199=1,$E$255,0)</f>
        <v>0</v>
      </c>
      <c r="N242" s="249">
        <f>IF(N199=1,$E$255,0)</f>
        <v>0</v>
      </c>
      <c r="O242" s="249">
        <f>IF(O199=1,$E$255,0)</f>
        <v>0</v>
      </c>
      <c r="P242" s="188"/>
      <c r="Q242" s="188"/>
      <c r="R242" s="188"/>
      <c r="S242" s="188"/>
      <c r="T242" s="188"/>
      <c r="U242" s="188"/>
      <c r="V242" s="188"/>
      <c r="W242" s="188"/>
      <c r="X242" s="188"/>
      <c r="Y242" s="188"/>
      <c r="Z242" s="188"/>
      <c r="AA242" s="188"/>
      <c r="AB242" s="188"/>
      <c r="AC242" s="188"/>
      <c r="AD242" s="188"/>
      <c r="AE242" s="188"/>
      <c r="AF242" s="188"/>
      <c r="AG242" s="188"/>
      <c r="AH242" s="188"/>
      <c r="AI242" s="188"/>
      <c r="AJ242" s="188"/>
      <c r="AK242" s="188"/>
      <c r="AL242" s="188"/>
      <c r="AM242" s="188"/>
      <c r="AN242" s="188"/>
      <c r="AO242" s="188"/>
      <c r="AP242" s="188"/>
      <c r="AQ242" s="188"/>
      <c r="AR242" s="188"/>
      <c r="AS242" s="188"/>
      <c r="AT242" s="188"/>
      <c r="AU242" s="188"/>
    </row>
    <row r="243" spans="1:47" x14ac:dyDescent="0.2">
      <c r="A243" s="94" t="s">
        <v>109</v>
      </c>
      <c r="B243" s="249">
        <f>IF(B200=1,$F$255,0)</f>
        <v>0</v>
      </c>
      <c r="C243" s="249">
        <f t="shared" ref="C243:K243" si="195">IF(C200=1,$F$255,0)</f>
        <v>0</v>
      </c>
      <c r="D243" s="249">
        <f t="shared" si="195"/>
        <v>0</v>
      </c>
      <c r="E243" s="249">
        <f t="shared" si="195"/>
        <v>0</v>
      </c>
      <c r="F243" s="248" t="s">
        <v>105</v>
      </c>
      <c r="G243" s="249">
        <f t="shared" si="195"/>
        <v>0</v>
      </c>
      <c r="H243" s="249">
        <f t="shared" si="195"/>
        <v>0</v>
      </c>
      <c r="I243" s="249">
        <f t="shared" si="195"/>
        <v>0</v>
      </c>
      <c r="J243" s="249">
        <f t="shared" si="195"/>
        <v>0</v>
      </c>
      <c r="K243" s="249">
        <f t="shared" si="195"/>
        <v>0</v>
      </c>
      <c r="L243" s="249">
        <f>IF(L200=1,$F$255,0)</f>
        <v>0</v>
      </c>
      <c r="M243" s="249">
        <f>IF(M200=1,$F$255,0)</f>
        <v>0</v>
      </c>
      <c r="N243" s="249">
        <f>IF(N200=1,$F$255,0)</f>
        <v>0</v>
      </c>
      <c r="O243" s="249">
        <f>IF(O200=1,$F$255,0)</f>
        <v>0</v>
      </c>
      <c r="P243" s="188"/>
      <c r="Q243" s="188"/>
      <c r="R243" s="188"/>
      <c r="S243" s="188"/>
      <c r="T243" s="188"/>
      <c r="U243" s="188"/>
      <c r="V243" s="188"/>
      <c r="W243" s="188"/>
      <c r="X243" s="188"/>
      <c r="Y243" s="188"/>
      <c r="Z243" s="188"/>
      <c r="AA243" s="188"/>
      <c r="AB243" s="188"/>
      <c r="AC243" s="188"/>
      <c r="AD243" s="188"/>
      <c r="AE243" s="188"/>
      <c r="AF243" s="188"/>
      <c r="AG243" s="188"/>
      <c r="AH243" s="188"/>
      <c r="AI243" s="188"/>
      <c r="AJ243" s="188"/>
      <c r="AK243" s="188"/>
      <c r="AL243" s="188"/>
      <c r="AM243" s="188"/>
      <c r="AN243" s="188"/>
      <c r="AO243" s="188"/>
      <c r="AP243" s="188"/>
      <c r="AQ243" s="188"/>
      <c r="AR243" s="188"/>
      <c r="AS243" s="188"/>
      <c r="AT243" s="188"/>
      <c r="AU243" s="188"/>
    </row>
    <row r="244" spans="1:47" x14ac:dyDescent="0.2">
      <c r="A244" s="94" t="s">
        <v>110</v>
      </c>
      <c r="B244" s="249">
        <f>IF(B201=1,$G$255,0)</f>
        <v>0</v>
      </c>
      <c r="C244" s="249">
        <f t="shared" ref="C244:K244" si="196">IF(C201=1,$G$255,0)</f>
        <v>0</v>
      </c>
      <c r="D244" s="249">
        <f t="shared" si="196"/>
        <v>0</v>
      </c>
      <c r="E244" s="249">
        <f t="shared" si="196"/>
        <v>0</v>
      </c>
      <c r="F244" s="249">
        <f t="shared" si="196"/>
        <v>0</v>
      </c>
      <c r="G244" s="248" t="s">
        <v>105</v>
      </c>
      <c r="H244" s="249">
        <f t="shared" si="196"/>
        <v>0</v>
      </c>
      <c r="I244" s="249">
        <f t="shared" si="196"/>
        <v>0</v>
      </c>
      <c r="J244" s="249">
        <f t="shared" si="196"/>
        <v>0</v>
      </c>
      <c r="K244" s="249">
        <f t="shared" si="196"/>
        <v>0</v>
      </c>
      <c r="L244" s="249">
        <f>IF(L201=1,$G$255,0)</f>
        <v>0</v>
      </c>
      <c r="M244" s="249">
        <f>IF(M201=1,$G$255,0)</f>
        <v>0</v>
      </c>
      <c r="N244" s="249">
        <f>IF(N201=1,$G$255,0)</f>
        <v>0</v>
      </c>
      <c r="O244" s="249">
        <f>IF(O201=1,$G$255,0)</f>
        <v>0</v>
      </c>
      <c r="P244" s="188"/>
      <c r="Q244" s="188"/>
      <c r="R244" s="188"/>
      <c r="S244" s="188"/>
      <c r="T244" s="188"/>
      <c r="U244" s="188"/>
      <c r="V244" s="188"/>
      <c r="W244" s="188"/>
      <c r="X244" s="188"/>
      <c r="Y244" s="188"/>
      <c r="Z244" s="188"/>
      <c r="AA244" s="188"/>
      <c r="AB244" s="188"/>
      <c r="AC244" s="188"/>
      <c r="AD244" s="188"/>
      <c r="AE244" s="188"/>
      <c r="AF244" s="188"/>
      <c r="AG244" s="188"/>
      <c r="AH244" s="188"/>
      <c r="AI244" s="188"/>
      <c r="AJ244" s="188"/>
      <c r="AK244" s="188"/>
      <c r="AL244" s="188"/>
      <c r="AM244" s="188"/>
      <c r="AN244" s="188"/>
      <c r="AO244" s="188"/>
      <c r="AP244" s="188"/>
      <c r="AQ244" s="188"/>
      <c r="AR244" s="188"/>
      <c r="AS244" s="188"/>
      <c r="AT244" s="188"/>
      <c r="AU244" s="188"/>
    </row>
    <row r="245" spans="1:47" x14ac:dyDescent="0.2">
      <c r="A245" s="94" t="s">
        <v>111</v>
      </c>
      <c r="B245" s="249">
        <f>IF(B202=1,$H$255,0)</f>
        <v>0</v>
      </c>
      <c r="C245" s="249">
        <f t="shared" ref="C245:K245" si="197">IF(C202=1,$H$255,0)</f>
        <v>0</v>
      </c>
      <c r="D245" s="249">
        <f t="shared" si="197"/>
        <v>0</v>
      </c>
      <c r="E245" s="249">
        <f t="shared" si="197"/>
        <v>0</v>
      </c>
      <c r="F245" s="249">
        <f t="shared" si="197"/>
        <v>0</v>
      </c>
      <c r="G245" s="249">
        <f t="shared" si="197"/>
        <v>0</v>
      </c>
      <c r="H245" s="248" t="s">
        <v>105</v>
      </c>
      <c r="I245" s="249">
        <f t="shared" si="197"/>
        <v>0</v>
      </c>
      <c r="J245" s="249">
        <f t="shared" si="197"/>
        <v>0</v>
      </c>
      <c r="K245" s="249">
        <f t="shared" si="197"/>
        <v>0</v>
      </c>
      <c r="L245" s="249">
        <f>IF(L202=1,$H$255,0)</f>
        <v>0</v>
      </c>
      <c r="M245" s="249">
        <f>IF(M202=1,$H$255,0)</f>
        <v>0</v>
      </c>
      <c r="N245" s="249">
        <f>IF(N202=1,$H$255,0)</f>
        <v>0</v>
      </c>
      <c r="O245" s="249">
        <f>IF(O202=1,$H$255,0)</f>
        <v>0</v>
      </c>
      <c r="P245" s="188"/>
      <c r="Q245" s="188"/>
      <c r="R245" s="188"/>
      <c r="S245" s="188"/>
      <c r="T245" s="188"/>
      <c r="U245" s="188"/>
      <c r="V245" s="188"/>
      <c r="W245" s="188"/>
      <c r="X245" s="188"/>
      <c r="Y245" s="188"/>
      <c r="Z245" s="188"/>
      <c r="AA245" s="188"/>
      <c r="AB245" s="188"/>
      <c r="AC245" s="188"/>
      <c r="AD245" s="188"/>
      <c r="AE245" s="188"/>
      <c r="AF245" s="188"/>
      <c r="AG245" s="188"/>
      <c r="AH245" s="188"/>
      <c r="AI245" s="188"/>
      <c r="AJ245" s="188"/>
      <c r="AK245" s="188"/>
      <c r="AL245" s="188"/>
      <c r="AM245" s="188"/>
      <c r="AN245" s="188"/>
      <c r="AO245" s="188"/>
      <c r="AP245" s="188"/>
      <c r="AQ245" s="188"/>
      <c r="AR245" s="188"/>
      <c r="AS245" s="188"/>
      <c r="AT245" s="188"/>
      <c r="AU245" s="188"/>
    </row>
    <row r="246" spans="1:47" x14ac:dyDescent="0.2">
      <c r="A246" s="94" t="s">
        <v>112</v>
      </c>
      <c r="B246" s="249">
        <f>IF(B203=1,$I$255,0)</f>
        <v>0</v>
      </c>
      <c r="C246" s="249">
        <f t="shared" ref="C246:K246" si="198">IF(C203=1,$I$255,0)</f>
        <v>0</v>
      </c>
      <c r="D246" s="249">
        <f t="shared" si="198"/>
        <v>0</v>
      </c>
      <c r="E246" s="249">
        <f t="shared" si="198"/>
        <v>0</v>
      </c>
      <c r="F246" s="249">
        <f t="shared" si="198"/>
        <v>0</v>
      </c>
      <c r="G246" s="249">
        <f t="shared" si="198"/>
        <v>0</v>
      </c>
      <c r="H246" s="249">
        <f t="shared" si="198"/>
        <v>0</v>
      </c>
      <c r="I246" s="248" t="s">
        <v>105</v>
      </c>
      <c r="J246" s="249">
        <f t="shared" si="198"/>
        <v>0</v>
      </c>
      <c r="K246" s="249">
        <f t="shared" si="198"/>
        <v>0</v>
      </c>
      <c r="L246" s="249">
        <f>IF(L203=1,$I$255,0)</f>
        <v>0</v>
      </c>
      <c r="M246" s="249">
        <f>IF(M203=1,$I$255,0)</f>
        <v>0</v>
      </c>
      <c r="N246" s="249">
        <f>IF(N203=1,$I$255,0)</f>
        <v>0</v>
      </c>
      <c r="O246" s="249">
        <f>IF(O203=1,$I$255,0)</f>
        <v>0</v>
      </c>
      <c r="P246" s="188"/>
      <c r="Q246" s="188"/>
      <c r="R246" s="188"/>
      <c r="S246" s="188"/>
      <c r="T246" s="188"/>
      <c r="U246" s="188"/>
      <c r="V246" s="188"/>
      <c r="W246" s="188"/>
      <c r="X246" s="188"/>
      <c r="Y246" s="188"/>
      <c r="Z246" s="188"/>
      <c r="AA246" s="188"/>
      <c r="AB246" s="188"/>
      <c r="AC246" s="188"/>
      <c r="AD246" s="188"/>
      <c r="AE246" s="188"/>
      <c r="AF246" s="188"/>
      <c r="AG246" s="188"/>
      <c r="AH246" s="188"/>
      <c r="AI246" s="188"/>
      <c r="AJ246" s="188"/>
      <c r="AK246" s="188"/>
      <c r="AL246" s="188"/>
      <c r="AM246" s="188"/>
      <c r="AN246" s="188"/>
      <c r="AO246" s="188"/>
      <c r="AP246" s="188"/>
      <c r="AQ246" s="188"/>
      <c r="AR246" s="188"/>
      <c r="AS246" s="188"/>
      <c r="AT246" s="188"/>
      <c r="AU246" s="188"/>
    </row>
    <row r="247" spans="1:47" x14ac:dyDescent="0.2">
      <c r="A247" s="94" t="s">
        <v>113</v>
      </c>
      <c r="B247" s="249">
        <f>IF(B204=1,$J$255,0)</f>
        <v>0</v>
      </c>
      <c r="C247" s="249">
        <f t="shared" ref="C247:K247" si="199">IF(C204=1,$J$255,0)</f>
        <v>0</v>
      </c>
      <c r="D247" s="249">
        <f t="shared" si="199"/>
        <v>0</v>
      </c>
      <c r="E247" s="249">
        <f t="shared" si="199"/>
        <v>0</v>
      </c>
      <c r="F247" s="249">
        <f t="shared" si="199"/>
        <v>0</v>
      </c>
      <c r="G247" s="249">
        <f t="shared" si="199"/>
        <v>0</v>
      </c>
      <c r="H247" s="249">
        <f t="shared" si="199"/>
        <v>0</v>
      </c>
      <c r="I247" s="249">
        <f t="shared" si="199"/>
        <v>0</v>
      </c>
      <c r="J247" s="248" t="s">
        <v>105</v>
      </c>
      <c r="K247" s="249">
        <f t="shared" si="199"/>
        <v>0</v>
      </c>
      <c r="L247" s="249">
        <f t="shared" ref="L247:O251" si="200">IF(L204=1,$J$255,0)</f>
        <v>0</v>
      </c>
      <c r="M247" s="249">
        <f t="shared" si="200"/>
        <v>0</v>
      </c>
      <c r="N247" s="249">
        <f t="shared" si="200"/>
        <v>0</v>
      </c>
      <c r="O247" s="249">
        <f t="shared" si="200"/>
        <v>0</v>
      </c>
      <c r="P247" s="188"/>
      <c r="Q247" s="188"/>
      <c r="R247" s="188"/>
      <c r="S247" s="188"/>
      <c r="T247" s="188"/>
      <c r="U247" s="188"/>
      <c r="V247" s="188"/>
      <c r="W247" s="188"/>
      <c r="X247" s="188"/>
      <c r="Y247" s="188"/>
      <c r="Z247" s="188"/>
      <c r="AA247" s="188"/>
      <c r="AB247" s="188"/>
      <c r="AC247" s="188"/>
      <c r="AD247" s="188"/>
      <c r="AE247" s="188"/>
      <c r="AF247" s="188"/>
      <c r="AG247" s="188"/>
      <c r="AH247" s="188"/>
      <c r="AI247" s="188"/>
      <c r="AJ247" s="188"/>
      <c r="AK247" s="188"/>
      <c r="AL247" s="188"/>
      <c r="AM247" s="188"/>
      <c r="AN247" s="188"/>
      <c r="AO247" s="188"/>
      <c r="AP247" s="188"/>
      <c r="AQ247" s="188"/>
      <c r="AR247" s="188"/>
      <c r="AS247" s="188"/>
      <c r="AT247" s="188"/>
      <c r="AU247" s="188"/>
    </row>
    <row r="248" spans="1:47" x14ac:dyDescent="0.2">
      <c r="A248" s="94" t="s">
        <v>114</v>
      </c>
      <c r="B248" s="249">
        <f>IF(B205=1,$K$255,0)</f>
        <v>0</v>
      </c>
      <c r="C248" s="249">
        <f t="shared" ref="C248:J248" si="201">IF(C205=1,$K$255,0)</f>
        <v>0</v>
      </c>
      <c r="D248" s="249">
        <f t="shared" si="201"/>
        <v>0</v>
      </c>
      <c r="E248" s="249">
        <f t="shared" si="201"/>
        <v>0</v>
      </c>
      <c r="F248" s="249">
        <f t="shared" si="201"/>
        <v>0</v>
      </c>
      <c r="G248" s="249">
        <f t="shared" si="201"/>
        <v>0</v>
      </c>
      <c r="H248" s="249">
        <f t="shared" si="201"/>
        <v>0</v>
      </c>
      <c r="I248" s="249">
        <f t="shared" si="201"/>
        <v>0</v>
      </c>
      <c r="J248" s="249">
        <f t="shared" si="201"/>
        <v>0</v>
      </c>
      <c r="K248" s="248" t="s">
        <v>105</v>
      </c>
      <c r="L248" s="249">
        <f t="shared" si="200"/>
        <v>0</v>
      </c>
      <c r="M248" s="249">
        <f t="shared" si="200"/>
        <v>0</v>
      </c>
      <c r="N248" s="249">
        <f t="shared" si="200"/>
        <v>0</v>
      </c>
      <c r="O248" s="249">
        <f t="shared" si="200"/>
        <v>0</v>
      </c>
      <c r="P248" s="188"/>
      <c r="Q248" s="188"/>
      <c r="R248" s="188"/>
      <c r="S248" s="188"/>
      <c r="T248" s="188"/>
      <c r="U248" s="188"/>
      <c r="V248" s="188"/>
      <c r="W248" s="188"/>
      <c r="X248" s="188"/>
      <c r="Y248" s="188"/>
      <c r="Z248" s="188"/>
      <c r="AA248" s="188"/>
      <c r="AB248" s="188"/>
      <c r="AC248" s="188"/>
      <c r="AD248" s="188"/>
      <c r="AE248" s="188"/>
      <c r="AF248" s="188"/>
      <c r="AG248" s="188"/>
      <c r="AH248" s="188"/>
      <c r="AI248" s="188"/>
      <c r="AJ248" s="188"/>
      <c r="AK248" s="188"/>
      <c r="AL248" s="188"/>
      <c r="AM248" s="188"/>
      <c r="AN248" s="188"/>
      <c r="AO248" s="188"/>
      <c r="AP248" s="188"/>
      <c r="AQ248" s="188"/>
      <c r="AR248" s="188"/>
      <c r="AS248" s="188"/>
      <c r="AT248" s="188"/>
      <c r="AU248" s="188"/>
    </row>
    <row r="249" spans="1:47" x14ac:dyDescent="0.2">
      <c r="A249" s="94" t="s">
        <v>435</v>
      </c>
      <c r="B249" s="249">
        <f>IF(B206=1,$K$255,0)</f>
        <v>0</v>
      </c>
      <c r="C249" s="249">
        <f t="shared" ref="C249:K249" si="202">IF(C206=1,$K$255,0)</f>
        <v>0</v>
      </c>
      <c r="D249" s="249">
        <f t="shared" si="202"/>
        <v>0</v>
      </c>
      <c r="E249" s="249">
        <f t="shared" si="202"/>
        <v>0</v>
      </c>
      <c r="F249" s="249">
        <f t="shared" si="202"/>
        <v>0</v>
      </c>
      <c r="G249" s="249">
        <f t="shared" si="202"/>
        <v>0</v>
      </c>
      <c r="H249" s="249">
        <f t="shared" si="202"/>
        <v>0</v>
      </c>
      <c r="I249" s="249">
        <f t="shared" si="202"/>
        <v>0</v>
      </c>
      <c r="J249" s="249">
        <f t="shared" si="202"/>
        <v>0</v>
      </c>
      <c r="K249" s="249">
        <f t="shared" si="202"/>
        <v>0</v>
      </c>
      <c r="L249" s="248" t="s">
        <v>105</v>
      </c>
      <c r="M249" s="249">
        <f t="shared" si="200"/>
        <v>0</v>
      </c>
      <c r="N249" s="249">
        <f t="shared" si="200"/>
        <v>0</v>
      </c>
      <c r="O249" s="249">
        <f t="shared" si="200"/>
        <v>0</v>
      </c>
      <c r="P249" s="188"/>
      <c r="Q249" s="188"/>
      <c r="R249" s="188"/>
      <c r="S249" s="188"/>
      <c r="T249" s="188"/>
      <c r="U249" s="188"/>
      <c r="V249" s="188"/>
      <c r="W249" s="188"/>
      <c r="X249" s="188"/>
      <c r="Y249" s="188"/>
      <c r="Z249" s="188"/>
      <c r="AA249" s="188"/>
      <c r="AB249" s="188"/>
      <c r="AC249" s="188"/>
      <c r="AD249" s="188"/>
      <c r="AE249" s="188"/>
      <c r="AF249" s="188"/>
      <c r="AG249" s="188"/>
      <c r="AH249" s="188"/>
      <c r="AI249" s="188"/>
      <c r="AJ249" s="188"/>
      <c r="AK249" s="188"/>
      <c r="AL249" s="188"/>
      <c r="AM249" s="188"/>
      <c r="AN249" s="188"/>
      <c r="AO249" s="188"/>
      <c r="AP249" s="188"/>
      <c r="AQ249" s="188"/>
      <c r="AR249" s="188"/>
      <c r="AS249" s="188"/>
      <c r="AT249" s="188"/>
      <c r="AU249" s="188"/>
    </row>
    <row r="250" spans="1:47" x14ac:dyDescent="0.2">
      <c r="A250" s="94" t="s">
        <v>436</v>
      </c>
      <c r="B250" s="249">
        <f>IF(B207=1,$K$255,0)</f>
        <v>0</v>
      </c>
      <c r="C250" s="249">
        <f t="shared" ref="C250:K250" si="203">IF(C207=1,$K$255,0)</f>
        <v>0</v>
      </c>
      <c r="D250" s="249">
        <f t="shared" si="203"/>
        <v>0</v>
      </c>
      <c r="E250" s="249">
        <f t="shared" si="203"/>
        <v>0</v>
      </c>
      <c r="F250" s="249">
        <f t="shared" si="203"/>
        <v>0</v>
      </c>
      <c r="G250" s="249">
        <f t="shared" si="203"/>
        <v>0</v>
      </c>
      <c r="H250" s="249">
        <f t="shared" si="203"/>
        <v>0</v>
      </c>
      <c r="I250" s="249">
        <f t="shared" si="203"/>
        <v>0</v>
      </c>
      <c r="J250" s="249">
        <f t="shared" si="203"/>
        <v>0</v>
      </c>
      <c r="K250" s="249">
        <f t="shared" si="203"/>
        <v>0</v>
      </c>
      <c r="L250" s="249">
        <f>IF(L207=1,$K$255,0)</f>
        <v>0</v>
      </c>
      <c r="M250" s="248" t="s">
        <v>105</v>
      </c>
      <c r="N250" s="249">
        <f t="shared" si="200"/>
        <v>0</v>
      </c>
      <c r="O250" s="249">
        <f t="shared" si="200"/>
        <v>0</v>
      </c>
      <c r="P250" s="188"/>
      <c r="Q250" s="188"/>
      <c r="R250" s="188"/>
      <c r="S250" s="188"/>
      <c r="T250" s="188"/>
      <c r="U250" s="188"/>
      <c r="V250" s="188"/>
      <c r="W250" s="188"/>
      <c r="X250" s="188"/>
      <c r="Y250" s="188"/>
      <c r="Z250" s="188"/>
      <c r="AA250" s="188"/>
      <c r="AB250" s="188"/>
      <c r="AC250" s="188"/>
      <c r="AD250" s="188"/>
      <c r="AE250" s="188"/>
      <c r="AF250" s="188"/>
      <c r="AG250" s="188"/>
      <c r="AH250" s="188"/>
      <c r="AI250" s="188"/>
      <c r="AJ250" s="188"/>
      <c r="AK250" s="188"/>
      <c r="AL250" s="188"/>
      <c r="AM250" s="188"/>
      <c r="AN250" s="188"/>
      <c r="AO250" s="188"/>
      <c r="AP250" s="188"/>
      <c r="AQ250" s="188"/>
      <c r="AR250" s="188"/>
      <c r="AS250" s="188"/>
      <c r="AT250" s="188"/>
      <c r="AU250" s="188"/>
    </row>
    <row r="251" spans="1:47" x14ac:dyDescent="0.2">
      <c r="A251" s="94" t="s">
        <v>437</v>
      </c>
      <c r="B251" s="249">
        <f t="shared" ref="B251:J251" si="204">IF(B208=1,$K$255,0)</f>
        <v>0</v>
      </c>
      <c r="C251" s="249">
        <f t="shared" si="204"/>
        <v>0</v>
      </c>
      <c r="D251" s="249">
        <f t="shared" si="204"/>
        <v>0</v>
      </c>
      <c r="E251" s="249">
        <f t="shared" si="204"/>
        <v>0</v>
      </c>
      <c r="F251" s="249">
        <f t="shared" si="204"/>
        <v>0</v>
      </c>
      <c r="G251" s="249">
        <f t="shared" si="204"/>
        <v>0</v>
      </c>
      <c r="H251" s="249">
        <f t="shared" si="204"/>
        <v>0</v>
      </c>
      <c r="I251" s="249">
        <f t="shared" si="204"/>
        <v>0</v>
      </c>
      <c r="J251" s="249">
        <f t="shared" si="204"/>
        <v>0</v>
      </c>
      <c r="K251" s="249">
        <f>IF(K208=1,$K$255,0)</f>
        <v>0</v>
      </c>
      <c r="L251" s="249">
        <f>IF(L208=1,$K$255,0)</f>
        <v>0</v>
      </c>
      <c r="M251" s="249">
        <f>IF(M208=1,$K$255,0)</f>
        <v>0</v>
      </c>
      <c r="N251" s="248" t="s">
        <v>105</v>
      </c>
      <c r="O251" s="249">
        <f t="shared" si="200"/>
        <v>0</v>
      </c>
      <c r="P251" s="188"/>
      <c r="Q251" s="188"/>
      <c r="R251" s="188"/>
      <c r="S251" s="188"/>
      <c r="T251" s="188"/>
      <c r="U251" s="188"/>
      <c r="V251" s="188"/>
      <c r="W251" s="188"/>
      <c r="X251" s="188"/>
      <c r="Y251" s="188"/>
      <c r="Z251" s="188"/>
      <c r="AA251" s="188"/>
      <c r="AB251" s="188"/>
      <c r="AC251" s="188"/>
      <c r="AD251" s="188"/>
      <c r="AE251" s="188"/>
      <c r="AF251" s="188"/>
      <c r="AG251" s="188"/>
      <c r="AH251" s="188"/>
      <c r="AI251" s="188"/>
      <c r="AJ251" s="188"/>
      <c r="AK251" s="188"/>
      <c r="AL251" s="188"/>
      <c r="AM251" s="188"/>
      <c r="AN251" s="188"/>
      <c r="AO251" s="188"/>
      <c r="AP251" s="188"/>
      <c r="AQ251" s="188"/>
      <c r="AR251" s="188"/>
      <c r="AS251" s="188"/>
      <c r="AT251" s="188"/>
      <c r="AU251" s="188"/>
    </row>
    <row r="252" spans="1:47" x14ac:dyDescent="0.2">
      <c r="A252" s="94" t="s">
        <v>438</v>
      </c>
      <c r="B252" s="249">
        <f t="shared" ref="B252:J252" si="205">IF(B209=1,$K$255,0)</f>
        <v>0</v>
      </c>
      <c r="C252" s="249">
        <f t="shared" si="205"/>
        <v>0</v>
      </c>
      <c r="D252" s="249">
        <f t="shared" si="205"/>
        <v>0</v>
      </c>
      <c r="E252" s="249">
        <f t="shared" si="205"/>
        <v>0</v>
      </c>
      <c r="F252" s="249">
        <f t="shared" si="205"/>
        <v>0</v>
      </c>
      <c r="G252" s="249">
        <f t="shared" si="205"/>
        <v>0</v>
      </c>
      <c r="H252" s="249">
        <f t="shared" si="205"/>
        <v>0</v>
      </c>
      <c r="I252" s="249">
        <f t="shared" si="205"/>
        <v>0</v>
      </c>
      <c r="J252" s="249">
        <f t="shared" si="205"/>
        <v>0</v>
      </c>
      <c r="K252" s="249">
        <f>IF(K209=1,$K$255,0)</f>
        <v>0</v>
      </c>
      <c r="L252" s="249">
        <f>IF(L209=1,$K$255,0)</f>
        <v>0</v>
      </c>
      <c r="M252" s="249">
        <f>IF(M209=1,$K$255,0)</f>
        <v>0</v>
      </c>
      <c r="N252" s="249">
        <f>IF(N209=1,$K$255,0)</f>
        <v>0</v>
      </c>
      <c r="O252" s="248" t="s">
        <v>105</v>
      </c>
      <c r="P252" s="188"/>
      <c r="Q252" s="188"/>
      <c r="R252" s="188"/>
      <c r="S252" s="188"/>
      <c r="T252" s="188"/>
      <c r="U252" s="188"/>
      <c r="V252" s="188"/>
      <c r="W252" s="188"/>
      <c r="X252" s="188"/>
      <c r="Y252" s="188"/>
      <c r="Z252" s="188"/>
      <c r="AA252" s="188"/>
      <c r="AB252" s="188"/>
      <c r="AC252" s="188"/>
      <c r="AD252" s="188"/>
      <c r="AE252" s="188"/>
      <c r="AF252" s="188"/>
      <c r="AG252" s="188"/>
      <c r="AH252" s="188"/>
      <c r="AI252" s="188"/>
      <c r="AJ252" s="188"/>
      <c r="AK252" s="188"/>
      <c r="AL252" s="188"/>
      <c r="AM252" s="188"/>
      <c r="AN252" s="188"/>
      <c r="AO252" s="188"/>
      <c r="AP252" s="188"/>
      <c r="AQ252" s="188"/>
      <c r="AR252" s="188"/>
      <c r="AS252" s="188"/>
      <c r="AT252" s="188"/>
      <c r="AU252" s="188"/>
    </row>
    <row r="253" spans="1:47" ht="22.9" customHeight="1" x14ac:dyDescent="0.2">
      <c r="A253" s="94" t="s">
        <v>117</v>
      </c>
      <c r="B253" s="249">
        <f t="shared" ref="B253:J253" si="206">SUM(B238:B252)</f>
        <v>0</v>
      </c>
      <c r="C253" s="249">
        <f t="shared" si="206"/>
        <v>0</v>
      </c>
      <c r="D253" s="249">
        <f t="shared" si="206"/>
        <v>0</v>
      </c>
      <c r="E253" s="249">
        <f t="shared" si="206"/>
        <v>0</v>
      </c>
      <c r="F253" s="249">
        <f t="shared" si="206"/>
        <v>0</v>
      </c>
      <c r="G253" s="249">
        <f t="shared" si="206"/>
        <v>0</v>
      </c>
      <c r="H253" s="249">
        <f t="shared" si="206"/>
        <v>0</v>
      </c>
      <c r="I253" s="249">
        <f t="shared" si="206"/>
        <v>0</v>
      </c>
      <c r="J253" s="249">
        <f t="shared" si="206"/>
        <v>0</v>
      </c>
      <c r="K253" s="249">
        <f>SUM(K238:K252)</f>
        <v>0</v>
      </c>
      <c r="L253" s="249">
        <f>SUM(L238:L252)</f>
        <v>0</v>
      </c>
      <c r="M253" s="249">
        <f>SUM(M238:M252)</f>
        <v>0</v>
      </c>
      <c r="N253" s="249">
        <f>SUM(N238:N252)</f>
        <v>0</v>
      </c>
      <c r="O253" s="249">
        <f>SUM(O238:O252)</f>
        <v>0</v>
      </c>
      <c r="P253" s="188"/>
      <c r="Q253" s="188"/>
      <c r="R253" s="188"/>
      <c r="S253" s="188"/>
      <c r="T253" s="188"/>
      <c r="U253" s="188"/>
      <c r="V253" s="188"/>
      <c r="W253" s="188"/>
      <c r="X253" s="188"/>
      <c r="Y253" s="188"/>
      <c r="Z253" s="188"/>
      <c r="AA253" s="188"/>
      <c r="AB253" s="188"/>
      <c r="AC253" s="188"/>
      <c r="AD253" s="188"/>
      <c r="AE253" s="188"/>
      <c r="AF253" s="188"/>
      <c r="AG253" s="188"/>
      <c r="AH253" s="188"/>
      <c r="AI253" s="188"/>
      <c r="AJ253" s="188"/>
      <c r="AK253" s="188"/>
      <c r="AL253" s="188"/>
      <c r="AM253" s="188"/>
      <c r="AN253" s="188"/>
      <c r="AO253" s="188"/>
      <c r="AP253" s="188"/>
      <c r="AQ253" s="188"/>
      <c r="AR253" s="188"/>
      <c r="AS253" s="188"/>
      <c r="AT253" s="188"/>
      <c r="AU253" s="188"/>
    </row>
    <row r="254" spans="1:47" x14ac:dyDescent="0.2">
      <c r="A254" s="94" t="s">
        <v>118</v>
      </c>
      <c r="B254" s="181">
        <v>1</v>
      </c>
      <c r="C254" s="181">
        <v>1</v>
      </c>
      <c r="D254" s="181">
        <v>1</v>
      </c>
      <c r="E254" s="181">
        <v>1</v>
      </c>
      <c r="F254" s="181">
        <v>1</v>
      </c>
      <c r="G254" s="181">
        <v>1</v>
      </c>
      <c r="H254" s="181">
        <v>1</v>
      </c>
      <c r="I254" s="181">
        <v>1</v>
      </c>
      <c r="J254" s="181">
        <v>1</v>
      </c>
      <c r="K254" s="181">
        <v>1</v>
      </c>
      <c r="L254" s="181">
        <v>1</v>
      </c>
      <c r="M254" s="181">
        <v>1</v>
      </c>
      <c r="N254" s="181">
        <v>1</v>
      </c>
      <c r="O254" s="181">
        <v>1</v>
      </c>
      <c r="P254" s="188"/>
      <c r="Q254" s="188"/>
      <c r="R254" s="188"/>
      <c r="S254" s="188"/>
      <c r="T254" s="188"/>
      <c r="U254" s="188"/>
      <c r="V254" s="188"/>
      <c r="W254" s="188"/>
      <c r="X254" s="188"/>
      <c r="Y254" s="188"/>
      <c r="Z254" s="188"/>
      <c r="AA254" s="188"/>
      <c r="AB254" s="188"/>
      <c r="AC254" s="188"/>
      <c r="AD254" s="188"/>
      <c r="AE254" s="188"/>
      <c r="AF254" s="188"/>
      <c r="AG254" s="188"/>
      <c r="AH254" s="188"/>
      <c r="AI254" s="188"/>
      <c r="AJ254" s="188"/>
      <c r="AK254" s="188"/>
      <c r="AL254" s="188"/>
      <c r="AM254" s="188"/>
      <c r="AN254" s="188"/>
      <c r="AO254" s="188"/>
      <c r="AP254" s="188"/>
      <c r="AQ254" s="188"/>
      <c r="AR254" s="188"/>
      <c r="AS254" s="188"/>
      <c r="AT254" s="188"/>
      <c r="AU254" s="188"/>
    </row>
    <row r="255" spans="1:47" x14ac:dyDescent="0.2">
      <c r="A255" s="94" t="s">
        <v>119</v>
      </c>
      <c r="B255" s="117">
        <f>B253*B254</f>
        <v>0</v>
      </c>
      <c r="C255" s="117">
        <f t="shared" ref="C255:J255" si="207">C253*C254</f>
        <v>0</v>
      </c>
      <c r="D255" s="117">
        <f t="shared" si="207"/>
        <v>0</v>
      </c>
      <c r="E255" s="117">
        <f t="shared" si="207"/>
        <v>0</v>
      </c>
      <c r="F255" s="117">
        <f t="shared" si="207"/>
        <v>0</v>
      </c>
      <c r="G255" s="117">
        <f t="shared" si="207"/>
        <v>0</v>
      </c>
      <c r="H255" s="117">
        <f t="shared" si="207"/>
        <v>0</v>
      </c>
      <c r="I255" s="117">
        <f t="shared" si="207"/>
        <v>0</v>
      </c>
      <c r="J255" s="117">
        <f t="shared" si="207"/>
        <v>0</v>
      </c>
      <c r="K255" s="117">
        <f>K253*K254</f>
        <v>0</v>
      </c>
      <c r="L255" s="117">
        <f>L253*L254</f>
        <v>0</v>
      </c>
      <c r="M255" s="117">
        <f>M253*M254</f>
        <v>0</v>
      </c>
      <c r="N255" s="117">
        <f>N253*N254</f>
        <v>0</v>
      </c>
      <c r="O255" s="117">
        <f>O253*O254</f>
        <v>0</v>
      </c>
      <c r="P255" s="188"/>
      <c r="Q255" s="188"/>
      <c r="R255" s="188"/>
      <c r="S255" s="188"/>
      <c r="T255" s="188"/>
      <c r="U255" s="188"/>
      <c r="V255" s="188"/>
      <c r="W255" s="188"/>
      <c r="X255" s="188"/>
      <c r="Y255" s="188"/>
      <c r="Z255" s="188"/>
      <c r="AA255" s="188"/>
      <c r="AB255" s="188"/>
      <c r="AC255" s="188"/>
      <c r="AD255" s="188"/>
      <c r="AE255" s="188"/>
      <c r="AF255" s="188"/>
      <c r="AG255" s="188"/>
      <c r="AH255" s="188"/>
      <c r="AI255" s="188"/>
      <c r="AJ255" s="188"/>
      <c r="AK255" s="188"/>
      <c r="AL255" s="188"/>
      <c r="AM255" s="188"/>
      <c r="AN255" s="188"/>
      <c r="AO255" s="188"/>
      <c r="AP255" s="188"/>
      <c r="AQ255" s="188"/>
      <c r="AR255" s="188"/>
      <c r="AS255" s="188"/>
      <c r="AT255" s="188"/>
      <c r="AU255" s="188"/>
    </row>
    <row r="256" spans="1:47" ht="22.15" customHeight="1" x14ac:dyDescent="0.2">
      <c r="B256" s="3"/>
      <c r="C256" s="3"/>
      <c r="D256" s="3"/>
      <c r="E256" s="3"/>
      <c r="F256" s="3"/>
      <c r="G256" s="3"/>
      <c r="H256" s="3"/>
      <c r="I256" s="3"/>
      <c r="J256" s="3"/>
      <c r="K256" s="3"/>
      <c r="P256" s="188"/>
      <c r="Q256" s="188"/>
      <c r="R256" s="188"/>
      <c r="S256" s="188"/>
      <c r="T256" s="188"/>
      <c r="U256" s="188"/>
      <c r="V256" s="188"/>
      <c r="W256" s="188"/>
      <c r="X256" s="188"/>
      <c r="Y256" s="188"/>
      <c r="Z256" s="188"/>
      <c r="AA256" s="188"/>
      <c r="AB256" s="188"/>
      <c r="AC256" s="188"/>
      <c r="AD256" s="188"/>
      <c r="AE256" s="188"/>
      <c r="AF256" s="188"/>
      <c r="AG256" s="188"/>
      <c r="AH256" s="188"/>
      <c r="AI256" s="188"/>
      <c r="AJ256" s="188"/>
      <c r="AK256" s="188"/>
      <c r="AL256" s="188"/>
      <c r="AM256" s="188"/>
      <c r="AN256" s="188"/>
      <c r="AO256" s="188"/>
      <c r="AP256" s="188"/>
      <c r="AQ256" s="188"/>
      <c r="AR256" s="188"/>
      <c r="AS256" s="188"/>
      <c r="AT256" s="188"/>
      <c r="AU256" s="188"/>
    </row>
    <row r="257" spans="1:47" ht="18" customHeight="1" x14ac:dyDescent="0.2">
      <c r="A257" s="197" t="s">
        <v>371</v>
      </c>
      <c r="B257" s="189"/>
      <c r="C257" s="189"/>
      <c r="D257" s="189"/>
      <c r="E257" s="189"/>
      <c r="F257" s="189"/>
      <c r="G257" s="189"/>
      <c r="H257" s="189"/>
      <c r="I257" s="189"/>
      <c r="J257" s="189"/>
      <c r="K257" s="189"/>
      <c r="L257" s="189"/>
      <c r="M257" s="189"/>
      <c r="N257" s="189"/>
      <c r="O257" s="189"/>
      <c r="P257" s="188"/>
      <c r="Q257" s="188"/>
      <c r="R257" s="188"/>
      <c r="S257" s="188"/>
      <c r="T257" s="188"/>
      <c r="U257" s="188"/>
      <c r="V257" s="188"/>
      <c r="W257" s="188"/>
      <c r="X257" s="188"/>
      <c r="Y257" s="188"/>
      <c r="Z257" s="188"/>
      <c r="AA257" s="188"/>
      <c r="AB257" s="188"/>
      <c r="AC257" s="188"/>
      <c r="AD257" s="188"/>
      <c r="AE257" s="188"/>
      <c r="AF257" s="188"/>
      <c r="AG257" s="188"/>
      <c r="AH257" s="188"/>
      <c r="AI257" s="188"/>
      <c r="AJ257" s="188"/>
      <c r="AK257" s="188"/>
      <c r="AL257" s="188"/>
      <c r="AM257" s="188"/>
      <c r="AN257" s="188"/>
      <c r="AO257" s="188"/>
      <c r="AP257" s="188"/>
      <c r="AQ257" s="188"/>
      <c r="AR257" s="188"/>
      <c r="AS257" s="188"/>
      <c r="AT257" s="188"/>
      <c r="AU257" s="188"/>
    </row>
    <row r="258" spans="1:47" ht="18" customHeight="1" x14ac:dyDescent="0.2">
      <c r="A258" s="191" t="s">
        <v>509</v>
      </c>
      <c r="B258" s="259" t="str">
        <f>IF(B257="","no data",B255/B257)</f>
        <v>no data</v>
      </c>
      <c r="C258" s="259" t="str">
        <f t="shared" ref="C258:O258" si="208">IF(C257="","no data",C255/C257)</f>
        <v>no data</v>
      </c>
      <c r="D258" s="259" t="str">
        <f t="shared" si="208"/>
        <v>no data</v>
      </c>
      <c r="E258" s="259" t="str">
        <f t="shared" si="208"/>
        <v>no data</v>
      </c>
      <c r="F258" s="259" t="str">
        <f t="shared" si="208"/>
        <v>no data</v>
      </c>
      <c r="G258" s="259" t="str">
        <f t="shared" si="208"/>
        <v>no data</v>
      </c>
      <c r="H258" s="259" t="str">
        <f t="shared" si="208"/>
        <v>no data</v>
      </c>
      <c r="I258" s="259" t="str">
        <f t="shared" si="208"/>
        <v>no data</v>
      </c>
      <c r="J258" s="259" t="str">
        <f t="shared" si="208"/>
        <v>no data</v>
      </c>
      <c r="K258" s="259" t="str">
        <f t="shared" si="208"/>
        <v>no data</v>
      </c>
      <c r="L258" s="259" t="str">
        <f t="shared" si="208"/>
        <v>no data</v>
      </c>
      <c r="M258" s="259" t="str">
        <f t="shared" si="208"/>
        <v>no data</v>
      </c>
      <c r="N258" s="259" t="str">
        <f t="shared" si="208"/>
        <v>no data</v>
      </c>
      <c r="O258" s="259" t="str">
        <f t="shared" si="208"/>
        <v>no data</v>
      </c>
      <c r="P258" s="188"/>
      <c r="Q258" s="188"/>
      <c r="R258" s="188"/>
      <c r="S258" s="188"/>
      <c r="T258" s="188"/>
      <c r="U258" s="188"/>
      <c r="V258" s="188"/>
      <c r="W258" s="188"/>
      <c r="X258" s="188"/>
      <c r="Y258" s="188"/>
      <c r="Z258" s="188"/>
      <c r="AA258" s="188"/>
      <c r="AB258" s="188"/>
      <c r="AC258" s="188"/>
      <c r="AD258" s="188"/>
      <c r="AE258" s="188"/>
      <c r="AF258" s="188"/>
      <c r="AG258" s="188"/>
      <c r="AH258" s="188"/>
      <c r="AI258" s="188"/>
      <c r="AJ258" s="188"/>
      <c r="AK258" s="188"/>
      <c r="AL258" s="188"/>
      <c r="AM258" s="188"/>
      <c r="AN258" s="188"/>
      <c r="AO258" s="188"/>
      <c r="AP258" s="188"/>
      <c r="AQ258" s="188"/>
      <c r="AR258" s="188"/>
      <c r="AS258" s="188"/>
      <c r="AT258" s="188"/>
      <c r="AU258" s="188"/>
    </row>
    <row r="259" spans="1:47" ht="22.15" customHeight="1" x14ac:dyDescent="0.2">
      <c r="B259" s="3"/>
      <c r="C259" s="3"/>
      <c r="D259" s="3"/>
      <c r="E259" s="3"/>
      <c r="F259" s="3"/>
      <c r="G259" s="3"/>
      <c r="H259" s="3"/>
      <c r="I259" s="3"/>
      <c r="J259" s="3"/>
      <c r="K259" s="3"/>
      <c r="P259" s="188"/>
      <c r="Q259" s="188"/>
      <c r="R259" s="188"/>
      <c r="S259" s="188"/>
      <c r="T259" s="188"/>
      <c r="U259" s="188"/>
      <c r="V259" s="188"/>
      <c r="W259" s="188"/>
      <c r="X259" s="188"/>
      <c r="Y259" s="188"/>
      <c r="Z259" s="188"/>
      <c r="AA259" s="188"/>
      <c r="AB259" s="188"/>
      <c r="AC259" s="188"/>
      <c r="AD259" s="188"/>
      <c r="AE259" s="188"/>
      <c r="AF259" s="188"/>
      <c r="AG259" s="188"/>
      <c r="AH259" s="188"/>
      <c r="AI259" s="188"/>
      <c r="AJ259" s="188"/>
      <c r="AK259" s="188"/>
      <c r="AL259" s="188"/>
      <c r="AM259" s="188"/>
      <c r="AN259" s="188"/>
      <c r="AO259" s="188"/>
      <c r="AP259" s="188"/>
      <c r="AQ259" s="188"/>
      <c r="AR259" s="188"/>
      <c r="AS259" s="188"/>
      <c r="AT259" s="188"/>
      <c r="AU259" s="188"/>
    </row>
    <row r="260" spans="1:47" ht="15" customHeight="1" x14ac:dyDescent="0.2">
      <c r="A260" s="197" t="s">
        <v>372</v>
      </c>
      <c r="B260" s="117">
        <f t="shared" ref="B260:O260" si="209">B232*$B$7*3452</f>
        <v>0</v>
      </c>
      <c r="C260" s="117">
        <f t="shared" si="209"/>
        <v>0</v>
      </c>
      <c r="D260" s="117">
        <f t="shared" si="209"/>
        <v>0</v>
      </c>
      <c r="E260" s="117">
        <f t="shared" si="209"/>
        <v>0</v>
      </c>
      <c r="F260" s="117">
        <f t="shared" si="209"/>
        <v>0</v>
      </c>
      <c r="G260" s="117">
        <f t="shared" si="209"/>
        <v>0</v>
      </c>
      <c r="H260" s="117">
        <f t="shared" si="209"/>
        <v>0</v>
      </c>
      <c r="I260" s="117">
        <f t="shared" si="209"/>
        <v>0</v>
      </c>
      <c r="J260" s="117">
        <f t="shared" si="209"/>
        <v>0</v>
      </c>
      <c r="K260" s="117">
        <f t="shared" si="209"/>
        <v>0</v>
      </c>
      <c r="L260" s="117">
        <f t="shared" si="209"/>
        <v>0</v>
      </c>
      <c r="M260" s="117">
        <f t="shared" si="209"/>
        <v>0</v>
      </c>
      <c r="N260" s="117">
        <f t="shared" si="209"/>
        <v>0</v>
      </c>
      <c r="O260" s="117">
        <f t="shared" si="209"/>
        <v>0</v>
      </c>
      <c r="P260" s="188"/>
      <c r="Q260" s="188"/>
      <c r="R260" s="188"/>
      <c r="S260" s="188"/>
      <c r="T260" s="188"/>
      <c r="U260" s="188"/>
      <c r="V260" s="188"/>
      <c r="W260" s="188"/>
      <c r="X260" s="188"/>
      <c r="Y260" s="188"/>
      <c r="Z260" s="188"/>
      <c r="AA260" s="188"/>
      <c r="AB260" s="188"/>
      <c r="AC260" s="188"/>
      <c r="AD260" s="188"/>
      <c r="AE260" s="188"/>
      <c r="AF260" s="188"/>
      <c r="AG260" s="188"/>
      <c r="AH260" s="188"/>
      <c r="AI260" s="188"/>
      <c r="AJ260" s="188"/>
      <c r="AK260" s="188"/>
      <c r="AL260" s="188"/>
      <c r="AM260" s="188"/>
      <c r="AN260" s="188"/>
      <c r="AO260" s="188"/>
      <c r="AP260" s="188"/>
      <c r="AQ260" s="188"/>
      <c r="AR260" s="188"/>
      <c r="AS260" s="188"/>
      <c r="AT260" s="188"/>
      <c r="AU260" s="188"/>
    </row>
    <row r="261" spans="1:47" ht="15" customHeight="1" x14ac:dyDescent="0.2">
      <c r="A261" s="191" t="s">
        <v>510</v>
      </c>
      <c r="B261" s="200" t="e">
        <f>B255/B260</f>
        <v>#DIV/0!</v>
      </c>
      <c r="C261" s="200" t="e">
        <f>C255/C260</f>
        <v>#DIV/0!</v>
      </c>
      <c r="D261" s="200" t="e">
        <f t="shared" ref="D261:K261" si="210">D255/D260</f>
        <v>#DIV/0!</v>
      </c>
      <c r="E261" s="200" t="e">
        <f t="shared" si="210"/>
        <v>#DIV/0!</v>
      </c>
      <c r="F261" s="200" t="e">
        <f t="shared" si="210"/>
        <v>#DIV/0!</v>
      </c>
      <c r="G261" s="200" t="e">
        <f t="shared" si="210"/>
        <v>#DIV/0!</v>
      </c>
      <c r="H261" s="200" t="e">
        <f t="shared" si="210"/>
        <v>#DIV/0!</v>
      </c>
      <c r="I261" s="200" t="e">
        <f t="shared" si="210"/>
        <v>#DIV/0!</v>
      </c>
      <c r="J261" s="200" t="e">
        <f>J255/J260</f>
        <v>#DIV/0!</v>
      </c>
      <c r="K261" s="200" t="e">
        <f t="shared" si="210"/>
        <v>#DIV/0!</v>
      </c>
      <c r="L261" s="200" t="e">
        <f>L255/L260</f>
        <v>#DIV/0!</v>
      </c>
      <c r="M261" s="200" t="e">
        <f>M255/M260</f>
        <v>#DIV/0!</v>
      </c>
      <c r="N261" s="200" t="e">
        <f>N255/N260</f>
        <v>#DIV/0!</v>
      </c>
      <c r="O261" s="200" t="e">
        <f>O255/O260</f>
        <v>#DIV/0!</v>
      </c>
      <c r="P261" s="188"/>
      <c r="Q261" s="188"/>
      <c r="R261" s="188"/>
      <c r="S261" s="188"/>
      <c r="T261" s="188"/>
      <c r="U261" s="188"/>
      <c r="V261" s="188"/>
      <c r="W261" s="188"/>
      <c r="X261" s="188"/>
      <c r="Y261" s="188"/>
      <c r="Z261" s="188"/>
      <c r="AA261" s="188"/>
      <c r="AB261" s="188"/>
      <c r="AC261" s="188"/>
      <c r="AD261" s="188"/>
      <c r="AE261" s="188"/>
      <c r="AF261" s="188"/>
      <c r="AG261" s="188"/>
      <c r="AH261" s="188"/>
      <c r="AI261" s="188"/>
      <c r="AJ261" s="188"/>
      <c r="AK261" s="188"/>
      <c r="AL261" s="188"/>
      <c r="AM261" s="188"/>
      <c r="AN261" s="188"/>
      <c r="AO261" s="188"/>
      <c r="AP261" s="188"/>
      <c r="AQ261" s="188"/>
      <c r="AR261" s="188"/>
      <c r="AS261" s="188"/>
      <c r="AT261" s="188"/>
      <c r="AU261" s="188"/>
    </row>
    <row r="262" spans="1:47" ht="23.45" customHeight="1" x14ac:dyDescent="0.2">
      <c r="P262" s="188"/>
      <c r="Q262" s="188"/>
      <c r="R262" s="188"/>
      <c r="S262" s="188"/>
      <c r="T262" s="188"/>
      <c r="U262" s="188"/>
      <c r="V262" s="188"/>
      <c r="W262" s="188"/>
      <c r="X262" s="188"/>
      <c r="Y262" s="188"/>
      <c r="Z262" s="188"/>
      <c r="AA262" s="188"/>
      <c r="AB262" s="188"/>
      <c r="AC262" s="188"/>
      <c r="AD262" s="188"/>
      <c r="AE262" s="188"/>
      <c r="AF262" s="188"/>
      <c r="AG262" s="188"/>
      <c r="AH262" s="188"/>
      <c r="AI262" s="188"/>
      <c r="AJ262" s="188"/>
      <c r="AK262" s="188"/>
      <c r="AL262" s="188"/>
      <c r="AM262" s="188"/>
      <c r="AN262" s="188"/>
      <c r="AO262" s="188"/>
      <c r="AP262" s="188"/>
      <c r="AQ262" s="188"/>
      <c r="AR262" s="188"/>
      <c r="AS262" s="188"/>
      <c r="AT262" s="188"/>
      <c r="AU262" s="188"/>
    </row>
    <row r="263" spans="1:47" ht="19.149999999999999" customHeight="1" x14ac:dyDescent="0.2">
      <c r="A263" s="21" t="s">
        <v>120</v>
      </c>
      <c r="P263" s="188"/>
      <c r="Q263" s="188"/>
      <c r="R263" s="188"/>
      <c r="S263" s="18" t="s">
        <v>554</v>
      </c>
      <c r="AH263" s="188"/>
      <c r="AI263" s="188"/>
      <c r="AJ263" s="188"/>
      <c r="AK263" s="188"/>
      <c r="AL263" s="188"/>
      <c r="AM263" s="188"/>
      <c r="AN263" s="188"/>
      <c r="AO263" s="188"/>
      <c r="AP263" s="188"/>
      <c r="AQ263" s="188"/>
      <c r="AR263" s="188"/>
      <c r="AS263" s="188"/>
      <c r="AT263" s="188"/>
      <c r="AU263" s="188"/>
    </row>
    <row r="264" spans="1:47" x14ac:dyDescent="0.2">
      <c r="A264" s="190"/>
      <c r="B264" s="75" t="s">
        <v>89</v>
      </c>
      <c r="C264" s="75" t="s">
        <v>90</v>
      </c>
      <c r="D264" s="75" t="s">
        <v>91</v>
      </c>
      <c r="E264" s="75" t="s">
        <v>239</v>
      </c>
      <c r="F264" s="75" t="s">
        <v>240</v>
      </c>
      <c r="G264" s="75" t="s">
        <v>241</v>
      </c>
      <c r="H264" s="75" t="s">
        <v>242</v>
      </c>
      <c r="I264" s="75" t="s">
        <v>243</v>
      </c>
      <c r="J264" s="75" t="s">
        <v>92</v>
      </c>
      <c r="K264" s="75" t="s">
        <v>244</v>
      </c>
      <c r="L264" s="75" t="s">
        <v>429</v>
      </c>
      <c r="M264" s="75" t="s">
        <v>430</v>
      </c>
      <c r="N264" s="75" t="s">
        <v>431</v>
      </c>
      <c r="O264" s="75" t="s">
        <v>432</v>
      </c>
      <c r="P264" s="196"/>
      <c r="Q264" s="188"/>
      <c r="R264" s="188"/>
      <c r="S264" s="190"/>
      <c r="T264" s="75" t="s">
        <v>89</v>
      </c>
      <c r="U264" s="75" t="s">
        <v>90</v>
      </c>
      <c r="V264" s="75" t="s">
        <v>91</v>
      </c>
      <c r="W264" s="75" t="s">
        <v>239</v>
      </c>
      <c r="X264" s="75" t="s">
        <v>240</v>
      </c>
      <c r="Y264" s="75" t="s">
        <v>241</v>
      </c>
      <c r="Z264" s="75" t="s">
        <v>242</v>
      </c>
      <c r="AA264" s="75" t="s">
        <v>243</v>
      </c>
      <c r="AB264" s="75" t="s">
        <v>92</v>
      </c>
      <c r="AC264" s="75" t="s">
        <v>244</v>
      </c>
      <c r="AD264" s="75" t="s">
        <v>429</v>
      </c>
      <c r="AE264" s="75" t="s">
        <v>430</v>
      </c>
      <c r="AF264" s="75" t="s">
        <v>431</v>
      </c>
      <c r="AG264" s="75" t="s">
        <v>432</v>
      </c>
      <c r="AH264" s="188"/>
      <c r="AI264" s="188"/>
      <c r="AJ264" s="188"/>
      <c r="AK264" s="188"/>
      <c r="AL264" s="188"/>
      <c r="AM264" s="188"/>
      <c r="AN264" s="188"/>
      <c r="AO264" s="188"/>
      <c r="AP264" s="188"/>
      <c r="AQ264" s="188"/>
      <c r="AR264" s="188"/>
      <c r="AS264" s="188"/>
      <c r="AT264" s="188"/>
      <c r="AU264" s="188"/>
    </row>
    <row r="265" spans="1:47" x14ac:dyDescent="0.2">
      <c r="A265" s="267"/>
      <c r="B265" s="76" t="str">
        <f t="shared" ref="B265:I265" si="211">B236</f>
        <v>Watershed 1</v>
      </c>
      <c r="C265" s="76" t="str">
        <f t="shared" si="211"/>
        <v>Watershed 2</v>
      </c>
      <c r="D265" s="76" t="str">
        <f t="shared" si="211"/>
        <v>Watershed 3</v>
      </c>
      <c r="E265" s="76" t="str">
        <f t="shared" si="211"/>
        <v>Watershed 4</v>
      </c>
      <c r="F265" s="76" t="str">
        <f t="shared" si="211"/>
        <v>Watershed 5</v>
      </c>
      <c r="G265" s="76" t="str">
        <f t="shared" si="211"/>
        <v>Watershed 6</v>
      </c>
      <c r="H265" s="76" t="str">
        <f t="shared" si="211"/>
        <v>Watershed 7</v>
      </c>
      <c r="I265" s="76" t="str">
        <f t="shared" si="211"/>
        <v>Watershed 8</v>
      </c>
      <c r="J265" s="76" t="str">
        <f t="shared" ref="J265:O265" si="212">J236</f>
        <v>Watershed 9</v>
      </c>
      <c r="K265" s="76" t="str">
        <f t="shared" si="212"/>
        <v>Watershed 10</v>
      </c>
      <c r="L265" s="76" t="str">
        <f t="shared" si="212"/>
        <v>Watershed 11</v>
      </c>
      <c r="M265" s="76" t="str">
        <f t="shared" si="212"/>
        <v>Watershed 12</v>
      </c>
      <c r="N265" s="76" t="str">
        <f t="shared" si="212"/>
        <v>Watershed 13</v>
      </c>
      <c r="O265" s="76" t="str">
        <f t="shared" si="212"/>
        <v>Watershed 14</v>
      </c>
      <c r="P265" s="196"/>
      <c r="Q265" s="188"/>
      <c r="R265" s="188"/>
      <c r="S265" s="267"/>
      <c r="T265" s="76">
        <f t="shared" ref="T265:AG265" si="213">T236</f>
        <v>0</v>
      </c>
      <c r="U265" s="76">
        <f t="shared" si="213"/>
        <v>0</v>
      </c>
      <c r="V265" s="76">
        <f t="shared" si="213"/>
        <v>0</v>
      </c>
      <c r="W265" s="76">
        <f t="shared" si="213"/>
        <v>0</v>
      </c>
      <c r="X265" s="76">
        <f t="shared" si="213"/>
        <v>0</v>
      </c>
      <c r="Y265" s="76">
        <f t="shared" si="213"/>
        <v>0</v>
      </c>
      <c r="Z265" s="76">
        <f t="shared" si="213"/>
        <v>0</v>
      </c>
      <c r="AA265" s="76">
        <f t="shared" si="213"/>
        <v>0</v>
      </c>
      <c r="AB265" s="76">
        <f t="shared" si="213"/>
        <v>0</v>
      </c>
      <c r="AC265" s="76">
        <f t="shared" si="213"/>
        <v>0</v>
      </c>
      <c r="AD265" s="76">
        <f t="shared" si="213"/>
        <v>0</v>
      </c>
      <c r="AE265" s="76">
        <f t="shared" si="213"/>
        <v>0</v>
      </c>
      <c r="AF265" s="76">
        <f t="shared" si="213"/>
        <v>0</v>
      </c>
      <c r="AG265" s="76">
        <f t="shared" si="213"/>
        <v>0</v>
      </c>
      <c r="AH265" s="188"/>
      <c r="AI265" s="188"/>
      <c r="AJ265" s="188"/>
      <c r="AK265" s="188"/>
      <c r="AL265" s="188"/>
      <c r="AM265" s="188"/>
      <c r="AN265" s="188"/>
      <c r="AO265" s="188"/>
      <c r="AP265" s="188"/>
      <c r="AQ265" s="188"/>
      <c r="AR265" s="188"/>
      <c r="AS265" s="188"/>
      <c r="AT265" s="188"/>
      <c r="AU265" s="188"/>
    </row>
    <row r="266" spans="1:47" x14ac:dyDescent="0.2">
      <c r="A266" s="192"/>
      <c r="B266" s="77" t="s">
        <v>100</v>
      </c>
      <c r="C266" s="77" t="s">
        <v>100</v>
      </c>
      <c r="D266" s="77" t="s">
        <v>100</v>
      </c>
      <c r="E266" s="77" t="s">
        <v>100</v>
      </c>
      <c r="F266" s="77" t="s">
        <v>100</v>
      </c>
      <c r="G266" s="77" t="s">
        <v>100</v>
      </c>
      <c r="H266" s="77" t="s">
        <v>100</v>
      </c>
      <c r="I266" s="77" t="s">
        <v>100</v>
      </c>
      <c r="J266" s="77" t="s">
        <v>100</v>
      </c>
      <c r="K266" s="77" t="s">
        <v>100</v>
      </c>
      <c r="L266" s="77" t="s">
        <v>100</v>
      </c>
      <c r="M266" s="77" t="s">
        <v>100</v>
      </c>
      <c r="N266" s="77" t="s">
        <v>100</v>
      </c>
      <c r="O266" s="77" t="s">
        <v>100</v>
      </c>
      <c r="P266" s="196"/>
      <c r="Q266" s="188"/>
      <c r="R266" s="188"/>
      <c r="S266" s="192"/>
      <c r="T266" s="77" t="s">
        <v>100</v>
      </c>
      <c r="U266" s="77" t="s">
        <v>100</v>
      </c>
      <c r="V266" s="77" t="s">
        <v>100</v>
      </c>
      <c r="W266" s="77" t="s">
        <v>100</v>
      </c>
      <c r="X266" s="77" t="s">
        <v>100</v>
      </c>
      <c r="Y266" s="77" t="s">
        <v>100</v>
      </c>
      <c r="Z266" s="77" t="s">
        <v>100</v>
      </c>
      <c r="AA266" s="77" t="s">
        <v>100</v>
      </c>
      <c r="AB266" s="77" t="s">
        <v>100</v>
      </c>
      <c r="AC266" s="77" t="s">
        <v>100</v>
      </c>
      <c r="AD266" s="77" t="s">
        <v>100</v>
      </c>
      <c r="AE266" s="77" t="s">
        <v>100</v>
      </c>
      <c r="AF266" s="77" t="s">
        <v>100</v>
      </c>
      <c r="AG266" s="77" t="s">
        <v>100</v>
      </c>
      <c r="AH266" s="188"/>
      <c r="AI266" s="188"/>
      <c r="AJ266" s="188"/>
      <c r="AK266" s="188"/>
      <c r="AL266" s="188"/>
      <c r="AM266" s="188"/>
      <c r="AN266" s="188"/>
      <c r="AO266" s="188"/>
      <c r="AP266" s="188"/>
      <c r="AQ266" s="188"/>
      <c r="AR266" s="188"/>
      <c r="AS266" s="188"/>
      <c r="AT266" s="188"/>
      <c r="AU266" s="188"/>
    </row>
    <row r="267" spans="1:47" s="3" customFormat="1" x14ac:dyDescent="0.2">
      <c r="A267" s="202" t="s">
        <v>121</v>
      </c>
      <c r="B267" s="202">
        <f t="shared" ref="B267:O267" si="214">B158+B188</f>
        <v>0</v>
      </c>
      <c r="C267" s="202">
        <f t="shared" si="214"/>
        <v>0</v>
      </c>
      <c r="D267" s="202">
        <f t="shared" si="214"/>
        <v>0</v>
      </c>
      <c r="E267" s="202">
        <f t="shared" si="214"/>
        <v>0</v>
      </c>
      <c r="F267" s="202">
        <f t="shared" si="214"/>
        <v>0</v>
      </c>
      <c r="G267" s="202">
        <f t="shared" si="214"/>
        <v>0</v>
      </c>
      <c r="H267" s="202">
        <f t="shared" si="214"/>
        <v>0</v>
      </c>
      <c r="I267" s="202">
        <f t="shared" si="214"/>
        <v>0</v>
      </c>
      <c r="J267" s="202">
        <f t="shared" si="214"/>
        <v>0</v>
      </c>
      <c r="K267" s="202">
        <f t="shared" si="214"/>
        <v>0</v>
      </c>
      <c r="L267" s="202">
        <f t="shared" si="214"/>
        <v>0</v>
      </c>
      <c r="M267" s="202">
        <f t="shared" si="214"/>
        <v>0</v>
      </c>
      <c r="N267" s="202">
        <f t="shared" si="214"/>
        <v>0</v>
      </c>
      <c r="O267" s="202">
        <f t="shared" si="214"/>
        <v>0</v>
      </c>
      <c r="P267" s="243"/>
      <c r="Q267" s="243"/>
      <c r="R267" s="243"/>
      <c r="S267" s="202" t="s">
        <v>121</v>
      </c>
      <c r="T267" s="202">
        <f t="shared" ref="T267:AG267" si="215">T158+T188</f>
        <v>0</v>
      </c>
      <c r="U267" s="202">
        <f t="shared" si="215"/>
        <v>0</v>
      </c>
      <c r="V267" s="202">
        <f t="shared" si="215"/>
        <v>0</v>
      </c>
      <c r="W267" s="202">
        <f t="shared" si="215"/>
        <v>0</v>
      </c>
      <c r="X267" s="202">
        <f t="shared" si="215"/>
        <v>0</v>
      </c>
      <c r="Y267" s="202">
        <f t="shared" si="215"/>
        <v>0</v>
      </c>
      <c r="Z267" s="202">
        <f t="shared" si="215"/>
        <v>0</v>
      </c>
      <c r="AA267" s="202">
        <f t="shared" si="215"/>
        <v>0</v>
      </c>
      <c r="AB267" s="202">
        <f t="shared" si="215"/>
        <v>0</v>
      </c>
      <c r="AC267" s="202">
        <f t="shared" si="215"/>
        <v>0</v>
      </c>
      <c r="AD267" s="202">
        <f t="shared" si="215"/>
        <v>0</v>
      </c>
      <c r="AE267" s="202">
        <f t="shared" si="215"/>
        <v>0</v>
      </c>
      <c r="AF267" s="202">
        <f t="shared" si="215"/>
        <v>0</v>
      </c>
      <c r="AG267" s="202">
        <f t="shared" si="215"/>
        <v>0</v>
      </c>
      <c r="AH267" s="188"/>
      <c r="AI267" s="188"/>
      <c r="AJ267" s="188"/>
      <c r="AK267" s="188"/>
      <c r="AL267" s="188"/>
      <c r="AM267" s="188"/>
      <c r="AN267" s="188"/>
      <c r="AO267" s="188"/>
      <c r="AP267" s="188"/>
      <c r="AQ267" s="188"/>
      <c r="AR267" s="188"/>
      <c r="AS267" s="243"/>
      <c r="AT267" s="243"/>
      <c r="AU267" s="243"/>
    </row>
    <row r="268" spans="1:47" s="3" customFormat="1" x14ac:dyDescent="0.2">
      <c r="A268" s="202" t="s">
        <v>104</v>
      </c>
      <c r="B268" s="114" t="s">
        <v>105</v>
      </c>
      <c r="C268" s="259">
        <f>IF(C196=1,$B$284,0)</f>
        <v>0</v>
      </c>
      <c r="D268" s="259">
        <f t="shared" ref="D268:K268" si="216">IF(D196=1,$B$284,0)</f>
        <v>0</v>
      </c>
      <c r="E268" s="259">
        <f t="shared" si="216"/>
        <v>0</v>
      </c>
      <c r="F268" s="259">
        <f t="shared" si="216"/>
        <v>0</v>
      </c>
      <c r="G268" s="259">
        <f t="shared" si="216"/>
        <v>0</v>
      </c>
      <c r="H268" s="259">
        <f t="shared" si="216"/>
        <v>0</v>
      </c>
      <c r="I268" s="259">
        <f t="shared" si="216"/>
        <v>0</v>
      </c>
      <c r="J268" s="259">
        <f t="shared" si="216"/>
        <v>0</v>
      </c>
      <c r="K268" s="259">
        <f t="shared" si="216"/>
        <v>0</v>
      </c>
      <c r="L268" s="259">
        <f>IF(L196=1,$B$284,0)</f>
        <v>0</v>
      </c>
      <c r="M268" s="259">
        <f>IF(M196=1,$B$284,0)</f>
        <v>0</v>
      </c>
      <c r="N268" s="259">
        <f>IF(N196=1,$B$284,0)</f>
        <v>0</v>
      </c>
      <c r="O268" s="259">
        <f>IF(O196=1,$B$284,0)</f>
        <v>0</v>
      </c>
      <c r="P268" s="243"/>
      <c r="Q268" s="243"/>
      <c r="R268" s="243"/>
      <c r="S268" s="202" t="s">
        <v>104</v>
      </c>
      <c r="T268" s="114" t="s">
        <v>105</v>
      </c>
      <c r="U268" s="259">
        <f t="shared" ref="U268:AG268" si="217">IF(C196=1,$T$284,0)</f>
        <v>0</v>
      </c>
      <c r="V268" s="259">
        <f t="shared" si="217"/>
        <v>0</v>
      </c>
      <c r="W268" s="259">
        <f t="shared" si="217"/>
        <v>0</v>
      </c>
      <c r="X268" s="259">
        <f t="shared" si="217"/>
        <v>0</v>
      </c>
      <c r="Y268" s="259">
        <f t="shared" si="217"/>
        <v>0</v>
      </c>
      <c r="Z268" s="259">
        <f t="shared" si="217"/>
        <v>0</v>
      </c>
      <c r="AA268" s="259">
        <f t="shared" si="217"/>
        <v>0</v>
      </c>
      <c r="AB268" s="259">
        <f t="shared" si="217"/>
        <v>0</v>
      </c>
      <c r="AC268" s="259">
        <f t="shared" si="217"/>
        <v>0</v>
      </c>
      <c r="AD268" s="259">
        <f t="shared" si="217"/>
        <v>0</v>
      </c>
      <c r="AE268" s="259">
        <f t="shared" si="217"/>
        <v>0</v>
      </c>
      <c r="AF268" s="259">
        <f t="shared" si="217"/>
        <v>0</v>
      </c>
      <c r="AG268" s="259">
        <f t="shared" si="217"/>
        <v>0</v>
      </c>
      <c r="AH268" s="188"/>
      <c r="AI268" s="188"/>
      <c r="AJ268" s="188"/>
      <c r="AK268" s="188"/>
      <c r="AL268" s="188"/>
      <c r="AM268" s="188"/>
      <c r="AN268" s="188"/>
      <c r="AO268" s="188"/>
      <c r="AP268" s="188"/>
      <c r="AQ268" s="188"/>
      <c r="AR268" s="188"/>
      <c r="AS268" s="243"/>
      <c r="AT268" s="243"/>
      <c r="AU268" s="243"/>
    </row>
    <row r="269" spans="1:47" s="3" customFormat="1" x14ac:dyDescent="0.2">
      <c r="A269" s="202" t="s">
        <v>106</v>
      </c>
      <c r="B269" s="259">
        <f>IF(B197=1,$C$284,0)</f>
        <v>0</v>
      </c>
      <c r="C269" s="114" t="s">
        <v>105</v>
      </c>
      <c r="D269" s="259">
        <f t="shared" ref="D269:K269" si="218">IF(D197=1,$C$284,0)</f>
        <v>0</v>
      </c>
      <c r="E269" s="259">
        <f t="shared" si="218"/>
        <v>0</v>
      </c>
      <c r="F269" s="259">
        <f t="shared" si="218"/>
        <v>0</v>
      </c>
      <c r="G269" s="259">
        <f t="shared" si="218"/>
        <v>0</v>
      </c>
      <c r="H269" s="259">
        <f t="shared" si="218"/>
        <v>0</v>
      </c>
      <c r="I269" s="259">
        <f t="shared" si="218"/>
        <v>0</v>
      </c>
      <c r="J269" s="259">
        <f t="shared" si="218"/>
        <v>0</v>
      </c>
      <c r="K269" s="259">
        <f t="shared" si="218"/>
        <v>0</v>
      </c>
      <c r="L269" s="259">
        <f>IF(L197=1,$C$284,0)</f>
        <v>0</v>
      </c>
      <c r="M269" s="259">
        <f>IF(M197=1,$C$284,0)</f>
        <v>0</v>
      </c>
      <c r="N269" s="259">
        <f>IF(N197=1,$C$284,0)</f>
        <v>0</v>
      </c>
      <c r="O269" s="259">
        <f>IF(O197=1,$C$284,0)</f>
        <v>0</v>
      </c>
      <c r="P269" s="188"/>
      <c r="Q269" s="188"/>
      <c r="R269" s="188"/>
      <c r="S269" s="202" t="s">
        <v>106</v>
      </c>
      <c r="T269" s="259">
        <f>IF(B197=1,$U$284,0)</f>
        <v>0</v>
      </c>
      <c r="U269" s="114" t="s">
        <v>105</v>
      </c>
      <c r="V269" s="259">
        <f t="shared" ref="V269:AG269" si="219">IF(D197=1,$U$284,0)</f>
        <v>0</v>
      </c>
      <c r="W269" s="259">
        <f t="shared" si="219"/>
        <v>0</v>
      </c>
      <c r="X269" s="259">
        <f t="shared" si="219"/>
        <v>0</v>
      </c>
      <c r="Y269" s="259">
        <f t="shared" si="219"/>
        <v>0</v>
      </c>
      <c r="Z269" s="259">
        <f t="shared" si="219"/>
        <v>0</v>
      </c>
      <c r="AA269" s="259">
        <f t="shared" si="219"/>
        <v>0</v>
      </c>
      <c r="AB269" s="259">
        <f t="shared" si="219"/>
        <v>0</v>
      </c>
      <c r="AC269" s="259">
        <f t="shared" si="219"/>
        <v>0</v>
      </c>
      <c r="AD269" s="259">
        <f t="shared" si="219"/>
        <v>0</v>
      </c>
      <c r="AE269" s="259">
        <f t="shared" si="219"/>
        <v>0</v>
      </c>
      <c r="AF269" s="259">
        <f t="shared" si="219"/>
        <v>0</v>
      </c>
      <c r="AG269" s="259">
        <f t="shared" si="219"/>
        <v>0</v>
      </c>
      <c r="AH269" s="188"/>
      <c r="AI269" s="188"/>
      <c r="AJ269" s="188"/>
      <c r="AK269" s="188"/>
      <c r="AL269" s="188"/>
      <c r="AM269" s="188"/>
      <c r="AN269" s="188"/>
      <c r="AO269" s="188"/>
      <c r="AP269" s="188"/>
      <c r="AQ269" s="188"/>
      <c r="AR269" s="188"/>
      <c r="AS269" s="243"/>
      <c r="AT269" s="243"/>
      <c r="AU269" s="243"/>
    </row>
    <row r="270" spans="1:47" s="3" customFormat="1" x14ac:dyDescent="0.2">
      <c r="A270" s="202" t="s">
        <v>107</v>
      </c>
      <c r="B270" s="259">
        <f t="shared" ref="B270:K270" si="220">IF(B198=1,$D$284,0)</f>
        <v>0</v>
      </c>
      <c r="C270" s="259">
        <f t="shared" si="220"/>
        <v>0</v>
      </c>
      <c r="D270" s="114" t="s">
        <v>105</v>
      </c>
      <c r="E270" s="259">
        <f t="shared" si="220"/>
        <v>0</v>
      </c>
      <c r="F270" s="259">
        <f t="shared" si="220"/>
        <v>0</v>
      </c>
      <c r="G270" s="259">
        <f t="shared" si="220"/>
        <v>0</v>
      </c>
      <c r="H270" s="259">
        <f t="shared" si="220"/>
        <v>0</v>
      </c>
      <c r="I270" s="259">
        <f t="shared" si="220"/>
        <v>0</v>
      </c>
      <c r="J270" s="259">
        <f t="shared" si="220"/>
        <v>0</v>
      </c>
      <c r="K270" s="259">
        <f t="shared" si="220"/>
        <v>0</v>
      </c>
      <c r="L270" s="259">
        <f>IF(L198=1,$D$284,0)</f>
        <v>0</v>
      </c>
      <c r="M270" s="259">
        <f>IF(M198=1,$D$284,0)</f>
        <v>0</v>
      </c>
      <c r="N270" s="259">
        <f>IF(N198=1,$D$284,0)</f>
        <v>0</v>
      </c>
      <c r="O270" s="259">
        <f>IF(O198=1,$D$284,0)</f>
        <v>0</v>
      </c>
      <c r="P270" s="188"/>
      <c r="Q270" s="188"/>
      <c r="R270" s="188"/>
      <c r="S270" s="202" t="s">
        <v>107</v>
      </c>
      <c r="T270" s="259">
        <f>IF(B198=1,$V$284,0)</f>
        <v>0</v>
      </c>
      <c r="U270" s="259">
        <f>IF(C198=1,$V$284,0)</f>
        <v>0</v>
      </c>
      <c r="V270" s="114" t="s">
        <v>105</v>
      </c>
      <c r="W270" s="259">
        <f t="shared" ref="W270:AG270" si="221">IF(E198=1,$V$284,0)</f>
        <v>0</v>
      </c>
      <c r="X270" s="259">
        <f t="shared" si="221"/>
        <v>0</v>
      </c>
      <c r="Y270" s="259">
        <f t="shared" si="221"/>
        <v>0</v>
      </c>
      <c r="Z270" s="259">
        <f t="shared" si="221"/>
        <v>0</v>
      </c>
      <c r="AA270" s="259">
        <f t="shared" si="221"/>
        <v>0</v>
      </c>
      <c r="AB270" s="259">
        <f t="shared" si="221"/>
        <v>0</v>
      </c>
      <c r="AC270" s="259">
        <f t="shared" si="221"/>
        <v>0</v>
      </c>
      <c r="AD270" s="259">
        <f t="shared" si="221"/>
        <v>0</v>
      </c>
      <c r="AE270" s="259">
        <f t="shared" si="221"/>
        <v>0</v>
      </c>
      <c r="AF270" s="259">
        <f t="shared" si="221"/>
        <v>0</v>
      </c>
      <c r="AG270" s="259">
        <f t="shared" si="221"/>
        <v>0</v>
      </c>
      <c r="AH270" s="188"/>
      <c r="AI270" s="188"/>
      <c r="AJ270" s="188"/>
      <c r="AK270" s="188"/>
      <c r="AL270" s="188"/>
      <c r="AM270" s="188"/>
      <c r="AN270" s="188"/>
      <c r="AO270" s="188"/>
      <c r="AP270" s="188"/>
      <c r="AQ270" s="188"/>
      <c r="AR270" s="188"/>
      <c r="AS270" s="243"/>
      <c r="AT270" s="243"/>
      <c r="AU270" s="243"/>
    </row>
    <row r="271" spans="1:47" s="3" customFormat="1" x14ac:dyDescent="0.2">
      <c r="A271" s="202" t="s">
        <v>108</v>
      </c>
      <c r="B271" s="259">
        <f>IF(B199=1,$E$284,0)</f>
        <v>0</v>
      </c>
      <c r="C271" s="259">
        <f>IF(C199=1,$E$284,0)</f>
        <v>0</v>
      </c>
      <c r="D271" s="259">
        <f>IF(D199=1,$E$284,0)</f>
        <v>0</v>
      </c>
      <c r="E271" s="114" t="s">
        <v>105</v>
      </c>
      <c r="F271" s="259">
        <f t="shared" ref="F271:K271" si="222">IF(F199=1,$E$284,0)</f>
        <v>0</v>
      </c>
      <c r="G271" s="259">
        <f t="shared" si="222"/>
        <v>0</v>
      </c>
      <c r="H271" s="259">
        <f t="shared" si="222"/>
        <v>0</v>
      </c>
      <c r="I271" s="259">
        <f t="shared" si="222"/>
        <v>0</v>
      </c>
      <c r="J271" s="259">
        <f t="shared" si="222"/>
        <v>0</v>
      </c>
      <c r="K271" s="259">
        <f t="shared" si="222"/>
        <v>0</v>
      </c>
      <c r="L271" s="259">
        <f>IF(L199=1,$E$284,0)</f>
        <v>0</v>
      </c>
      <c r="M271" s="259">
        <f>IF(M199=1,$E$284,0)</f>
        <v>0</v>
      </c>
      <c r="N271" s="259">
        <f>IF(N199=1,$E$284,0)</f>
        <v>0</v>
      </c>
      <c r="O271" s="259">
        <f>IF(O199=1,$E$284,0)</f>
        <v>0</v>
      </c>
      <c r="P271" s="188"/>
      <c r="Q271" s="188"/>
      <c r="R271" s="188"/>
      <c r="S271" s="202" t="s">
        <v>108</v>
      </c>
      <c r="T271" s="259">
        <f>IF(B199=1,$W$284,0)</f>
        <v>0</v>
      </c>
      <c r="U271" s="259">
        <f>IF(C199=1,$W$284,0)</f>
        <v>0</v>
      </c>
      <c r="V271" s="259">
        <f>IF(D199=1,$W$284,0)</f>
        <v>0</v>
      </c>
      <c r="W271" s="114" t="s">
        <v>105</v>
      </c>
      <c r="X271" s="259">
        <f t="shared" ref="X271:AG271" si="223">IF(F199=1,$W$284,0)</f>
        <v>0</v>
      </c>
      <c r="Y271" s="259">
        <f t="shared" si="223"/>
        <v>0</v>
      </c>
      <c r="Z271" s="259">
        <f t="shared" si="223"/>
        <v>0</v>
      </c>
      <c r="AA271" s="259">
        <f t="shared" si="223"/>
        <v>0</v>
      </c>
      <c r="AB271" s="259">
        <f t="shared" si="223"/>
        <v>0</v>
      </c>
      <c r="AC271" s="259">
        <f t="shared" si="223"/>
        <v>0</v>
      </c>
      <c r="AD271" s="259">
        <f t="shared" si="223"/>
        <v>0</v>
      </c>
      <c r="AE271" s="259">
        <f t="shared" si="223"/>
        <v>0</v>
      </c>
      <c r="AF271" s="259">
        <f t="shared" si="223"/>
        <v>0</v>
      </c>
      <c r="AG271" s="259">
        <f t="shared" si="223"/>
        <v>0</v>
      </c>
      <c r="AH271" s="188"/>
      <c r="AI271" s="188"/>
      <c r="AJ271" s="188"/>
      <c r="AK271" s="188"/>
      <c r="AL271" s="188"/>
      <c r="AM271" s="188"/>
      <c r="AN271" s="188"/>
      <c r="AO271" s="188"/>
      <c r="AP271" s="188"/>
      <c r="AQ271" s="188"/>
      <c r="AR271" s="188"/>
      <c r="AS271" s="243"/>
      <c r="AT271" s="243"/>
      <c r="AU271" s="243"/>
    </row>
    <row r="272" spans="1:47" s="3" customFormat="1" x14ac:dyDescent="0.2">
      <c r="A272" s="202" t="s">
        <v>109</v>
      </c>
      <c r="B272" s="259">
        <f t="shared" ref="B272:K272" si="224">IF(B200=1,$F$284,0)</f>
        <v>0</v>
      </c>
      <c r="C272" s="259">
        <f t="shared" si="224"/>
        <v>0</v>
      </c>
      <c r="D272" s="259">
        <f t="shared" si="224"/>
        <v>0</v>
      </c>
      <c r="E272" s="259">
        <f t="shared" si="224"/>
        <v>0</v>
      </c>
      <c r="F272" s="114" t="s">
        <v>105</v>
      </c>
      <c r="G272" s="259">
        <f t="shared" si="224"/>
        <v>0</v>
      </c>
      <c r="H272" s="259">
        <f t="shared" si="224"/>
        <v>0</v>
      </c>
      <c r="I272" s="259">
        <f t="shared" si="224"/>
        <v>0</v>
      </c>
      <c r="J272" s="259">
        <f t="shared" si="224"/>
        <v>0</v>
      </c>
      <c r="K272" s="259">
        <f t="shared" si="224"/>
        <v>0</v>
      </c>
      <c r="L272" s="259">
        <f>IF(L200=1,$F$284,0)</f>
        <v>0</v>
      </c>
      <c r="M272" s="259">
        <f>IF(M200=1,$F$284,0)</f>
        <v>0</v>
      </c>
      <c r="N272" s="259">
        <f>IF(N200=1,$F$284,0)</f>
        <v>0</v>
      </c>
      <c r="O272" s="259">
        <f>IF(O200=1,$F$284,0)</f>
        <v>0</v>
      </c>
      <c r="P272" s="188"/>
      <c r="Q272" s="188"/>
      <c r="R272" s="188"/>
      <c r="S272" s="202" t="s">
        <v>109</v>
      </c>
      <c r="T272" s="259">
        <f>IF(B200=1,$X$284,0)</f>
        <v>0</v>
      </c>
      <c r="U272" s="259">
        <f>IF(C200=1,$X$284,0)</f>
        <v>0</v>
      </c>
      <c r="V272" s="259">
        <f>IF(D200=1,$X$284,0)</f>
        <v>0</v>
      </c>
      <c r="W272" s="259">
        <f>IF(E200=1,$X$284,0)</f>
        <v>0</v>
      </c>
      <c r="X272" s="114" t="s">
        <v>105</v>
      </c>
      <c r="Y272" s="259">
        <f t="shared" ref="Y272:AG272" si="225">IF(G200=1,$X$284,0)</f>
        <v>0</v>
      </c>
      <c r="Z272" s="259">
        <f t="shared" si="225"/>
        <v>0</v>
      </c>
      <c r="AA272" s="259">
        <f t="shared" si="225"/>
        <v>0</v>
      </c>
      <c r="AB272" s="259">
        <f t="shared" si="225"/>
        <v>0</v>
      </c>
      <c r="AC272" s="259">
        <f t="shared" si="225"/>
        <v>0</v>
      </c>
      <c r="AD272" s="259">
        <f t="shared" si="225"/>
        <v>0</v>
      </c>
      <c r="AE272" s="259">
        <f t="shared" si="225"/>
        <v>0</v>
      </c>
      <c r="AF272" s="259">
        <f t="shared" si="225"/>
        <v>0</v>
      </c>
      <c r="AG272" s="259">
        <f t="shared" si="225"/>
        <v>0</v>
      </c>
      <c r="AH272" s="188"/>
      <c r="AI272" s="188"/>
      <c r="AJ272" s="188"/>
      <c r="AK272" s="188"/>
      <c r="AL272" s="188"/>
      <c r="AM272" s="188"/>
      <c r="AN272" s="188"/>
      <c r="AO272" s="188"/>
      <c r="AP272" s="188"/>
      <c r="AQ272" s="188"/>
      <c r="AR272" s="188"/>
      <c r="AS272" s="243"/>
      <c r="AT272" s="243"/>
      <c r="AU272" s="243"/>
    </row>
    <row r="273" spans="1:47" s="3" customFormat="1" x14ac:dyDescent="0.2">
      <c r="A273" s="202" t="s">
        <v>110</v>
      </c>
      <c r="B273" s="259">
        <f t="shared" ref="B273:K273" si="226">IF(B201=1,$G$284,0)</f>
        <v>0</v>
      </c>
      <c r="C273" s="259">
        <f t="shared" si="226"/>
        <v>0</v>
      </c>
      <c r="D273" s="259">
        <f t="shared" si="226"/>
        <v>0</v>
      </c>
      <c r="E273" s="259">
        <f t="shared" si="226"/>
        <v>0</v>
      </c>
      <c r="F273" s="259">
        <f t="shared" si="226"/>
        <v>0</v>
      </c>
      <c r="G273" s="114" t="s">
        <v>105</v>
      </c>
      <c r="H273" s="259">
        <f t="shared" si="226"/>
        <v>0</v>
      </c>
      <c r="I273" s="259">
        <f t="shared" si="226"/>
        <v>0</v>
      </c>
      <c r="J273" s="259">
        <f t="shared" si="226"/>
        <v>0</v>
      </c>
      <c r="K273" s="259">
        <f t="shared" si="226"/>
        <v>0</v>
      </c>
      <c r="L273" s="259">
        <f>IF(L201=1,$G$284,0)</f>
        <v>0</v>
      </c>
      <c r="M273" s="259">
        <f>IF(M201=1,$G$284,0)</f>
        <v>0</v>
      </c>
      <c r="N273" s="259">
        <f>IF(N201=1,$G$284,0)</f>
        <v>0</v>
      </c>
      <c r="O273" s="259">
        <f>IF(O201=1,$G$284,0)</f>
        <v>0</v>
      </c>
      <c r="P273" s="188"/>
      <c r="Q273" s="188"/>
      <c r="R273" s="188"/>
      <c r="S273" s="202" t="s">
        <v>110</v>
      </c>
      <c r="T273" s="259">
        <f>IF(B201=1,$Y$284,0)</f>
        <v>0</v>
      </c>
      <c r="U273" s="259">
        <f>IF(C201=1,$Y$284,0)</f>
        <v>0</v>
      </c>
      <c r="V273" s="259">
        <f>IF(D201=1,$Y$284,0)</f>
        <v>0</v>
      </c>
      <c r="W273" s="259">
        <f>IF(E201=1,$Y$284,0)</f>
        <v>0</v>
      </c>
      <c r="X273" s="259">
        <f>IF(F201=1,$Y$284,0)</f>
        <v>0</v>
      </c>
      <c r="Y273" s="114" t="s">
        <v>105</v>
      </c>
      <c r="Z273" s="259">
        <f t="shared" ref="Z273:AG273" si="227">IF(H201=1,$Y$284,0)</f>
        <v>0</v>
      </c>
      <c r="AA273" s="259">
        <f t="shared" si="227"/>
        <v>0</v>
      </c>
      <c r="AB273" s="259">
        <f t="shared" si="227"/>
        <v>0</v>
      </c>
      <c r="AC273" s="259">
        <f t="shared" si="227"/>
        <v>0</v>
      </c>
      <c r="AD273" s="259">
        <f t="shared" si="227"/>
        <v>0</v>
      </c>
      <c r="AE273" s="259">
        <f t="shared" si="227"/>
        <v>0</v>
      </c>
      <c r="AF273" s="259">
        <f t="shared" si="227"/>
        <v>0</v>
      </c>
      <c r="AG273" s="259">
        <f t="shared" si="227"/>
        <v>0</v>
      </c>
      <c r="AH273" s="188"/>
      <c r="AI273" s="188"/>
      <c r="AJ273" s="188"/>
      <c r="AK273" s="188"/>
      <c r="AL273" s="188"/>
      <c r="AM273" s="188"/>
      <c r="AN273" s="188"/>
      <c r="AO273" s="188"/>
      <c r="AP273" s="188"/>
      <c r="AQ273" s="188"/>
      <c r="AR273" s="188"/>
      <c r="AS273" s="243"/>
      <c r="AT273" s="243"/>
      <c r="AU273" s="243"/>
    </row>
    <row r="274" spans="1:47" s="3" customFormat="1" x14ac:dyDescent="0.2">
      <c r="A274" s="202" t="s">
        <v>111</v>
      </c>
      <c r="B274" s="259">
        <f t="shared" ref="B274:K274" si="228">IF(B202=1,$H$284,0)</f>
        <v>0</v>
      </c>
      <c r="C274" s="259">
        <f t="shared" si="228"/>
        <v>0</v>
      </c>
      <c r="D274" s="259">
        <f t="shared" si="228"/>
        <v>0</v>
      </c>
      <c r="E274" s="259">
        <f t="shared" si="228"/>
        <v>0</v>
      </c>
      <c r="F274" s="259">
        <f t="shared" si="228"/>
        <v>0</v>
      </c>
      <c r="G274" s="259">
        <f t="shared" si="228"/>
        <v>0</v>
      </c>
      <c r="H274" s="114" t="s">
        <v>105</v>
      </c>
      <c r="I274" s="259">
        <f t="shared" si="228"/>
        <v>0</v>
      </c>
      <c r="J274" s="259">
        <f t="shared" si="228"/>
        <v>0</v>
      </c>
      <c r="K274" s="259">
        <f t="shared" si="228"/>
        <v>0</v>
      </c>
      <c r="L274" s="259">
        <f>IF(L202=1,$H$284,0)</f>
        <v>0</v>
      </c>
      <c r="M274" s="259">
        <f>IF(M202=1,$H$284,0)</f>
        <v>0</v>
      </c>
      <c r="N274" s="259">
        <f>IF(N202=1,$H$284,0)</f>
        <v>0</v>
      </c>
      <c r="O274" s="259">
        <f>IF(O202=1,$H$284,0)</f>
        <v>0</v>
      </c>
      <c r="P274" s="188"/>
      <c r="Q274" s="188"/>
      <c r="R274" s="188"/>
      <c r="S274" s="202" t="s">
        <v>111</v>
      </c>
      <c r="T274" s="259">
        <f t="shared" ref="T274:Y274" si="229">IF(B202=1,$Z$284,0)</f>
        <v>0</v>
      </c>
      <c r="U274" s="259">
        <f t="shared" si="229"/>
        <v>0</v>
      </c>
      <c r="V274" s="259">
        <f t="shared" si="229"/>
        <v>0</v>
      </c>
      <c r="W274" s="259">
        <f t="shared" si="229"/>
        <v>0</v>
      </c>
      <c r="X274" s="259">
        <f t="shared" si="229"/>
        <v>0</v>
      </c>
      <c r="Y274" s="259">
        <f t="shared" si="229"/>
        <v>0</v>
      </c>
      <c r="Z274" s="114" t="s">
        <v>105</v>
      </c>
      <c r="AA274" s="259">
        <f t="shared" ref="AA274:AG274" si="230">IF(I202=1,$Z$284,0)</f>
        <v>0</v>
      </c>
      <c r="AB274" s="259">
        <f t="shared" si="230"/>
        <v>0</v>
      </c>
      <c r="AC274" s="259">
        <f t="shared" si="230"/>
        <v>0</v>
      </c>
      <c r="AD274" s="259">
        <f t="shared" si="230"/>
        <v>0</v>
      </c>
      <c r="AE274" s="259">
        <f t="shared" si="230"/>
        <v>0</v>
      </c>
      <c r="AF274" s="259">
        <f t="shared" si="230"/>
        <v>0</v>
      </c>
      <c r="AG274" s="259">
        <f t="shared" si="230"/>
        <v>0</v>
      </c>
      <c r="AH274" s="188"/>
      <c r="AI274" s="188"/>
      <c r="AJ274" s="188"/>
      <c r="AK274" s="188"/>
      <c r="AL274" s="188"/>
      <c r="AM274" s="188"/>
      <c r="AN274" s="188"/>
      <c r="AO274" s="188"/>
      <c r="AP274" s="188"/>
      <c r="AQ274" s="188"/>
      <c r="AR274" s="188"/>
      <c r="AS274" s="243"/>
      <c r="AT274" s="243"/>
      <c r="AU274" s="243"/>
    </row>
    <row r="275" spans="1:47" s="3" customFormat="1" x14ac:dyDescent="0.2">
      <c r="A275" s="202" t="s">
        <v>112</v>
      </c>
      <c r="B275" s="259">
        <f t="shared" ref="B275:K275" si="231">IF(B203=1,$I$284,0)</f>
        <v>0</v>
      </c>
      <c r="C275" s="259">
        <f t="shared" si="231"/>
        <v>0</v>
      </c>
      <c r="D275" s="259">
        <f t="shared" si="231"/>
        <v>0</v>
      </c>
      <c r="E275" s="259">
        <f t="shared" si="231"/>
        <v>0</v>
      </c>
      <c r="F275" s="259">
        <f t="shared" si="231"/>
        <v>0</v>
      </c>
      <c r="G275" s="259">
        <f t="shared" si="231"/>
        <v>0</v>
      </c>
      <c r="H275" s="259">
        <f t="shared" si="231"/>
        <v>0</v>
      </c>
      <c r="I275" s="114" t="s">
        <v>105</v>
      </c>
      <c r="J275" s="259">
        <f t="shared" si="231"/>
        <v>0</v>
      </c>
      <c r="K275" s="259">
        <f t="shared" si="231"/>
        <v>0</v>
      </c>
      <c r="L275" s="259">
        <f>IF(L203=1,$I$284,0)</f>
        <v>0</v>
      </c>
      <c r="M275" s="259">
        <f>IF(M203=1,$I$284,0)</f>
        <v>0</v>
      </c>
      <c r="N275" s="259">
        <f>IF(N203=1,$I$284,0)</f>
        <v>0</v>
      </c>
      <c r="O275" s="259">
        <f>IF(O203=1,$I$284,0)</f>
        <v>0</v>
      </c>
      <c r="P275" s="188"/>
      <c r="Q275" s="188"/>
      <c r="R275" s="188"/>
      <c r="S275" s="202" t="s">
        <v>112</v>
      </c>
      <c r="T275" s="259">
        <f t="shared" ref="T275:Z275" si="232">IF(B203=1,$AA$284,0)</f>
        <v>0</v>
      </c>
      <c r="U275" s="259">
        <f t="shared" si="232"/>
        <v>0</v>
      </c>
      <c r="V275" s="259">
        <f t="shared" si="232"/>
        <v>0</v>
      </c>
      <c r="W275" s="259">
        <f t="shared" si="232"/>
        <v>0</v>
      </c>
      <c r="X275" s="259">
        <f t="shared" si="232"/>
        <v>0</v>
      </c>
      <c r="Y275" s="259">
        <f t="shared" si="232"/>
        <v>0</v>
      </c>
      <c r="Z275" s="259">
        <f t="shared" si="232"/>
        <v>0</v>
      </c>
      <c r="AA275" s="114" t="s">
        <v>105</v>
      </c>
      <c r="AB275" s="259">
        <f t="shared" ref="AB275:AG275" si="233">IF(J203=1,$AA$284,0)</f>
        <v>0</v>
      </c>
      <c r="AC275" s="259">
        <f t="shared" si="233"/>
        <v>0</v>
      </c>
      <c r="AD275" s="259">
        <f t="shared" si="233"/>
        <v>0</v>
      </c>
      <c r="AE275" s="259">
        <f t="shared" si="233"/>
        <v>0</v>
      </c>
      <c r="AF275" s="259">
        <f t="shared" si="233"/>
        <v>0</v>
      </c>
      <c r="AG275" s="259">
        <f t="shared" si="233"/>
        <v>0</v>
      </c>
      <c r="AH275" s="188"/>
      <c r="AI275" s="188"/>
      <c r="AJ275" s="188"/>
      <c r="AK275" s="188"/>
      <c r="AL275" s="188"/>
      <c r="AM275" s="188"/>
      <c r="AN275" s="188"/>
      <c r="AO275" s="188"/>
      <c r="AP275" s="188"/>
      <c r="AQ275" s="188"/>
      <c r="AR275" s="188"/>
      <c r="AS275" s="243"/>
      <c r="AT275" s="243"/>
      <c r="AU275" s="243"/>
    </row>
    <row r="276" spans="1:47" s="3" customFormat="1" x14ac:dyDescent="0.2">
      <c r="A276" s="202" t="s">
        <v>113</v>
      </c>
      <c r="B276" s="259">
        <f t="shared" ref="B276:K276" si="234">IF(B204=1,$J$284,0)</f>
        <v>0</v>
      </c>
      <c r="C276" s="259">
        <f t="shared" si="234"/>
        <v>0</v>
      </c>
      <c r="D276" s="259">
        <f t="shared" si="234"/>
        <v>0</v>
      </c>
      <c r="E276" s="259">
        <f t="shared" si="234"/>
        <v>0</v>
      </c>
      <c r="F276" s="259">
        <f t="shared" si="234"/>
        <v>0</v>
      </c>
      <c r="G276" s="259">
        <f t="shared" si="234"/>
        <v>0</v>
      </c>
      <c r="H276" s="259">
        <f t="shared" si="234"/>
        <v>0</v>
      </c>
      <c r="I276" s="259">
        <f t="shared" si="234"/>
        <v>0</v>
      </c>
      <c r="J276" s="114" t="s">
        <v>105</v>
      </c>
      <c r="K276" s="259">
        <f t="shared" si="234"/>
        <v>0</v>
      </c>
      <c r="L276" s="259">
        <f t="shared" ref="L276:O280" si="235">IF(L204=1,$J$284,0)</f>
        <v>0</v>
      </c>
      <c r="M276" s="259">
        <f t="shared" si="235"/>
        <v>0</v>
      </c>
      <c r="N276" s="259">
        <f t="shared" si="235"/>
        <v>0</v>
      </c>
      <c r="O276" s="259">
        <f t="shared" si="235"/>
        <v>0</v>
      </c>
      <c r="P276" s="188"/>
      <c r="Q276" s="188"/>
      <c r="R276" s="188"/>
      <c r="S276" s="202" t="s">
        <v>113</v>
      </c>
      <c r="T276" s="259">
        <f t="shared" ref="T276:AA276" si="236">IF(B204=1,$AB$284,0)</f>
        <v>0</v>
      </c>
      <c r="U276" s="259">
        <f t="shared" si="236"/>
        <v>0</v>
      </c>
      <c r="V276" s="259">
        <f t="shared" si="236"/>
        <v>0</v>
      </c>
      <c r="W276" s="259">
        <f t="shared" si="236"/>
        <v>0</v>
      </c>
      <c r="X276" s="259">
        <f t="shared" si="236"/>
        <v>0</v>
      </c>
      <c r="Y276" s="259">
        <f t="shared" si="236"/>
        <v>0</v>
      </c>
      <c r="Z276" s="259">
        <f t="shared" si="236"/>
        <v>0</v>
      </c>
      <c r="AA276" s="259">
        <f t="shared" si="236"/>
        <v>0</v>
      </c>
      <c r="AB276" s="114" t="s">
        <v>105</v>
      </c>
      <c r="AC276" s="259">
        <f>IF(K204=1,$AB$284,0)</f>
        <v>0</v>
      </c>
      <c r="AD276" s="259">
        <f>IF(L204=1,$AB$284,0)</f>
        <v>0</v>
      </c>
      <c r="AE276" s="259">
        <f>IF(M204=1,$AB$284,0)</f>
        <v>0</v>
      </c>
      <c r="AF276" s="259">
        <f>IF(N204=1,$AB$284,0)</f>
        <v>0</v>
      </c>
      <c r="AG276" s="259">
        <f>IF(O204=1,$AB$284,0)</f>
        <v>0</v>
      </c>
      <c r="AH276" s="188"/>
      <c r="AI276" s="188"/>
      <c r="AJ276" s="188"/>
      <c r="AK276" s="188"/>
      <c r="AL276" s="188"/>
      <c r="AM276" s="188"/>
      <c r="AN276" s="188"/>
      <c r="AO276" s="188"/>
      <c r="AP276" s="188"/>
      <c r="AQ276" s="188"/>
      <c r="AR276" s="188"/>
      <c r="AS276" s="243"/>
      <c r="AT276" s="243"/>
      <c r="AU276" s="243"/>
    </row>
    <row r="277" spans="1:47" s="3" customFormat="1" x14ac:dyDescent="0.2">
      <c r="A277" s="202" t="s">
        <v>114</v>
      </c>
      <c r="B277" s="259">
        <f t="shared" ref="B277:J277" si="237">IF(B205=1,$K$284,0)</f>
        <v>0</v>
      </c>
      <c r="C277" s="259">
        <f t="shared" si="237"/>
        <v>0</v>
      </c>
      <c r="D277" s="259">
        <f t="shared" si="237"/>
        <v>0</v>
      </c>
      <c r="E277" s="259">
        <f t="shared" si="237"/>
        <v>0</v>
      </c>
      <c r="F277" s="259">
        <f t="shared" si="237"/>
        <v>0</v>
      </c>
      <c r="G277" s="259">
        <f t="shared" si="237"/>
        <v>0</v>
      </c>
      <c r="H277" s="259">
        <f t="shared" si="237"/>
        <v>0</v>
      </c>
      <c r="I277" s="259">
        <f t="shared" si="237"/>
        <v>0</v>
      </c>
      <c r="J277" s="259">
        <f t="shared" si="237"/>
        <v>0</v>
      </c>
      <c r="K277" s="114" t="s">
        <v>105</v>
      </c>
      <c r="L277" s="259">
        <f t="shared" si="235"/>
        <v>0</v>
      </c>
      <c r="M277" s="259">
        <f t="shared" si="235"/>
        <v>0</v>
      </c>
      <c r="N277" s="259">
        <f t="shared" si="235"/>
        <v>0</v>
      </c>
      <c r="O277" s="259">
        <f t="shared" si="235"/>
        <v>0</v>
      </c>
      <c r="P277" s="188"/>
      <c r="Q277" s="188"/>
      <c r="R277" s="188"/>
      <c r="S277" s="202" t="s">
        <v>114</v>
      </c>
      <c r="T277" s="259">
        <f t="shared" ref="T277:AB277" si="238">IF(B205=1,$AC$284,0)</f>
        <v>0</v>
      </c>
      <c r="U277" s="259">
        <f t="shared" si="238"/>
        <v>0</v>
      </c>
      <c r="V277" s="259">
        <f t="shared" si="238"/>
        <v>0</v>
      </c>
      <c r="W277" s="259">
        <f t="shared" si="238"/>
        <v>0</v>
      </c>
      <c r="X277" s="259">
        <f t="shared" si="238"/>
        <v>0</v>
      </c>
      <c r="Y277" s="259">
        <f t="shared" si="238"/>
        <v>0</v>
      </c>
      <c r="Z277" s="259">
        <f t="shared" si="238"/>
        <v>0</v>
      </c>
      <c r="AA277" s="259">
        <f t="shared" si="238"/>
        <v>0</v>
      </c>
      <c r="AB277" s="259">
        <f t="shared" si="238"/>
        <v>0</v>
      </c>
      <c r="AC277" s="114" t="s">
        <v>105</v>
      </c>
      <c r="AD277" s="259">
        <f>IF(L205=1,$AC$284,0)</f>
        <v>0</v>
      </c>
      <c r="AE277" s="259">
        <f>IF(M205=1,$AC$284,0)</f>
        <v>0</v>
      </c>
      <c r="AF277" s="259">
        <f>IF(N205=1,$AC$284,0)</f>
        <v>0</v>
      </c>
      <c r="AG277" s="259">
        <f>IF(O205=1,$AC$284,0)</f>
        <v>0</v>
      </c>
      <c r="AH277" s="188"/>
      <c r="AI277" s="188"/>
      <c r="AJ277" s="188"/>
      <c r="AK277" s="188"/>
      <c r="AL277" s="188"/>
      <c r="AM277" s="188"/>
      <c r="AN277" s="188"/>
      <c r="AO277" s="188"/>
      <c r="AP277" s="188"/>
      <c r="AQ277" s="188"/>
      <c r="AR277" s="188"/>
      <c r="AS277" s="243"/>
      <c r="AT277" s="243"/>
      <c r="AU277" s="243"/>
    </row>
    <row r="278" spans="1:47" s="3" customFormat="1" x14ac:dyDescent="0.2">
      <c r="A278" s="94" t="s">
        <v>435</v>
      </c>
      <c r="B278" s="259">
        <f t="shared" ref="B278:J278" si="239">IF(B206=1,$L$284,0)</f>
        <v>0</v>
      </c>
      <c r="C278" s="259">
        <f t="shared" si="239"/>
        <v>0</v>
      </c>
      <c r="D278" s="259">
        <f t="shared" si="239"/>
        <v>0</v>
      </c>
      <c r="E278" s="259">
        <f t="shared" si="239"/>
        <v>0</v>
      </c>
      <c r="F278" s="259">
        <f t="shared" si="239"/>
        <v>0</v>
      </c>
      <c r="G278" s="259">
        <f t="shared" si="239"/>
        <v>0</v>
      </c>
      <c r="H278" s="259">
        <f t="shared" si="239"/>
        <v>0</v>
      </c>
      <c r="I278" s="259">
        <f t="shared" si="239"/>
        <v>0</v>
      </c>
      <c r="J278" s="259">
        <f t="shared" si="239"/>
        <v>0</v>
      </c>
      <c r="K278" s="259">
        <f>IF(K206=1,$L$284,0)</f>
        <v>0</v>
      </c>
      <c r="L278" s="114" t="s">
        <v>105</v>
      </c>
      <c r="M278" s="259">
        <f t="shared" si="235"/>
        <v>0</v>
      </c>
      <c r="N278" s="259">
        <f t="shared" si="235"/>
        <v>0</v>
      </c>
      <c r="O278" s="259">
        <f t="shared" si="235"/>
        <v>0</v>
      </c>
      <c r="P278" s="188"/>
      <c r="Q278" s="188"/>
      <c r="R278" s="188"/>
      <c r="S278" s="94" t="s">
        <v>435</v>
      </c>
      <c r="T278" s="259">
        <f t="shared" ref="T278:AC278" si="240">IF(B206=1,$AD$284,0)</f>
        <v>0</v>
      </c>
      <c r="U278" s="259">
        <f t="shared" si="240"/>
        <v>0</v>
      </c>
      <c r="V278" s="259">
        <f t="shared" si="240"/>
        <v>0</v>
      </c>
      <c r="W278" s="259">
        <f t="shared" si="240"/>
        <v>0</v>
      </c>
      <c r="X278" s="259">
        <f t="shared" si="240"/>
        <v>0</v>
      </c>
      <c r="Y278" s="259">
        <f t="shared" si="240"/>
        <v>0</v>
      </c>
      <c r="Z278" s="259">
        <f t="shared" si="240"/>
        <v>0</v>
      </c>
      <c r="AA278" s="259">
        <f t="shared" si="240"/>
        <v>0</v>
      </c>
      <c r="AB278" s="259">
        <f t="shared" si="240"/>
        <v>0</v>
      </c>
      <c r="AC278" s="259">
        <f t="shared" si="240"/>
        <v>0</v>
      </c>
      <c r="AD278" s="114" t="s">
        <v>105</v>
      </c>
      <c r="AE278" s="259">
        <f>IF(M206=1,$AD$284,0)</f>
        <v>0</v>
      </c>
      <c r="AF278" s="259">
        <f>IF(N206=1,$AD$284,0)</f>
        <v>0</v>
      </c>
      <c r="AG278" s="259">
        <f>IF(O206=1,$AD$284,0)</f>
        <v>0</v>
      </c>
      <c r="AH278" s="188"/>
      <c r="AI278" s="188"/>
      <c r="AJ278" s="188"/>
      <c r="AK278" s="188"/>
      <c r="AL278" s="188"/>
      <c r="AM278" s="188"/>
      <c r="AN278" s="188"/>
      <c r="AO278" s="188"/>
      <c r="AP278" s="188"/>
      <c r="AQ278" s="188"/>
      <c r="AR278" s="188"/>
      <c r="AS278" s="243"/>
      <c r="AT278" s="243"/>
      <c r="AU278" s="243"/>
    </row>
    <row r="279" spans="1:47" s="3" customFormat="1" x14ac:dyDescent="0.2">
      <c r="A279" s="94" t="s">
        <v>436</v>
      </c>
      <c r="B279" s="259">
        <f t="shared" ref="B279:K279" si="241">IF(B207=1,$M$284,0)</f>
        <v>0</v>
      </c>
      <c r="C279" s="259">
        <f t="shared" si="241"/>
        <v>0</v>
      </c>
      <c r="D279" s="259">
        <f t="shared" si="241"/>
        <v>0</v>
      </c>
      <c r="E279" s="259">
        <f t="shared" si="241"/>
        <v>0</v>
      </c>
      <c r="F279" s="259">
        <f t="shared" si="241"/>
        <v>0</v>
      </c>
      <c r="G279" s="259">
        <f t="shared" si="241"/>
        <v>0</v>
      </c>
      <c r="H279" s="259">
        <f t="shared" si="241"/>
        <v>0</v>
      </c>
      <c r="I279" s="259">
        <f t="shared" si="241"/>
        <v>0</v>
      </c>
      <c r="J279" s="259">
        <f t="shared" si="241"/>
        <v>0</v>
      </c>
      <c r="K279" s="259">
        <f t="shared" si="241"/>
        <v>0</v>
      </c>
      <c r="L279" s="259">
        <f>IF(L207=1,$M$284,0)</f>
        <v>0</v>
      </c>
      <c r="M279" s="114" t="s">
        <v>105</v>
      </c>
      <c r="N279" s="259">
        <f t="shared" si="235"/>
        <v>0</v>
      </c>
      <c r="O279" s="259">
        <f t="shared" si="235"/>
        <v>0</v>
      </c>
      <c r="P279" s="188"/>
      <c r="Q279" s="188"/>
      <c r="R279" s="188"/>
      <c r="S279" s="94" t="s">
        <v>436</v>
      </c>
      <c r="T279" s="259">
        <f t="shared" ref="T279:AD279" si="242">IF(B207=1,$AE$284,0)</f>
        <v>0</v>
      </c>
      <c r="U279" s="259">
        <f t="shared" si="242"/>
        <v>0</v>
      </c>
      <c r="V279" s="259">
        <f t="shared" si="242"/>
        <v>0</v>
      </c>
      <c r="W279" s="259">
        <f t="shared" si="242"/>
        <v>0</v>
      </c>
      <c r="X279" s="259">
        <f t="shared" si="242"/>
        <v>0</v>
      </c>
      <c r="Y279" s="259">
        <f t="shared" si="242"/>
        <v>0</v>
      </c>
      <c r="Z279" s="259">
        <f t="shared" si="242"/>
        <v>0</v>
      </c>
      <c r="AA279" s="259">
        <f t="shared" si="242"/>
        <v>0</v>
      </c>
      <c r="AB279" s="259">
        <f t="shared" si="242"/>
        <v>0</v>
      </c>
      <c r="AC279" s="259">
        <f t="shared" si="242"/>
        <v>0</v>
      </c>
      <c r="AD279" s="259">
        <f t="shared" si="242"/>
        <v>0</v>
      </c>
      <c r="AE279" s="114" t="s">
        <v>105</v>
      </c>
      <c r="AF279" s="259">
        <f>IF(N207=1,$AE$284,0)</f>
        <v>0</v>
      </c>
      <c r="AG279" s="259">
        <f>IF(O207=1,$AE$284,0)</f>
        <v>0</v>
      </c>
      <c r="AH279" s="188"/>
      <c r="AI279" s="188"/>
      <c r="AJ279" s="188"/>
      <c r="AK279" s="188"/>
      <c r="AL279" s="188"/>
      <c r="AM279" s="188"/>
      <c r="AN279" s="188"/>
      <c r="AO279" s="188"/>
      <c r="AP279" s="188"/>
      <c r="AQ279" s="188"/>
      <c r="AR279" s="188"/>
      <c r="AS279" s="243"/>
      <c r="AT279" s="243"/>
      <c r="AU279" s="243"/>
    </row>
    <row r="280" spans="1:47" s="3" customFormat="1" x14ac:dyDescent="0.2">
      <c r="A280" s="94" t="s">
        <v>437</v>
      </c>
      <c r="B280" s="259">
        <f t="shared" ref="B280:L280" si="243">IF(B208=1,$N$284,0)</f>
        <v>0</v>
      </c>
      <c r="C280" s="259">
        <f t="shared" si="243"/>
        <v>0</v>
      </c>
      <c r="D280" s="259">
        <f t="shared" si="243"/>
        <v>0</v>
      </c>
      <c r="E280" s="259">
        <f t="shared" si="243"/>
        <v>0</v>
      </c>
      <c r="F280" s="259">
        <f t="shared" si="243"/>
        <v>0</v>
      </c>
      <c r="G280" s="259">
        <f t="shared" si="243"/>
        <v>0</v>
      </c>
      <c r="H280" s="259">
        <f t="shared" si="243"/>
        <v>0</v>
      </c>
      <c r="I280" s="259">
        <f t="shared" si="243"/>
        <v>0</v>
      </c>
      <c r="J280" s="259">
        <f t="shared" si="243"/>
        <v>0</v>
      </c>
      <c r="K280" s="259">
        <f t="shared" si="243"/>
        <v>0</v>
      </c>
      <c r="L280" s="259">
        <f t="shared" si="243"/>
        <v>0</v>
      </c>
      <c r="M280" s="259">
        <f>IF(M208=1,$N$284,0)</f>
        <v>0</v>
      </c>
      <c r="N280" s="114" t="s">
        <v>105</v>
      </c>
      <c r="O280" s="259">
        <f t="shared" si="235"/>
        <v>0</v>
      </c>
      <c r="P280" s="188"/>
      <c r="Q280" s="188"/>
      <c r="R280" s="188"/>
      <c r="S280" s="94" t="s">
        <v>437</v>
      </c>
      <c r="T280" s="259">
        <f t="shared" ref="T280:AE280" si="244">IF(B208=1,$AF$284,0)</f>
        <v>0</v>
      </c>
      <c r="U280" s="259">
        <f t="shared" si="244"/>
        <v>0</v>
      </c>
      <c r="V280" s="259">
        <f t="shared" si="244"/>
        <v>0</v>
      </c>
      <c r="W280" s="259">
        <f t="shared" si="244"/>
        <v>0</v>
      </c>
      <c r="X280" s="259">
        <f t="shared" si="244"/>
        <v>0</v>
      </c>
      <c r="Y280" s="259">
        <f t="shared" si="244"/>
        <v>0</v>
      </c>
      <c r="Z280" s="259">
        <f t="shared" si="244"/>
        <v>0</v>
      </c>
      <c r="AA280" s="259">
        <f t="shared" si="244"/>
        <v>0</v>
      </c>
      <c r="AB280" s="259">
        <f t="shared" si="244"/>
        <v>0</v>
      </c>
      <c r="AC280" s="259">
        <f t="shared" si="244"/>
        <v>0</v>
      </c>
      <c r="AD280" s="259">
        <f t="shared" si="244"/>
        <v>0</v>
      </c>
      <c r="AE280" s="259">
        <f t="shared" si="244"/>
        <v>0</v>
      </c>
      <c r="AF280" s="114" t="s">
        <v>105</v>
      </c>
      <c r="AG280" s="259">
        <f>IF(O208=1,$AF$284,0)</f>
        <v>0</v>
      </c>
      <c r="AH280" s="188"/>
      <c r="AI280" s="188"/>
      <c r="AJ280" s="188"/>
      <c r="AK280" s="188"/>
      <c r="AL280" s="188"/>
      <c r="AM280" s="188"/>
      <c r="AN280" s="188"/>
      <c r="AO280" s="188"/>
      <c r="AP280" s="188"/>
      <c r="AQ280" s="188"/>
      <c r="AR280" s="188"/>
      <c r="AS280" s="243"/>
      <c r="AT280" s="243"/>
      <c r="AU280" s="243"/>
    </row>
    <row r="281" spans="1:47" x14ac:dyDescent="0.2">
      <c r="A281" s="94" t="s">
        <v>438</v>
      </c>
      <c r="B281" s="259">
        <f t="shared" ref="B281:M281" si="245">IF(B209=1,$O$284,0)</f>
        <v>0</v>
      </c>
      <c r="C281" s="259">
        <f t="shared" si="245"/>
        <v>0</v>
      </c>
      <c r="D281" s="259">
        <f t="shared" si="245"/>
        <v>0</v>
      </c>
      <c r="E281" s="259">
        <f t="shared" si="245"/>
        <v>0</v>
      </c>
      <c r="F281" s="259">
        <f t="shared" si="245"/>
        <v>0</v>
      </c>
      <c r="G281" s="259">
        <f t="shared" si="245"/>
        <v>0</v>
      </c>
      <c r="H281" s="259">
        <f t="shared" si="245"/>
        <v>0</v>
      </c>
      <c r="I281" s="259">
        <f t="shared" si="245"/>
        <v>0</v>
      </c>
      <c r="J281" s="259">
        <f t="shared" si="245"/>
        <v>0</v>
      </c>
      <c r="K281" s="259">
        <f t="shared" si="245"/>
        <v>0</v>
      </c>
      <c r="L281" s="259">
        <f t="shared" si="245"/>
        <v>0</v>
      </c>
      <c r="M281" s="259">
        <f t="shared" si="245"/>
        <v>0</v>
      </c>
      <c r="N281" s="259">
        <f>IF(N209=1,$O$284,0)</f>
        <v>0</v>
      </c>
      <c r="O281" s="114" t="s">
        <v>105</v>
      </c>
      <c r="P281" s="188"/>
      <c r="Q281" s="188"/>
      <c r="R281" s="188"/>
      <c r="S281" s="94" t="s">
        <v>438</v>
      </c>
      <c r="T281" s="259">
        <f t="shared" ref="T281:AF281" si="246">IF(B209=1,$AG$284,0)</f>
        <v>0</v>
      </c>
      <c r="U281" s="259">
        <f t="shared" si="246"/>
        <v>0</v>
      </c>
      <c r="V281" s="259">
        <f t="shared" si="246"/>
        <v>0</v>
      </c>
      <c r="W281" s="259">
        <f t="shared" si="246"/>
        <v>0</v>
      </c>
      <c r="X281" s="259">
        <f t="shared" si="246"/>
        <v>0</v>
      </c>
      <c r="Y281" s="259">
        <f t="shared" si="246"/>
        <v>0</v>
      </c>
      <c r="Z281" s="259">
        <f t="shared" si="246"/>
        <v>0</v>
      </c>
      <c r="AA281" s="259">
        <f t="shared" si="246"/>
        <v>0</v>
      </c>
      <c r="AB281" s="259">
        <f t="shared" si="246"/>
        <v>0</v>
      </c>
      <c r="AC281" s="259">
        <f t="shared" si="246"/>
        <v>0</v>
      </c>
      <c r="AD281" s="259">
        <f t="shared" si="246"/>
        <v>0</v>
      </c>
      <c r="AE281" s="259">
        <f t="shared" si="246"/>
        <v>0</v>
      </c>
      <c r="AF281" s="259">
        <f t="shared" si="246"/>
        <v>0</v>
      </c>
      <c r="AG281" s="114" t="s">
        <v>105</v>
      </c>
      <c r="AH281" s="188"/>
      <c r="AI281" s="188"/>
      <c r="AJ281" s="188"/>
      <c r="AK281" s="188"/>
      <c r="AL281" s="188"/>
      <c r="AM281" s="188"/>
      <c r="AN281" s="188"/>
      <c r="AO281" s="188"/>
      <c r="AP281" s="188"/>
      <c r="AQ281" s="188"/>
      <c r="AR281" s="188"/>
      <c r="AS281" s="188"/>
      <c r="AT281" s="188"/>
      <c r="AU281" s="188"/>
    </row>
    <row r="282" spans="1:47" s="3" customFormat="1" ht="20.45" customHeight="1" x14ac:dyDescent="0.2">
      <c r="A282" s="202" t="s">
        <v>117</v>
      </c>
      <c r="B282" s="202">
        <f t="shared" ref="B282:K282" si="247">SUM(B267:B281)</f>
        <v>0</v>
      </c>
      <c r="C282" s="202">
        <f t="shared" si="247"/>
        <v>0</v>
      </c>
      <c r="D282" s="202">
        <f t="shared" si="247"/>
        <v>0</v>
      </c>
      <c r="E282" s="202">
        <f t="shared" si="247"/>
        <v>0</v>
      </c>
      <c r="F282" s="202">
        <f t="shared" si="247"/>
        <v>0</v>
      </c>
      <c r="G282" s="202">
        <f t="shared" si="247"/>
        <v>0</v>
      </c>
      <c r="H282" s="202">
        <f t="shared" si="247"/>
        <v>0</v>
      </c>
      <c r="I282" s="202">
        <f t="shared" si="247"/>
        <v>0</v>
      </c>
      <c r="J282" s="202">
        <f t="shared" si="247"/>
        <v>0</v>
      </c>
      <c r="K282" s="202">
        <f t="shared" si="247"/>
        <v>0</v>
      </c>
      <c r="L282" s="202">
        <f>SUM(L267:L281)</f>
        <v>0</v>
      </c>
      <c r="M282" s="202">
        <f>SUM(M267:M281)</f>
        <v>0</v>
      </c>
      <c r="N282" s="202">
        <f>SUM(N267:N281)</f>
        <v>0</v>
      </c>
      <c r="O282" s="202">
        <f>SUM(O267:O281)</f>
        <v>0</v>
      </c>
      <c r="P282" s="243"/>
      <c r="Q282" s="243"/>
      <c r="R282" s="243"/>
      <c r="S282" s="202" t="s">
        <v>117</v>
      </c>
      <c r="T282" s="202">
        <f t="shared" ref="T282:AC282" si="248">SUM(T267:T281)</f>
        <v>0</v>
      </c>
      <c r="U282" s="202">
        <f t="shared" si="248"/>
        <v>0</v>
      </c>
      <c r="V282" s="202">
        <f t="shared" si="248"/>
        <v>0</v>
      </c>
      <c r="W282" s="202">
        <f t="shared" si="248"/>
        <v>0</v>
      </c>
      <c r="X282" s="202">
        <f t="shared" si="248"/>
        <v>0</v>
      </c>
      <c r="Y282" s="202">
        <f t="shared" si="248"/>
        <v>0</v>
      </c>
      <c r="Z282" s="202">
        <f t="shared" si="248"/>
        <v>0</v>
      </c>
      <c r="AA282" s="202">
        <f t="shared" si="248"/>
        <v>0</v>
      </c>
      <c r="AB282" s="202">
        <f t="shared" si="248"/>
        <v>0</v>
      </c>
      <c r="AC282" s="202">
        <f t="shared" si="248"/>
        <v>0</v>
      </c>
      <c r="AD282" s="202">
        <f>SUM(AD267:AD281)</f>
        <v>0</v>
      </c>
      <c r="AE282" s="202">
        <f>SUM(AE267:AE281)</f>
        <v>0</v>
      </c>
      <c r="AF282" s="202">
        <f>SUM(AF267:AF281)</f>
        <v>0</v>
      </c>
      <c r="AG282" s="202">
        <f>SUM(AG267:AG281)</f>
        <v>0</v>
      </c>
      <c r="AH282" s="188"/>
      <c r="AI282" s="188"/>
      <c r="AJ282" s="188"/>
      <c r="AK282" s="188"/>
      <c r="AL282" s="188"/>
      <c r="AM282" s="188"/>
      <c r="AN282" s="188"/>
      <c r="AO282" s="188"/>
      <c r="AP282" s="188"/>
      <c r="AQ282" s="188"/>
      <c r="AR282" s="188"/>
      <c r="AS282" s="243"/>
      <c r="AT282" s="243"/>
      <c r="AU282" s="243"/>
    </row>
    <row r="283" spans="1:47" ht="18" customHeight="1" x14ac:dyDescent="0.2">
      <c r="A283" s="94" t="s">
        <v>118</v>
      </c>
      <c r="B283" s="181">
        <v>1</v>
      </c>
      <c r="C283" s="181">
        <v>1</v>
      </c>
      <c r="D283" s="181">
        <v>1</v>
      </c>
      <c r="E283" s="181">
        <v>1</v>
      </c>
      <c r="F283" s="181">
        <v>1</v>
      </c>
      <c r="G283" s="181">
        <v>1</v>
      </c>
      <c r="H283" s="181">
        <v>1</v>
      </c>
      <c r="I283" s="181">
        <v>1</v>
      </c>
      <c r="J283" s="181">
        <v>1</v>
      </c>
      <c r="K283" s="181">
        <v>1</v>
      </c>
      <c r="L283" s="181">
        <v>1</v>
      </c>
      <c r="M283" s="181">
        <v>1</v>
      </c>
      <c r="N283" s="181">
        <v>1</v>
      </c>
      <c r="O283" s="181">
        <v>1</v>
      </c>
      <c r="P283" s="188"/>
      <c r="Q283" s="188"/>
      <c r="R283" s="188"/>
      <c r="S283" s="94" t="s">
        <v>118</v>
      </c>
      <c r="T283" s="181">
        <v>1</v>
      </c>
      <c r="U283" s="181">
        <v>1</v>
      </c>
      <c r="V283" s="181">
        <v>1</v>
      </c>
      <c r="W283" s="181">
        <v>1</v>
      </c>
      <c r="X283" s="181">
        <v>1</v>
      </c>
      <c r="Y283" s="181">
        <v>1</v>
      </c>
      <c r="Z283" s="181">
        <v>1</v>
      </c>
      <c r="AA283" s="181">
        <v>1</v>
      </c>
      <c r="AB283" s="181">
        <v>1</v>
      </c>
      <c r="AC283" s="181">
        <v>1</v>
      </c>
      <c r="AD283" s="181">
        <v>1</v>
      </c>
      <c r="AE283" s="181">
        <v>1</v>
      </c>
      <c r="AF283" s="181">
        <v>1</v>
      </c>
      <c r="AG283" s="181">
        <v>1</v>
      </c>
      <c r="AH283" s="188"/>
      <c r="AI283" s="188"/>
      <c r="AJ283" s="188"/>
      <c r="AK283" s="188"/>
      <c r="AL283" s="188"/>
      <c r="AM283" s="188"/>
      <c r="AN283" s="188"/>
      <c r="AO283" s="188"/>
      <c r="AP283" s="188"/>
      <c r="AQ283" s="188"/>
      <c r="AR283" s="188"/>
      <c r="AS283" s="188"/>
      <c r="AT283" s="188"/>
      <c r="AU283" s="188"/>
    </row>
    <row r="284" spans="1:47" s="3" customFormat="1" ht="17.45" customHeight="1" x14ac:dyDescent="0.2">
      <c r="A284" s="202" t="s">
        <v>122</v>
      </c>
      <c r="B284" s="202">
        <f>B282*B283</f>
        <v>0</v>
      </c>
      <c r="C284" s="202">
        <f t="shared" ref="C284:K284" si="249">C282*C283</f>
        <v>0</v>
      </c>
      <c r="D284" s="202">
        <f t="shared" si="249"/>
        <v>0</v>
      </c>
      <c r="E284" s="202">
        <f t="shared" si="249"/>
        <v>0</v>
      </c>
      <c r="F284" s="202">
        <f t="shared" si="249"/>
        <v>0</v>
      </c>
      <c r="G284" s="202">
        <f t="shared" si="249"/>
        <v>0</v>
      </c>
      <c r="H284" s="202">
        <f t="shared" si="249"/>
        <v>0</v>
      </c>
      <c r="I284" s="202">
        <f t="shared" si="249"/>
        <v>0</v>
      </c>
      <c r="J284" s="202">
        <f t="shared" si="249"/>
        <v>0</v>
      </c>
      <c r="K284" s="202">
        <f t="shared" si="249"/>
        <v>0</v>
      </c>
      <c r="L284" s="202">
        <f>L282*L283</f>
        <v>0</v>
      </c>
      <c r="M284" s="202">
        <f>M282*M283</f>
        <v>0</v>
      </c>
      <c r="N284" s="202">
        <f>N282*N283</f>
        <v>0</v>
      </c>
      <c r="O284" s="202">
        <f>O282*O283</f>
        <v>0</v>
      </c>
      <c r="P284" s="243"/>
      <c r="Q284" s="243"/>
      <c r="R284" s="243"/>
      <c r="S284" s="202" t="s">
        <v>122</v>
      </c>
      <c r="T284" s="202">
        <f>T282*T283</f>
        <v>0</v>
      </c>
      <c r="U284" s="202">
        <f t="shared" ref="U284:AC284" si="250">U282*U283</f>
        <v>0</v>
      </c>
      <c r="V284" s="202">
        <f t="shared" si="250"/>
        <v>0</v>
      </c>
      <c r="W284" s="202">
        <f t="shared" si="250"/>
        <v>0</v>
      </c>
      <c r="X284" s="202">
        <f t="shared" si="250"/>
        <v>0</v>
      </c>
      <c r="Y284" s="202">
        <f t="shared" si="250"/>
        <v>0</v>
      </c>
      <c r="Z284" s="202">
        <f t="shared" si="250"/>
        <v>0</v>
      </c>
      <c r="AA284" s="202">
        <f t="shared" si="250"/>
        <v>0</v>
      </c>
      <c r="AB284" s="202">
        <f t="shared" si="250"/>
        <v>0</v>
      </c>
      <c r="AC284" s="202">
        <f t="shared" si="250"/>
        <v>0</v>
      </c>
      <c r="AD284" s="202">
        <f>AD282*AD283</f>
        <v>0</v>
      </c>
      <c r="AE284" s="202">
        <f>AE282*AE283</f>
        <v>0</v>
      </c>
      <c r="AF284" s="202">
        <f>AF282*AF283</f>
        <v>0</v>
      </c>
      <c r="AG284" s="202">
        <f>AG282*AG283</f>
        <v>0</v>
      </c>
      <c r="AH284" s="188"/>
      <c r="AI284" s="188"/>
      <c r="AJ284" s="188"/>
      <c r="AK284" s="188"/>
      <c r="AL284" s="188"/>
      <c r="AM284" s="188"/>
      <c r="AN284" s="188"/>
      <c r="AO284" s="188"/>
      <c r="AP284" s="188"/>
      <c r="AQ284" s="188"/>
      <c r="AR284" s="188"/>
      <c r="AS284" s="243"/>
      <c r="AT284" s="243"/>
      <c r="AU284" s="243"/>
    </row>
    <row r="285" spans="1:47" x14ac:dyDescent="0.2">
      <c r="K285" s="2"/>
      <c r="P285" s="188"/>
      <c r="Q285" s="188"/>
      <c r="R285" s="188"/>
      <c r="AC285" s="2"/>
      <c r="AH285" s="188"/>
      <c r="AI285" s="188"/>
      <c r="AJ285" s="188"/>
      <c r="AK285" s="188"/>
      <c r="AL285" s="188"/>
      <c r="AM285" s="188"/>
      <c r="AN285" s="188"/>
      <c r="AO285" s="188"/>
      <c r="AP285" s="188"/>
      <c r="AQ285" s="188"/>
      <c r="AR285" s="188"/>
      <c r="AS285" s="188"/>
      <c r="AT285" s="188"/>
      <c r="AU285" s="188"/>
    </row>
    <row r="286" spans="1:47" x14ac:dyDescent="0.2">
      <c r="A286" s="21" t="s">
        <v>123</v>
      </c>
      <c r="P286" s="188"/>
      <c r="Q286" s="188"/>
      <c r="R286" s="188"/>
      <c r="S286" s="18" t="s">
        <v>555</v>
      </c>
      <c r="AH286" s="188"/>
      <c r="AI286" s="188"/>
      <c r="AJ286" s="188"/>
      <c r="AK286" s="188"/>
      <c r="AL286" s="188"/>
      <c r="AM286" s="188"/>
      <c r="AN286" s="188"/>
      <c r="AO286" s="188"/>
      <c r="AP286" s="188"/>
      <c r="AQ286" s="188"/>
      <c r="AR286" s="188"/>
      <c r="AS286" s="188"/>
      <c r="AT286" s="188"/>
      <c r="AU286" s="188"/>
    </row>
    <row r="287" spans="1:47" ht="15" customHeight="1" x14ac:dyDescent="0.2">
      <c r="A287" s="453"/>
      <c r="B287" s="75" t="s">
        <v>89</v>
      </c>
      <c r="C287" s="75" t="s">
        <v>90</v>
      </c>
      <c r="D287" s="75" t="s">
        <v>91</v>
      </c>
      <c r="E287" s="75" t="s">
        <v>239</v>
      </c>
      <c r="F287" s="75" t="s">
        <v>240</v>
      </c>
      <c r="G287" s="75" t="s">
        <v>241</v>
      </c>
      <c r="H287" s="75" t="s">
        <v>242</v>
      </c>
      <c r="I287" s="75" t="s">
        <v>243</v>
      </c>
      <c r="J287" s="75" t="s">
        <v>92</v>
      </c>
      <c r="K287" s="75" t="s">
        <v>244</v>
      </c>
      <c r="L287" s="75" t="s">
        <v>429</v>
      </c>
      <c r="M287" s="75" t="s">
        <v>430</v>
      </c>
      <c r="N287" s="75" t="s">
        <v>431</v>
      </c>
      <c r="O287" s="75" t="s">
        <v>432</v>
      </c>
      <c r="P287" s="188"/>
      <c r="Q287" s="188"/>
      <c r="R287" s="188"/>
      <c r="S287" s="453"/>
      <c r="T287" s="75" t="s">
        <v>89</v>
      </c>
      <c r="U287" s="75" t="s">
        <v>90</v>
      </c>
      <c r="V287" s="75" t="s">
        <v>91</v>
      </c>
      <c r="W287" s="75" t="s">
        <v>239</v>
      </c>
      <c r="X287" s="75" t="s">
        <v>240</v>
      </c>
      <c r="Y287" s="75" t="s">
        <v>241</v>
      </c>
      <c r="Z287" s="75" t="s">
        <v>242</v>
      </c>
      <c r="AA287" s="75" t="s">
        <v>243</v>
      </c>
      <c r="AB287" s="75" t="s">
        <v>92</v>
      </c>
      <c r="AC287" s="75" t="s">
        <v>244</v>
      </c>
      <c r="AD287" s="75" t="s">
        <v>429</v>
      </c>
      <c r="AE287" s="75" t="s">
        <v>430</v>
      </c>
      <c r="AF287" s="75" t="s">
        <v>431</v>
      </c>
      <c r="AG287" s="75" t="s">
        <v>432</v>
      </c>
      <c r="AH287" s="188"/>
      <c r="AI287" s="188"/>
      <c r="AJ287" s="188"/>
      <c r="AK287" s="188"/>
      <c r="AL287" s="188"/>
      <c r="AM287" s="188"/>
      <c r="AN287" s="188"/>
      <c r="AO287" s="188"/>
      <c r="AP287" s="188"/>
      <c r="AQ287" s="188"/>
      <c r="AR287" s="188"/>
      <c r="AS287" s="188"/>
      <c r="AT287" s="188"/>
      <c r="AU287" s="188"/>
    </row>
    <row r="288" spans="1:47" ht="19.149999999999999" customHeight="1" x14ac:dyDescent="0.2">
      <c r="A288" s="454"/>
      <c r="B288" s="77" t="str">
        <f>B265</f>
        <v>Watershed 1</v>
      </c>
      <c r="C288" s="77" t="str">
        <f t="shared" ref="C288:O288" si="251">C265</f>
        <v>Watershed 2</v>
      </c>
      <c r="D288" s="77" t="str">
        <f t="shared" si="251"/>
        <v>Watershed 3</v>
      </c>
      <c r="E288" s="77" t="str">
        <f t="shared" si="251"/>
        <v>Watershed 4</v>
      </c>
      <c r="F288" s="77" t="str">
        <f t="shared" si="251"/>
        <v>Watershed 5</v>
      </c>
      <c r="G288" s="77" t="str">
        <f t="shared" si="251"/>
        <v>Watershed 6</v>
      </c>
      <c r="H288" s="77" t="str">
        <f t="shared" si="251"/>
        <v>Watershed 7</v>
      </c>
      <c r="I288" s="77" t="str">
        <f t="shared" si="251"/>
        <v>Watershed 8</v>
      </c>
      <c r="J288" s="77" t="str">
        <f t="shared" si="251"/>
        <v>Watershed 9</v>
      </c>
      <c r="K288" s="77" t="str">
        <f t="shared" si="251"/>
        <v>Watershed 10</v>
      </c>
      <c r="L288" s="77" t="str">
        <f t="shared" si="251"/>
        <v>Watershed 11</v>
      </c>
      <c r="M288" s="77" t="str">
        <f t="shared" si="251"/>
        <v>Watershed 12</v>
      </c>
      <c r="N288" s="77" t="str">
        <f t="shared" si="251"/>
        <v>Watershed 13</v>
      </c>
      <c r="O288" s="77" t="str">
        <f t="shared" si="251"/>
        <v>Watershed 14</v>
      </c>
      <c r="P288" s="196"/>
      <c r="Q288" s="188"/>
      <c r="R288" s="188"/>
      <c r="S288" s="454"/>
      <c r="T288" s="77">
        <f>T265</f>
        <v>0</v>
      </c>
      <c r="U288" s="77">
        <f t="shared" ref="U288:AG288" si="252">U265</f>
        <v>0</v>
      </c>
      <c r="V288" s="77">
        <f t="shared" si="252"/>
        <v>0</v>
      </c>
      <c r="W288" s="77">
        <f t="shared" si="252"/>
        <v>0</v>
      </c>
      <c r="X288" s="77">
        <f t="shared" si="252"/>
        <v>0</v>
      </c>
      <c r="Y288" s="77">
        <f t="shared" si="252"/>
        <v>0</v>
      </c>
      <c r="Z288" s="77">
        <f t="shared" si="252"/>
        <v>0</v>
      </c>
      <c r="AA288" s="77">
        <f t="shared" si="252"/>
        <v>0</v>
      </c>
      <c r="AB288" s="77">
        <f t="shared" si="252"/>
        <v>0</v>
      </c>
      <c r="AC288" s="77">
        <f t="shared" si="252"/>
        <v>0</v>
      </c>
      <c r="AD288" s="77">
        <f t="shared" si="252"/>
        <v>0</v>
      </c>
      <c r="AE288" s="77">
        <f t="shared" si="252"/>
        <v>0</v>
      </c>
      <c r="AF288" s="77">
        <f t="shared" si="252"/>
        <v>0</v>
      </c>
      <c r="AG288" s="77">
        <f t="shared" si="252"/>
        <v>0</v>
      </c>
      <c r="AH288" s="188"/>
      <c r="AI288" s="188"/>
      <c r="AJ288" s="188"/>
      <c r="AK288" s="188"/>
      <c r="AL288" s="188"/>
      <c r="AM288" s="188"/>
      <c r="AN288" s="188"/>
      <c r="AO288" s="188"/>
      <c r="AP288" s="188"/>
      <c r="AQ288" s="188"/>
      <c r="AR288" s="188"/>
      <c r="AS288" s="188"/>
      <c r="AT288" s="188"/>
      <c r="AU288" s="188"/>
    </row>
    <row r="289" spans="1:47" s="4" customFormat="1" ht="21.6" customHeight="1" x14ac:dyDescent="0.2">
      <c r="A289" s="260" t="s">
        <v>124</v>
      </c>
      <c r="B289" s="266">
        <f t="shared" ref="B289:K289" si="253">B255</f>
        <v>0</v>
      </c>
      <c r="C289" s="266">
        <f t="shared" si="253"/>
        <v>0</v>
      </c>
      <c r="D289" s="266">
        <f t="shared" si="253"/>
        <v>0</v>
      </c>
      <c r="E289" s="266">
        <f t="shared" si="253"/>
        <v>0</v>
      </c>
      <c r="F289" s="266">
        <f t="shared" si="253"/>
        <v>0</v>
      </c>
      <c r="G289" s="266">
        <f t="shared" si="253"/>
        <v>0</v>
      </c>
      <c r="H289" s="266">
        <f t="shared" si="253"/>
        <v>0</v>
      </c>
      <c r="I289" s="266">
        <f t="shared" si="253"/>
        <v>0</v>
      </c>
      <c r="J289" s="266">
        <f t="shared" si="253"/>
        <v>0</v>
      </c>
      <c r="K289" s="266">
        <f t="shared" si="253"/>
        <v>0</v>
      </c>
      <c r="L289" s="266">
        <f>L255</f>
        <v>0</v>
      </c>
      <c r="M289" s="266">
        <f>M255</f>
        <v>0</v>
      </c>
      <c r="N289" s="266">
        <f>N255</f>
        <v>0</v>
      </c>
      <c r="O289" s="266">
        <f>O255</f>
        <v>0</v>
      </c>
      <c r="P289" s="237"/>
      <c r="Q289" s="237"/>
      <c r="R289" s="237"/>
      <c r="S289" s="260" t="s">
        <v>124</v>
      </c>
      <c r="T289" s="266">
        <f t="shared" ref="T289:AG289" si="254">B255</f>
        <v>0</v>
      </c>
      <c r="U289" s="266">
        <f t="shared" si="254"/>
        <v>0</v>
      </c>
      <c r="V289" s="266">
        <f t="shared" si="254"/>
        <v>0</v>
      </c>
      <c r="W289" s="266">
        <f t="shared" si="254"/>
        <v>0</v>
      </c>
      <c r="X289" s="266">
        <f t="shared" si="254"/>
        <v>0</v>
      </c>
      <c r="Y289" s="266">
        <f t="shared" si="254"/>
        <v>0</v>
      </c>
      <c r="Z289" s="266">
        <f t="shared" si="254"/>
        <v>0</v>
      </c>
      <c r="AA289" s="266">
        <f t="shared" si="254"/>
        <v>0</v>
      </c>
      <c r="AB289" s="266">
        <f t="shared" si="254"/>
        <v>0</v>
      </c>
      <c r="AC289" s="266">
        <f t="shared" si="254"/>
        <v>0</v>
      </c>
      <c r="AD289" s="266">
        <f t="shared" si="254"/>
        <v>0</v>
      </c>
      <c r="AE289" s="266">
        <f t="shared" si="254"/>
        <v>0</v>
      </c>
      <c r="AF289" s="266">
        <f t="shared" si="254"/>
        <v>0</v>
      </c>
      <c r="AG289" s="266">
        <f t="shared" si="254"/>
        <v>0</v>
      </c>
      <c r="AH289" s="188"/>
      <c r="AI289" s="188"/>
      <c r="AJ289" s="188"/>
      <c r="AK289" s="188"/>
      <c r="AL289" s="188"/>
      <c r="AM289" s="188"/>
      <c r="AN289" s="188"/>
      <c r="AO289" s="188"/>
      <c r="AP289" s="188"/>
      <c r="AQ289" s="188"/>
      <c r="AR289" s="188"/>
      <c r="AS289" s="237"/>
      <c r="AT289" s="237"/>
      <c r="AU289" s="237"/>
    </row>
    <row r="290" spans="1:47" s="3" customFormat="1" ht="21.6" customHeight="1" x14ac:dyDescent="0.2">
      <c r="A290" s="255" t="s">
        <v>125</v>
      </c>
      <c r="B290" s="264">
        <f>B284</f>
        <v>0</v>
      </c>
      <c r="C290" s="264">
        <f t="shared" ref="C290:K290" si="255">C284</f>
        <v>0</v>
      </c>
      <c r="D290" s="264">
        <f t="shared" si="255"/>
        <v>0</v>
      </c>
      <c r="E290" s="264">
        <f t="shared" si="255"/>
        <v>0</v>
      </c>
      <c r="F290" s="264">
        <f t="shared" si="255"/>
        <v>0</v>
      </c>
      <c r="G290" s="264">
        <f t="shared" si="255"/>
        <v>0</v>
      </c>
      <c r="H290" s="264">
        <f t="shared" si="255"/>
        <v>0</v>
      </c>
      <c r="I290" s="264">
        <f t="shared" si="255"/>
        <v>0</v>
      </c>
      <c r="J290" s="264">
        <f t="shared" si="255"/>
        <v>0</v>
      </c>
      <c r="K290" s="264">
        <f t="shared" si="255"/>
        <v>0</v>
      </c>
      <c r="L290" s="264">
        <f>L284</f>
        <v>0</v>
      </c>
      <c r="M290" s="264">
        <f>M284</f>
        <v>0</v>
      </c>
      <c r="N290" s="264">
        <f>N284</f>
        <v>0</v>
      </c>
      <c r="O290" s="264">
        <f>O284</f>
        <v>0</v>
      </c>
      <c r="P290" s="243"/>
      <c r="Q290" s="243"/>
      <c r="R290" s="243"/>
      <c r="S290" s="255" t="s">
        <v>125</v>
      </c>
      <c r="T290" s="264">
        <f>T284</f>
        <v>0</v>
      </c>
      <c r="U290" s="264">
        <f t="shared" ref="U290:AC290" si="256">U284</f>
        <v>0</v>
      </c>
      <c r="V290" s="264">
        <f t="shared" si="256"/>
        <v>0</v>
      </c>
      <c r="W290" s="264">
        <f t="shared" si="256"/>
        <v>0</v>
      </c>
      <c r="X290" s="264">
        <f t="shared" si="256"/>
        <v>0</v>
      </c>
      <c r="Y290" s="264">
        <f t="shared" si="256"/>
        <v>0</v>
      </c>
      <c r="Z290" s="264">
        <f t="shared" si="256"/>
        <v>0</v>
      </c>
      <c r="AA290" s="264">
        <f t="shared" si="256"/>
        <v>0</v>
      </c>
      <c r="AB290" s="264">
        <f t="shared" si="256"/>
        <v>0</v>
      </c>
      <c r="AC290" s="264">
        <f t="shared" si="256"/>
        <v>0</v>
      </c>
      <c r="AD290" s="264">
        <f>AD284</f>
        <v>0</v>
      </c>
      <c r="AE290" s="264">
        <f>AE284</f>
        <v>0</v>
      </c>
      <c r="AF290" s="264">
        <f>AF284</f>
        <v>0</v>
      </c>
      <c r="AG290" s="264">
        <f>AG284</f>
        <v>0</v>
      </c>
      <c r="AH290" s="188"/>
      <c r="AI290" s="188"/>
      <c r="AJ290" s="188"/>
      <c r="AK290" s="188"/>
      <c r="AL290" s="188"/>
      <c r="AM290" s="188"/>
      <c r="AN290" s="188"/>
      <c r="AO290" s="188"/>
      <c r="AP290" s="188"/>
      <c r="AQ290" s="188"/>
      <c r="AR290" s="188"/>
      <c r="AS290" s="243"/>
      <c r="AT290" s="243"/>
      <c r="AU290" s="243"/>
    </row>
    <row r="291" spans="1:47" s="6" customFormat="1" ht="21.6" customHeight="1" x14ac:dyDescent="0.2">
      <c r="A291" s="261" t="s">
        <v>126</v>
      </c>
      <c r="B291" s="265" t="e">
        <f>B290*1000/B289</f>
        <v>#DIV/0!</v>
      </c>
      <c r="C291" s="265" t="e">
        <f t="shared" ref="C291:K291" si="257">C290*1000/C289</f>
        <v>#DIV/0!</v>
      </c>
      <c r="D291" s="265" t="e">
        <f t="shared" si="257"/>
        <v>#DIV/0!</v>
      </c>
      <c r="E291" s="265" t="e">
        <f t="shared" si="257"/>
        <v>#DIV/0!</v>
      </c>
      <c r="F291" s="265" t="e">
        <f t="shared" si="257"/>
        <v>#DIV/0!</v>
      </c>
      <c r="G291" s="265" t="e">
        <f t="shared" si="257"/>
        <v>#DIV/0!</v>
      </c>
      <c r="H291" s="265" t="e">
        <f t="shared" si="257"/>
        <v>#DIV/0!</v>
      </c>
      <c r="I291" s="265" t="e">
        <f t="shared" si="257"/>
        <v>#DIV/0!</v>
      </c>
      <c r="J291" s="265" t="e">
        <f t="shared" si="257"/>
        <v>#DIV/0!</v>
      </c>
      <c r="K291" s="265" t="e">
        <f t="shared" si="257"/>
        <v>#DIV/0!</v>
      </c>
      <c r="L291" s="265" t="e">
        <f>L290*1000/L289</f>
        <v>#DIV/0!</v>
      </c>
      <c r="M291" s="265" t="e">
        <f>M290*1000/M289</f>
        <v>#DIV/0!</v>
      </c>
      <c r="N291" s="265" t="e">
        <f>N290*1000/N289</f>
        <v>#DIV/0!</v>
      </c>
      <c r="O291" s="265" t="e">
        <f>O290*1000/O289</f>
        <v>#DIV/0!</v>
      </c>
      <c r="P291" s="270"/>
      <c r="Q291" s="270"/>
      <c r="R291" s="270"/>
      <c r="S291" s="261" t="s">
        <v>126</v>
      </c>
      <c r="T291" s="265" t="e">
        <f>T290*1000/T289</f>
        <v>#DIV/0!</v>
      </c>
      <c r="U291" s="265" t="e">
        <f t="shared" ref="U291:AC291" si="258">U290*1000/U289</f>
        <v>#DIV/0!</v>
      </c>
      <c r="V291" s="265" t="e">
        <f t="shared" si="258"/>
        <v>#DIV/0!</v>
      </c>
      <c r="W291" s="265" t="e">
        <f t="shared" si="258"/>
        <v>#DIV/0!</v>
      </c>
      <c r="X291" s="265" t="e">
        <f t="shared" si="258"/>
        <v>#DIV/0!</v>
      </c>
      <c r="Y291" s="265" t="e">
        <f t="shared" si="258"/>
        <v>#DIV/0!</v>
      </c>
      <c r="Z291" s="265" t="e">
        <f t="shared" si="258"/>
        <v>#DIV/0!</v>
      </c>
      <c r="AA291" s="265" t="e">
        <f t="shared" si="258"/>
        <v>#DIV/0!</v>
      </c>
      <c r="AB291" s="265" t="e">
        <f t="shared" si="258"/>
        <v>#DIV/0!</v>
      </c>
      <c r="AC291" s="265" t="e">
        <f t="shared" si="258"/>
        <v>#DIV/0!</v>
      </c>
      <c r="AD291" s="265" t="e">
        <f>AD290*1000/AD289</f>
        <v>#DIV/0!</v>
      </c>
      <c r="AE291" s="265" t="e">
        <f>AE290*1000/AE289</f>
        <v>#DIV/0!</v>
      </c>
      <c r="AF291" s="265" t="e">
        <f>AF290*1000/AF289</f>
        <v>#DIV/0!</v>
      </c>
      <c r="AG291" s="265" t="e">
        <f>AG290*1000/AG289</f>
        <v>#DIV/0!</v>
      </c>
      <c r="AH291" s="188"/>
      <c r="AI291" s="188"/>
      <c r="AJ291" s="188"/>
      <c r="AK291" s="188"/>
      <c r="AL291" s="188"/>
      <c r="AM291" s="188"/>
      <c r="AN291" s="188"/>
      <c r="AO291" s="188"/>
      <c r="AP291" s="188"/>
      <c r="AQ291" s="188"/>
      <c r="AR291" s="188"/>
      <c r="AS291" s="270"/>
      <c r="AT291" s="270"/>
      <c r="AU291" s="270"/>
    </row>
    <row r="292" spans="1:47" ht="21.6" customHeight="1" x14ac:dyDescent="0.2">
      <c r="A292" s="208" t="s">
        <v>511</v>
      </c>
      <c r="B292" s="375"/>
      <c r="C292" s="375"/>
      <c r="D292" s="375"/>
      <c r="E292" s="375"/>
      <c r="F292" s="327"/>
      <c r="G292" s="327"/>
      <c r="H292" s="327"/>
      <c r="I292" s="327"/>
      <c r="J292" s="327"/>
      <c r="K292" s="327"/>
      <c r="L292" s="327"/>
      <c r="M292" s="327"/>
      <c r="N292" s="327"/>
      <c r="O292" s="327"/>
      <c r="P292" s="188"/>
      <c r="Q292" s="269"/>
      <c r="R292" s="188"/>
      <c r="S292" s="208" t="s">
        <v>511</v>
      </c>
      <c r="T292" s="327"/>
      <c r="U292" s="327"/>
      <c r="V292" s="327"/>
      <c r="W292" s="327"/>
      <c r="X292" s="327"/>
      <c r="Y292" s="327"/>
      <c r="Z292" s="327"/>
      <c r="AA292" s="327"/>
      <c r="AB292" s="327"/>
      <c r="AC292" s="327"/>
      <c r="AD292" s="327"/>
      <c r="AE292" s="327"/>
      <c r="AF292" s="327"/>
      <c r="AG292" s="327"/>
      <c r="AH292" s="188"/>
      <c r="AI292" s="188"/>
      <c r="AJ292" s="188"/>
      <c r="AK292" s="188"/>
      <c r="AL292" s="188"/>
      <c r="AM292" s="188"/>
      <c r="AN292" s="188"/>
      <c r="AO292" s="188"/>
      <c r="AP292" s="188"/>
      <c r="AQ292" s="188"/>
      <c r="AR292" s="188"/>
      <c r="AS292" s="188"/>
      <c r="AT292" s="188"/>
      <c r="AU292" s="188"/>
    </row>
    <row r="293" spans="1:47" ht="21.6" customHeight="1" x14ac:dyDescent="0.2">
      <c r="A293" s="262" t="s">
        <v>374</v>
      </c>
      <c r="B293" s="326" t="str">
        <f>IF(B292="","no data",B291/B292)</f>
        <v>no data</v>
      </c>
      <c r="C293" s="326" t="str">
        <f t="shared" ref="C293:O293" si="259">IF(C292="","no data",C291/C292)</f>
        <v>no data</v>
      </c>
      <c r="D293" s="326" t="str">
        <f t="shared" si="259"/>
        <v>no data</v>
      </c>
      <c r="E293" s="326" t="str">
        <f t="shared" si="259"/>
        <v>no data</v>
      </c>
      <c r="F293" s="326" t="str">
        <f t="shared" si="259"/>
        <v>no data</v>
      </c>
      <c r="G293" s="326" t="str">
        <f t="shared" si="259"/>
        <v>no data</v>
      </c>
      <c r="H293" s="326" t="str">
        <f t="shared" si="259"/>
        <v>no data</v>
      </c>
      <c r="I293" s="326" t="str">
        <f t="shared" si="259"/>
        <v>no data</v>
      </c>
      <c r="J293" s="326" t="str">
        <f t="shared" si="259"/>
        <v>no data</v>
      </c>
      <c r="K293" s="326" t="str">
        <f t="shared" si="259"/>
        <v>no data</v>
      </c>
      <c r="L293" s="326" t="str">
        <f t="shared" si="259"/>
        <v>no data</v>
      </c>
      <c r="M293" s="326" t="str">
        <f t="shared" si="259"/>
        <v>no data</v>
      </c>
      <c r="N293" s="326" t="str">
        <f t="shared" si="259"/>
        <v>no data</v>
      </c>
      <c r="O293" s="326" t="str">
        <f t="shared" si="259"/>
        <v>no data</v>
      </c>
      <c r="P293" s="188"/>
      <c r="Q293" s="188"/>
      <c r="R293" s="188"/>
      <c r="S293" s="262" t="s">
        <v>374</v>
      </c>
      <c r="T293" s="326" t="str">
        <f>IF(T292="","no data",T291/T292)</f>
        <v>no data</v>
      </c>
      <c r="U293" s="326" t="str">
        <f t="shared" ref="U293:AG293" si="260">IF(U292="","no data",U291/U292)</f>
        <v>no data</v>
      </c>
      <c r="V293" s="326" t="str">
        <f t="shared" si="260"/>
        <v>no data</v>
      </c>
      <c r="W293" s="326" t="str">
        <f t="shared" si="260"/>
        <v>no data</v>
      </c>
      <c r="X293" s="326" t="str">
        <f t="shared" si="260"/>
        <v>no data</v>
      </c>
      <c r="Y293" s="326" t="str">
        <f t="shared" si="260"/>
        <v>no data</v>
      </c>
      <c r="Z293" s="326" t="str">
        <f t="shared" si="260"/>
        <v>no data</v>
      </c>
      <c r="AA293" s="326" t="str">
        <f t="shared" si="260"/>
        <v>no data</v>
      </c>
      <c r="AB293" s="326" t="str">
        <f t="shared" si="260"/>
        <v>no data</v>
      </c>
      <c r="AC293" s="326" t="str">
        <f t="shared" si="260"/>
        <v>no data</v>
      </c>
      <c r="AD293" s="326" t="str">
        <f t="shared" si="260"/>
        <v>no data</v>
      </c>
      <c r="AE293" s="326" t="str">
        <f t="shared" si="260"/>
        <v>no data</v>
      </c>
      <c r="AF293" s="326" t="str">
        <f t="shared" si="260"/>
        <v>no data</v>
      </c>
      <c r="AG293" s="326" t="str">
        <f t="shared" si="260"/>
        <v>no data</v>
      </c>
      <c r="AH293" s="188"/>
      <c r="AI293" s="188"/>
      <c r="AJ293" s="188"/>
      <c r="AK293" s="188"/>
      <c r="AL293" s="188"/>
      <c r="AM293" s="188"/>
      <c r="AN293" s="188"/>
      <c r="AO293" s="188"/>
      <c r="AP293" s="188"/>
      <c r="AQ293" s="188"/>
      <c r="AR293" s="188"/>
      <c r="AS293" s="188"/>
      <c r="AT293" s="188"/>
      <c r="AU293" s="188"/>
    </row>
    <row r="294" spans="1:47" ht="21.6" customHeight="1" x14ac:dyDescent="0.2">
      <c r="A294" s="262" t="s">
        <v>237</v>
      </c>
      <c r="B294" s="263" t="e">
        <f>B290/B232</f>
        <v>#DIV/0!</v>
      </c>
      <c r="C294" s="263" t="e">
        <f t="shared" ref="C294:K294" si="261">C290/C232</f>
        <v>#DIV/0!</v>
      </c>
      <c r="D294" s="263" t="e">
        <f t="shared" si="261"/>
        <v>#DIV/0!</v>
      </c>
      <c r="E294" s="263" t="e">
        <f t="shared" si="261"/>
        <v>#DIV/0!</v>
      </c>
      <c r="F294" s="263" t="e">
        <f t="shared" si="261"/>
        <v>#DIV/0!</v>
      </c>
      <c r="G294" s="263" t="e">
        <f t="shared" si="261"/>
        <v>#DIV/0!</v>
      </c>
      <c r="H294" s="263" t="e">
        <f t="shared" si="261"/>
        <v>#DIV/0!</v>
      </c>
      <c r="I294" s="263" t="e">
        <f t="shared" si="261"/>
        <v>#DIV/0!</v>
      </c>
      <c r="J294" s="263" t="e">
        <f t="shared" si="261"/>
        <v>#DIV/0!</v>
      </c>
      <c r="K294" s="263" t="e">
        <f t="shared" si="261"/>
        <v>#DIV/0!</v>
      </c>
      <c r="L294" s="263" t="e">
        <f>L290/L232</f>
        <v>#DIV/0!</v>
      </c>
      <c r="M294" s="263" t="e">
        <f>M290/M232</f>
        <v>#DIV/0!</v>
      </c>
      <c r="N294" s="263" t="e">
        <f>N290/N232</f>
        <v>#DIV/0!</v>
      </c>
      <c r="O294" s="263" t="e">
        <f>O290/O232</f>
        <v>#DIV/0!</v>
      </c>
      <c r="P294" s="269"/>
      <c r="Q294" s="188"/>
      <c r="R294" s="188"/>
      <c r="S294" s="262" t="s">
        <v>237</v>
      </c>
      <c r="T294" s="263" t="e">
        <f>T290/T232</f>
        <v>#DIV/0!</v>
      </c>
      <c r="U294" s="263" t="e">
        <f t="shared" ref="U294:AC294" si="262">U290/U232</f>
        <v>#DIV/0!</v>
      </c>
      <c r="V294" s="263" t="e">
        <f t="shared" si="262"/>
        <v>#DIV/0!</v>
      </c>
      <c r="W294" s="263" t="e">
        <f t="shared" si="262"/>
        <v>#DIV/0!</v>
      </c>
      <c r="X294" s="263" t="e">
        <f t="shared" si="262"/>
        <v>#DIV/0!</v>
      </c>
      <c r="Y294" s="263" t="e">
        <f t="shared" si="262"/>
        <v>#DIV/0!</v>
      </c>
      <c r="Z294" s="263" t="e">
        <f t="shared" si="262"/>
        <v>#DIV/0!</v>
      </c>
      <c r="AA294" s="263" t="e">
        <f t="shared" si="262"/>
        <v>#DIV/0!</v>
      </c>
      <c r="AB294" s="263" t="e">
        <f t="shared" si="262"/>
        <v>#DIV/0!</v>
      </c>
      <c r="AC294" s="263" t="e">
        <f t="shared" si="262"/>
        <v>#DIV/0!</v>
      </c>
      <c r="AD294" s="263" t="e">
        <f>AD290/AD232</f>
        <v>#DIV/0!</v>
      </c>
      <c r="AE294" s="263" t="e">
        <f>AE290/AE232</f>
        <v>#DIV/0!</v>
      </c>
      <c r="AF294" s="263" t="e">
        <f>AF290/AF232</f>
        <v>#DIV/0!</v>
      </c>
      <c r="AG294" s="263" t="e">
        <f>AG290/AG232</f>
        <v>#DIV/0!</v>
      </c>
      <c r="AH294" s="188"/>
      <c r="AI294" s="188"/>
      <c r="AJ294" s="188"/>
      <c r="AK294" s="188"/>
      <c r="AL294" s="188"/>
      <c r="AM294" s="188"/>
      <c r="AN294" s="188"/>
      <c r="AO294" s="188"/>
      <c r="AP294" s="188"/>
      <c r="AQ294" s="188"/>
      <c r="AR294" s="188"/>
      <c r="AS294" s="188"/>
      <c r="AT294" s="188"/>
      <c r="AU294" s="188"/>
    </row>
    <row r="295" spans="1:47" x14ac:dyDescent="0.2">
      <c r="P295" s="188"/>
      <c r="Q295" s="188"/>
      <c r="R295" s="188"/>
      <c r="AH295" s="188"/>
      <c r="AI295" s="188"/>
      <c r="AJ295" s="188"/>
      <c r="AK295" s="188"/>
      <c r="AL295" s="188"/>
      <c r="AM295" s="188"/>
      <c r="AN295" s="188"/>
      <c r="AO295" s="188"/>
      <c r="AP295" s="188"/>
      <c r="AQ295" s="188"/>
      <c r="AR295" s="188"/>
      <c r="AS295" s="188"/>
      <c r="AT295" s="188"/>
      <c r="AU295" s="188"/>
    </row>
    <row r="296" spans="1:47" s="315" customFormat="1" ht="25.15" customHeight="1" x14ac:dyDescent="0.2">
      <c r="A296" s="312" t="s">
        <v>127</v>
      </c>
      <c r="B296" s="313" t="s">
        <v>513</v>
      </c>
      <c r="C296" s="313" t="s">
        <v>513</v>
      </c>
      <c r="D296" s="313" t="s">
        <v>513</v>
      </c>
      <c r="E296" s="313" t="s">
        <v>513</v>
      </c>
      <c r="F296" s="313" t="s">
        <v>513</v>
      </c>
      <c r="G296" s="313" t="s">
        <v>513</v>
      </c>
      <c r="H296" s="313" t="s">
        <v>513</v>
      </c>
      <c r="I296" s="313" t="s">
        <v>513</v>
      </c>
      <c r="J296" s="313" t="s">
        <v>513</v>
      </c>
      <c r="K296" s="313" t="s">
        <v>513</v>
      </c>
      <c r="L296" s="313" t="s">
        <v>513</v>
      </c>
      <c r="M296" s="313" t="s">
        <v>513</v>
      </c>
      <c r="N296" s="313" t="s">
        <v>513</v>
      </c>
      <c r="O296" s="313" t="s">
        <v>513</v>
      </c>
      <c r="P296" s="314"/>
      <c r="Q296" s="314"/>
      <c r="R296" s="314"/>
      <c r="S296" s="312" t="s">
        <v>127</v>
      </c>
      <c r="T296" s="313" t="s">
        <v>513</v>
      </c>
      <c r="U296" s="313" t="s">
        <v>513</v>
      </c>
      <c r="V296" s="313" t="s">
        <v>513</v>
      </c>
      <c r="W296" s="313" t="s">
        <v>513</v>
      </c>
      <c r="X296" s="313" t="s">
        <v>513</v>
      </c>
      <c r="Y296" s="313" t="s">
        <v>513</v>
      </c>
      <c r="Z296" s="313" t="s">
        <v>513</v>
      </c>
      <c r="AA296" s="313" t="s">
        <v>513</v>
      </c>
      <c r="AB296" s="313" t="s">
        <v>513</v>
      </c>
      <c r="AC296" s="313" t="s">
        <v>513</v>
      </c>
      <c r="AD296" s="313" t="s">
        <v>513</v>
      </c>
      <c r="AE296" s="313" t="s">
        <v>513</v>
      </c>
      <c r="AF296" s="313" t="s">
        <v>513</v>
      </c>
      <c r="AG296" s="313" t="s">
        <v>513</v>
      </c>
      <c r="AH296" s="314"/>
      <c r="AI296" s="314"/>
      <c r="AJ296" s="314"/>
      <c r="AK296" s="314"/>
      <c r="AL296" s="314"/>
      <c r="AM296" s="314"/>
      <c r="AN296" s="314"/>
      <c r="AO296" s="314"/>
      <c r="AP296" s="314"/>
      <c r="AQ296" s="314"/>
      <c r="AR296" s="314"/>
      <c r="AS296" s="314"/>
      <c r="AT296" s="314"/>
      <c r="AU296" s="314"/>
    </row>
    <row r="297" spans="1:47" x14ac:dyDescent="0.2">
      <c r="A297" s="193"/>
      <c r="P297" s="188"/>
      <c r="Q297" s="188"/>
      <c r="R297" s="188"/>
      <c r="S297" s="188"/>
      <c r="T297" s="188"/>
      <c r="U297" s="188"/>
      <c r="V297" s="188"/>
      <c r="W297" s="188"/>
      <c r="X297" s="188"/>
      <c r="Y297" s="188"/>
      <c r="Z297" s="188"/>
      <c r="AA297" s="188"/>
      <c r="AB297" s="188"/>
      <c r="AC297" s="188"/>
      <c r="AD297" s="188"/>
      <c r="AE297" s="188"/>
      <c r="AF297" s="188"/>
      <c r="AG297" s="188"/>
      <c r="AH297" s="188"/>
      <c r="AI297" s="188"/>
      <c r="AJ297" s="188"/>
      <c r="AK297" s="188"/>
      <c r="AL297" s="188"/>
      <c r="AM297" s="188"/>
      <c r="AN297" s="188"/>
      <c r="AO297" s="188"/>
      <c r="AP297" s="188"/>
      <c r="AQ297" s="188"/>
      <c r="AR297" s="188"/>
      <c r="AS297" s="188"/>
      <c r="AT297" s="188"/>
      <c r="AU297" s="188"/>
    </row>
    <row r="298" spans="1:47" ht="13.5" thickBot="1" x14ac:dyDescent="0.25"/>
    <row r="299" spans="1:47" x14ac:dyDescent="0.2">
      <c r="A299" s="21" t="s">
        <v>128</v>
      </c>
      <c r="P299" s="308" t="s">
        <v>94</v>
      </c>
      <c r="S299" s="21" t="s">
        <v>128</v>
      </c>
      <c r="AH299" s="308" t="s">
        <v>94</v>
      </c>
    </row>
    <row r="300" spans="1:47" s="4" customFormat="1" ht="18" customHeight="1" x14ac:dyDescent="0.2">
      <c r="A300" s="249" t="s">
        <v>129</v>
      </c>
      <c r="B300" s="117">
        <f>IF(B$296="YES",B289,0)</f>
        <v>0</v>
      </c>
      <c r="C300" s="117">
        <f t="shared" ref="C300:O300" si="263">IF(C$296="YES",C289,0)</f>
        <v>0</v>
      </c>
      <c r="D300" s="117">
        <f t="shared" si="263"/>
        <v>0</v>
      </c>
      <c r="E300" s="117">
        <f t="shared" si="263"/>
        <v>0</v>
      </c>
      <c r="F300" s="117">
        <f t="shared" si="263"/>
        <v>0</v>
      </c>
      <c r="G300" s="117">
        <f t="shared" si="263"/>
        <v>0</v>
      </c>
      <c r="H300" s="117">
        <f t="shared" si="263"/>
        <v>0</v>
      </c>
      <c r="I300" s="117">
        <f t="shared" si="263"/>
        <v>0</v>
      </c>
      <c r="J300" s="117">
        <f t="shared" si="263"/>
        <v>0</v>
      </c>
      <c r="K300" s="117">
        <f t="shared" si="263"/>
        <v>0</v>
      </c>
      <c r="L300" s="117">
        <f t="shared" si="263"/>
        <v>0</v>
      </c>
      <c r="M300" s="117">
        <f t="shared" si="263"/>
        <v>0</v>
      </c>
      <c r="N300" s="117">
        <f t="shared" si="263"/>
        <v>0</v>
      </c>
      <c r="O300" s="117">
        <f t="shared" si="263"/>
        <v>0</v>
      </c>
      <c r="P300" s="325">
        <f>SUM(B300:O300)</f>
        <v>0</v>
      </c>
      <c r="S300" s="249" t="s">
        <v>129</v>
      </c>
      <c r="T300" s="117">
        <f>IF(T$296="YES",T289,0)</f>
        <v>0</v>
      </c>
      <c r="U300" s="117">
        <f t="shared" ref="U300:AG300" si="264">IF(U$296="YES",U289,0)</f>
        <v>0</v>
      </c>
      <c r="V300" s="117">
        <f t="shared" si="264"/>
        <v>0</v>
      </c>
      <c r="W300" s="117">
        <f t="shared" si="264"/>
        <v>0</v>
      </c>
      <c r="X300" s="117">
        <f t="shared" si="264"/>
        <v>0</v>
      </c>
      <c r="Y300" s="117">
        <f t="shared" si="264"/>
        <v>0</v>
      </c>
      <c r="Z300" s="117">
        <f t="shared" si="264"/>
        <v>0</v>
      </c>
      <c r="AA300" s="117">
        <f t="shared" si="264"/>
        <v>0</v>
      </c>
      <c r="AB300" s="117">
        <f t="shared" si="264"/>
        <v>0</v>
      </c>
      <c r="AC300" s="117">
        <f t="shared" si="264"/>
        <v>0</v>
      </c>
      <c r="AD300" s="117">
        <f t="shared" si="264"/>
        <v>0</v>
      </c>
      <c r="AE300" s="117">
        <f t="shared" si="264"/>
        <v>0</v>
      </c>
      <c r="AF300" s="117">
        <f t="shared" si="264"/>
        <v>0</v>
      </c>
      <c r="AG300" s="117">
        <f t="shared" si="264"/>
        <v>0</v>
      </c>
      <c r="AH300" s="325">
        <f>SUM(T300:AG300)</f>
        <v>0</v>
      </c>
      <c r="AI300"/>
      <c r="AJ300"/>
      <c r="AK300"/>
      <c r="AL300"/>
      <c r="AM300"/>
      <c r="AN300"/>
      <c r="AO300"/>
      <c r="AP300"/>
      <c r="AQ300"/>
      <c r="AR300"/>
    </row>
    <row r="301" spans="1:47" s="3" customFormat="1" ht="18" customHeight="1" x14ac:dyDescent="0.2">
      <c r="A301" s="202" t="s">
        <v>130</v>
      </c>
      <c r="B301" s="202">
        <f>IF(B$296="YES",B290,0)</f>
        <v>0</v>
      </c>
      <c r="C301" s="202">
        <f t="shared" ref="C301:O301" si="265">IF(C$296="YES",C290,0)</f>
        <v>0</v>
      </c>
      <c r="D301" s="202">
        <f t="shared" si="265"/>
        <v>0</v>
      </c>
      <c r="E301" s="202">
        <f t="shared" si="265"/>
        <v>0</v>
      </c>
      <c r="F301" s="202">
        <f t="shared" si="265"/>
        <v>0</v>
      </c>
      <c r="G301" s="202">
        <f t="shared" si="265"/>
        <v>0</v>
      </c>
      <c r="H301" s="202">
        <f t="shared" si="265"/>
        <v>0</v>
      </c>
      <c r="I301" s="202">
        <f t="shared" si="265"/>
        <v>0</v>
      </c>
      <c r="J301" s="202">
        <f t="shared" si="265"/>
        <v>0</v>
      </c>
      <c r="K301" s="202">
        <f t="shared" si="265"/>
        <v>0</v>
      </c>
      <c r="L301" s="202">
        <f t="shared" si="265"/>
        <v>0</v>
      </c>
      <c r="M301" s="202">
        <f t="shared" si="265"/>
        <v>0</v>
      </c>
      <c r="N301" s="202">
        <f t="shared" si="265"/>
        <v>0</v>
      </c>
      <c r="O301" s="202">
        <f t="shared" si="265"/>
        <v>0</v>
      </c>
      <c r="P301" s="309">
        <f>SUM(B301:O301)</f>
        <v>0</v>
      </c>
      <c r="S301" s="202" t="s">
        <v>556</v>
      </c>
      <c r="T301" s="202">
        <f>IF(T$296="YES",T290,0)</f>
        <v>0</v>
      </c>
      <c r="U301" s="202">
        <f t="shared" ref="U301:AG301" si="266">IF(U$296="YES",U290,0)</f>
        <v>0</v>
      </c>
      <c r="V301" s="202">
        <f t="shared" si="266"/>
        <v>0</v>
      </c>
      <c r="W301" s="202">
        <f t="shared" si="266"/>
        <v>0</v>
      </c>
      <c r="X301" s="202">
        <f t="shared" si="266"/>
        <v>0</v>
      </c>
      <c r="Y301" s="202">
        <f t="shared" si="266"/>
        <v>0</v>
      </c>
      <c r="Z301" s="202">
        <f t="shared" si="266"/>
        <v>0</v>
      </c>
      <c r="AA301" s="202">
        <f t="shared" si="266"/>
        <v>0</v>
      </c>
      <c r="AB301" s="202">
        <f t="shared" si="266"/>
        <v>0</v>
      </c>
      <c r="AC301" s="202">
        <f t="shared" si="266"/>
        <v>0</v>
      </c>
      <c r="AD301" s="202">
        <f t="shared" si="266"/>
        <v>0</v>
      </c>
      <c r="AE301" s="202">
        <f t="shared" si="266"/>
        <v>0</v>
      </c>
      <c r="AF301" s="202">
        <f t="shared" si="266"/>
        <v>0</v>
      </c>
      <c r="AG301" s="202">
        <f t="shared" si="266"/>
        <v>0</v>
      </c>
      <c r="AH301" s="309">
        <f>SUM(T301:AG301)</f>
        <v>0</v>
      </c>
      <c r="AI301"/>
      <c r="AJ301"/>
      <c r="AK301"/>
      <c r="AL301"/>
      <c r="AM301"/>
      <c r="AN301"/>
      <c r="AO301"/>
      <c r="AP301"/>
      <c r="AQ301"/>
      <c r="AR301"/>
    </row>
    <row r="302" spans="1:47" s="6" customFormat="1" ht="20.45" customHeight="1" thickBot="1" x14ac:dyDescent="0.25">
      <c r="A302" s="200" t="s">
        <v>131</v>
      </c>
      <c r="B302" s="200" t="e">
        <f>IF(B$296="YES",B291,0)</f>
        <v>#DIV/0!</v>
      </c>
      <c r="C302" s="200" t="e">
        <f t="shared" ref="C302:O302" si="267">IF(C$296="YES",C291,0)</f>
        <v>#DIV/0!</v>
      </c>
      <c r="D302" s="200" t="e">
        <f t="shared" si="267"/>
        <v>#DIV/0!</v>
      </c>
      <c r="E302" s="200" t="e">
        <f t="shared" si="267"/>
        <v>#DIV/0!</v>
      </c>
      <c r="F302" s="200" t="e">
        <f t="shared" si="267"/>
        <v>#DIV/0!</v>
      </c>
      <c r="G302" s="200" t="e">
        <f t="shared" si="267"/>
        <v>#DIV/0!</v>
      </c>
      <c r="H302" s="200" t="e">
        <f t="shared" si="267"/>
        <v>#DIV/0!</v>
      </c>
      <c r="I302" s="200" t="e">
        <f t="shared" si="267"/>
        <v>#DIV/0!</v>
      </c>
      <c r="J302" s="200" t="e">
        <f t="shared" si="267"/>
        <v>#DIV/0!</v>
      </c>
      <c r="K302" s="200" t="e">
        <f t="shared" si="267"/>
        <v>#DIV/0!</v>
      </c>
      <c r="L302" s="200" t="e">
        <f t="shared" si="267"/>
        <v>#DIV/0!</v>
      </c>
      <c r="M302" s="200" t="e">
        <f t="shared" si="267"/>
        <v>#DIV/0!</v>
      </c>
      <c r="N302" s="200" t="e">
        <f t="shared" si="267"/>
        <v>#DIV/0!</v>
      </c>
      <c r="O302" s="200" t="e">
        <f t="shared" si="267"/>
        <v>#DIV/0!</v>
      </c>
      <c r="P302" s="310" t="e">
        <f>P301*1000/P300</f>
        <v>#DIV/0!</v>
      </c>
      <c r="S302" s="200" t="s">
        <v>557</v>
      </c>
      <c r="T302" s="200" t="e">
        <f>IF(T$296="YES",T291,0)</f>
        <v>#DIV/0!</v>
      </c>
      <c r="U302" s="200" t="e">
        <f t="shared" ref="U302:AG302" si="268">IF(U$296="YES",U291,0)</f>
        <v>#DIV/0!</v>
      </c>
      <c r="V302" s="200" t="e">
        <f t="shared" si="268"/>
        <v>#DIV/0!</v>
      </c>
      <c r="W302" s="200" t="e">
        <f t="shared" si="268"/>
        <v>#DIV/0!</v>
      </c>
      <c r="X302" s="200" t="e">
        <f t="shared" si="268"/>
        <v>#DIV/0!</v>
      </c>
      <c r="Y302" s="200" t="e">
        <f t="shared" si="268"/>
        <v>#DIV/0!</v>
      </c>
      <c r="Z302" s="200" t="e">
        <f t="shared" si="268"/>
        <v>#DIV/0!</v>
      </c>
      <c r="AA302" s="200" t="e">
        <f t="shared" si="268"/>
        <v>#DIV/0!</v>
      </c>
      <c r="AB302" s="200" t="e">
        <f t="shared" si="268"/>
        <v>#DIV/0!</v>
      </c>
      <c r="AC302" s="200" t="e">
        <f t="shared" si="268"/>
        <v>#DIV/0!</v>
      </c>
      <c r="AD302" s="200" t="e">
        <f t="shared" si="268"/>
        <v>#DIV/0!</v>
      </c>
      <c r="AE302" s="200" t="e">
        <f t="shared" si="268"/>
        <v>#DIV/0!</v>
      </c>
      <c r="AF302" s="200" t="e">
        <f t="shared" si="268"/>
        <v>#DIV/0!</v>
      </c>
      <c r="AG302" s="200" t="e">
        <f t="shared" si="268"/>
        <v>#DIV/0!</v>
      </c>
      <c r="AH302" s="310" t="e">
        <f>AH301*1000/AH300</f>
        <v>#DIV/0!</v>
      </c>
      <c r="AI302"/>
      <c r="AJ302"/>
      <c r="AK302"/>
      <c r="AL302"/>
      <c r="AM302"/>
      <c r="AN302"/>
      <c r="AO302"/>
      <c r="AP302"/>
      <c r="AQ302"/>
      <c r="AR302"/>
    </row>
    <row r="304" spans="1:47" x14ac:dyDescent="0.2">
      <c r="D304" s="188"/>
      <c r="E304" s="188"/>
      <c r="F304" s="188"/>
      <c r="G304" s="188"/>
      <c r="H304" s="188"/>
      <c r="I304" s="188"/>
      <c r="J304" s="188"/>
      <c r="K304" s="188"/>
      <c r="L304" s="188"/>
      <c r="M304" s="188"/>
      <c r="N304" s="188"/>
      <c r="O304" s="188"/>
      <c r="P304" s="188"/>
      <c r="Q304" s="188"/>
      <c r="R304" s="188"/>
    </row>
    <row r="305" spans="1:40" ht="22.9" customHeight="1" x14ac:dyDescent="0.25">
      <c r="A305" s="271" t="s">
        <v>379</v>
      </c>
      <c r="B305" s="272"/>
      <c r="C305" s="273"/>
      <c r="D305" s="268"/>
      <c r="E305" s="188"/>
      <c r="F305" s="188"/>
      <c r="G305" s="188"/>
      <c r="H305" s="188"/>
      <c r="I305" s="188"/>
      <c r="J305" s="188"/>
      <c r="K305" s="188"/>
      <c r="L305" s="188"/>
      <c r="M305" s="188"/>
      <c r="N305" s="188"/>
      <c r="O305" s="188"/>
      <c r="P305" s="188"/>
      <c r="Q305" s="188"/>
      <c r="R305" s="188"/>
    </row>
    <row r="306" spans="1:40" s="72" customFormat="1" ht="32.450000000000003" customHeight="1" x14ac:dyDescent="0.25">
      <c r="A306" s="274" t="s">
        <v>132</v>
      </c>
      <c r="B306" s="275" t="s">
        <v>335</v>
      </c>
      <c r="C306" s="275" t="s">
        <v>558</v>
      </c>
      <c r="D306" s="275" t="s">
        <v>329</v>
      </c>
      <c r="E306" s="240"/>
      <c r="F306" s="240"/>
      <c r="G306" s="240"/>
      <c r="H306" s="240"/>
      <c r="I306" s="240"/>
      <c r="J306" s="240"/>
      <c r="K306" s="240"/>
      <c r="L306" s="240"/>
      <c r="M306" s="240"/>
      <c r="N306" s="240"/>
      <c r="O306" s="240"/>
      <c r="P306" s="240"/>
      <c r="Q306" s="240"/>
      <c r="R306" s="240"/>
      <c r="S306" s="240"/>
    </row>
    <row r="307" spans="1:40" s="3" customFormat="1" ht="16.899999999999999" customHeight="1" x14ac:dyDescent="0.2">
      <c r="A307" s="276" t="s">
        <v>330</v>
      </c>
      <c r="B307" s="282">
        <f>E42</f>
        <v>0</v>
      </c>
      <c r="C307" s="282">
        <f>F42</f>
        <v>0</v>
      </c>
      <c r="D307" s="283">
        <f>(B8*B9) *(B42)*10000</f>
        <v>0</v>
      </c>
      <c r="E307" s="385" t="s">
        <v>699</v>
      </c>
      <c r="F307" s="243"/>
      <c r="G307" s="243"/>
      <c r="H307" s="243"/>
      <c r="I307" s="243"/>
      <c r="J307" s="243"/>
      <c r="K307" s="243"/>
      <c r="L307" s="243"/>
      <c r="M307" s="243"/>
      <c r="N307" s="243"/>
      <c r="O307" s="243"/>
      <c r="P307" s="243"/>
      <c r="Q307" s="243"/>
      <c r="R307" s="243"/>
      <c r="S307" s="243"/>
      <c r="AB307"/>
      <c r="AC307"/>
      <c r="AD307"/>
      <c r="AE307"/>
      <c r="AF307"/>
      <c r="AG307"/>
      <c r="AH307"/>
      <c r="AI307"/>
      <c r="AJ307"/>
      <c r="AK307"/>
      <c r="AL307"/>
      <c r="AM307"/>
      <c r="AN307"/>
    </row>
    <row r="308" spans="1:40" s="3" customFormat="1" ht="16.899999999999999" customHeight="1" x14ac:dyDescent="0.2">
      <c r="A308" s="276" t="s">
        <v>331</v>
      </c>
      <c r="B308" s="282">
        <f>E43</f>
        <v>0</v>
      </c>
      <c r="C308" s="282">
        <f>F43</f>
        <v>0</v>
      </c>
      <c r="D308" s="283">
        <v>0</v>
      </c>
      <c r="E308" s="243"/>
      <c r="F308" s="243"/>
      <c r="G308" s="243"/>
      <c r="H308" s="243"/>
      <c r="I308" s="243"/>
      <c r="J308" s="243"/>
      <c r="K308" s="243"/>
      <c r="L308" s="243"/>
      <c r="M308" s="243"/>
      <c r="N308" s="243"/>
      <c r="O308" s="243"/>
      <c r="P308" s="243"/>
      <c r="Q308" s="243"/>
      <c r="R308" s="243"/>
      <c r="S308" s="243"/>
      <c r="AB308"/>
      <c r="AC308"/>
      <c r="AD308"/>
      <c r="AE308"/>
      <c r="AF308"/>
      <c r="AG308"/>
      <c r="AH308"/>
      <c r="AI308"/>
      <c r="AJ308"/>
      <c r="AK308"/>
      <c r="AL308"/>
      <c r="AM308"/>
      <c r="AN308"/>
    </row>
    <row r="309" spans="1:40" s="3" customFormat="1" ht="16.899999999999999" customHeight="1" x14ac:dyDescent="0.2">
      <c r="A309" s="276" t="s">
        <v>332</v>
      </c>
      <c r="B309" s="282">
        <f>I48</f>
        <v>0</v>
      </c>
      <c r="C309" s="282">
        <f>K48</f>
        <v>0</v>
      </c>
      <c r="D309" s="283">
        <v>0</v>
      </c>
      <c r="E309" s="243"/>
      <c r="F309" s="243"/>
      <c r="G309" s="243"/>
      <c r="H309" s="243"/>
      <c r="I309" s="243"/>
      <c r="J309" s="243"/>
      <c r="K309" s="243"/>
      <c r="L309" s="243"/>
      <c r="M309" s="243"/>
      <c r="N309" s="243"/>
      <c r="O309" s="243"/>
      <c r="P309" s="243"/>
      <c r="Q309" s="243"/>
      <c r="R309" s="243"/>
      <c r="S309" s="243"/>
      <c r="AB309"/>
      <c r="AC309"/>
      <c r="AD309"/>
      <c r="AE309"/>
      <c r="AF309"/>
      <c r="AG309"/>
      <c r="AH309"/>
      <c r="AI309"/>
      <c r="AJ309"/>
      <c r="AK309"/>
      <c r="AL309"/>
      <c r="AM309"/>
      <c r="AN309"/>
    </row>
    <row r="310" spans="1:40" s="3" customFormat="1" ht="16.899999999999999" customHeight="1" x14ac:dyDescent="0.2">
      <c r="A310" s="276" t="s">
        <v>333</v>
      </c>
      <c r="B310" s="282">
        <f>L68</f>
        <v>0</v>
      </c>
      <c r="C310" s="282">
        <f>M68</f>
        <v>0</v>
      </c>
      <c r="D310" s="283">
        <f>K68</f>
        <v>0</v>
      </c>
      <c r="E310" s="243"/>
      <c r="F310" s="243"/>
      <c r="G310" s="243"/>
      <c r="H310" s="243"/>
      <c r="I310" s="243"/>
      <c r="J310" s="243"/>
      <c r="K310" s="243"/>
      <c r="L310" s="243"/>
      <c r="M310" s="243"/>
      <c r="N310" s="243"/>
      <c r="O310" s="243"/>
      <c r="P310" s="243"/>
      <c r="Q310" s="243"/>
      <c r="R310" s="243"/>
      <c r="S310" s="243"/>
      <c r="AB310"/>
      <c r="AC310"/>
      <c r="AD310"/>
      <c r="AE310"/>
      <c r="AF310"/>
      <c r="AG310"/>
      <c r="AH310"/>
      <c r="AI310"/>
      <c r="AJ310"/>
      <c r="AK310"/>
      <c r="AL310"/>
      <c r="AM310"/>
      <c r="AN310"/>
    </row>
    <row r="311" spans="1:40" s="3" customFormat="1" ht="16.899999999999999" customHeight="1" x14ac:dyDescent="0.2">
      <c r="A311" s="277" t="s">
        <v>334</v>
      </c>
      <c r="B311" s="284">
        <f>P301</f>
        <v>0</v>
      </c>
      <c r="C311" s="284">
        <f>AH301</f>
        <v>0</v>
      </c>
      <c r="D311" s="285">
        <f>P300</f>
        <v>0</v>
      </c>
      <c r="E311" s="243"/>
      <c r="F311" s="243"/>
      <c r="G311" s="243"/>
      <c r="H311" s="243"/>
      <c r="I311" s="243"/>
      <c r="J311" s="243"/>
      <c r="K311" s="243"/>
      <c r="L311" s="243"/>
      <c r="M311" s="243"/>
      <c r="N311" s="243"/>
      <c r="O311" s="243"/>
      <c r="P311" s="243"/>
      <c r="Q311" s="243"/>
      <c r="R311" s="243"/>
      <c r="S311" s="243"/>
      <c r="AB311"/>
      <c r="AC311"/>
      <c r="AD311"/>
      <c r="AE311"/>
      <c r="AF311"/>
      <c r="AG311"/>
      <c r="AH311"/>
      <c r="AI311"/>
      <c r="AJ311"/>
      <c r="AK311"/>
      <c r="AL311"/>
      <c r="AM311"/>
      <c r="AN311"/>
    </row>
    <row r="312" spans="1:40" s="3" customFormat="1" ht="18.75" customHeight="1" x14ac:dyDescent="0.2">
      <c r="A312" s="278"/>
      <c r="B312" s="286"/>
      <c r="C312" s="286"/>
      <c r="D312" s="287"/>
      <c r="E312" s="243"/>
      <c r="F312" s="243"/>
      <c r="G312" s="243"/>
      <c r="H312" s="243"/>
      <c r="I312" s="243"/>
      <c r="J312" s="243"/>
      <c r="K312" s="243"/>
      <c r="L312" s="243"/>
      <c r="M312" s="243"/>
      <c r="N312" s="243"/>
      <c r="O312" s="243"/>
      <c r="P312" s="243"/>
      <c r="Q312" s="243"/>
      <c r="R312" s="243"/>
      <c r="S312" s="243"/>
      <c r="AB312"/>
      <c r="AC312"/>
      <c r="AD312"/>
      <c r="AE312"/>
      <c r="AF312"/>
      <c r="AG312"/>
      <c r="AH312"/>
      <c r="AI312"/>
      <c r="AJ312"/>
      <c r="AK312"/>
      <c r="AL312"/>
      <c r="AM312"/>
      <c r="AN312"/>
    </row>
    <row r="313" spans="1:40" s="3" customFormat="1" ht="34.15" customHeight="1" x14ac:dyDescent="0.2">
      <c r="A313" s="279" t="s">
        <v>519</v>
      </c>
      <c r="B313" s="288">
        <f>SUM(B307:B311)</f>
        <v>0</v>
      </c>
      <c r="C313" s="288">
        <f>SUM(C307:C311)</f>
        <v>0</v>
      </c>
      <c r="D313" s="289">
        <f>SUM(D307:D311)</f>
        <v>0</v>
      </c>
      <c r="E313" s="243"/>
      <c r="F313" s="243"/>
      <c r="G313" s="243"/>
      <c r="H313" s="243"/>
      <c r="I313" s="243"/>
      <c r="J313" s="243"/>
      <c r="K313" s="243"/>
      <c r="L313" s="243"/>
      <c r="M313" s="243"/>
      <c r="N313" s="243"/>
      <c r="O313" s="243"/>
      <c r="P313" s="243"/>
      <c r="Q313" s="243"/>
      <c r="R313" s="243"/>
      <c r="S313" s="243"/>
      <c r="AB313"/>
      <c r="AC313"/>
      <c r="AD313"/>
      <c r="AE313"/>
      <c r="AF313"/>
      <c r="AG313"/>
      <c r="AH313"/>
      <c r="AI313"/>
      <c r="AJ313"/>
      <c r="AK313"/>
      <c r="AL313"/>
      <c r="AM313"/>
      <c r="AN313"/>
    </row>
    <row r="314" spans="1:40" ht="8.4499999999999993" customHeight="1" x14ac:dyDescent="0.2">
      <c r="A314" s="280"/>
      <c r="B314" s="290"/>
      <c r="C314" s="290"/>
      <c r="D314" s="291"/>
      <c r="E314" s="188"/>
      <c r="F314" s="188"/>
      <c r="G314" s="188"/>
      <c r="H314" s="188"/>
      <c r="I314" s="188"/>
      <c r="J314" s="188"/>
      <c r="K314" s="188"/>
      <c r="L314" s="188"/>
      <c r="M314" s="188"/>
      <c r="N314" s="188"/>
      <c r="O314" s="188"/>
      <c r="P314" s="188"/>
      <c r="Q314" s="188"/>
      <c r="R314" s="188"/>
      <c r="S314" s="188"/>
    </row>
    <row r="315" spans="1:40" ht="19.899999999999999" customHeight="1" x14ac:dyDescent="0.2">
      <c r="A315" s="281" t="s">
        <v>133</v>
      </c>
      <c r="B315" s="292" t="e">
        <f>B313*1000/$D313</f>
        <v>#DIV/0!</v>
      </c>
      <c r="C315" s="292" t="e">
        <f>C313*1000/$D313</f>
        <v>#DIV/0!</v>
      </c>
      <c r="D315" s="293"/>
      <c r="E315" s="188"/>
      <c r="F315" s="188"/>
      <c r="G315" s="188"/>
      <c r="H315" s="188"/>
      <c r="I315" s="188"/>
      <c r="J315" s="188"/>
      <c r="K315" s="188"/>
      <c r="L315" s="188"/>
      <c r="M315" s="188"/>
      <c r="N315" s="188"/>
      <c r="O315" s="188"/>
      <c r="P315" s="188"/>
      <c r="Q315" s="188"/>
      <c r="R315" s="188"/>
      <c r="S315" s="188"/>
    </row>
    <row r="316" spans="1:40" x14ac:dyDescent="0.2">
      <c r="D316" s="188"/>
      <c r="E316" s="188"/>
      <c r="F316" s="188"/>
      <c r="G316" s="188"/>
      <c r="H316" s="188"/>
      <c r="I316" s="188"/>
      <c r="J316" s="188"/>
      <c r="K316" s="188"/>
      <c r="L316" s="188"/>
      <c r="M316" s="188"/>
      <c r="N316" s="188"/>
      <c r="O316" s="188"/>
      <c r="P316" s="188"/>
      <c r="Q316" s="188"/>
      <c r="R316" s="188"/>
    </row>
    <row r="317" spans="1:40" x14ac:dyDescent="0.2">
      <c r="D317" s="243"/>
      <c r="E317" s="188"/>
      <c r="F317" s="188"/>
      <c r="G317" s="188"/>
      <c r="H317" s="188"/>
      <c r="I317" s="188"/>
      <c r="J317" s="188"/>
      <c r="K317" s="188"/>
      <c r="L317" s="188"/>
      <c r="M317" s="188"/>
      <c r="N317" s="188"/>
      <c r="O317" s="188"/>
      <c r="P317" s="188"/>
      <c r="Q317" s="188"/>
      <c r="R317" s="188"/>
    </row>
    <row r="318" spans="1:40" x14ac:dyDescent="0.2">
      <c r="D318" s="188"/>
      <c r="E318" s="188"/>
      <c r="F318" s="188"/>
      <c r="G318" s="188"/>
      <c r="H318" s="188"/>
      <c r="I318" s="188"/>
      <c r="J318" s="188"/>
      <c r="K318" s="188"/>
      <c r="L318" s="188"/>
      <c r="M318" s="188"/>
      <c r="N318" s="188"/>
      <c r="O318" s="188"/>
      <c r="P318" s="188"/>
      <c r="Q318" s="188"/>
      <c r="R318" s="188"/>
    </row>
  </sheetData>
  <mergeCells count="15">
    <mergeCell ref="S287:S288"/>
    <mergeCell ref="S132:S134"/>
    <mergeCell ref="S161:S163"/>
    <mergeCell ref="B10:D10"/>
    <mergeCell ref="E10:G10"/>
    <mergeCell ref="B4:C4"/>
    <mergeCell ref="A101:A103"/>
    <mergeCell ref="A287:A288"/>
    <mergeCell ref="A192:A194"/>
    <mergeCell ref="B213:O213"/>
    <mergeCell ref="A213:A216"/>
    <mergeCell ref="A235:A237"/>
    <mergeCell ref="A132:A134"/>
    <mergeCell ref="A161:A163"/>
    <mergeCell ref="B5:C5"/>
  </mergeCells>
  <phoneticPr fontId="0" type="noConversion"/>
  <dataValidations count="1">
    <dataValidation type="list" allowBlank="1" showInputMessage="1" showErrorMessage="1" sqref="T296:AG296 B296:O296" xr:uid="{00000000-0002-0000-0200-000000000000}">
      <formula1>"YES, NO"</formula1>
    </dataValidation>
  </dataValidations>
  <printOptions horizontalCentered="1" verticalCentered="1" gridLinesSet="0"/>
  <pageMargins left="0.75" right="0.75" top="1" bottom="1" header="0.5" footer="0.5"/>
  <pageSetup scale="12" orientation="landscape" horizontalDpi="300" r:id="rId1"/>
  <headerFooter alignWithMargins="0">
    <oddHeader>&amp;A</oddHead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2:W83"/>
  <sheetViews>
    <sheetView tabSelected="1" topLeftCell="A16" zoomScale="75" zoomScaleNormal="75" workbookViewId="0">
      <selection activeCell="G89" sqref="G89"/>
    </sheetView>
  </sheetViews>
  <sheetFormatPr defaultRowHeight="12.75" x14ac:dyDescent="0.2"/>
  <cols>
    <col min="2" max="2" width="30.7109375" customWidth="1"/>
    <col min="3" max="3" width="15.7109375" customWidth="1"/>
    <col min="4" max="4" width="30.7109375" customWidth="1"/>
    <col min="5" max="6" width="15.7109375" customWidth="1"/>
    <col min="7" max="7" width="14.42578125" customWidth="1"/>
    <col min="8" max="8" width="31.7109375" customWidth="1"/>
    <col min="9" max="9" width="42.85546875" customWidth="1"/>
    <col min="10" max="12" width="10.5703125" customWidth="1"/>
    <col min="13" max="13" width="35.7109375" customWidth="1"/>
    <col min="16" max="16" width="10.42578125" customWidth="1"/>
    <col min="19" max="19" width="15" customWidth="1"/>
    <col min="20" max="20" width="15.140625" customWidth="1"/>
  </cols>
  <sheetData>
    <row r="2" spans="1:23" ht="25.5" x14ac:dyDescent="0.35">
      <c r="E2" s="359"/>
      <c r="F2" s="359"/>
      <c r="G2" s="359"/>
    </row>
    <row r="3" spans="1:23" ht="19.5" x14ac:dyDescent="0.35">
      <c r="A3" s="8" t="s">
        <v>134</v>
      </c>
    </row>
    <row r="4" spans="1:23" ht="19.5" x14ac:dyDescent="0.35">
      <c r="A4" s="8"/>
      <c r="H4" s="468" t="s">
        <v>136</v>
      </c>
      <c r="I4" s="468"/>
      <c r="J4" s="468"/>
      <c r="K4" s="468"/>
      <c r="L4" s="468"/>
      <c r="M4" s="468"/>
      <c r="N4" s="468"/>
      <c r="O4" s="468"/>
      <c r="P4" s="468"/>
    </row>
    <row r="5" spans="1:23" x14ac:dyDescent="0.2">
      <c r="A5" s="9" t="s">
        <v>135</v>
      </c>
      <c r="H5" s="466" t="s">
        <v>138</v>
      </c>
      <c r="I5" s="466"/>
      <c r="J5" s="466"/>
      <c r="K5" s="466"/>
      <c r="L5" s="466"/>
      <c r="M5" s="467" t="s">
        <v>137</v>
      </c>
      <c r="N5" s="466"/>
      <c r="O5" s="466"/>
      <c r="P5" s="466"/>
    </row>
    <row r="6" spans="1:23" x14ac:dyDescent="0.2">
      <c r="B6" s="19" t="s">
        <v>138</v>
      </c>
      <c r="J6" s="11" t="s">
        <v>139</v>
      </c>
      <c r="K6" s="11" t="s">
        <v>140</v>
      </c>
      <c r="L6" s="10" t="s">
        <v>141</v>
      </c>
      <c r="M6" s="409"/>
      <c r="N6" s="11"/>
    </row>
    <row r="7" spans="1:23" x14ac:dyDescent="0.2">
      <c r="A7" s="11"/>
      <c r="C7" s="11"/>
      <c r="D7" s="11"/>
      <c r="E7" s="11"/>
      <c r="H7" s="11"/>
      <c r="I7" s="11"/>
      <c r="J7" s="11" t="s">
        <v>142</v>
      </c>
      <c r="K7" s="11" t="s">
        <v>142</v>
      </c>
      <c r="L7" s="11" t="s">
        <v>142</v>
      </c>
      <c r="M7" s="409"/>
      <c r="N7" s="11"/>
    </row>
    <row r="8" spans="1:23" x14ac:dyDescent="0.2">
      <c r="A8" s="11" t="s">
        <v>143</v>
      </c>
      <c r="B8" s="11" t="s">
        <v>144</v>
      </c>
      <c r="C8" s="11" t="s">
        <v>145</v>
      </c>
      <c r="D8" s="11" t="s">
        <v>146</v>
      </c>
      <c r="E8" s="11" t="s">
        <v>147</v>
      </c>
      <c r="H8" s="11" t="s">
        <v>148</v>
      </c>
      <c r="I8" s="11" t="s">
        <v>149</v>
      </c>
      <c r="J8" s="11" t="s">
        <v>150</v>
      </c>
      <c r="K8" s="11" t="s">
        <v>150</v>
      </c>
      <c r="L8" s="11" t="s">
        <v>150</v>
      </c>
      <c r="M8" s="409" t="s">
        <v>151</v>
      </c>
      <c r="N8" s="11" t="s">
        <v>152</v>
      </c>
      <c r="O8" s="11" t="s">
        <v>246</v>
      </c>
      <c r="P8" s="11" t="s">
        <v>383</v>
      </c>
      <c r="Q8" s="11"/>
      <c r="R8" s="11"/>
      <c r="S8" s="400"/>
      <c r="T8" s="401" t="s">
        <v>705</v>
      </c>
      <c r="U8" s="193"/>
      <c r="V8" s="193"/>
      <c r="W8" s="402"/>
    </row>
    <row r="9" spans="1:23" x14ac:dyDescent="0.2">
      <c r="A9" t="s">
        <v>153</v>
      </c>
      <c r="B9" t="s">
        <v>154</v>
      </c>
      <c r="C9" t="s">
        <v>155</v>
      </c>
      <c r="D9" t="s">
        <v>156</v>
      </c>
      <c r="E9" s="15" t="s">
        <v>157</v>
      </c>
      <c r="F9" s="16"/>
      <c r="G9" s="12"/>
      <c r="H9" s="13" t="s">
        <v>158</v>
      </c>
      <c r="I9" s="14" t="s">
        <v>159</v>
      </c>
      <c r="J9" s="20" t="e">
        <f>E11/(E17*E18)*1000</f>
        <v>#DIV/0!</v>
      </c>
      <c r="K9" s="20"/>
      <c r="L9" s="20"/>
      <c r="M9" s="161"/>
      <c r="S9" s="161"/>
      <c r="W9" s="33"/>
    </row>
    <row r="10" spans="1:23" x14ac:dyDescent="0.2">
      <c r="A10" t="s">
        <v>160</v>
      </c>
      <c r="B10" t="s">
        <v>161</v>
      </c>
      <c r="C10" t="s">
        <v>162</v>
      </c>
      <c r="D10" t="s">
        <v>163</v>
      </c>
      <c r="E10" s="394">
        <f>Calculations!B313</f>
        <v>0</v>
      </c>
      <c r="F10" s="12"/>
      <c r="G10" s="12"/>
      <c r="H10" s="98" t="s">
        <v>164</v>
      </c>
      <c r="I10" s="14"/>
      <c r="J10" s="13"/>
      <c r="K10" s="13"/>
      <c r="L10" s="13"/>
      <c r="M10" s="410" t="s">
        <v>165</v>
      </c>
      <c r="N10" s="3"/>
      <c r="S10" s="161"/>
      <c r="W10" s="33"/>
    </row>
    <row r="11" spans="1:23" x14ac:dyDescent="0.2">
      <c r="A11" t="s">
        <v>166</v>
      </c>
      <c r="B11" t="s">
        <v>161</v>
      </c>
      <c r="C11" t="s">
        <v>167</v>
      </c>
      <c r="D11" t="s">
        <v>168</v>
      </c>
      <c r="E11" s="395" t="e">
        <f>E10*1000/E15</f>
        <v>#DIV/0!</v>
      </c>
      <c r="F11" s="12"/>
      <c r="G11" s="12"/>
      <c r="H11" s="1" t="s">
        <v>169</v>
      </c>
      <c r="I11" t="s">
        <v>170</v>
      </c>
      <c r="J11" s="22" t="e">
        <f>E11*(1-E22)/(E17*E18)*1000</f>
        <v>#DIV/0!</v>
      </c>
      <c r="K11" s="22" t="e">
        <f>J30*(1-E22)/(E17*E18)*1000</f>
        <v>#DIV/0!</v>
      </c>
      <c r="L11" s="22" t="e">
        <f>2*K11</f>
        <v>#DIV/0!</v>
      </c>
      <c r="M11" s="60" t="s">
        <v>251</v>
      </c>
      <c r="N11" s="3" t="e">
        <f>0.087*(J24)^1.45</f>
        <v>#DIV/0!</v>
      </c>
      <c r="S11" s="161"/>
      <c r="W11" s="33"/>
    </row>
    <row r="12" spans="1:23" x14ac:dyDescent="0.2">
      <c r="A12" t="s">
        <v>172</v>
      </c>
      <c r="B12" t="s">
        <v>173</v>
      </c>
      <c r="C12" t="s">
        <v>155</v>
      </c>
      <c r="D12" t="s">
        <v>163</v>
      </c>
      <c r="E12" s="394" t="e">
        <f>Calculations!$B$315*1000</f>
        <v>#DIV/0!</v>
      </c>
      <c r="F12" s="12"/>
      <c r="G12" s="12"/>
      <c r="H12" s="1" t="s">
        <v>174</v>
      </c>
      <c r="J12" s="22"/>
      <c r="K12" s="22"/>
      <c r="L12" s="22"/>
      <c r="M12" s="161" t="s">
        <v>171</v>
      </c>
      <c r="N12" s="3" t="e">
        <f>10^(1.449*LOG(J24)-1.136)</f>
        <v>#DIV/0!</v>
      </c>
      <c r="S12" s="161"/>
      <c r="W12" s="33"/>
    </row>
    <row r="13" spans="1:23" x14ac:dyDescent="0.2">
      <c r="A13" t="s">
        <v>176</v>
      </c>
      <c r="B13" t="s">
        <v>177</v>
      </c>
      <c r="C13" t="s">
        <v>155</v>
      </c>
      <c r="D13" t="s">
        <v>178</v>
      </c>
      <c r="E13" s="396"/>
      <c r="F13" s="97" t="s">
        <v>179</v>
      </c>
      <c r="G13" s="12"/>
      <c r="H13" s="1" t="s">
        <v>180</v>
      </c>
      <c r="I13" t="s">
        <v>181</v>
      </c>
      <c r="J13" s="22" t="e">
        <f>E11/(E17*(E19+E18))*1000</f>
        <v>#DIV/0!</v>
      </c>
      <c r="K13" s="22" t="e">
        <f>J30/(E17*(E19+E18))*1000</f>
        <v>#DIV/0!</v>
      </c>
      <c r="L13" s="22" t="e">
        <f>2*K13</f>
        <v>#DIV/0!</v>
      </c>
      <c r="M13" s="161" t="s">
        <v>175</v>
      </c>
      <c r="N13" s="3" t="e">
        <f>10^(1.46*LOG(J24)-1.09)</f>
        <v>#DIV/0!</v>
      </c>
      <c r="S13" s="161"/>
      <c r="W13" s="33"/>
    </row>
    <row r="14" spans="1:23" x14ac:dyDescent="0.2">
      <c r="A14" t="s">
        <v>183</v>
      </c>
      <c r="B14" t="s">
        <v>184</v>
      </c>
      <c r="C14" t="s">
        <v>185</v>
      </c>
      <c r="D14" t="s">
        <v>163</v>
      </c>
      <c r="E14" s="394">
        <f>Calculations!$D$313</f>
        <v>0</v>
      </c>
      <c r="F14" s="12"/>
      <c r="G14" s="12"/>
      <c r="H14" s="1" t="s">
        <v>186</v>
      </c>
      <c r="J14" s="22"/>
      <c r="K14" s="22"/>
      <c r="L14" s="22"/>
      <c r="M14" s="161" t="s">
        <v>182</v>
      </c>
      <c r="N14" s="3" t="e">
        <f>0.574*J24-2.9</f>
        <v>#DIV/0!</v>
      </c>
      <c r="O14" s="3"/>
      <c r="P14" s="3"/>
      <c r="Q14" s="3"/>
      <c r="R14" s="3"/>
      <c r="S14" s="161"/>
      <c r="W14" s="33"/>
    </row>
    <row r="15" spans="1:23" x14ac:dyDescent="0.2">
      <c r="A15" t="s">
        <v>188</v>
      </c>
      <c r="B15" t="s">
        <v>189</v>
      </c>
      <c r="C15" t="s">
        <v>190</v>
      </c>
      <c r="D15" t="s">
        <v>191</v>
      </c>
      <c r="E15" s="397"/>
      <c r="F15" s="366" t="s">
        <v>587</v>
      </c>
      <c r="G15" s="12"/>
      <c r="H15" s="1" t="s">
        <v>192</v>
      </c>
      <c r="I15" t="s">
        <v>193</v>
      </c>
      <c r="J15" s="22" t="e">
        <f>E11*(1-E23)/(E17*E18)*1000</f>
        <v>#DIV/0!</v>
      </c>
      <c r="K15" s="22" t="e">
        <f>J30*(1-E23)/(E17*E18)*1000</f>
        <v>#DIV/0!</v>
      </c>
      <c r="L15" s="22" t="e">
        <f>2*K15</f>
        <v>#DIV/0!</v>
      </c>
      <c r="M15" s="161" t="s">
        <v>187</v>
      </c>
      <c r="N15" s="3" t="e">
        <f>2*0.28*(J24)^0.96</f>
        <v>#DIV/0!</v>
      </c>
      <c r="O15" s="3"/>
      <c r="Q15" s="3"/>
      <c r="R15" s="3"/>
      <c r="S15" s="159" t="s">
        <v>252</v>
      </c>
      <c r="T15" s="1" t="s">
        <v>253</v>
      </c>
      <c r="U15" s="24" t="s">
        <v>254</v>
      </c>
      <c r="V15" s="24" t="s">
        <v>255</v>
      </c>
      <c r="W15" s="403" t="s">
        <v>256</v>
      </c>
    </row>
    <row r="16" spans="1:23" x14ac:dyDescent="0.2">
      <c r="A16" t="s">
        <v>194</v>
      </c>
      <c r="B16" t="s">
        <v>195</v>
      </c>
      <c r="C16" t="s">
        <v>196</v>
      </c>
      <c r="D16" t="s">
        <v>191</v>
      </c>
      <c r="E16" s="398"/>
      <c r="F16" s="97" t="s">
        <v>197</v>
      </c>
      <c r="H16" s="1" t="s">
        <v>198</v>
      </c>
      <c r="J16" s="22"/>
      <c r="K16" s="22"/>
      <c r="L16" s="22"/>
      <c r="M16" s="411" t="s">
        <v>588</v>
      </c>
      <c r="N16" s="3" t="e">
        <f>10^(2.468+(0.925*LOG10(J24/1000)))</f>
        <v>#DIV/0!</v>
      </c>
      <c r="O16" s="3" t="e">
        <f>AVERAGE(N11:N16)</f>
        <v>#DIV/0!</v>
      </c>
      <c r="P16" s="374"/>
      <c r="Q16" s="69" t="s">
        <v>537</v>
      </c>
      <c r="S16" s="159"/>
      <c r="T16" s="1" t="s">
        <v>155</v>
      </c>
      <c r="W16" s="33"/>
    </row>
    <row r="17" spans="1:23" x14ac:dyDescent="0.2">
      <c r="A17" t="s">
        <v>200</v>
      </c>
      <c r="B17" t="s">
        <v>201</v>
      </c>
      <c r="C17" t="s">
        <v>202</v>
      </c>
      <c r="D17" t="s">
        <v>203</v>
      </c>
      <c r="E17" s="395" t="e">
        <f>E16/E15</f>
        <v>#DIV/0!</v>
      </c>
      <c r="F17" s="338"/>
      <c r="H17" s="1" t="s">
        <v>204</v>
      </c>
      <c r="I17" t="s">
        <v>205</v>
      </c>
      <c r="J17" s="22" t="e">
        <f>E11*0.84/(E17*(0.65+E18))*1000</f>
        <v>#DIV/0!</v>
      </c>
      <c r="K17" s="22" t="e">
        <f>J30*0.84/(E17*(0.65+E18))*1000</f>
        <v>#DIV/0!</v>
      </c>
      <c r="L17" s="22" t="e">
        <f>2*K17</f>
        <v>#DIV/0!</v>
      </c>
      <c r="M17" s="410" t="s">
        <v>250</v>
      </c>
      <c r="N17" s="3"/>
      <c r="P17" s="7"/>
      <c r="S17" s="161">
        <v>0.5</v>
      </c>
      <c r="T17">
        <v>10</v>
      </c>
      <c r="U17" s="6" t="e">
        <f>(LN(T17/O$16)+0.5*(S17)^2)/S17</f>
        <v>#DIV/0!</v>
      </c>
      <c r="V17" s="6" t="e">
        <f>NORMSDIST(U17)</f>
        <v>#DIV/0!</v>
      </c>
      <c r="W17" s="404" t="e">
        <f>1-V17</f>
        <v>#DIV/0!</v>
      </c>
    </row>
    <row r="18" spans="1:23" x14ac:dyDescent="0.2">
      <c r="A18" t="s">
        <v>207</v>
      </c>
      <c r="B18" t="s">
        <v>208</v>
      </c>
      <c r="C18" t="s">
        <v>209</v>
      </c>
      <c r="D18" t="s">
        <v>210</v>
      </c>
      <c r="E18" s="395" t="e">
        <f>E14/E16</f>
        <v>#DIV/0!</v>
      </c>
      <c r="H18" s="1" t="s">
        <v>211</v>
      </c>
      <c r="J18" s="22"/>
      <c r="K18" s="22"/>
      <c r="L18" s="22"/>
      <c r="M18" s="161" t="s">
        <v>199</v>
      </c>
      <c r="N18" s="3" t="e">
        <f>2*0.64*(J24)^1.05</f>
        <v>#DIV/0!</v>
      </c>
      <c r="P18" s="7"/>
      <c r="S18" s="405">
        <f>S17</f>
        <v>0.5</v>
      </c>
      <c r="T18">
        <v>15</v>
      </c>
      <c r="U18" s="6" t="e">
        <f>(LN(T18/O$16)+0.5*(S18)^2)/S18</f>
        <v>#DIV/0!</v>
      </c>
      <c r="V18" s="6" t="e">
        <f>NORMSDIST(U18)</f>
        <v>#DIV/0!</v>
      </c>
      <c r="W18" s="404" t="e">
        <f>1-V18</f>
        <v>#DIV/0!</v>
      </c>
    </row>
    <row r="19" spans="1:23" x14ac:dyDescent="0.2">
      <c r="A19" t="s">
        <v>213</v>
      </c>
      <c r="B19" t="s">
        <v>214</v>
      </c>
      <c r="C19" t="s">
        <v>215</v>
      </c>
      <c r="D19" t="s">
        <v>216</v>
      </c>
      <c r="E19" s="399" t="e">
        <f>E13/E12</f>
        <v>#DIV/0!</v>
      </c>
      <c r="H19" s="1" t="s">
        <v>247</v>
      </c>
      <c r="I19" t="s">
        <v>248</v>
      </c>
      <c r="J19" s="22" t="e">
        <f>E11/(11.6+1.2*(E17*E18))*1000</f>
        <v>#DIV/0!</v>
      </c>
      <c r="K19" s="22" t="e">
        <f>J30/(11.6+1.2*(E17*E18))*1000</f>
        <v>#DIV/0!</v>
      </c>
      <c r="L19" s="22" t="e">
        <f>2*K19</f>
        <v>#DIV/0!</v>
      </c>
      <c r="M19" s="161" t="s">
        <v>206</v>
      </c>
      <c r="N19" s="3" t="e">
        <f>2.6*(O16)^1.06</f>
        <v>#DIV/0!</v>
      </c>
      <c r="Q19" s="3"/>
      <c r="R19" s="3"/>
      <c r="S19" s="405">
        <f>S18</f>
        <v>0.5</v>
      </c>
      <c r="T19">
        <v>20</v>
      </c>
      <c r="U19" s="6" t="e">
        <f>(LN(T19/O$16)+0.5*(S19)^2)/S19</f>
        <v>#DIV/0!</v>
      </c>
      <c r="V19" s="6" t="e">
        <f>NORMSDIST(U19)</f>
        <v>#DIV/0!</v>
      </c>
      <c r="W19" s="404" t="e">
        <f>1-V19</f>
        <v>#DIV/0!</v>
      </c>
    </row>
    <row r="20" spans="1:23" x14ac:dyDescent="0.2">
      <c r="A20" t="s">
        <v>218</v>
      </c>
      <c r="B20" t="s">
        <v>219</v>
      </c>
      <c r="C20" t="s">
        <v>220</v>
      </c>
      <c r="D20" t="s">
        <v>221</v>
      </c>
      <c r="E20" s="399" t="e">
        <f>E17*E18</f>
        <v>#DIV/0!</v>
      </c>
      <c r="H20" s="1" t="s">
        <v>249</v>
      </c>
      <c r="J20" s="22"/>
      <c r="K20" s="22"/>
      <c r="L20" s="22"/>
      <c r="M20" s="161" t="s">
        <v>212</v>
      </c>
      <c r="N20" s="3" t="e">
        <f>2*1.7*(O16)+0.2</f>
        <v>#DIV/0!</v>
      </c>
      <c r="O20" s="3" t="e">
        <f>AVERAGE(N18:N20)</f>
        <v>#DIV/0!</v>
      </c>
      <c r="P20" s="374"/>
      <c r="Q20" s="69" t="s">
        <v>537</v>
      </c>
      <c r="S20" s="405">
        <f>S19</f>
        <v>0.5</v>
      </c>
      <c r="T20">
        <v>30</v>
      </c>
      <c r="U20" s="6" t="e">
        <f>(LN(T20/O$16)+0.5*(S20)^2)/S20</f>
        <v>#DIV/0!</v>
      </c>
      <c r="V20" s="6" t="e">
        <f>NORMSDIST(U20)</f>
        <v>#DIV/0!</v>
      </c>
      <c r="W20" s="404" t="e">
        <f>1-V20</f>
        <v>#DIV/0!</v>
      </c>
    </row>
    <row r="21" spans="1:23" x14ac:dyDescent="0.2">
      <c r="A21" t="s">
        <v>224</v>
      </c>
      <c r="B21" t="s">
        <v>225</v>
      </c>
      <c r="C21" t="s">
        <v>202</v>
      </c>
      <c r="D21" t="s">
        <v>226</v>
      </c>
      <c r="E21" s="399" t="e">
        <f>E17*E19</f>
        <v>#DIV/0!</v>
      </c>
      <c r="H21" s="1" t="s">
        <v>524</v>
      </c>
      <c r="I21" t="s">
        <v>525</v>
      </c>
      <c r="J21" s="22" t="e">
        <f>(E11/E20)*(1-(15/(18+E20))) *1000</f>
        <v>#DIV/0!</v>
      </c>
      <c r="K21" s="22" t="e">
        <f>(J30/E20)*(1-(15/(18+E20))) *1000</f>
        <v>#DIV/0!</v>
      </c>
      <c r="L21" s="22" t="e">
        <f>2*K21</f>
        <v>#DIV/0!</v>
      </c>
      <c r="M21" s="410" t="s">
        <v>217</v>
      </c>
      <c r="N21" s="3"/>
      <c r="P21" s="7"/>
      <c r="S21" s="406">
        <f>S20</f>
        <v>0.5</v>
      </c>
      <c r="T21" s="257">
        <v>40</v>
      </c>
      <c r="U21" s="407" t="e">
        <f>(LN(T21/O$16)+0.5*(S21)^2)/S21</f>
        <v>#DIV/0!</v>
      </c>
      <c r="V21" s="407" t="e">
        <f>NORMSDIST(U21)</f>
        <v>#DIV/0!</v>
      </c>
      <c r="W21" s="408" t="e">
        <f>1-V21</f>
        <v>#DIV/0!</v>
      </c>
    </row>
    <row r="22" spans="1:23" x14ac:dyDescent="0.2">
      <c r="A22" t="s">
        <v>229</v>
      </c>
      <c r="B22" t="s">
        <v>230</v>
      </c>
      <c r="C22" t="s">
        <v>215</v>
      </c>
      <c r="D22" t="s">
        <v>231</v>
      </c>
      <c r="E22" s="399" t="e">
        <f>((E21+13.2)/2)/(((E21+13.2)/2)+E20)</f>
        <v>#DIV/0!</v>
      </c>
      <c r="H22" s="1" t="s">
        <v>526</v>
      </c>
      <c r="I22" s="338"/>
      <c r="J22" s="22"/>
      <c r="K22" s="22"/>
      <c r="L22" s="22"/>
      <c r="M22" s="161" t="s">
        <v>223</v>
      </c>
      <c r="N22" s="3" t="e">
        <f>10^(1.36-0.764*LOG(J24))</f>
        <v>#DIV/0!</v>
      </c>
      <c r="P22" s="179"/>
    </row>
    <row r="23" spans="1:23" x14ac:dyDescent="0.2">
      <c r="A23" t="s">
        <v>232</v>
      </c>
      <c r="B23" t="s">
        <v>233</v>
      </c>
      <c r="C23" t="s">
        <v>215</v>
      </c>
      <c r="D23" t="s">
        <v>234</v>
      </c>
      <c r="E23" s="399" t="e">
        <f>1/(1+E18^0.5)</f>
        <v>#DIV/0!</v>
      </c>
      <c r="H23" s="1"/>
      <c r="J23" s="1"/>
      <c r="K23" s="1"/>
      <c r="L23" s="22"/>
      <c r="M23" s="161" t="s">
        <v>228</v>
      </c>
      <c r="N23" s="3" t="e">
        <f>9.77*J24^-0.28</f>
        <v>#DIV/0!</v>
      </c>
      <c r="P23" s="179"/>
    </row>
    <row r="24" spans="1:23" x14ac:dyDescent="0.2">
      <c r="E24" s="6"/>
      <c r="H24" s="1" t="s">
        <v>222</v>
      </c>
      <c r="I24" s="338"/>
      <c r="J24" s="195" t="e">
        <f>AVERAGE(J11,J13,J15,J17,J19,J21)</f>
        <v>#DIV/0!</v>
      </c>
      <c r="K24" s="195" t="e">
        <f>AVERAGE(K11:K21)</f>
        <v>#DIV/0!</v>
      </c>
      <c r="L24" s="195" t="e">
        <f>AVERAGE(L11:L21)</f>
        <v>#DIV/0!</v>
      </c>
      <c r="M24" s="161"/>
    </row>
    <row r="25" spans="1:23" x14ac:dyDescent="0.2">
      <c r="E25" s="6"/>
      <c r="H25" s="99" t="s">
        <v>227</v>
      </c>
      <c r="J25" s="1"/>
      <c r="K25" s="1"/>
      <c r="L25" s="1"/>
      <c r="M25" s="410" t="s">
        <v>704</v>
      </c>
      <c r="N25" s="2"/>
    </row>
    <row r="26" spans="1:23" x14ac:dyDescent="0.2">
      <c r="E26" s="6"/>
      <c r="H26" s="1" t="s">
        <v>384</v>
      </c>
      <c r="I26" t="s">
        <v>434</v>
      </c>
      <c r="J26" s="374"/>
      <c r="K26" s="48"/>
      <c r="L26" s="1"/>
      <c r="M26" s="161" t="s">
        <v>366</v>
      </c>
      <c r="N26" s="25" t="e">
        <f>W17</f>
        <v>#DIV/0!</v>
      </c>
      <c r="P26" s="182"/>
    </row>
    <row r="27" spans="1:23" x14ac:dyDescent="0.2">
      <c r="H27" s="99" t="s">
        <v>385</v>
      </c>
      <c r="I27" t="s">
        <v>433</v>
      </c>
      <c r="J27" s="374"/>
      <c r="K27" s="48"/>
      <c r="L27" s="22"/>
      <c r="M27" s="161" t="s">
        <v>367</v>
      </c>
      <c r="N27" s="25" t="e">
        <f>W18</f>
        <v>#DIV/0!</v>
      </c>
      <c r="P27" s="182"/>
    </row>
    <row r="28" spans="1:23" x14ac:dyDescent="0.2">
      <c r="I28" s="69" t="s">
        <v>502</v>
      </c>
      <c r="J28" s="109"/>
      <c r="K28" s="1"/>
      <c r="L28" s="1"/>
      <c r="M28" s="161" t="s">
        <v>368</v>
      </c>
      <c r="N28" s="25" t="e">
        <f>W19</f>
        <v>#DIV/0!</v>
      </c>
      <c r="P28" s="182"/>
    </row>
    <row r="29" spans="1:23" x14ac:dyDescent="0.2">
      <c r="H29" s="1" t="s">
        <v>235</v>
      </c>
      <c r="J29" s="1"/>
      <c r="K29" s="22"/>
      <c r="L29" s="1"/>
      <c r="M29" s="161" t="s">
        <v>369</v>
      </c>
      <c r="N29" s="25" t="e">
        <f>W20</f>
        <v>#DIV/0!</v>
      </c>
      <c r="P29" s="182"/>
    </row>
    <row r="30" spans="1:23" x14ac:dyDescent="0.2">
      <c r="H30" s="333" t="s">
        <v>527</v>
      </c>
      <c r="I30" t="s">
        <v>528</v>
      </c>
      <c r="J30" s="334" t="e">
        <f>10^(0.501503*(LOG(E17*E18))-1.0018)</f>
        <v>#DIV/0!</v>
      </c>
      <c r="K30" s="22"/>
      <c r="L30" s="1"/>
      <c r="M30" s="161" t="s">
        <v>370</v>
      </c>
      <c r="N30" s="25" t="e">
        <f>W21</f>
        <v>#DIV/0!</v>
      </c>
      <c r="P30" s="182"/>
    </row>
    <row r="31" spans="1:23" x14ac:dyDescent="0.2">
      <c r="H31" s="333" t="s">
        <v>529</v>
      </c>
      <c r="I31" t="s">
        <v>530</v>
      </c>
      <c r="J31" s="334" t="e">
        <f>2*J30</f>
        <v>#DIV/0!</v>
      </c>
      <c r="K31" s="22"/>
      <c r="L31" s="1"/>
      <c r="M31" s="161"/>
    </row>
    <row r="32" spans="1:23" x14ac:dyDescent="0.2">
      <c r="H32" s="333"/>
      <c r="J32" s="5"/>
      <c r="K32" s="22"/>
      <c r="L32" s="1"/>
    </row>
    <row r="33" spans="1:11" x14ac:dyDescent="0.2">
      <c r="B33" s="360" t="s">
        <v>562</v>
      </c>
      <c r="I33" s="360" t="s">
        <v>562</v>
      </c>
    </row>
    <row r="34" spans="1:11" x14ac:dyDescent="0.2">
      <c r="G34" s="361"/>
    </row>
    <row r="35" spans="1:11" x14ac:dyDescent="0.2">
      <c r="A35" s="362" t="s">
        <v>143</v>
      </c>
      <c r="B35" s="362" t="s">
        <v>144</v>
      </c>
      <c r="C35" s="362" t="s">
        <v>145</v>
      </c>
      <c r="D35" s="362" t="s">
        <v>146</v>
      </c>
      <c r="E35" s="362" t="s">
        <v>147</v>
      </c>
      <c r="G35" s="361"/>
      <c r="H35" s="363" t="s">
        <v>158</v>
      </c>
      <c r="I35" s="364" t="s">
        <v>563</v>
      </c>
      <c r="J35" s="4" t="e">
        <f>E38/(E17*E18)*1000</f>
        <v>#DIV/0!</v>
      </c>
      <c r="K35" s="4"/>
    </row>
    <row r="36" spans="1:11" x14ac:dyDescent="0.2">
      <c r="A36" t="s">
        <v>564</v>
      </c>
      <c r="B36" t="s">
        <v>565</v>
      </c>
      <c r="C36" t="s">
        <v>155</v>
      </c>
      <c r="D36" t="s">
        <v>156</v>
      </c>
      <c r="E36" s="15" t="s">
        <v>157</v>
      </c>
      <c r="F36" s="361" t="s">
        <v>566</v>
      </c>
      <c r="H36" s="363" t="s">
        <v>164</v>
      </c>
      <c r="I36" s="364"/>
    </row>
    <row r="37" spans="1:11" x14ac:dyDescent="0.2">
      <c r="A37" t="s">
        <v>160</v>
      </c>
      <c r="B37" t="s">
        <v>567</v>
      </c>
      <c r="C37" t="s">
        <v>162</v>
      </c>
      <c r="D37" t="s">
        <v>163</v>
      </c>
      <c r="E37" s="365">
        <f>Calculations!C313</f>
        <v>0</v>
      </c>
      <c r="F37" s="361"/>
      <c r="H37" s="363"/>
      <c r="I37" s="364"/>
    </row>
    <row r="38" spans="1:11" x14ac:dyDescent="0.2">
      <c r="A38" t="s">
        <v>568</v>
      </c>
      <c r="B38" t="s">
        <v>567</v>
      </c>
      <c r="C38" t="s">
        <v>569</v>
      </c>
      <c r="D38" t="s">
        <v>168</v>
      </c>
      <c r="E38" s="2" t="e">
        <f>E37*1000/E15</f>
        <v>#DIV/0!</v>
      </c>
      <c r="F38" s="361"/>
      <c r="H38" s="1" t="s">
        <v>236</v>
      </c>
      <c r="I38" t="s">
        <v>570</v>
      </c>
      <c r="J38" s="4" t="e">
        <f>E38/(E17*(E40+E18))*1000</f>
        <v>#DIV/0!</v>
      </c>
      <c r="K38" s="4"/>
    </row>
    <row r="39" spans="1:11" x14ac:dyDescent="0.2">
      <c r="A39" t="s">
        <v>571</v>
      </c>
      <c r="B39" t="s">
        <v>567</v>
      </c>
      <c r="C39" t="s">
        <v>572</v>
      </c>
      <c r="D39" t="s">
        <v>573</v>
      </c>
      <c r="E39" s="4" t="e">
        <f>E37*1000000/E15</f>
        <v>#DIV/0!</v>
      </c>
      <c r="F39" s="361"/>
      <c r="H39" s="1" t="s">
        <v>236</v>
      </c>
      <c r="I39" t="s">
        <v>574</v>
      </c>
      <c r="J39" s="4" t="e">
        <f>E38/(E17*(E41+E18))*1000</f>
        <v>#DIV/0!</v>
      </c>
      <c r="K39" s="4"/>
    </row>
    <row r="40" spans="1:11" x14ac:dyDescent="0.2">
      <c r="A40" t="s">
        <v>575</v>
      </c>
      <c r="B40" t="s">
        <v>576</v>
      </c>
      <c r="C40" t="s">
        <v>577</v>
      </c>
      <c r="D40" t="s">
        <v>578</v>
      </c>
      <c r="E40" s="2" t="e">
        <f>2.7183^(0.5541*(LN(E18))-0.367)</f>
        <v>#DIV/0!</v>
      </c>
      <c r="F40" s="361"/>
      <c r="H40" s="1" t="s">
        <v>236</v>
      </c>
      <c r="I40" t="s">
        <v>579</v>
      </c>
      <c r="J40" s="4" t="e">
        <f>E38/(E17*(E42+E18))*1000</f>
        <v>#DIV/0!</v>
      </c>
      <c r="K40" s="3" t="e">
        <f>AVERAGE(J37:J40)</f>
        <v>#DIV/0!</v>
      </c>
    </row>
    <row r="41" spans="1:11" x14ac:dyDescent="0.2">
      <c r="A41" t="s">
        <v>580</v>
      </c>
      <c r="B41" t="s">
        <v>581</v>
      </c>
      <c r="C41" t="s">
        <v>577</v>
      </c>
      <c r="D41" t="s">
        <v>582</v>
      </c>
      <c r="E41" s="2" t="e">
        <f>2.7183^(0.71*(LN(E39))-6.426)</f>
        <v>#DIV/0!</v>
      </c>
    </row>
    <row r="42" spans="1:11" x14ac:dyDescent="0.2">
      <c r="A42" t="s">
        <v>583</v>
      </c>
      <c r="B42" t="s">
        <v>584</v>
      </c>
      <c r="C42" t="s">
        <v>577</v>
      </c>
      <c r="D42" t="s">
        <v>585</v>
      </c>
      <c r="E42" s="2" t="e">
        <f>2.7183^(0.594*(LN(E39/E17))-4.144)</f>
        <v>#DIV/0!</v>
      </c>
      <c r="H42" s="1" t="s">
        <v>586</v>
      </c>
      <c r="J42" s="367"/>
    </row>
    <row r="43" spans="1:11" x14ac:dyDescent="0.2">
      <c r="E43" s="2"/>
    </row>
    <row r="44" spans="1:11" x14ac:dyDescent="0.2">
      <c r="E44" s="2"/>
      <c r="H44" s="1"/>
    </row>
    <row r="68" spans="1:12" x14ac:dyDescent="0.2">
      <c r="A68" s="21" t="s">
        <v>258</v>
      </c>
      <c r="K68" s="22"/>
      <c r="L68" s="1"/>
    </row>
    <row r="69" spans="1:12" x14ac:dyDescent="0.2">
      <c r="A69" s="104" t="s">
        <v>236</v>
      </c>
    </row>
    <row r="70" spans="1:12" x14ac:dyDescent="0.2">
      <c r="A70" s="105" t="s">
        <v>425</v>
      </c>
    </row>
    <row r="71" spans="1:12" x14ac:dyDescent="0.2">
      <c r="A71" s="105" t="s">
        <v>424</v>
      </c>
    </row>
    <row r="72" spans="1:12" x14ac:dyDescent="0.2">
      <c r="A72" s="105" t="s">
        <v>412</v>
      </c>
    </row>
    <row r="73" spans="1:12" x14ac:dyDescent="0.2">
      <c r="A73" s="105" t="s">
        <v>423</v>
      </c>
    </row>
    <row r="74" spans="1:12" x14ac:dyDescent="0.2">
      <c r="A74" s="105" t="s">
        <v>413</v>
      </c>
    </row>
    <row r="75" spans="1:12" x14ac:dyDescent="0.2">
      <c r="A75" s="105" t="s">
        <v>414</v>
      </c>
    </row>
    <row r="76" spans="1:12" x14ac:dyDescent="0.2">
      <c r="A76" s="105" t="s">
        <v>419</v>
      </c>
    </row>
    <row r="77" spans="1:12" x14ac:dyDescent="0.2">
      <c r="A77" s="105" t="s">
        <v>415</v>
      </c>
    </row>
    <row r="78" spans="1:12" x14ac:dyDescent="0.2">
      <c r="A78" s="104" t="s">
        <v>235</v>
      </c>
    </row>
    <row r="79" spans="1:12" x14ac:dyDescent="0.2">
      <c r="A79" s="105" t="s">
        <v>416</v>
      </c>
    </row>
    <row r="80" spans="1:12" x14ac:dyDescent="0.2">
      <c r="A80" s="105" t="s">
        <v>417</v>
      </c>
    </row>
    <row r="81" spans="1:1" ht="14.25" x14ac:dyDescent="0.2">
      <c r="A81" s="106" t="s">
        <v>418</v>
      </c>
    </row>
    <row r="82" spans="1:1" x14ac:dyDescent="0.2">
      <c r="A82" s="105" t="s">
        <v>531</v>
      </c>
    </row>
    <row r="83" spans="1:1" x14ac:dyDescent="0.2">
      <c r="A83" t="s">
        <v>734</v>
      </c>
    </row>
  </sheetData>
  <mergeCells count="3">
    <mergeCell ref="H5:L5"/>
    <mergeCell ref="M5:P5"/>
    <mergeCell ref="H4:P4"/>
  </mergeCells>
  <phoneticPr fontId="0" type="noConversion"/>
  <printOptions horizontalCentered="1" verticalCentered="1" gridLines="1" gridLinesSet="0"/>
  <pageMargins left="0.75" right="0.75" top="1" bottom="1" header="0.5" footer="0.5"/>
  <pageSetup scale="34"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93314-666C-4B27-98C7-394A0894093B}">
  <dimension ref="B2:F2"/>
  <sheetViews>
    <sheetView topLeftCell="A73" workbookViewId="0">
      <selection activeCell="B2" sqref="B2:S2"/>
    </sheetView>
  </sheetViews>
  <sheetFormatPr defaultRowHeight="12.75" x14ac:dyDescent="0.2"/>
  <sheetData>
    <row r="2" spans="2:6" x14ac:dyDescent="0.2">
      <c r="B2" s="69"/>
      <c r="F2" s="6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3CF5A-A835-4368-97BF-86CEA7DBCBED}">
  <dimension ref="A1:B3"/>
  <sheetViews>
    <sheetView topLeftCell="A100" workbookViewId="0">
      <selection activeCell="J138" sqref="J138"/>
    </sheetView>
  </sheetViews>
  <sheetFormatPr defaultRowHeight="12.75" x14ac:dyDescent="0.2"/>
  <sheetData>
    <row r="1" spans="1:2" x14ac:dyDescent="0.2">
      <c r="A1" s="18" t="s">
        <v>731</v>
      </c>
    </row>
    <row r="3" spans="1:2" x14ac:dyDescent="0.2">
      <c r="B3" s="6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H16"/>
  <sheetViews>
    <sheetView workbookViewId="0">
      <selection activeCell="C26" sqref="C26"/>
    </sheetView>
  </sheetViews>
  <sheetFormatPr defaultRowHeight="12.75" x14ac:dyDescent="0.2"/>
  <cols>
    <col min="2" max="2" width="48" customWidth="1"/>
    <col min="3" max="3" width="39.85546875" customWidth="1"/>
    <col min="4" max="4" width="24" customWidth="1"/>
    <col min="5" max="5" width="22.140625" customWidth="1"/>
    <col min="6" max="6" width="34" customWidth="1"/>
    <col min="7" max="7" width="37.42578125" customWidth="1"/>
    <col min="8" max="8" width="14.28515625" customWidth="1"/>
  </cols>
  <sheetData>
    <row r="2" spans="1:8" x14ac:dyDescent="0.2">
      <c r="B2" t="s">
        <v>715</v>
      </c>
    </row>
    <row r="4" spans="1:8" x14ac:dyDescent="0.2">
      <c r="A4" s="69" t="s">
        <v>592</v>
      </c>
      <c r="B4" s="69"/>
      <c r="C4" s="69"/>
      <c r="D4" s="69"/>
      <c r="E4" s="69"/>
      <c r="F4" s="69"/>
      <c r="G4" s="69"/>
      <c r="H4" s="69"/>
    </row>
    <row r="5" spans="1:8" x14ac:dyDescent="0.2">
      <c r="A5" s="69"/>
      <c r="B5" s="69"/>
      <c r="C5" s="69"/>
      <c r="D5" s="69"/>
      <c r="E5" s="69"/>
      <c r="F5" s="69"/>
      <c r="G5" s="69"/>
      <c r="H5" s="69"/>
    </row>
    <row r="6" spans="1:8" ht="14.25" x14ac:dyDescent="0.2">
      <c r="A6" s="69"/>
      <c r="B6" s="18" t="s">
        <v>716</v>
      </c>
      <c r="C6" s="18" t="s">
        <v>593</v>
      </c>
      <c r="D6" s="337" t="s">
        <v>594</v>
      </c>
      <c r="E6" s="18" t="s">
        <v>595</v>
      </c>
      <c r="F6" s="18" t="s">
        <v>596</v>
      </c>
      <c r="G6" s="18" t="s">
        <v>597</v>
      </c>
      <c r="H6" s="18" t="s">
        <v>598</v>
      </c>
    </row>
    <row r="7" spans="1:8" x14ac:dyDescent="0.2">
      <c r="A7" s="69"/>
      <c r="B7" s="336" t="s">
        <v>599</v>
      </c>
      <c r="C7" s="336" t="s">
        <v>599</v>
      </c>
      <c r="D7" s="336" t="s">
        <v>599</v>
      </c>
      <c r="E7" s="336" t="s">
        <v>600</v>
      </c>
      <c r="F7" s="336" t="s">
        <v>534</v>
      </c>
      <c r="G7" s="336" t="s">
        <v>601</v>
      </c>
      <c r="H7" s="336" t="s">
        <v>162</v>
      </c>
    </row>
    <row r="8" spans="1:8" x14ac:dyDescent="0.2">
      <c r="A8" s="69"/>
      <c r="B8" s="1">
        <v>0</v>
      </c>
      <c r="C8" s="48">
        <v>0</v>
      </c>
      <c r="D8" s="48">
        <f>C8-B8</f>
        <v>0</v>
      </c>
      <c r="E8" s="371">
        <v>0</v>
      </c>
      <c r="F8" s="48">
        <f>(E8*D8)/1000/1000/1000</f>
        <v>0</v>
      </c>
      <c r="G8" s="48">
        <v>0</v>
      </c>
      <c r="H8" s="48">
        <f>F8*G8</f>
        <v>0</v>
      </c>
    </row>
    <row r="9" spans="1:8" x14ac:dyDescent="0.2">
      <c r="A9" s="69"/>
      <c r="B9" s="1"/>
      <c r="C9" s="48"/>
      <c r="D9" s="48"/>
      <c r="E9" s="48"/>
      <c r="F9" s="48"/>
      <c r="G9" s="48"/>
      <c r="H9" s="48"/>
    </row>
    <row r="10" spans="1:8" x14ac:dyDescent="0.2">
      <c r="A10" s="69"/>
      <c r="B10" s="1"/>
      <c r="C10" s="48"/>
      <c r="D10" s="48"/>
      <c r="E10" s="48"/>
      <c r="F10" s="48"/>
      <c r="G10" s="48"/>
      <c r="H10" s="48"/>
    </row>
    <row r="11" spans="1:8" x14ac:dyDescent="0.2">
      <c r="A11" s="69"/>
      <c r="B11" s="1"/>
      <c r="C11" s="48"/>
      <c r="D11" s="48"/>
      <c r="E11" s="48"/>
      <c r="F11" s="48"/>
      <c r="G11" s="48"/>
      <c r="H11" s="48"/>
    </row>
    <row r="12" spans="1:8" x14ac:dyDescent="0.2">
      <c r="A12" s="69"/>
      <c r="B12" s="145" t="s">
        <v>602</v>
      </c>
      <c r="C12" s="48"/>
      <c r="D12" s="48"/>
      <c r="E12" s="48"/>
      <c r="F12" s="48"/>
      <c r="G12" s="48"/>
      <c r="H12" s="48"/>
    </row>
    <row r="13" spans="1:8" ht="14.25" x14ac:dyDescent="0.2">
      <c r="A13" s="69"/>
      <c r="B13" s="372" t="s">
        <v>717</v>
      </c>
      <c r="C13" s="48"/>
      <c r="D13" s="48"/>
      <c r="E13" s="48"/>
      <c r="F13" s="48"/>
      <c r="G13" s="48"/>
      <c r="H13" s="48"/>
    </row>
    <row r="14" spans="1:8" ht="14.25" x14ac:dyDescent="0.2">
      <c r="A14" s="69"/>
      <c r="B14" s="145" t="s">
        <v>603</v>
      </c>
      <c r="C14" s="48"/>
      <c r="D14" s="48"/>
      <c r="E14" s="48"/>
      <c r="F14" s="48"/>
      <c r="G14" s="48"/>
      <c r="H14" s="48"/>
    </row>
    <row r="15" spans="1:8" ht="14.25" x14ac:dyDescent="0.2">
      <c r="B15" s="145" t="s">
        <v>604</v>
      </c>
    </row>
    <row r="16" spans="1:8" x14ac:dyDescent="0.2">
      <c r="B16" s="10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2:I18"/>
  <sheetViews>
    <sheetView workbookViewId="0">
      <selection activeCell="F23" sqref="F23"/>
    </sheetView>
  </sheetViews>
  <sheetFormatPr defaultColWidth="8.85546875" defaultRowHeight="12.75" x14ac:dyDescent="0.2"/>
  <cols>
    <col min="1" max="2" width="10.7109375" customWidth="1"/>
    <col min="4" max="4" width="14.28515625" customWidth="1"/>
    <col min="5" max="5" width="12.42578125" customWidth="1"/>
    <col min="6" max="6" width="13.140625" customWidth="1"/>
  </cols>
  <sheetData>
    <row r="2" spans="1:9" x14ac:dyDescent="0.2">
      <c r="A2" t="s">
        <v>718</v>
      </c>
    </row>
    <row r="4" spans="1:9" ht="15" x14ac:dyDescent="0.25">
      <c r="A4" s="151" t="s">
        <v>711</v>
      </c>
      <c r="B4" s="151"/>
    </row>
    <row r="5" spans="1:9" s="150" customFormat="1" ht="15" x14ac:dyDescent="0.25">
      <c r="A5"/>
      <c r="B5"/>
      <c r="C5"/>
      <c r="D5"/>
      <c r="E5"/>
      <c r="F5" t="s">
        <v>538</v>
      </c>
      <c r="G5" t="s">
        <v>539</v>
      </c>
      <c r="H5" t="s">
        <v>540</v>
      </c>
    </row>
    <row r="6" spans="1:9" s="151" customFormat="1" ht="15" x14ac:dyDescent="0.25">
      <c r="A6" t="s">
        <v>278</v>
      </c>
      <c r="B6" s="69" t="s">
        <v>706</v>
      </c>
      <c r="C6" t="s">
        <v>542</v>
      </c>
      <c r="D6" t="s">
        <v>544</v>
      </c>
      <c r="E6" t="s">
        <v>543</v>
      </c>
      <c r="F6" t="s">
        <v>541</v>
      </c>
      <c r="G6" t="s">
        <v>541</v>
      </c>
      <c r="H6" t="s">
        <v>541</v>
      </c>
    </row>
    <row r="7" spans="1:9" x14ac:dyDescent="0.2">
      <c r="D7" t="s">
        <v>545</v>
      </c>
      <c r="E7" t="s">
        <v>546</v>
      </c>
      <c r="F7" t="s">
        <v>546</v>
      </c>
      <c r="G7" t="s">
        <v>546</v>
      </c>
      <c r="H7" t="s">
        <v>546</v>
      </c>
    </row>
    <row r="8" spans="1:9" s="1" customFormat="1" x14ac:dyDescent="0.2">
      <c r="A8" s="342"/>
      <c r="B8" s="342"/>
      <c r="C8" s="343"/>
      <c r="D8" s="3"/>
      <c r="E8"/>
      <c r="F8"/>
      <c r="G8"/>
      <c r="H8"/>
    </row>
    <row r="9" spans="1:9" s="1" customFormat="1" x14ac:dyDescent="0.2">
      <c r="A9" s="342"/>
      <c r="B9" s="342"/>
      <c r="C9" s="343"/>
      <c r="D9" s="3"/>
      <c r="E9"/>
      <c r="F9"/>
      <c r="G9"/>
      <c r="H9"/>
      <c r="I9" s="7"/>
    </row>
    <row r="10" spans="1:9" s="1" customFormat="1" x14ac:dyDescent="0.2">
      <c r="A10" s="342"/>
      <c r="B10" s="342"/>
      <c r="C10" s="343"/>
      <c r="D10" s="3"/>
      <c r="E10"/>
      <c r="F10"/>
      <c r="G10"/>
      <c r="H10"/>
      <c r="I10" s="7"/>
    </row>
    <row r="11" spans="1:9" s="1" customFormat="1" x14ac:dyDescent="0.2">
      <c r="A11" s="342"/>
      <c r="B11" s="342"/>
      <c r="C11" s="343"/>
      <c r="D11" s="3"/>
      <c r="E11"/>
      <c r="F11"/>
      <c r="G11"/>
      <c r="H11" s="6"/>
      <c r="I11" s="7"/>
    </row>
    <row r="12" spans="1:9" s="1" customFormat="1" x14ac:dyDescent="0.2">
      <c r="D12" s="3"/>
      <c r="E12" s="2"/>
      <c r="F12" s="7"/>
      <c r="G12" s="7"/>
      <c r="H12" s="6"/>
      <c r="I12" s="7"/>
    </row>
    <row r="13" spans="1:9" x14ac:dyDescent="0.2">
      <c r="A13" s="18" t="s">
        <v>712</v>
      </c>
    </row>
    <row r="15" spans="1:9" x14ac:dyDescent="0.2">
      <c r="A15" t="s">
        <v>278</v>
      </c>
      <c r="B15" s="69" t="s">
        <v>706</v>
      </c>
      <c r="C15" t="s">
        <v>542</v>
      </c>
      <c r="D15" s="69" t="s">
        <v>707</v>
      </c>
      <c r="E15" s="69" t="s">
        <v>541</v>
      </c>
      <c r="F15" s="69" t="s">
        <v>709</v>
      </c>
    </row>
    <row r="16" spans="1:9" x14ac:dyDescent="0.2">
      <c r="D16" s="69" t="s">
        <v>708</v>
      </c>
      <c r="E16" t="s">
        <v>546</v>
      </c>
      <c r="F16" s="69" t="s">
        <v>710</v>
      </c>
    </row>
    <row r="18" spans="6:6" x14ac:dyDescent="0.2">
      <c r="F18" s="34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V56"/>
  <sheetViews>
    <sheetView zoomScale="70" zoomScaleNormal="70" workbookViewId="0">
      <selection activeCell="G4" sqref="G4:G8"/>
    </sheetView>
  </sheetViews>
  <sheetFormatPr defaultRowHeight="12.75" x14ac:dyDescent="0.2"/>
  <cols>
    <col min="1" max="1" width="42.140625" customWidth="1"/>
    <col min="2" max="2" width="13.42578125" customWidth="1"/>
    <col min="3" max="3" width="12.5703125" customWidth="1"/>
    <col min="4" max="4" width="34.42578125" customWidth="1"/>
    <col min="6" max="6" width="31" customWidth="1"/>
    <col min="7" max="7" width="12" bestFit="1" customWidth="1"/>
    <col min="9" max="9" width="10.140625" bestFit="1" customWidth="1"/>
    <col min="10" max="10" width="9.28515625" bestFit="1" customWidth="1"/>
  </cols>
  <sheetData>
    <row r="1" spans="1:22" ht="18.600000000000001" customHeight="1" thickBot="1" x14ac:dyDescent="0.25">
      <c r="A1" s="21" t="str">
        <f>"Table ____. TP inputs by source, "&amp;Calculations!$B$4&amp; ", "&amp;Calculations!$B$5&amp;  " scenario."</f>
        <v>Table ____. TP inputs by source, ,  scenario.</v>
      </c>
      <c r="F1" s="21" t="str">
        <f>"Table ____. Water inputs by source, "&amp;Calculations!$B$4&amp; ", "&amp;Calculations!$B$5&amp;  " scenario."</f>
        <v>Table ____. Water inputs by source, ,  scenario.</v>
      </c>
    </row>
    <row r="2" spans="1:22" ht="51" x14ac:dyDescent="0.2">
      <c r="A2" s="167" t="s">
        <v>439</v>
      </c>
      <c r="B2" s="168" t="s">
        <v>440</v>
      </c>
      <c r="C2" s="167" t="s">
        <v>441</v>
      </c>
      <c r="F2" s="119" t="s">
        <v>442</v>
      </c>
      <c r="G2" s="120" t="s">
        <v>470</v>
      </c>
      <c r="I2" s="21"/>
      <c r="J2" s="21"/>
    </row>
    <row r="3" spans="1:22" x14ac:dyDescent="0.2">
      <c r="A3" t="s">
        <v>443</v>
      </c>
      <c r="B3" s="7">
        <f>Calculations!B307</f>
        <v>0</v>
      </c>
      <c r="C3" s="22" t="e">
        <f t="shared" ref="C3:C21" si="0">B3/$B$22*100</f>
        <v>#DIV/0!</v>
      </c>
      <c r="D3" s="3"/>
      <c r="F3" s="320" t="str">
        <f>Calculations!A307</f>
        <v xml:space="preserve">   ATMOSPHERIC </v>
      </c>
      <c r="G3" s="414">
        <f>Calculations!D307</f>
        <v>0</v>
      </c>
    </row>
    <row r="4" spans="1:22" x14ac:dyDescent="0.2">
      <c r="A4" t="s">
        <v>444</v>
      </c>
      <c r="B4" s="7">
        <f>Calculations!B308</f>
        <v>0</v>
      </c>
      <c r="C4" s="22" t="e">
        <f t="shared" si="0"/>
        <v>#DIV/0!</v>
      </c>
      <c r="D4" s="3"/>
      <c r="F4" s="320" t="str">
        <f>Calculations!A308</f>
        <v xml:space="preserve">   INTERNAL </v>
      </c>
      <c r="G4" s="414">
        <f>Calculations!D308</f>
        <v>0</v>
      </c>
      <c r="I4" s="118"/>
      <c r="J4" s="118"/>
    </row>
    <row r="5" spans="1:22" x14ac:dyDescent="0.2">
      <c r="A5" t="s">
        <v>445</v>
      </c>
      <c r="B5" s="7">
        <f>Calculations!B309</f>
        <v>0</v>
      </c>
      <c r="C5" s="22" t="e">
        <f t="shared" si="0"/>
        <v>#DIV/0!</v>
      </c>
      <c r="D5" s="3"/>
      <c r="F5" s="320" t="str">
        <f>Calculations!A309</f>
        <v xml:space="preserve">   WATERFOWL </v>
      </c>
      <c r="G5" s="414">
        <f>Calculations!D309</f>
        <v>0</v>
      </c>
      <c r="I5" s="118"/>
      <c r="J5" s="118"/>
    </row>
    <row r="6" spans="1:22" x14ac:dyDescent="0.2">
      <c r="A6" t="s">
        <v>446</v>
      </c>
      <c r="B6" s="7">
        <f>Calculations!B310</f>
        <v>0</v>
      </c>
      <c r="C6" s="22" t="e">
        <f t="shared" si="0"/>
        <v>#DIV/0!</v>
      </c>
      <c r="D6" s="3"/>
      <c r="F6" s="320" t="str">
        <f>Calculations!A310</f>
        <v xml:space="preserve">   SEPTIC SYSTEM </v>
      </c>
      <c r="G6" s="414">
        <f>Calculations!D310</f>
        <v>0</v>
      </c>
      <c r="I6" s="118"/>
      <c r="J6" s="118"/>
    </row>
    <row r="7" spans="1:22" x14ac:dyDescent="0.2">
      <c r="A7" s="145" t="str">
        <f>Calculations!$B$71&amp;" - "&amp;Calculations!$B$72</f>
        <v xml:space="preserve">Watershed 1 - </v>
      </c>
      <c r="B7" s="7">
        <f>Calculations!B301</f>
        <v>0</v>
      </c>
      <c r="C7" s="22" t="e">
        <f t="shared" si="0"/>
        <v>#DIV/0!</v>
      </c>
      <c r="F7" s="320" t="str">
        <f>Calculations!A311</f>
        <v xml:space="preserve">WATERSHED LOAD </v>
      </c>
      <c r="G7" s="414">
        <f>Calculations!D311</f>
        <v>0</v>
      </c>
      <c r="Q7" s="7"/>
      <c r="R7" s="7"/>
      <c r="S7" s="7"/>
      <c r="T7" s="7"/>
      <c r="U7" s="7"/>
    </row>
    <row r="8" spans="1:22" x14ac:dyDescent="0.2">
      <c r="A8" s="145" t="str">
        <f>Calculations!$C$71&amp;" - "&amp;Calculations!$C$72</f>
        <v xml:space="preserve">Watershed 2 - </v>
      </c>
      <c r="B8" s="7">
        <f>Calculations!C301</f>
        <v>0</v>
      </c>
      <c r="C8" s="22" t="e">
        <f t="shared" si="0"/>
        <v>#DIV/0!</v>
      </c>
      <c r="F8" s="320" t="str">
        <f>Calculations!A313</f>
        <v>TOTAL LOAD TO LAKE                                 (Watershed + direct loads)</v>
      </c>
      <c r="G8" s="414">
        <f>Calculations!D312</f>
        <v>0</v>
      </c>
    </row>
    <row r="9" spans="1:22" x14ac:dyDescent="0.2">
      <c r="A9" s="145" t="str">
        <f>Calculations!$D$71&amp;" - "&amp;Calculations!$D$72</f>
        <v xml:space="preserve">Watershed 3 - </v>
      </c>
      <c r="B9" s="7">
        <f>Calculations!D301</f>
        <v>0</v>
      </c>
      <c r="C9" s="22" t="e">
        <f t="shared" si="0"/>
        <v>#DIV/0!</v>
      </c>
    </row>
    <row r="10" spans="1:22" ht="12" customHeight="1" x14ac:dyDescent="0.2">
      <c r="A10" s="145" t="str">
        <f>Calculations!$E$71&amp;" - "&amp;Calculations!$E$72</f>
        <v xml:space="preserve">Watershed 4 - </v>
      </c>
      <c r="B10" s="7">
        <f>Calculations!E301</f>
        <v>0</v>
      </c>
      <c r="C10" s="22" t="e">
        <f t="shared" si="0"/>
        <v>#DIV/0!</v>
      </c>
      <c r="F10" s="138"/>
      <c r="G10" s="138"/>
    </row>
    <row r="11" spans="1:22" x14ac:dyDescent="0.2">
      <c r="A11" s="145" t="str">
        <f>Calculations!$F$71&amp;" - "&amp;Calculations!$F$72</f>
        <v xml:space="preserve">Watershed 5 - </v>
      </c>
      <c r="B11" s="7">
        <f>Calculations!F301</f>
        <v>0</v>
      </c>
      <c r="C11" s="22" t="e">
        <f t="shared" si="0"/>
        <v>#DIV/0!</v>
      </c>
      <c r="D11" s="4"/>
      <c r="F11" s="3"/>
      <c r="G11" s="412"/>
    </row>
    <row r="12" spans="1:22" x14ac:dyDescent="0.2">
      <c r="A12" s="145" t="str">
        <f>Calculations!$G$71&amp;" - "&amp;Calculations!$G$72</f>
        <v xml:space="preserve">Watershed 6 - </v>
      </c>
      <c r="B12" s="7">
        <f>Calculations!G301</f>
        <v>0</v>
      </c>
      <c r="C12" s="22" t="e">
        <f t="shared" si="0"/>
        <v>#DIV/0!</v>
      </c>
      <c r="F12" s="3"/>
      <c r="G12" s="412"/>
    </row>
    <row r="13" spans="1:22" ht="13.5" customHeight="1" x14ac:dyDescent="0.2">
      <c r="A13" s="145" t="str">
        <f>Calculations!$H$71&amp;" - "&amp;Calculations!$H$72</f>
        <v xml:space="preserve">Watershed 7 - </v>
      </c>
      <c r="B13" s="7">
        <f>Calculations!H301</f>
        <v>0</v>
      </c>
      <c r="C13" s="22" t="e">
        <f t="shared" si="0"/>
        <v>#DIV/0!</v>
      </c>
      <c r="F13" s="3"/>
      <c r="G13" s="412"/>
      <c r="U13" s="22"/>
      <c r="V13" s="22"/>
    </row>
    <row r="14" spans="1:22" x14ac:dyDescent="0.2">
      <c r="A14" s="145" t="str">
        <f>Calculations!$I$71&amp;" - "&amp;Calculations!$I$72</f>
        <v xml:space="preserve">Watershed 8 - </v>
      </c>
      <c r="B14" s="7">
        <f>Calculations!I301</f>
        <v>0</v>
      </c>
      <c r="C14" s="22" t="e">
        <f t="shared" si="0"/>
        <v>#DIV/0!</v>
      </c>
      <c r="F14" s="3"/>
      <c r="G14" s="412"/>
    </row>
    <row r="15" spans="1:22" x14ac:dyDescent="0.2">
      <c r="A15" s="145" t="str">
        <f>Calculations!$J$71&amp;" - "&amp;Calculations!$J$72</f>
        <v xml:space="preserve">Watershed 9 - </v>
      </c>
      <c r="B15" s="7">
        <f>Calculations!J301</f>
        <v>0</v>
      </c>
      <c r="C15" s="22" t="e">
        <f t="shared" si="0"/>
        <v>#DIV/0!</v>
      </c>
      <c r="F15" s="3"/>
      <c r="G15" s="412"/>
    </row>
    <row r="16" spans="1:22" x14ac:dyDescent="0.2">
      <c r="A16" s="145" t="str">
        <f>Calculations!$K$71&amp;" - "&amp;Calculations!$K$72</f>
        <v xml:space="preserve">Watershed 10 - </v>
      </c>
      <c r="B16" s="7">
        <f>Calculations!K301</f>
        <v>0</v>
      </c>
      <c r="C16" s="22" t="e">
        <f t="shared" si="0"/>
        <v>#DIV/0!</v>
      </c>
      <c r="F16" s="3"/>
      <c r="G16" s="412"/>
    </row>
    <row r="17" spans="1:21" x14ac:dyDescent="0.2">
      <c r="A17" s="145" t="str">
        <f>Calculations!$L$71&amp;" - "&amp;Calculations!$L$72</f>
        <v xml:space="preserve">Watershed 11 - </v>
      </c>
      <c r="B17" s="7">
        <f>Calculations!L301</f>
        <v>0</v>
      </c>
      <c r="C17" s="22" t="e">
        <f t="shared" si="0"/>
        <v>#DIV/0!</v>
      </c>
      <c r="F17" s="3"/>
      <c r="G17" s="412"/>
    </row>
    <row r="18" spans="1:21" x14ac:dyDescent="0.2">
      <c r="A18" s="145" t="str">
        <f>Calculations!$M$71&amp;" - "&amp;Calculations!$M$72</f>
        <v xml:space="preserve">Watershed 12 - </v>
      </c>
      <c r="B18" s="7">
        <f>Calculations!M301</f>
        <v>0</v>
      </c>
      <c r="C18" s="22" t="e">
        <f t="shared" si="0"/>
        <v>#DIV/0!</v>
      </c>
      <c r="F18" s="3"/>
      <c r="G18" s="412"/>
    </row>
    <row r="19" spans="1:21" x14ac:dyDescent="0.2">
      <c r="A19" s="145" t="str">
        <f>Calculations!$N$71&amp;" - "&amp;Calculations!$N$72</f>
        <v xml:space="preserve">Watershed 13 - </v>
      </c>
      <c r="B19" s="7">
        <f>Calculations!N301</f>
        <v>0</v>
      </c>
      <c r="C19" s="22" t="e">
        <f t="shared" si="0"/>
        <v>#DIV/0!</v>
      </c>
      <c r="F19" s="413"/>
      <c r="G19" s="412"/>
    </row>
    <row r="20" spans="1:21" ht="14.25" customHeight="1" x14ac:dyDescent="0.2">
      <c r="A20" s="145" t="str">
        <f>Calculations!$O$71&amp;" - "&amp;Calculations!$O$72</f>
        <v xml:space="preserve">Watershed 14 - </v>
      </c>
      <c r="B20" s="7">
        <f>Calculations!O301</f>
        <v>0</v>
      </c>
      <c r="C20" s="22" t="e">
        <f t="shared" si="0"/>
        <v>#DIV/0!</v>
      </c>
      <c r="F20" s="3"/>
      <c r="G20" s="412"/>
    </row>
    <row r="21" spans="1:21" ht="15.6" customHeight="1" x14ac:dyDescent="0.2">
      <c r="A21" s="317" t="s">
        <v>514</v>
      </c>
      <c r="B21" s="294">
        <f>SUM(B7:B20)</f>
        <v>0</v>
      </c>
      <c r="C21" s="318" t="e">
        <f t="shared" si="0"/>
        <v>#DIV/0!</v>
      </c>
      <c r="D21" s="18"/>
      <c r="E21" s="18"/>
      <c r="F21" s="3"/>
      <c r="G21" s="412"/>
      <c r="H21" s="138"/>
    </row>
    <row r="22" spans="1:21" ht="15.6" customHeight="1" x14ac:dyDescent="0.2">
      <c r="A22" s="21" t="s">
        <v>447</v>
      </c>
      <c r="B22" s="146">
        <f>SUM(B3:B20)</f>
        <v>0</v>
      </c>
      <c r="C22" s="147" t="e">
        <f>SUM(C3:C20)</f>
        <v>#DIV/0!</v>
      </c>
      <c r="F22" s="3"/>
      <c r="G22" s="412"/>
    </row>
    <row r="23" spans="1:21" x14ac:dyDescent="0.2">
      <c r="B23" s="7"/>
      <c r="F23" s="3"/>
      <c r="G23" s="412"/>
    </row>
    <row r="24" spans="1:21" x14ac:dyDescent="0.2">
      <c r="F24" s="3"/>
      <c r="G24" s="412"/>
    </row>
    <row r="25" spans="1:21" x14ac:dyDescent="0.2">
      <c r="F25" s="3"/>
      <c r="G25" s="412"/>
    </row>
    <row r="26" spans="1:21" x14ac:dyDescent="0.2">
      <c r="A26" s="153" t="s">
        <v>479</v>
      </c>
      <c r="B26" s="153" t="s">
        <v>501</v>
      </c>
      <c r="F26" s="3"/>
      <c r="G26" s="412"/>
    </row>
    <row r="27" spans="1:21" x14ac:dyDescent="0.2">
      <c r="A27" s="145" t="str">
        <f>Calculations!$B$71&amp;" - "&amp;Calculations!$B$72</f>
        <v xml:space="preserve">Watershed 1 - </v>
      </c>
      <c r="B27" s="24" t="e">
        <f>B7/Calculations!B98</f>
        <v>#DIV/0!</v>
      </c>
      <c r="F27" s="3"/>
      <c r="G27" s="412"/>
      <c r="U27" s="22"/>
    </row>
    <row r="28" spans="1:21" x14ac:dyDescent="0.2">
      <c r="A28" s="145" t="str">
        <f>Calculations!$C$71&amp;" - "&amp;Calculations!$C$72</f>
        <v xml:space="preserve">Watershed 2 - </v>
      </c>
      <c r="B28" s="24" t="e">
        <f>B8/Calculations!C98</f>
        <v>#DIV/0!</v>
      </c>
      <c r="F28" s="3"/>
      <c r="G28" s="412"/>
    </row>
    <row r="29" spans="1:21" x14ac:dyDescent="0.2">
      <c r="A29" s="145" t="str">
        <f>Calculations!$D$71&amp;" - "&amp;Calculations!$D$72</f>
        <v xml:space="preserve">Watershed 3 - </v>
      </c>
      <c r="B29" s="24" t="e">
        <f>B9/Calculations!D98</f>
        <v>#DIV/0!</v>
      </c>
      <c r="F29" s="3"/>
      <c r="G29" s="412"/>
    </row>
    <row r="30" spans="1:21" x14ac:dyDescent="0.2">
      <c r="A30" s="145" t="str">
        <f>Calculations!$E$71&amp;" - "&amp;Calculations!$E$72</f>
        <v xml:space="preserve">Watershed 4 - </v>
      </c>
      <c r="B30" s="24" t="e">
        <f>B10/Calculations!E98</f>
        <v>#DIV/0!</v>
      </c>
      <c r="F30" s="3"/>
      <c r="G30" s="412"/>
    </row>
    <row r="31" spans="1:21" x14ac:dyDescent="0.2">
      <c r="A31" s="145" t="str">
        <f>Calculations!$F$71&amp;" - "&amp;Calculations!$F$72</f>
        <v xml:space="preserve">Watershed 5 - </v>
      </c>
      <c r="B31" s="24" t="e">
        <f>B11/Calculations!F98</f>
        <v>#DIV/0!</v>
      </c>
      <c r="F31" s="3"/>
      <c r="G31" s="412"/>
    </row>
    <row r="32" spans="1:21" x14ac:dyDescent="0.2">
      <c r="A32" s="145" t="str">
        <f>Calculations!$G$71&amp;" - "&amp;Calculations!$G$72</f>
        <v xml:space="preserve">Watershed 6 - </v>
      </c>
      <c r="B32" s="24" t="e">
        <f>B12/Calculations!G98</f>
        <v>#DIV/0!</v>
      </c>
      <c r="F32" s="3"/>
      <c r="G32" s="412"/>
    </row>
    <row r="33" spans="1:7" x14ac:dyDescent="0.2">
      <c r="A33" s="145" t="str">
        <f>Calculations!$H$71&amp;" - "&amp;Calculations!$H$72</f>
        <v xml:space="preserve">Watershed 7 - </v>
      </c>
      <c r="B33" s="24" t="e">
        <f>B13/Calculations!H98</f>
        <v>#DIV/0!</v>
      </c>
      <c r="F33" s="413"/>
      <c r="G33" s="412"/>
    </row>
    <row r="34" spans="1:7" x14ac:dyDescent="0.2">
      <c r="A34" s="145" t="str">
        <f>Calculations!$I$71&amp;" - "&amp;Calculations!$I$72</f>
        <v xml:space="preserve">Watershed 8 - </v>
      </c>
      <c r="B34" s="24" t="e">
        <f>B14/Calculations!I98</f>
        <v>#DIV/0!</v>
      </c>
      <c r="F34" s="3"/>
      <c r="G34" s="412"/>
    </row>
    <row r="35" spans="1:7" x14ac:dyDescent="0.2">
      <c r="A35" s="145" t="str">
        <f>Calculations!$J$71&amp;" - "&amp;Calculations!$J$72</f>
        <v xml:space="preserve">Watershed 9 - </v>
      </c>
      <c r="B35" s="24" t="e">
        <f>B15/Calculations!J98</f>
        <v>#DIV/0!</v>
      </c>
      <c r="F35" s="3"/>
      <c r="G35" s="412"/>
    </row>
    <row r="36" spans="1:7" x14ac:dyDescent="0.2">
      <c r="A36" s="145" t="str">
        <f>Calculations!$K$71&amp;" - "&amp;Calculations!$K$72</f>
        <v xml:space="preserve">Watershed 10 - </v>
      </c>
      <c r="B36" s="24" t="e">
        <f>B16/Calculations!K98</f>
        <v>#DIV/0!</v>
      </c>
      <c r="F36" s="3"/>
      <c r="G36" s="412"/>
    </row>
    <row r="37" spans="1:7" x14ac:dyDescent="0.2">
      <c r="A37" s="145" t="str">
        <f>Calculations!$L$71&amp;" - "&amp;Calculations!$L$72</f>
        <v xml:space="preserve">Watershed 11 - </v>
      </c>
      <c r="B37" s="24" t="e">
        <f>B17/Calculations!L98</f>
        <v>#DIV/0!</v>
      </c>
      <c r="F37" s="3"/>
      <c r="G37" s="412"/>
    </row>
    <row r="38" spans="1:7" x14ac:dyDescent="0.2">
      <c r="A38" s="145" t="str">
        <f>Calculations!$M$71&amp;" - "&amp;Calculations!$M$72</f>
        <v xml:space="preserve">Watershed 12 - </v>
      </c>
      <c r="B38" s="24" t="e">
        <f>B18/Calculations!M98</f>
        <v>#DIV/0!</v>
      </c>
      <c r="F38" s="3"/>
      <c r="G38" s="412"/>
    </row>
    <row r="39" spans="1:7" x14ac:dyDescent="0.2">
      <c r="A39" s="145" t="str">
        <f>Calculations!$N$71&amp;" - "&amp;Calculations!$N$72</f>
        <v xml:space="preserve">Watershed 13 - </v>
      </c>
      <c r="B39" s="24" t="e">
        <f>B19/Calculations!N98</f>
        <v>#DIV/0!</v>
      </c>
      <c r="F39" s="3"/>
      <c r="G39" s="412"/>
    </row>
    <row r="40" spans="1:7" x14ac:dyDescent="0.2">
      <c r="A40" s="145" t="str">
        <f>Calculations!$O$71&amp;" - "&amp;Calculations!$O$72</f>
        <v xml:space="preserve">Watershed 14 - </v>
      </c>
      <c r="B40" s="169" t="e">
        <f>B20/Calculations!O98</f>
        <v>#DIV/0!</v>
      </c>
      <c r="F40" s="3"/>
      <c r="G40" s="412"/>
    </row>
    <row r="41" spans="1:7" x14ac:dyDescent="0.2">
      <c r="F41" s="3"/>
    </row>
    <row r="42" spans="1:7" x14ac:dyDescent="0.2">
      <c r="F42" s="3"/>
    </row>
    <row r="43" spans="1:7" x14ac:dyDescent="0.2">
      <c r="F43" s="3"/>
      <c r="G43" s="4"/>
    </row>
    <row r="44" spans="1:7" x14ac:dyDescent="0.2">
      <c r="F44" s="3"/>
    </row>
    <row r="45" spans="1:7" x14ac:dyDescent="0.2">
      <c r="F45" s="3"/>
    </row>
    <row r="46" spans="1:7" x14ac:dyDescent="0.2">
      <c r="F46" s="3"/>
    </row>
    <row r="56" spans="6:7" x14ac:dyDescent="0.2">
      <c r="F56" s="3"/>
      <c r="G56" s="22"/>
    </row>
  </sheetData>
  <phoneticPr fontId="25"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Project Notes</vt:lpstr>
      <vt:lpstr>Reference Variables</vt:lpstr>
      <vt:lpstr>Calculations</vt:lpstr>
      <vt:lpstr>Predictions</vt:lpstr>
      <vt:lpstr>Watershed Maps</vt:lpstr>
      <vt:lpstr>Graphics</vt:lpstr>
      <vt:lpstr>Internal load calcs</vt:lpstr>
      <vt:lpstr>WQ Table</vt:lpstr>
      <vt:lpstr>Water and TP Loading</vt:lpstr>
      <vt:lpstr>Land Use</vt:lpstr>
      <vt:lpstr>Runoff-Baseflow Fractions</vt:lpstr>
      <vt:lpstr>LU Coef</vt:lpstr>
      <vt:lpstr>Septic</vt:lpstr>
      <vt:lpstr>Waterfowl calculations</vt:lpstr>
      <vt:lpstr>_Toc1</vt:lpstr>
      <vt:lpstr>'Water and TP Loading'!_Toc189628806</vt:lpstr>
      <vt:lpstr>'Land Use'!_Toc189628807</vt:lpstr>
      <vt:lpstr>'Land Use'!_Toc189628808</vt:lpstr>
      <vt:lpstr>'Water and TP Loading'!_Toc189628809</vt:lpstr>
      <vt:lpstr>Coefficients</vt:lpstr>
      <vt:lpstr>LANDUSE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Don</cp:lastModifiedBy>
  <cp:lastPrinted>2012-01-18T18:37:05Z</cp:lastPrinted>
  <dcterms:created xsi:type="dcterms:W3CDTF">1998-02-16T20:17:24Z</dcterms:created>
  <dcterms:modified xsi:type="dcterms:W3CDTF">2020-06-22T14:29:29Z</dcterms:modified>
</cp:coreProperties>
</file>