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-60" yWindow="0" windowWidth="28760" windowHeight="17540" tabRatio="500"/>
  </bookViews>
  <sheets>
    <sheet name="Summary" sheetId="7" r:id="rId1"/>
    <sheet name="Measurements" sheetId="6" r:id="rId2"/>
    <sheet name="Designed tolerance" sheetId="5" r:id="rId3"/>
    <sheet name="Resistor configuratio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3" i="7"/>
  <c r="F4" i="6"/>
  <c r="F5" i="6"/>
  <c r="F6" i="6"/>
  <c r="F7" i="6"/>
  <c r="F8" i="6"/>
  <c r="F9" i="6"/>
  <c r="F10" i="6"/>
  <c r="F3" i="6"/>
  <c r="C4" i="6"/>
  <c r="C5" i="6"/>
  <c r="C6" i="6"/>
  <c r="C7" i="6"/>
  <c r="C8" i="6"/>
  <c r="C9" i="6"/>
  <c r="C10" i="6"/>
  <c r="C3" i="6"/>
  <c r="V12" i="5"/>
  <c r="U12" i="5"/>
  <c r="T12" i="5"/>
  <c r="S12" i="5"/>
  <c r="R12" i="5"/>
  <c r="Q12" i="5"/>
  <c r="C12" i="5"/>
  <c r="P12" i="5"/>
  <c r="O12" i="5"/>
  <c r="N12" i="5"/>
  <c r="M12" i="5"/>
  <c r="L12" i="5"/>
  <c r="J12" i="5"/>
  <c r="H12" i="5"/>
  <c r="G12" i="5"/>
  <c r="E12" i="5"/>
  <c r="D12" i="5"/>
  <c r="V11" i="5"/>
  <c r="U11" i="5"/>
  <c r="T11" i="5"/>
  <c r="S11" i="5"/>
  <c r="R11" i="5"/>
  <c r="Q11" i="5"/>
  <c r="C11" i="5"/>
  <c r="P11" i="5"/>
  <c r="O11" i="5"/>
  <c r="N11" i="5"/>
  <c r="M11" i="5"/>
  <c r="L11" i="5"/>
  <c r="J11" i="5"/>
  <c r="G11" i="5"/>
  <c r="E11" i="5"/>
  <c r="D11" i="5"/>
  <c r="V10" i="5"/>
  <c r="U10" i="5"/>
  <c r="T10" i="5"/>
  <c r="S10" i="5"/>
  <c r="R10" i="5"/>
  <c r="C10" i="5"/>
  <c r="Q10" i="5"/>
  <c r="P10" i="5"/>
  <c r="O10" i="5"/>
  <c r="N10" i="5"/>
  <c r="M10" i="5"/>
  <c r="L10" i="5"/>
  <c r="J10" i="5"/>
  <c r="G10" i="5"/>
  <c r="E10" i="5"/>
  <c r="D10" i="5"/>
  <c r="V9" i="5"/>
  <c r="U9" i="5"/>
  <c r="T9" i="5"/>
  <c r="S9" i="5"/>
  <c r="R9" i="5"/>
  <c r="C9" i="5"/>
  <c r="Q9" i="5"/>
  <c r="P9" i="5"/>
  <c r="O9" i="5"/>
  <c r="N9" i="5"/>
  <c r="M9" i="5"/>
  <c r="L9" i="5"/>
  <c r="J9" i="5"/>
  <c r="G9" i="5"/>
  <c r="E9" i="5"/>
  <c r="D9" i="5"/>
  <c r="V8" i="5"/>
  <c r="U8" i="5"/>
  <c r="T8" i="5"/>
  <c r="S8" i="5"/>
  <c r="R8" i="5"/>
  <c r="C8" i="5"/>
  <c r="Q8" i="5"/>
  <c r="P8" i="5"/>
  <c r="O8" i="5"/>
  <c r="N8" i="5"/>
  <c r="M8" i="5"/>
  <c r="L8" i="5"/>
  <c r="J8" i="5"/>
  <c r="I8" i="5"/>
  <c r="H8" i="5"/>
  <c r="G8" i="5"/>
  <c r="E8" i="5"/>
  <c r="D8" i="5"/>
  <c r="V7" i="5"/>
  <c r="U7" i="5"/>
  <c r="T7" i="5"/>
  <c r="S7" i="5"/>
  <c r="R7" i="5"/>
  <c r="C7" i="5"/>
  <c r="Q7" i="5"/>
  <c r="P7" i="5"/>
  <c r="O7" i="5"/>
  <c r="N7" i="5"/>
  <c r="M7" i="5"/>
  <c r="L7" i="5"/>
  <c r="J7" i="5"/>
  <c r="I7" i="5"/>
  <c r="H7" i="5"/>
  <c r="G7" i="5"/>
  <c r="E7" i="5"/>
  <c r="D7" i="5"/>
  <c r="V6" i="5"/>
  <c r="U6" i="5"/>
  <c r="T6" i="5"/>
  <c r="S6" i="5"/>
  <c r="R6" i="5"/>
  <c r="C6" i="5"/>
  <c r="Q6" i="5"/>
  <c r="P6" i="5"/>
  <c r="O6" i="5"/>
  <c r="N6" i="5"/>
  <c r="M6" i="5"/>
  <c r="L6" i="5"/>
  <c r="J6" i="5"/>
  <c r="G6" i="5"/>
  <c r="E6" i="5"/>
  <c r="D6" i="5"/>
  <c r="V5" i="5"/>
  <c r="U5" i="5"/>
  <c r="T5" i="5"/>
  <c r="S5" i="5"/>
  <c r="R5" i="5"/>
  <c r="C5" i="5"/>
  <c r="Q5" i="5"/>
  <c r="P5" i="5"/>
  <c r="O5" i="5"/>
  <c r="N5" i="5"/>
  <c r="M5" i="5"/>
  <c r="L5" i="5"/>
  <c r="J5" i="5"/>
  <c r="G5" i="5"/>
  <c r="E5" i="5"/>
  <c r="D5" i="5"/>
  <c r="V4" i="5"/>
  <c r="U4" i="5"/>
  <c r="T4" i="5"/>
  <c r="S4" i="5"/>
  <c r="R4" i="5"/>
  <c r="B4" i="5"/>
  <c r="C4" i="5"/>
  <c r="Q4" i="5"/>
  <c r="P4" i="5"/>
  <c r="O4" i="5"/>
  <c r="N4" i="5"/>
  <c r="M4" i="5"/>
  <c r="L4" i="5"/>
  <c r="J4" i="5"/>
  <c r="G4" i="5"/>
  <c r="E4" i="5"/>
  <c r="D4" i="5"/>
  <c r="H6" i="4"/>
  <c r="H5" i="4"/>
  <c r="F5" i="4"/>
  <c r="F6" i="4"/>
  <c r="F10" i="4"/>
  <c r="D4" i="4"/>
  <c r="C4" i="4"/>
  <c r="D3" i="4"/>
  <c r="C3" i="4"/>
  <c r="B2" i="4"/>
  <c r="D2" i="4"/>
  <c r="C2" i="4"/>
  <c r="C10" i="4"/>
  <c r="C9" i="4"/>
  <c r="C8" i="4"/>
  <c r="C7" i="4"/>
  <c r="C6" i="4"/>
  <c r="C5" i="4"/>
  <c r="G9" i="4"/>
  <c r="G6" i="4"/>
  <c r="D5" i="4"/>
  <c r="D6" i="4"/>
  <c r="D7" i="4"/>
  <c r="D8" i="4"/>
  <c r="D9" i="4"/>
  <c r="D10" i="4"/>
  <c r="G10" i="4"/>
  <c r="G8" i="4"/>
  <c r="G7" i="4"/>
  <c r="G5" i="4"/>
  <c r="G3" i="4"/>
  <c r="G2" i="4"/>
  <c r="G4" i="4"/>
</calcChain>
</file>

<file path=xl/comments1.xml><?xml version="1.0" encoding="utf-8"?>
<comments xmlns="http://schemas.openxmlformats.org/spreadsheetml/2006/main">
  <authors>
    <author>Matthew Blessinger</author>
  </authors>
  <commentList>
    <comment ref="E10" authorId="0">
      <text>
        <r>
          <rPr>
            <b/>
            <sz val="9"/>
            <color indexed="81"/>
            <rFont val="Tahoma"/>
            <charset val="1"/>
          </rPr>
          <t>Matthew Blessinger:</t>
        </r>
        <r>
          <rPr>
            <sz val="9"/>
            <color indexed="81"/>
            <rFont val="Tahoma"/>
            <charset val="1"/>
          </rPr>
          <t xml:space="preserve">
Cascade 100M into 25M for 125M</t>
        </r>
      </text>
    </comment>
  </commentList>
</comments>
</file>

<file path=xl/sharedStrings.xml><?xml version="1.0" encoding="utf-8"?>
<sst xmlns="http://schemas.openxmlformats.org/spreadsheetml/2006/main" count="78" uniqueCount="64">
  <si>
    <t>V_ref [V]</t>
  </si>
  <si>
    <t>P [W]</t>
  </si>
  <si>
    <t>P_R [W]</t>
  </si>
  <si>
    <t>T_coeff [ppm/C]</t>
  </si>
  <si>
    <t>Package</t>
  </si>
  <si>
    <t>Resistor config</t>
  </si>
  <si>
    <t>1206</t>
  </si>
  <si>
    <t>0805</t>
  </si>
  <si>
    <t>0603</t>
  </si>
  <si>
    <t>1k .01%</t>
  </si>
  <si>
    <t>CRCW060310M0DHEAP</t>
  </si>
  <si>
    <t>RNCF1206AKT10R0</t>
  </si>
  <si>
    <t>APC0805T1K00Z</t>
  </si>
  <si>
    <t>2k, 499R .01%, 1R 1%</t>
  </si>
  <si>
    <t>1M .05%</t>
  </si>
  <si>
    <t>RG3216N-1004-W-T1</t>
  </si>
  <si>
    <t>2x1M, 470k, 30k .05%</t>
  </si>
  <si>
    <t>4//10R .05%</t>
  </si>
  <si>
    <t>4//100R .01%</t>
  </si>
  <si>
    <t>R_tol [%]</t>
  </si>
  <si>
    <t>R [Ω]</t>
  </si>
  <si>
    <t>Part #</t>
  </si>
  <si>
    <t>APC0603T100RZ</t>
  </si>
  <si>
    <t>RG3216N-1004-W-T1 RG2012N-474-W-T1 RG1608N-303-W-T1</t>
  </si>
  <si>
    <t>1206 0805 0603</t>
  </si>
  <si>
    <t>APC1206T2K00Z APC0805T499RZ RC0603FR-071RL</t>
  </si>
  <si>
    <t>2x10k, 4.99k .01%, 10R 1%</t>
  </si>
  <si>
    <t>0603 0603 0603</t>
  </si>
  <si>
    <t>APC0603T10K0Z APC0603T4K99Z RC0603FR-0710RL</t>
  </si>
  <si>
    <t>12x2M, 1M .1%</t>
  </si>
  <si>
    <t>CPF0805B2M0E1 CPF0805B1M0E1</t>
  </si>
  <si>
    <t>10x10M .5%, 12x2M, 1M .1%</t>
  </si>
  <si>
    <t>Base tol [%]</t>
  </si>
  <si>
    <t>Line reg [μV/V]</t>
  </si>
  <si>
    <t>Load reg [μV/mA]</t>
  </si>
  <si>
    <t>T [C]</t>
  </si>
  <si>
    <t>I [A]</t>
  </si>
  <si>
    <t>Voltage reference</t>
  </si>
  <si>
    <t>Total tol [%]</t>
  </si>
  <si>
    <t>Gnd offset [%]</t>
  </si>
  <si>
    <t>Resistors</t>
  </si>
  <si>
    <t>Op amp</t>
  </si>
  <si>
    <t>Vos [%]</t>
  </si>
  <si>
    <t>T drift [%]</t>
  </si>
  <si>
    <t>Ib [%]</t>
  </si>
  <si>
    <t>Ios [%]</t>
  </si>
  <si>
    <t>Long-term [%]</t>
  </si>
  <si>
    <t>Trace resistance</t>
  </si>
  <si>
    <t>Sense offset [%]</t>
  </si>
  <si>
    <t>U [%]</t>
  </si>
  <si>
    <t>I_designed [A]</t>
  </si>
  <si>
    <t>I_measured [A]</t>
  </si>
  <si>
    <t>Standard dev [A]</t>
  </si>
  <si>
    <t>Uncertainty [A]</t>
  </si>
  <si>
    <t>Error [%]</t>
  </si>
  <si>
    <t>Uncertainty [%]</t>
  </si>
  <si>
    <t>All measurements were made with a Keysight 34465A with a calibration date of less than 1 year.</t>
  </si>
  <si>
    <t>The 34465A was warmed up for at least 1 hour before measurements and then an autocalibration was performed.</t>
  </si>
  <si>
    <t>All measurements were taken with 10 NPLC, auto zero, and the lowest current range possible.</t>
  </si>
  <si>
    <t>The DUT reading was allowed to stabilize for 2 minutes (typically took less than 30 seconds) before data recording.</t>
  </si>
  <si>
    <t>500 data points were taken for each current setting (~3 minutes).</t>
  </si>
  <si>
    <t>The measurement uncertainty was calculated using the 1-year values specified in the 34465A manual.</t>
  </si>
  <si>
    <t>U_measured [%]</t>
  </si>
  <si>
    <t>U_designed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</si>
</sst>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00000"/>
    <numFmt numFmtId="166" formatCode="0.0000"/>
    <numFmt numFmtId="167" formatCode="0.0"/>
    <numFmt numFmtId="168" formatCode="0.0E+00"/>
    <numFmt numFmtId="169" formatCode="###.0E+00"/>
    <numFmt numFmtId="170" formatCode="###.00E+00"/>
    <numFmt numFmtId="171" formatCode="0.00000"/>
    <numFmt numFmtId="172" formatCode="0.0.E+00"/>
  </numFmts>
  <fonts count="10" x14ac:knownFonts="1">
    <font>
      <sz val="11"/>
      <color rgb="FF000000"/>
      <name val="Calibri"/>
    </font>
    <font>
      <sz val="11"/>
      <name val="Calibri"/>
    </font>
    <font>
      <u/>
      <sz val="11"/>
      <color theme="1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scheme val="minor"/>
    </font>
    <font>
      <b/>
      <sz val="14"/>
      <color rgb="FF000000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top"/>
    </xf>
    <xf numFmtId="169" fontId="0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71" fontId="0" fillId="0" borderId="7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68" fontId="0" fillId="0" borderId="5" xfId="0" applyNumberFormat="1" applyFont="1" applyBorder="1" applyAlignment="1">
      <alignment horizontal="center" vertical="center"/>
    </xf>
    <xf numFmtId="168" fontId="0" fillId="0" borderId="4" xfId="0" applyNumberFormat="1" applyFont="1" applyBorder="1" applyAlignment="1">
      <alignment horizontal="center" vertical="center"/>
    </xf>
    <xf numFmtId="168" fontId="0" fillId="0" borderId="6" xfId="0" applyNumberFormat="1" applyFont="1" applyBorder="1" applyAlignment="1">
      <alignment horizontal="center" vertical="center"/>
    </xf>
    <xf numFmtId="168" fontId="0" fillId="0" borderId="8" xfId="0" applyNumberFormat="1" applyFont="1" applyBorder="1" applyAlignment="1">
      <alignment horizontal="center" vertical="center"/>
    </xf>
    <xf numFmtId="172" fontId="0" fillId="0" borderId="5" xfId="0" applyNumberFormat="1" applyFont="1" applyBorder="1" applyAlignment="1">
      <alignment horizontal="center" vertical="center"/>
    </xf>
    <xf numFmtId="172" fontId="0" fillId="0" borderId="8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0" fillId="0" borderId="0" xfId="0" applyNumberFormat="1" applyFont="1" applyAlignment="1">
      <alignment horizontal="left"/>
    </xf>
    <xf numFmtId="17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</cellXfs>
  <cellStyles count="10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setting tolerance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Designed</c:v>
          </c:tx>
          <c:spPr>
            <a:ln w="47625">
              <a:noFill/>
            </a:ln>
          </c:spPr>
          <c:xVal>
            <c:numRef>
              <c:f>Summary!$A$3:$A$10</c:f>
              <c:numCache>
                <c:formatCode>###.00E+00</c:formatCode>
                <c:ptCount val="8"/>
                <c:pt idx="0">
                  <c:v>0.05</c:v>
                </c:pt>
                <c:pt idx="1">
                  <c:v>0.00125</c:v>
                </c:pt>
                <c:pt idx="2">
                  <c:v>0.0005</c:v>
                </c:pt>
                <c:pt idx="3">
                  <c:v>5.0E-5</c:v>
                </c:pt>
                <c:pt idx="4">
                  <c:v>1.25E-6</c:v>
                </c:pt>
                <c:pt idx="5">
                  <c:v>5E-7</c:v>
                </c:pt>
                <c:pt idx="6">
                  <c:v>5E-8</c:v>
                </c:pt>
                <c:pt idx="7">
                  <c:v>1.0E-8</c:v>
                </c:pt>
              </c:numCache>
            </c:numRef>
          </c:xVal>
          <c:yVal>
            <c:numRef>
              <c:f>Summary!$B$3:$B$10</c:f>
              <c:numCache>
                <c:formatCode>0.0000</c:formatCode>
                <c:ptCount val="8"/>
                <c:pt idx="0">
                  <c:v>0.0790517480015601</c:v>
                </c:pt>
                <c:pt idx="1">
                  <c:v>0.078946616967248</c:v>
                </c:pt>
                <c:pt idx="2">
                  <c:v>0.0757627568274575</c:v>
                </c:pt>
                <c:pt idx="3">
                  <c:v>0.0749944193074775</c:v>
                </c:pt>
                <c:pt idx="4">
                  <c:v>0.114626386377218</c:v>
                </c:pt>
                <c:pt idx="5">
                  <c:v>0.114626104692507</c:v>
                </c:pt>
                <c:pt idx="6">
                  <c:v>0.164732752588531</c:v>
                </c:pt>
                <c:pt idx="7">
                  <c:v>0.48661110686504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47625">
              <a:noFill/>
            </a:ln>
          </c:spPr>
          <c:xVal>
            <c:numRef>
              <c:f>Summary!$C$3:$C$10</c:f>
              <c:numCache>
                <c:formatCode>###.00E+00</c:formatCode>
                <c:ptCount val="8"/>
                <c:pt idx="0">
                  <c:v>0.0499979305786</c:v>
                </c:pt>
                <c:pt idx="1">
                  <c:v>0.00124981420038</c:v>
                </c:pt>
                <c:pt idx="2">
                  <c:v>0.00049997974531</c:v>
                </c:pt>
                <c:pt idx="3">
                  <c:v>4.99995105546E-5</c:v>
                </c:pt>
                <c:pt idx="4">
                  <c:v>1.25066462272E-6</c:v>
                </c:pt>
                <c:pt idx="5">
                  <c:v>5.0069805997E-7</c:v>
                </c:pt>
                <c:pt idx="6">
                  <c:v>5.06392211052E-8</c:v>
                </c:pt>
                <c:pt idx="7">
                  <c:v>1.06480762178E-8</c:v>
                </c:pt>
              </c:numCache>
            </c:numRef>
          </c:xVal>
          <c:yVal>
            <c:numRef>
              <c:f>Summary!$D$3:$D$10</c:f>
              <c:numCache>
                <c:formatCode>0.0000</c:formatCode>
                <c:ptCount val="8"/>
                <c:pt idx="0">
                  <c:v>0.00413884280001109</c:v>
                </c:pt>
                <c:pt idx="1">
                  <c:v>0.0148639695999979</c:v>
                </c:pt>
                <c:pt idx="2">
                  <c:v>0.00405093799999648</c:v>
                </c:pt>
                <c:pt idx="3">
                  <c:v>0.000978890800002233</c:v>
                </c:pt>
                <c:pt idx="4">
                  <c:v>0.0531698175999889</c:v>
                </c:pt>
                <c:pt idx="5">
                  <c:v>0.139611994</c:v>
                </c:pt>
                <c:pt idx="6">
                  <c:v>1.278442210400001</c:v>
                </c:pt>
                <c:pt idx="7">
                  <c:v>6.480762178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3912"/>
        <c:axId val="2095321528"/>
      </c:scatterChart>
      <c:valAx>
        <c:axId val="209531391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Current [A]</a:t>
                </a:r>
              </a:p>
            </c:rich>
          </c:tx>
          <c:layout/>
          <c:overlay val="0"/>
        </c:title>
        <c:numFmt formatCode="###.00E+00" sourceLinked="1"/>
        <c:majorTickMark val="out"/>
        <c:minorTickMark val="none"/>
        <c:tickLblPos val="nextTo"/>
        <c:crossAx val="2095321528"/>
        <c:crossesAt val="0.0001"/>
        <c:crossBetween val="midCat"/>
      </c:valAx>
      <c:valAx>
        <c:axId val="2095321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Tolerance [%]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95313912"/>
        <c:crossesAt val="1.0E-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</xdr:row>
      <xdr:rowOff>114300</xdr:rowOff>
    </xdr:from>
    <xdr:to>
      <xdr:col>13</xdr:col>
      <xdr:colOff>596900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1" sqref="D21"/>
    </sheetView>
  </sheetViews>
  <sheetFormatPr baseColWidth="10" defaultRowHeight="14" x14ac:dyDescent="0"/>
  <cols>
    <col min="1" max="1" width="12" bestFit="1" customWidth="1"/>
    <col min="2" max="2" width="13" bestFit="1" customWidth="1"/>
    <col min="3" max="3" width="12.6640625" bestFit="1" customWidth="1"/>
    <col min="4" max="4" width="13.6640625" bestFit="1" customWidth="1"/>
  </cols>
  <sheetData>
    <row r="1" spans="1:4">
      <c r="A1" s="53" t="s">
        <v>50</v>
      </c>
      <c r="B1" s="53" t="s">
        <v>63</v>
      </c>
      <c r="C1" s="53" t="s">
        <v>51</v>
      </c>
      <c r="D1" s="53" t="s">
        <v>62</v>
      </c>
    </row>
    <row r="2" spans="1:4">
      <c r="A2" s="19">
        <v>0.5</v>
      </c>
      <c r="B2" s="5">
        <v>0.13640550630606985</v>
      </c>
      <c r="C2" s="19"/>
      <c r="D2" s="5"/>
    </row>
    <row r="3" spans="1:4">
      <c r="A3" s="19">
        <v>0.05</v>
      </c>
      <c r="B3" s="5">
        <v>7.9051748001560118E-2</v>
      </c>
      <c r="C3" s="19">
        <v>4.9997930578599997E-2</v>
      </c>
      <c r="D3" s="5">
        <f>ABS(Measurements!C3)</f>
        <v>4.1388428000110888E-3</v>
      </c>
    </row>
    <row r="4" spans="1:4">
      <c r="A4" s="19">
        <v>1.25E-3</v>
      </c>
      <c r="B4" s="5">
        <v>7.8946616967248001E-2</v>
      </c>
      <c r="C4" s="19">
        <v>1.2498142003800001E-3</v>
      </c>
      <c r="D4" s="5">
        <f>ABS(Measurements!C4)</f>
        <v>1.4863969599997889E-2</v>
      </c>
    </row>
    <row r="5" spans="1:4">
      <c r="A5" s="19">
        <v>5.0000000000000001E-4</v>
      </c>
      <c r="B5" s="5">
        <v>7.5762756827457534E-2</v>
      </c>
      <c r="C5" s="19">
        <v>4.9997974531000003E-4</v>
      </c>
      <c r="D5" s="5">
        <f>ABS(Measurements!C5)</f>
        <v>4.0509379999964859E-3</v>
      </c>
    </row>
    <row r="6" spans="1:4">
      <c r="A6" s="19">
        <v>5.0000000000000002E-5</v>
      </c>
      <c r="B6" s="5">
        <v>7.4994419307477508E-2</v>
      </c>
      <c r="C6" s="19">
        <v>4.9999510554600001E-5</v>
      </c>
      <c r="D6" s="5">
        <f>ABS(Measurements!C6)</f>
        <v>9.7889080000223335E-4</v>
      </c>
    </row>
    <row r="7" spans="1:4">
      <c r="A7" s="19">
        <v>1.2500000000000001E-6</v>
      </c>
      <c r="B7" s="5">
        <v>0.11462638637721799</v>
      </c>
      <c r="C7" s="19">
        <v>1.25066462272E-6</v>
      </c>
      <c r="D7" s="5">
        <f>ABS(Measurements!C7)</f>
        <v>5.3169817599988865E-2</v>
      </c>
    </row>
    <row r="8" spans="1:4">
      <c r="A8" s="19">
        <v>4.9999999999999998E-7</v>
      </c>
      <c r="B8" s="5">
        <v>0.11462610469250659</v>
      </c>
      <c r="C8" s="19">
        <v>5.0069805996999998E-7</v>
      </c>
      <c r="D8" s="5">
        <f>ABS(Measurements!C8)</f>
        <v>0.13961199400000041</v>
      </c>
    </row>
    <row r="9" spans="1:4">
      <c r="A9" s="19">
        <v>4.9999999999999998E-8</v>
      </c>
      <c r="B9" s="5">
        <v>0.16473275258853121</v>
      </c>
      <c r="C9" s="19">
        <v>5.0639221105199998E-8</v>
      </c>
      <c r="D9" s="5">
        <f>ABS(Measurements!C9)</f>
        <v>1.2784422104000015</v>
      </c>
    </row>
    <row r="10" spans="1:4">
      <c r="A10" s="19">
        <v>1E-8</v>
      </c>
      <c r="B10" s="5">
        <v>0.48661110686503961</v>
      </c>
      <c r="C10" s="19">
        <v>1.06480762178E-8</v>
      </c>
      <c r="D10" s="5">
        <f>ABS(Measurements!C10)</f>
        <v>6.4807621780000009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5" zoomScaleNormal="125" zoomScalePageLayoutView="125" workbookViewId="0">
      <selection activeCell="C1" sqref="C1:C10"/>
    </sheetView>
  </sheetViews>
  <sheetFormatPr baseColWidth="10" defaultRowHeight="14" x14ac:dyDescent="0"/>
  <cols>
    <col min="1" max="1" width="12" bestFit="1" customWidth="1"/>
    <col min="2" max="2" width="12.6640625" style="60" bestFit="1" customWidth="1"/>
    <col min="3" max="3" width="12.6640625" style="60" customWidth="1"/>
    <col min="4" max="4" width="13.83203125" style="60" bestFit="1" customWidth="1"/>
    <col min="5" max="5" width="12.6640625" style="60" bestFit="1" customWidth="1"/>
    <col min="6" max="6" width="13" style="60" bestFit="1" customWidth="1"/>
  </cols>
  <sheetData>
    <row r="1" spans="1:6">
      <c r="A1" s="59" t="s">
        <v>50</v>
      </c>
      <c r="B1" s="60" t="s">
        <v>51</v>
      </c>
      <c r="C1" s="60" t="s">
        <v>54</v>
      </c>
      <c r="D1" s="60" t="s">
        <v>52</v>
      </c>
      <c r="E1" s="60" t="s">
        <v>53</v>
      </c>
      <c r="F1" s="60" t="s">
        <v>55</v>
      </c>
    </row>
    <row r="2" spans="1:6">
      <c r="A2" s="57">
        <v>0.5</v>
      </c>
      <c r="B2" s="58"/>
      <c r="C2" s="61"/>
      <c r="D2" s="58"/>
      <c r="E2" s="58"/>
    </row>
    <row r="3" spans="1:6">
      <c r="A3" s="57">
        <v>0.05</v>
      </c>
      <c r="B3" s="58">
        <v>4.9997930578599997E-2</v>
      </c>
      <c r="C3" s="61">
        <f>(B3-A3)/A3*100</f>
        <v>-4.1388428000110888E-3</v>
      </c>
      <c r="D3" s="58">
        <v>1.4927965740300001E-7</v>
      </c>
      <c r="E3" s="58">
        <v>2.99989652893E-5</v>
      </c>
      <c r="F3" s="61">
        <f>E3/B3*100</f>
        <v>6.0000413901410733E-2</v>
      </c>
    </row>
    <row r="4" spans="1:6">
      <c r="A4" s="57">
        <v>1.25E-3</v>
      </c>
      <c r="B4" s="58">
        <v>1.2498142003800001E-3</v>
      </c>
      <c r="C4" s="61">
        <f t="shared" ref="C4:C10" si="0">(B4-A4)/A4*100</f>
        <v>-1.4863969599997889E-2</v>
      </c>
      <c r="D4" s="58">
        <v>3.6507867541700002E-8</v>
      </c>
      <c r="E4" s="58">
        <v>2.6249071001900001E-6</v>
      </c>
      <c r="F4" s="61">
        <f t="shared" ref="F4:F10" si="1">E4/B4*100</f>
        <v>0.21002378588688697</v>
      </c>
    </row>
    <row r="5" spans="1:6">
      <c r="A5" s="57">
        <v>5.0000000000000001E-4</v>
      </c>
      <c r="B5" s="58">
        <v>4.9997974531000003E-4</v>
      </c>
      <c r="C5" s="61">
        <f t="shared" si="0"/>
        <v>-4.0509379999964859E-3</v>
      </c>
      <c r="D5" s="58">
        <v>1.0012761526E-9</v>
      </c>
      <c r="E5" s="58">
        <v>2.9998987265499998E-7</v>
      </c>
      <c r="F5" s="61">
        <f t="shared" si="1"/>
        <v>6.0000405110210757E-2</v>
      </c>
    </row>
    <row r="6" spans="1:6">
      <c r="A6" s="57">
        <v>5.0000000000000002E-5</v>
      </c>
      <c r="B6" s="58">
        <v>4.9999510554600001E-5</v>
      </c>
      <c r="C6" s="61">
        <f t="shared" si="0"/>
        <v>-9.7889080000223335E-4</v>
      </c>
      <c r="D6" s="58">
        <v>1.3230889223599999E-10</v>
      </c>
      <c r="E6" s="58">
        <v>2.5999755277300001E-8</v>
      </c>
      <c r="F6" s="61">
        <f t="shared" si="1"/>
        <v>5.2000019578007643E-2</v>
      </c>
    </row>
    <row r="7" spans="1:6">
      <c r="A7" s="57">
        <v>1.2500000000000001E-6</v>
      </c>
      <c r="B7" s="58">
        <v>1.25066462272E-6</v>
      </c>
      <c r="C7" s="61">
        <f t="shared" si="0"/>
        <v>5.3169817599988865E-2</v>
      </c>
      <c r="D7" s="58">
        <v>9.7927138695999998E-11</v>
      </c>
      <c r="E7" s="58">
        <v>8.2533231136000004E-10</v>
      </c>
      <c r="F7" s="61">
        <f t="shared" si="1"/>
        <v>6.5991497350027489E-2</v>
      </c>
    </row>
    <row r="8" spans="1:6">
      <c r="A8" s="57">
        <v>4.9999999999999998E-7</v>
      </c>
      <c r="B8" s="58">
        <v>5.0069805996999998E-7</v>
      </c>
      <c r="C8" s="61">
        <f t="shared" si="0"/>
        <v>0.13961199400000041</v>
      </c>
      <c r="D8" s="58">
        <v>9.6020420228199994E-11</v>
      </c>
      <c r="E8" s="58">
        <v>3.0034902998499998E-10</v>
      </c>
      <c r="F8" s="61">
        <f t="shared" si="1"/>
        <v>5.9986058264934319E-2</v>
      </c>
    </row>
    <row r="9" spans="1:6">
      <c r="A9" s="57">
        <v>4.9999999999999998E-8</v>
      </c>
      <c r="B9" s="58">
        <v>5.0639221105199998E-8</v>
      </c>
      <c r="C9" s="61">
        <f t="shared" si="0"/>
        <v>1.2784422104000015</v>
      </c>
      <c r="D9" s="58">
        <v>9.5511415107699999E-11</v>
      </c>
      <c r="E9" s="58">
        <v>7.5319610552599998E-11</v>
      </c>
      <c r="F9" s="61">
        <f t="shared" si="1"/>
        <v>0.14873769562159722</v>
      </c>
    </row>
    <row r="10" spans="1:6">
      <c r="A10" s="57">
        <v>1E-8</v>
      </c>
      <c r="B10" s="58">
        <v>1.06480762178E-8</v>
      </c>
      <c r="C10" s="61">
        <f t="shared" si="0"/>
        <v>6.4807621780000009</v>
      </c>
      <c r="D10" s="58">
        <v>9.2154079667900002E-11</v>
      </c>
      <c r="E10" s="58">
        <v>5.5324038108900002E-11</v>
      </c>
      <c r="F10" s="61">
        <f t="shared" si="1"/>
        <v>0.51956838941870864</v>
      </c>
    </row>
    <row r="13" spans="1:6">
      <c r="A13" t="s">
        <v>56</v>
      </c>
    </row>
    <row r="14" spans="1:6">
      <c r="A14" t="s">
        <v>57</v>
      </c>
    </row>
    <row r="15" spans="1:6">
      <c r="A15" t="s">
        <v>58</v>
      </c>
    </row>
    <row r="16" spans="1:6">
      <c r="A16" t="s">
        <v>59</v>
      </c>
    </row>
    <row r="17" spans="1:1">
      <c r="A17" t="s">
        <v>60</v>
      </c>
    </row>
    <row r="18" spans="1:1">
      <c r="A18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workbookViewId="0">
      <selection activeCell="E24" sqref="E24"/>
    </sheetView>
  </sheetViews>
  <sheetFormatPr baseColWidth="10" defaultColWidth="12.6640625" defaultRowHeight="15" customHeight="1" x14ac:dyDescent="0"/>
  <cols>
    <col min="1" max="1" width="14.5" style="1" bestFit="1" customWidth="1"/>
    <col min="2" max="2" width="9.1640625" style="1" bestFit="1" customWidth="1"/>
    <col min="3" max="3" width="9.6640625" style="1" bestFit="1" customWidth="1"/>
    <col min="4" max="4" width="9.6640625" style="1" customWidth="1"/>
    <col min="5" max="5" width="9.6640625" style="1" bestFit="1" customWidth="1"/>
    <col min="6" max="6" width="10.1640625" style="1" customWidth="1"/>
    <col min="7" max="7" width="10.6640625" style="1" bestFit="1" customWidth="1"/>
    <col min="8" max="8" width="8.1640625" style="1" bestFit="1" customWidth="1"/>
    <col min="9" max="9" width="13.5" style="1" bestFit="1" customWidth="1"/>
    <col min="10" max="10" width="10.6640625" style="1" bestFit="1" customWidth="1"/>
    <col min="11" max="11" width="14.6640625" style="1" bestFit="1" customWidth="1"/>
    <col min="12" max="12" width="12.6640625" style="1" bestFit="1" customWidth="1"/>
    <col min="13" max="13" width="12.83203125" style="1" bestFit="1" customWidth="1"/>
    <col min="14" max="14" width="15" style="1" bestFit="1" customWidth="1"/>
    <col min="15" max="15" width="14.1640625" style="1" bestFit="1" customWidth="1"/>
    <col min="16" max="16" width="14.1640625" style="1" customWidth="1"/>
    <col min="17" max="17" width="12.1640625" style="1" bestFit="1" customWidth="1"/>
    <col min="18" max="18" width="10.6640625" style="1" bestFit="1" customWidth="1"/>
    <col min="19" max="19" width="7.6640625" style="1" customWidth="1"/>
    <col min="20" max="20" width="11.1640625" style="1" bestFit="1" customWidth="1"/>
    <col min="21" max="23" width="7.6640625" style="1" customWidth="1"/>
    <col min="24" max="16384" width="12.6640625" style="1"/>
  </cols>
  <sheetData>
    <row r="1" spans="1:22" ht="4" customHeight="1" thickBot="1"/>
    <row r="2" spans="1:22" s="34" customFormat="1" ht="18">
      <c r="G2" s="54" t="s">
        <v>40</v>
      </c>
      <c r="H2" s="55"/>
      <c r="I2" s="56"/>
      <c r="J2" s="54" t="s">
        <v>37</v>
      </c>
      <c r="K2" s="55"/>
      <c r="L2" s="55"/>
      <c r="M2" s="55"/>
      <c r="N2" s="55"/>
      <c r="O2" s="55"/>
      <c r="P2" s="54" t="s">
        <v>47</v>
      </c>
      <c r="Q2" s="56"/>
      <c r="R2" s="55" t="s">
        <v>41</v>
      </c>
      <c r="S2" s="55"/>
      <c r="T2" s="55"/>
      <c r="U2" s="55"/>
      <c r="V2" s="56"/>
    </row>
    <row r="3" spans="1:22" s="9" customFormat="1" ht="14">
      <c r="A3" s="9" t="s">
        <v>0</v>
      </c>
      <c r="B3" s="9" t="s">
        <v>20</v>
      </c>
      <c r="C3" s="9" t="s">
        <v>36</v>
      </c>
      <c r="D3" s="9" t="s">
        <v>49</v>
      </c>
      <c r="F3" s="9" t="s">
        <v>35</v>
      </c>
      <c r="G3" s="24" t="s">
        <v>38</v>
      </c>
      <c r="H3" s="35" t="s">
        <v>19</v>
      </c>
      <c r="I3" s="25" t="s">
        <v>3</v>
      </c>
      <c r="J3" s="24" t="s">
        <v>38</v>
      </c>
      <c r="K3" s="22" t="s">
        <v>32</v>
      </c>
      <c r="L3" s="22" t="s">
        <v>43</v>
      </c>
      <c r="M3" s="22" t="s">
        <v>33</v>
      </c>
      <c r="N3" s="22" t="s">
        <v>34</v>
      </c>
      <c r="O3" s="22" t="s">
        <v>46</v>
      </c>
      <c r="P3" s="45" t="s">
        <v>48</v>
      </c>
      <c r="Q3" s="25" t="s">
        <v>39</v>
      </c>
      <c r="R3" s="35" t="s">
        <v>38</v>
      </c>
      <c r="S3" s="22" t="s">
        <v>42</v>
      </c>
      <c r="T3" s="22" t="s">
        <v>43</v>
      </c>
      <c r="U3" s="22" t="s">
        <v>44</v>
      </c>
      <c r="V3" s="25" t="s">
        <v>45</v>
      </c>
    </row>
    <row r="4" spans="1:22" ht="14">
      <c r="A4" s="1">
        <v>1.25</v>
      </c>
      <c r="B4" s="11">
        <f>10/4</f>
        <v>2.5</v>
      </c>
      <c r="C4" s="19">
        <f>$A$4/B4</f>
        <v>0.5</v>
      </c>
      <c r="D4" s="4">
        <f>(E4-C4)/C4*100</f>
        <v>0.13640550630606985</v>
      </c>
      <c r="E4" s="19">
        <f>($A$4*(1+SQRT(J4^2+R4^2)/100))/(B4*(1-SQRT(G4^2+P4^2+Q4^2)/100))</f>
        <v>0.50068202753153035</v>
      </c>
      <c r="F4" s="20">
        <v>50</v>
      </c>
      <c r="G4" s="39">
        <f>SQRT(H4^2+((I4/1000000)*(F4-25)*100)^2)</f>
        <v>5.5901699437494748E-2</v>
      </c>
      <c r="H4" s="36">
        <v>0.05</v>
      </c>
      <c r="I4" s="31">
        <v>10</v>
      </c>
      <c r="J4" s="26">
        <f>SQRT(K4^2+L4^2+M4^2+N4^2+O4^2)</f>
        <v>6.6283482105272656E-2</v>
      </c>
      <c r="K4" s="23">
        <v>0.04</v>
      </c>
      <c r="L4" s="38">
        <f>(6/1000000)*(F4-25)*100</f>
        <v>1.5000000000000001E-2</v>
      </c>
      <c r="M4" s="38">
        <f>(125/1000000)*5/$A$4*100</f>
        <v>0.05</v>
      </c>
      <c r="N4" s="38">
        <f>(150/1000000)*0.625/$A$4*100</f>
        <v>7.4999999999999997E-3</v>
      </c>
      <c r="O4" s="51">
        <f>0.000035*100</f>
        <v>3.4999999999999996E-3</v>
      </c>
      <c r="P4" s="44">
        <f>(0.00053*C4/4+0.00053*C4/2+0.00053*C4*3/4)/$A$4*100</f>
        <v>3.1799999999999995E-2</v>
      </c>
      <c r="Q4" s="46">
        <f>(0.019*0.00026+(0.00055*C4/4+0.00055*C4/2+0.00036*C4*3/4))/$A$4*100</f>
        <v>2.7695199999999996E-2</v>
      </c>
      <c r="R4" s="41">
        <f>SQRT(S4^2+T4^2+U4^2+V4^2)</f>
        <v>6.5106141031395792E-4</v>
      </c>
      <c r="S4" s="23">
        <f>(8*0.000001)/$A$4*100</f>
        <v>6.3999999999999994E-4</v>
      </c>
      <c r="T4" s="38">
        <f>(0.00000005*(F4-25))/$A$4*100</f>
        <v>9.9999999999999991E-5</v>
      </c>
      <c r="U4" s="23">
        <f>(0.000000000017*10000)/$A$4*100</f>
        <v>1.36E-5</v>
      </c>
      <c r="V4" s="27">
        <f>(0.00000000008*10000)/$A$4*100</f>
        <v>6.3999999999999997E-5</v>
      </c>
    </row>
    <row r="5" spans="1:22" ht="14">
      <c r="B5" s="53">
        <v>25</v>
      </c>
      <c r="C5" s="19">
        <f t="shared" ref="C5:C12" si="0">$A$4/B5</f>
        <v>0.05</v>
      </c>
      <c r="D5" s="4">
        <f t="shared" ref="D5:D12" si="1">(E5-C5)/C5*100</f>
        <v>7.9051748001560118E-2</v>
      </c>
      <c r="E5" s="19">
        <f t="shared" ref="E5:E12" si="2">($A$4*(1+SQRT(J5^2+R5^2)/100))/(B5*(1-SQRT(G5^2+P5^2+Q5^2)/100))</f>
        <v>5.0039525874000783E-2</v>
      </c>
      <c r="F5" s="20">
        <v>35</v>
      </c>
      <c r="G5" s="39">
        <f t="shared" ref="G5:G12" si="3">SQRT(H5^2+((I5/1000000)*(F5-25)*100)^2)</f>
        <v>1.1180339887498949E-2</v>
      </c>
      <c r="H5" s="36">
        <v>0.01</v>
      </c>
      <c r="I5" s="31">
        <v>5</v>
      </c>
      <c r="J5" s="26">
        <f t="shared" ref="J5:J12" si="4">SQRT(K5^2+L5^2+M5^2+N5^2+O5^2)</f>
        <v>6.4842115943266387E-2</v>
      </c>
      <c r="K5" s="23">
        <v>0.04</v>
      </c>
      <c r="L5" s="38">
        <f t="shared" ref="L5:L12" si="5">(6/1000000)*(F5-25)*100</f>
        <v>6.0000000000000001E-3</v>
      </c>
      <c r="M5" s="38">
        <f t="shared" ref="M5:M12" si="6">(125/1000000)*5/$A$4*100</f>
        <v>0.05</v>
      </c>
      <c r="N5" s="38">
        <f t="shared" ref="N5:N12" si="7">(150/1000000)*0.625/$A$4*100</f>
        <v>7.4999999999999997E-3</v>
      </c>
      <c r="O5" s="51">
        <f t="shared" ref="O5:O12" si="8">0.000035*100</f>
        <v>3.4999999999999996E-3</v>
      </c>
      <c r="P5" s="44">
        <f>(0.00063*C5/4+0.00063*C5/2+0.00063*C5*3/4)/$A$4*100</f>
        <v>3.7799999999999995E-3</v>
      </c>
      <c r="Q5" s="46">
        <f>((0.019+0.0006)*0.00026+0.00187*C5)/$A$4*100</f>
        <v>7.8876799999999993E-3</v>
      </c>
      <c r="R5" s="41">
        <f t="shared" ref="R5:R12" si="9">SQRT(S5^2+T5^2+U5^2+V5^2)</f>
        <v>6.445781255984413E-4</v>
      </c>
      <c r="S5" s="23">
        <f t="shared" ref="S5:S12" si="10">(8*0.000001)/$A$4*100</f>
        <v>6.3999999999999994E-4</v>
      </c>
      <c r="T5" s="38">
        <f t="shared" ref="T5:T12" si="11">(0.00000005*(F5-25))/$A$4*100</f>
        <v>3.9999999999999996E-5</v>
      </c>
      <c r="U5" s="23">
        <f t="shared" ref="U5:U11" si="12">(0.000000000017*10000)/$A$4*100</f>
        <v>1.36E-5</v>
      </c>
      <c r="V5" s="27">
        <f t="shared" ref="V5:V11" si="13">(0.00000000008*10000)/$A$4*100</f>
        <v>6.3999999999999997E-5</v>
      </c>
    </row>
    <row r="6" spans="1:22" ht="14">
      <c r="B6" s="18">
        <v>1000</v>
      </c>
      <c r="C6" s="19">
        <f t="shared" si="0"/>
        <v>1.25E-3</v>
      </c>
      <c r="D6" s="4">
        <f t="shared" si="1"/>
        <v>7.8946616967248001E-2</v>
      </c>
      <c r="E6" s="19">
        <f t="shared" si="2"/>
        <v>1.2509868327120906E-3</v>
      </c>
      <c r="F6" s="20">
        <v>25</v>
      </c>
      <c r="G6" s="39">
        <f t="shared" si="3"/>
        <v>0.01</v>
      </c>
      <c r="H6" s="36">
        <v>0.01</v>
      </c>
      <c r="I6" s="31">
        <v>5</v>
      </c>
      <c r="J6" s="26">
        <f t="shared" si="4"/>
        <v>6.4563921813966668E-2</v>
      </c>
      <c r="K6" s="23">
        <v>0.04</v>
      </c>
      <c r="L6" s="38">
        <f t="shared" si="5"/>
        <v>0</v>
      </c>
      <c r="M6" s="38">
        <f t="shared" si="6"/>
        <v>0.05</v>
      </c>
      <c r="N6" s="38">
        <f t="shared" si="7"/>
        <v>7.4999999999999997E-3</v>
      </c>
      <c r="O6" s="51">
        <f t="shared" si="8"/>
        <v>3.4999999999999996E-3</v>
      </c>
      <c r="P6" s="44">
        <f>(0.1+0.003)*C6/$A$4*100</f>
        <v>1.03E-2</v>
      </c>
      <c r="Q6" s="47">
        <f>((0.019+0.0006)*0.00026+0.00187*C6)/$A$4*100</f>
        <v>5.9467999999999999E-4</v>
      </c>
      <c r="R6" s="41">
        <f t="shared" si="9"/>
        <v>6.4333580655828563E-4</v>
      </c>
      <c r="S6" s="23">
        <f t="shared" si="10"/>
        <v>6.3999999999999994E-4</v>
      </c>
      <c r="T6" s="38">
        <f t="shared" si="11"/>
        <v>0</v>
      </c>
      <c r="U6" s="23">
        <f t="shared" si="12"/>
        <v>1.36E-5</v>
      </c>
      <c r="V6" s="27">
        <f t="shared" si="13"/>
        <v>6.3999999999999997E-5</v>
      </c>
    </row>
    <row r="7" spans="1:22" ht="14">
      <c r="B7" s="18">
        <v>2500</v>
      </c>
      <c r="C7" s="19">
        <f t="shared" si="0"/>
        <v>5.0000000000000001E-4</v>
      </c>
      <c r="D7" s="4">
        <f t="shared" si="1"/>
        <v>7.5762756827457534E-2</v>
      </c>
      <c r="E7" s="19">
        <f t="shared" si="2"/>
        <v>5.003788137841373E-4</v>
      </c>
      <c r="F7" s="20">
        <v>25</v>
      </c>
      <c r="G7" s="39">
        <f t="shared" si="3"/>
        <v>1.0396000000000639E-2</v>
      </c>
      <c r="H7" s="36">
        <f>((2000*1.0001+499*1.0001+1*1.01)-B7)/B7*100</f>
        <v>1.0396000000000639E-2</v>
      </c>
      <c r="I7" s="32">
        <f>(2000*5+499*5+1*200)/B7</f>
        <v>5.0780000000000003</v>
      </c>
      <c r="J7" s="26">
        <f t="shared" si="4"/>
        <v>6.4563921813966668E-2</v>
      </c>
      <c r="K7" s="23">
        <v>0.04</v>
      </c>
      <c r="L7" s="38">
        <f t="shared" si="5"/>
        <v>0</v>
      </c>
      <c r="M7" s="38">
        <f t="shared" si="6"/>
        <v>0.05</v>
      </c>
      <c r="N7" s="38">
        <f t="shared" si="7"/>
        <v>7.4999999999999997E-3</v>
      </c>
      <c r="O7" s="51">
        <f t="shared" si="8"/>
        <v>3.4999999999999996E-3</v>
      </c>
      <c r="P7" s="44">
        <f>(0.1+0.002+0.0006)*C7/$A$4*100</f>
        <v>4.1040000000000009E-3</v>
      </c>
      <c r="Q7" s="47">
        <f t="shared" ref="Q7" si="14">((0.019+0.0006)*0.00026+0.00187*C7)/$A$4*100</f>
        <v>4.8247999999999992E-4</v>
      </c>
      <c r="R7" s="41">
        <f t="shared" si="9"/>
        <v>6.4333580655828563E-4</v>
      </c>
      <c r="S7" s="23">
        <f t="shared" si="10"/>
        <v>6.3999999999999994E-4</v>
      </c>
      <c r="T7" s="38">
        <f t="shared" si="11"/>
        <v>0</v>
      </c>
      <c r="U7" s="23">
        <f t="shared" si="12"/>
        <v>1.36E-5</v>
      </c>
      <c r="V7" s="27">
        <f t="shared" si="13"/>
        <v>6.3999999999999997E-5</v>
      </c>
    </row>
    <row r="8" spans="1:22" ht="14">
      <c r="B8" s="18">
        <v>25000</v>
      </c>
      <c r="C8" s="19">
        <f t="shared" si="0"/>
        <v>5.0000000000000002E-5</v>
      </c>
      <c r="D8" s="4">
        <f t="shared" si="1"/>
        <v>7.4994419307477508E-2</v>
      </c>
      <c r="E8" s="19">
        <f t="shared" si="2"/>
        <v>5.0037497209653741E-5</v>
      </c>
      <c r="F8" s="20">
        <v>25</v>
      </c>
      <c r="G8" s="39">
        <f t="shared" si="3"/>
        <v>1.0395999999993365E-2</v>
      </c>
      <c r="H8" s="36">
        <f>((2*10000*1.0001+4990*1.0001+10*1.01)-B8)/B8*100</f>
        <v>1.0395999999993365E-2</v>
      </c>
      <c r="I8" s="32">
        <f>(2*10000*5+4990*5+10*200)/B8</f>
        <v>5.0780000000000003</v>
      </c>
      <c r="J8" s="26">
        <f t="shared" si="4"/>
        <v>6.4563921813966668E-2</v>
      </c>
      <c r="K8" s="23">
        <v>0.04</v>
      </c>
      <c r="L8" s="38">
        <f t="shared" si="5"/>
        <v>0</v>
      </c>
      <c r="M8" s="38">
        <f t="shared" si="6"/>
        <v>0.05</v>
      </c>
      <c r="N8" s="38">
        <f t="shared" si="7"/>
        <v>7.4999999999999997E-3</v>
      </c>
      <c r="O8" s="51">
        <f t="shared" si="8"/>
        <v>3.4999999999999996E-3</v>
      </c>
      <c r="P8" s="48">
        <f>(0.1+0.0064+2*0.0006)*C8/$A$4*100</f>
        <v>4.3040000000000005E-4</v>
      </c>
      <c r="Q8" s="47">
        <f>((0.019+0.0006+0.0015)*0.00026+0.028*C8)/$A$4*100</f>
        <v>5.5088000000000001E-4</v>
      </c>
      <c r="R8" s="41">
        <f t="shared" si="9"/>
        <v>6.4333580655828563E-4</v>
      </c>
      <c r="S8" s="23">
        <f t="shared" si="10"/>
        <v>6.3999999999999994E-4</v>
      </c>
      <c r="T8" s="38">
        <f t="shared" si="11"/>
        <v>0</v>
      </c>
      <c r="U8" s="23">
        <f t="shared" si="12"/>
        <v>1.36E-5</v>
      </c>
      <c r="V8" s="27">
        <f t="shared" si="13"/>
        <v>6.3999999999999997E-5</v>
      </c>
    </row>
    <row r="9" spans="1:22" ht="14">
      <c r="B9" s="18">
        <v>1000000</v>
      </c>
      <c r="C9" s="19">
        <f t="shared" si="0"/>
        <v>1.2500000000000001E-6</v>
      </c>
      <c r="D9" s="4">
        <f t="shared" si="1"/>
        <v>0.11462638637721799</v>
      </c>
      <c r="E9" s="19">
        <f t="shared" si="2"/>
        <v>1.2514328298297153E-6</v>
      </c>
      <c r="F9" s="20">
        <v>25</v>
      </c>
      <c r="G9" s="39">
        <f t="shared" si="3"/>
        <v>0.05</v>
      </c>
      <c r="H9" s="36">
        <v>0.05</v>
      </c>
      <c r="I9" s="31">
        <v>10</v>
      </c>
      <c r="J9" s="26">
        <f t="shared" si="4"/>
        <v>6.4563921813966668E-2</v>
      </c>
      <c r="K9" s="23">
        <v>0.04</v>
      </c>
      <c r="L9" s="38">
        <f t="shared" si="5"/>
        <v>0</v>
      </c>
      <c r="M9" s="38">
        <f t="shared" si="6"/>
        <v>0.05</v>
      </c>
      <c r="N9" s="38">
        <f t="shared" si="7"/>
        <v>7.4999999999999997E-3</v>
      </c>
      <c r="O9" s="51">
        <f t="shared" si="8"/>
        <v>3.4999999999999996E-3</v>
      </c>
      <c r="P9" s="48">
        <f>(0.1+0.0071+3*0.0006)*C9/$A$4*100</f>
        <v>1.0890000000000001E-5</v>
      </c>
      <c r="Q9" s="47">
        <f>((0.019+0.0006+0.0015)*0.00026+0.019*C9)/$A$4*100</f>
        <v>4.4078000000000005E-4</v>
      </c>
      <c r="R9" s="41">
        <f t="shared" si="9"/>
        <v>6.4333580655828563E-4</v>
      </c>
      <c r="S9" s="23">
        <f t="shared" si="10"/>
        <v>6.3999999999999994E-4</v>
      </c>
      <c r="T9" s="38">
        <f t="shared" si="11"/>
        <v>0</v>
      </c>
      <c r="U9" s="23">
        <f t="shared" si="12"/>
        <v>1.36E-5</v>
      </c>
      <c r="V9" s="27">
        <f t="shared" si="13"/>
        <v>6.3999999999999997E-5</v>
      </c>
    </row>
    <row r="10" spans="1:22" ht="14">
      <c r="B10" s="18">
        <v>2500000</v>
      </c>
      <c r="C10" s="19">
        <f t="shared" si="0"/>
        <v>4.9999999999999998E-7</v>
      </c>
      <c r="D10" s="4">
        <f t="shared" si="1"/>
        <v>0.11462610469250659</v>
      </c>
      <c r="E10" s="19">
        <f t="shared" si="2"/>
        <v>5.0057313052346251E-7</v>
      </c>
      <c r="F10" s="20">
        <v>25</v>
      </c>
      <c r="G10" s="39">
        <f t="shared" si="3"/>
        <v>0.05</v>
      </c>
      <c r="H10" s="36">
        <v>0.05</v>
      </c>
      <c r="I10" s="31">
        <v>10</v>
      </c>
      <c r="J10" s="26">
        <f t="shared" si="4"/>
        <v>6.4563921813966668E-2</v>
      </c>
      <c r="K10" s="23">
        <v>0.04</v>
      </c>
      <c r="L10" s="38">
        <f t="shared" si="5"/>
        <v>0</v>
      </c>
      <c r="M10" s="38">
        <f t="shared" si="6"/>
        <v>0.05</v>
      </c>
      <c r="N10" s="38">
        <f t="shared" si="7"/>
        <v>7.4999999999999997E-3</v>
      </c>
      <c r="O10" s="51">
        <f t="shared" si="8"/>
        <v>3.4999999999999996E-3</v>
      </c>
      <c r="P10" s="48">
        <f>(0.1+0.005+4*0.0006)*C10/$A$4*100</f>
        <v>4.296E-6</v>
      </c>
      <c r="Q10" s="47">
        <f t="shared" ref="Q10" si="15">((0.019+0.0006)*0.00026+0.00187*C10)/$A$4*100</f>
        <v>4.0775479999999992E-4</v>
      </c>
      <c r="R10" s="41">
        <f t="shared" si="9"/>
        <v>6.4333580655828563E-4</v>
      </c>
      <c r="S10" s="23">
        <f t="shared" si="10"/>
        <v>6.3999999999999994E-4</v>
      </c>
      <c r="T10" s="38">
        <f t="shared" si="11"/>
        <v>0</v>
      </c>
      <c r="U10" s="23">
        <f t="shared" si="12"/>
        <v>1.36E-5</v>
      </c>
      <c r="V10" s="27">
        <f t="shared" si="13"/>
        <v>6.3999999999999997E-5</v>
      </c>
    </row>
    <row r="11" spans="1:22" ht="14">
      <c r="B11" s="18">
        <v>25000000</v>
      </c>
      <c r="C11" s="19">
        <f t="shared" si="0"/>
        <v>4.9999999999999998E-8</v>
      </c>
      <c r="D11" s="4">
        <f t="shared" si="1"/>
        <v>0.16473275258853121</v>
      </c>
      <c r="E11" s="19">
        <f t="shared" si="2"/>
        <v>5.0082366376294263E-8</v>
      </c>
      <c r="F11" s="20">
        <v>25</v>
      </c>
      <c r="G11" s="39">
        <f t="shared" si="3"/>
        <v>0.1</v>
      </c>
      <c r="H11" s="36">
        <v>0.1</v>
      </c>
      <c r="I11" s="31">
        <v>25</v>
      </c>
      <c r="J11" s="26">
        <f t="shared" si="4"/>
        <v>6.4563921813966668E-2</v>
      </c>
      <c r="K11" s="23">
        <v>0.04</v>
      </c>
      <c r="L11" s="38">
        <f t="shared" si="5"/>
        <v>0</v>
      </c>
      <c r="M11" s="38">
        <f t="shared" si="6"/>
        <v>0.05</v>
      </c>
      <c r="N11" s="38">
        <f t="shared" si="7"/>
        <v>7.4999999999999997E-3</v>
      </c>
      <c r="O11" s="51">
        <f t="shared" si="8"/>
        <v>3.4999999999999996E-3</v>
      </c>
      <c r="P11" s="48">
        <f>(0.1+0.0019+5*0.0006)*C11/$A$4*100</f>
        <v>4.1959999999999997E-7</v>
      </c>
      <c r="Q11" s="47">
        <f>((0.019+0.0006+0.0007)*0.00026)/$A$4*100</f>
        <v>4.2223999999999994E-4</v>
      </c>
      <c r="R11" s="41">
        <f t="shared" si="9"/>
        <v>6.4333580655828563E-4</v>
      </c>
      <c r="S11" s="23">
        <f t="shared" si="10"/>
        <v>6.3999999999999994E-4</v>
      </c>
      <c r="T11" s="38">
        <f t="shared" si="11"/>
        <v>0</v>
      </c>
      <c r="U11" s="23">
        <f t="shared" si="12"/>
        <v>1.36E-5</v>
      </c>
      <c r="V11" s="27">
        <f t="shared" si="13"/>
        <v>6.3999999999999997E-5</v>
      </c>
    </row>
    <row r="12" spans="1:22" thickBot="1">
      <c r="B12" s="18">
        <v>125000000</v>
      </c>
      <c r="C12" s="19">
        <f t="shared" si="0"/>
        <v>1E-8</v>
      </c>
      <c r="D12" s="4">
        <f t="shared" si="1"/>
        <v>0.48661110686503961</v>
      </c>
      <c r="E12" s="19">
        <f t="shared" si="2"/>
        <v>1.0048661110686504E-8</v>
      </c>
      <c r="F12" s="20">
        <v>25</v>
      </c>
      <c r="G12" s="40">
        <f t="shared" si="3"/>
        <v>0.41999999999998811</v>
      </c>
      <c r="H12" s="37">
        <f>((100000000*1.005+25000000*1.001)-B12)/B12*100</f>
        <v>0.41999999999998811</v>
      </c>
      <c r="I12" s="33">
        <v>50</v>
      </c>
      <c r="J12" s="28">
        <f t="shared" si="4"/>
        <v>6.4563921813966668E-2</v>
      </c>
      <c r="K12" s="29">
        <v>0.04</v>
      </c>
      <c r="L12" s="42">
        <f t="shared" si="5"/>
        <v>0</v>
      </c>
      <c r="M12" s="42">
        <f t="shared" si="6"/>
        <v>0.05</v>
      </c>
      <c r="N12" s="42">
        <f t="shared" si="7"/>
        <v>7.4999999999999997E-3</v>
      </c>
      <c r="O12" s="52">
        <f t="shared" si="8"/>
        <v>3.4999999999999996E-3</v>
      </c>
      <c r="P12" s="49">
        <f>(0.1+0.0013+6*0.0006)*C12/$A$4*100</f>
        <v>8.392E-8</v>
      </c>
      <c r="Q12" s="50">
        <f>((0.019+0.0006+0.0007)*0.00026)/$A$4*100</f>
        <v>4.2223999999999994E-4</v>
      </c>
      <c r="R12" s="43">
        <f t="shared" si="9"/>
        <v>6.4333580655828563E-4</v>
      </c>
      <c r="S12" s="29">
        <f t="shared" si="10"/>
        <v>6.3999999999999994E-4</v>
      </c>
      <c r="T12" s="42">
        <f t="shared" si="11"/>
        <v>0</v>
      </c>
      <c r="U12" s="29">
        <f>(0.000000000017*10000)/$A$4*100</f>
        <v>1.36E-5</v>
      </c>
      <c r="V12" s="30">
        <f>(0.00000000008*10000)/$A$4*100</f>
        <v>6.3999999999999997E-5</v>
      </c>
    </row>
    <row r="13" spans="1:22" ht="14"/>
    <row r="14" spans="1:22" ht="14">
      <c r="A14" s="17"/>
      <c r="C14" s="3"/>
      <c r="D14" s="3"/>
      <c r="E14" s="3"/>
      <c r="F14" s="3"/>
      <c r="G14" s="3"/>
      <c r="I14" s="3"/>
      <c r="K14" s="3"/>
      <c r="L14" s="3"/>
      <c r="M14" s="3"/>
      <c r="N14" s="3"/>
      <c r="O14" s="3"/>
      <c r="P14" s="3"/>
    </row>
    <row r="15" spans="1:22" ht="14">
      <c r="B15"/>
      <c r="C15" s="3"/>
      <c r="D15" s="3"/>
      <c r="E15" s="3"/>
      <c r="F15" s="3"/>
      <c r="G15" s="3"/>
      <c r="H15"/>
      <c r="I15" s="3"/>
      <c r="J15"/>
      <c r="K15" s="3"/>
      <c r="L15" s="3"/>
      <c r="M15" s="3"/>
      <c r="N15" s="3"/>
      <c r="O15" s="3"/>
      <c r="P15" s="3"/>
    </row>
    <row r="16" spans="1:22" ht="14">
      <c r="B16"/>
      <c r="C16" s="3"/>
      <c r="D16" s="3"/>
      <c r="E16" s="3"/>
      <c r="F16" s="3"/>
      <c r="G16" s="3"/>
      <c r="H16"/>
      <c r="I16" s="3"/>
      <c r="J16"/>
      <c r="K16" s="3"/>
      <c r="L16" s="3"/>
      <c r="M16" s="3"/>
      <c r="N16" s="3"/>
      <c r="O16" s="3"/>
      <c r="P16" s="3"/>
    </row>
    <row r="17" spans="2:16" ht="14">
      <c r="B17"/>
      <c r="C17" s="3"/>
      <c r="D17" s="3"/>
      <c r="E17" s="3"/>
      <c r="F17" s="3"/>
      <c r="G17" s="3"/>
      <c r="H17"/>
      <c r="I17" s="3"/>
      <c r="J17"/>
      <c r="K17" s="3"/>
      <c r="L17" s="3"/>
      <c r="M17" s="3"/>
      <c r="N17" s="3"/>
      <c r="O17" s="3"/>
      <c r="P17" s="3"/>
    </row>
    <row r="18" spans="2:16" ht="14"/>
    <row r="19" spans="2:16" ht="14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2:16" ht="14">
      <c r="B20"/>
      <c r="H20"/>
      <c r="J20"/>
    </row>
    <row r="21" spans="2:16" ht="14">
      <c r="B21"/>
      <c r="C21" s="5"/>
      <c r="D21" s="5"/>
      <c r="E21" s="5"/>
      <c r="F21" s="5"/>
      <c r="G21" s="5"/>
      <c r="H21"/>
      <c r="I21" s="5"/>
      <c r="J21"/>
      <c r="K21" s="5"/>
      <c r="L21" s="5"/>
      <c r="M21" s="5"/>
      <c r="N21" s="5"/>
      <c r="O21" s="5"/>
      <c r="P21" s="5"/>
    </row>
    <row r="22" spans="2:16" ht="14">
      <c r="B22"/>
      <c r="C22" s="5"/>
      <c r="D22" s="5"/>
      <c r="E22" s="5"/>
      <c r="F22" s="5"/>
      <c r="G22" s="5"/>
      <c r="H22"/>
      <c r="I22" s="5"/>
      <c r="J22"/>
      <c r="K22" s="5"/>
      <c r="L22" s="5"/>
      <c r="M22" s="5"/>
      <c r="N22" s="5"/>
      <c r="O22" s="5"/>
      <c r="P22" s="5"/>
    </row>
    <row r="23" spans="2:16" ht="14">
      <c r="B23"/>
      <c r="C23" s="5"/>
      <c r="D23" s="5"/>
      <c r="E23" s="5"/>
      <c r="F23" s="5"/>
      <c r="G23" s="5"/>
      <c r="H23"/>
      <c r="I23" s="5"/>
      <c r="J23"/>
      <c r="K23" s="5"/>
      <c r="L23" s="5"/>
      <c r="M23" s="5"/>
      <c r="N23" s="5"/>
      <c r="O23" s="5"/>
      <c r="P23" s="5"/>
    </row>
    <row r="24" spans="2:16" ht="14">
      <c r="B24"/>
      <c r="C24" s="5"/>
      <c r="D24" s="5"/>
      <c r="E24" s="5"/>
      <c r="F24" s="5"/>
      <c r="G24" s="5"/>
      <c r="H24"/>
      <c r="I24" s="5"/>
      <c r="J24"/>
      <c r="K24" s="5"/>
      <c r="L24" s="5"/>
      <c r="M24" s="5"/>
      <c r="N24" s="5"/>
      <c r="O24" s="5"/>
      <c r="P24" s="5"/>
    </row>
    <row r="25" spans="2:16" ht="14">
      <c r="B25"/>
      <c r="C25" s="5"/>
      <c r="D25" s="5"/>
      <c r="E25" s="5"/>
      <c r="F25" s="5"/>
      <c r="G25" s="5"/>
      <c r="H25"/>
      <c r="I25" s="5"/>
      <c r="J25"/>
      <c r="K25" s="5"/>
      <c r="L25" s="5"/>
      <c r="M25" s="5"/>
      <c r="N25" s="5"/>
      <c r="O25" s="5"/>
      <c r="P25" s="5"/>
    </row>
    <row r="26" spans="2:16" ht="14">
      <c r="B26"/>
      <c r="C26" s="5"/>
      <c r="D26" s="5"/>
      <c r="E26" s="5"/>
      <c r="F26" s="5"/>
      <c r="G26" s="5"/>
      <c r="H26"/>
      <c r="I26" s="5"/>
      <c r="J26"/>
      <c r="K26" s="5"/>
      <c r="L26" s="5"/>
      <c r="M26" s="5"/>
      <c r="N26" s="5"/>
      <c r="O26" s="5"/>
      <c r="P26" s="5"/>
    </row>
    <row r="27" spans="2:16" ht="14">
      <c r="B27"/>
      <c r="C27" s="5"/>
      <c r="D27" s="5"/>
      <c r="E27" s="5"/>
      <c r="F27" s="5"/>
      <c r="G27" s="5"/>
      <c r="H27"/>
      <c r="I27" s="5"/>
      <c r="J27"/>
      <c r="K27" s="5"/>
      <c r="L27" s="5"/>
      <c r="M27" s="5"/>
      <c r="N27" s="5"/>
      <c r="O27" s="5"/>
      <c r="P27" s="5"/>
    </row>
    <row r="28" spans="2:16" ht="14">
      <c r="B28"/>
      <c r="C28" s="5"/>
      <c r="D28" s="5"/>
      <c r="E28" s="5"/>
      <c r="F28" s="5"/>
      <c r="G28" s="5"/>
      <c r="H28"/>
      <c r="I28" s="5"/>
      <c r="J28"/>
      <c r="K28" s="5"/>
      <c r="L28" s="5"/>
      <c r="M28" s="5"/>
      <c r="N28" s="5"/>
      <c r="O28" s="5"/>
      <c r="P28" s="5"/>
    </row>
    <row r="29" spans="2:16" ht="14">
      <c r="B29"/>
      <c r="C29" s="5"/>
      <c r="D29" s="5"/>
      <c r="E29" s="5"/>
      <c r="F29" s="5"/>
      <c r="G29" s="5"/>
      <c r="H29"/>
      <c r="I29" s="5"/>
      <c r="J29"/>
      <c r="K29" s="5"/>
      <c r="L29" s="5"/>
      <c r="M29" s="5"/>
      <c r="N29" s="5"/>
      <c r="O29" s="5"/>
      <c r="P29" s="5"/>
    </row>
    <row r="30" spans="2:16" ht="14">
      <c r="B30"/>
      <c r="C30" s="5"/>
      <c r="D30" s="5"/>
      <c r="E30" s="5"/>
      <c r="F30" s="5"/>
      <c r="G30" s="5"/>
      <c r="H30"/>
      <c r="I30" s="5"/>
      <c r="J30"/>
      <c r="K30" s="5"/>
      <c r="L30" s="5"/>
      <c r="M30" s="5"/>
      <c r="N30" s="5"/>
      <c r="O30" s="5"/>
      <c r="P30" s="5"/>
    </row>
    <row r="31" spans="2:16" ht="14">
      <c r="B31"/>
      <c r="C31" s="5"/>
      <c r="D31" s="5"/>
      <c r="E31" s="5"/>
      <c r="F31" s="5"/>
      <c r="G31" s="5"/>
      <c r="H31"/>
      <c r="I31" s="5"/>
      <c r="J31"/>
      <c r="K31" s="5"/>
      <c r="L31" s="5"/>
      <c r="M31" s="5"/>
      <c r="N31" s="5"/>
      <c r="O31" s="5"/>
      <c r="P31" s="5"/>
    </row>
    <row r="32" spans="2:16" ht="14">
      <c r="B32"/>
      <c r="C32" s="5"/>
      <c r="D32" s="5"/>
      <c r="E32" s="5"/>
      <c r="F32" s="5"/>
      <c r="G32" s="5"/>
      <c r="H32"/>
      <c r="I32" s="5"/>
      <c r="J32"/>
      <c r="K32" s="5"/>
      <c r="L32" s="5"/>
      <c r="M32" s="5"/>
      <c r="N32" s="5"/>
      <c r="O32" s="5"/>
      <c r="P32" s="5"/>
    </row>
    <row r="33" spans="2:16" ht="14">
      <c r="B33"/>
      <c r="C33" s="5"/>
      <c r="D33" s="5"/>
      <c r="E33" s="5"/>
      <c r="F33" s="5"/>
      <c r="G33" s="5"/>
      <c r="H33"/>
      <c r="I33" s="5"/>
      <c r="J33"/>
      <c r="K33" s="5"/>
      <c r="L33" s="5"/>
      <c r="M33" s="5"/>
      <c r="N33" s="5"/>
      <c r="O33" s="5"/>
      <c r="P33" s="5"/>
    </row>
    <row r="34" spans="2:16" ht="14">
      <c r="B34"/>
      <c r="C34" s="5"/>
      <c r="D34" s="5"/>
      <c r="E34" s="5"/>
      <c r="F34" s="5"/>
      <c r="G34" s="5"/>
      <c r="H34"/>
      <c r="I34" s="5"/>
      <c r="J34"/>
      <c r="K34" s="5"/>
      <c r="L34" s="5"/>
      <c r="M34" s="5"/>
      <c r="N34" s="5"/>
      <c r="O34" s="5"/>
      <c r="P34" s="5"/>
    </row>
    <row r="35" spans="2:16" ht="14">
      <c r="B35"/>
      <c r="C35" s="5"/>
      <c r="D35" s="5"/>
      <c r="E35" s="5"/>
      <c r="F35" s="5"/>
      <c r="G35" s="5"/>
      <c r="H35"/>
      <c r="I35" s="5"/>
      <c r="J35"/>
      <c r="K35" s="5"/>
      <c r="L35" s="5"/>
      <c r="M35" s="5"/>
      <c r="N35" s="5"/>
      <c r="O35" s="5"/>
      <c r="P35" s="5"/>
    </row>
    <row r="36" spans="2:16" ht="14">
      <c r="B36"/>
      <c r="C36" s="5"/>
      <c r="D36" s="5"/>
      <c r="E36" s="5"/>
      <c r="F36" s="5"/>
      <c r="G36" s="5"/>
      <c r="H36"/>
      <c r="I36" s="5"/>
      <c r="J36"/>
      <c r="K36" s="5"/>
      <c r="L36" s="5"/>
      <c r="M36" s="5"/>
      <c r="N36" s="5"/>
      <c r="O36" s="5"/>
      <c r="P36" s="5"/>
    </row>
    <row r="37" spans="2:16" ht="14">
      <c r="B37"/>
      <c r="C37" s="5"/>
      <c r="D37" s="5"/>
      <c r="E37" s="5"/>
      <c r="F37" s="5"/>
      <c r="G37" s="5"/>
      <c r="H37"/>
      <c r="I37" s="5"/>
      <c r="J37"/>
      <c r="K37" s="5"/>
      <c r="L37" s="5"/>
      <c r="M37" s="5"/>
      <c r="N37" s="5"/>
      <c r="O37" s="5"/>
      <c r="P37" s="5"/>
    </row>
    <row r="38" spans="2:16" ht="14">
      <c r="B38"/>
      <c r="C38" s="5"/>
      <c r="D38" s="5"/>
      <c r="E38" s="5"/>
      <c r="F38" s="5"/>
      <c r="G38" s="5"/>
      <c r="H38"/>
      <c r="I38" s="5"/>
      <c r="J38"/>
      <c r="K38" s="5"/>
      <c r="L38" s="5"/>
      <c r="M38" s="5"/>
      <c r="N38" s="5"/>
      <c r="O38" s="5"/>
      <c r="P38" s="5"/>
    </row>
    <row r="39" spans="2:16" ht="14"/>
    <row r="40" spans="2:16" ht="14"/>
    <row r="41" spans="2:16" ht="14"/>
    <row r="42" spans="2:16" ht="14"/>
    <row r="43" spans="2:16" ht="14"/>
    <row r="44" spans="2:16" ht="14"/>
    <row r="45" spans="2:16" ht="14"/>
    <row r="46" spans="2:16" ht="14"/>
    <row r="47" spans="2:16" ht="14"/>
    <row r="48" spans="2:16" ht="14"/>
    <row r="49" ht="14"/>
    <row r="50" ht="14"/>
    <row r="51" ht="14"/>
    <row r="52" ht="14"/>
    <row r="53" ht="14"/>
    <row r="54" ht="14"/>
    <row r="55" ht="14"/>
    <row r="56" ht="14"/>
    <row r="57" ht="14"/>
    <row r="58" ht="14"/>
    <row r="59" ht="14"/>
    <row r="60" ht="14"/>
    <row r="61" ht="14"/>
    <row r="62" ht="14"/>
    <row r="63" ht="14"/>
    <row r="64" ht="14"/>
    <row r="65" ht="14"/>
    <row r="66" ht="14"/>
    <row r="67" ht="14"/>
    <row r="68" ht="14"/>
    <row r="69" ht="14"/>
    <row r="70" ht="14"/>
    <row r="71" ht="14"/>
    <row r="72" ht="14"/>
    <row r="73" ht="14"/>
    <row r="74" ht="14"/>
    <row r="75" ht="14"/>
    <row r="76" ht="14"/>
    <row r="77" ht="14"/>
    <row r="78" ht="14"/>
    <row r="79" ht="14"/>
    <row r="80" ht="14"/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</sheetData>
  <mergeCells count="4">
    <mergeCell ref="J2:O2"/>
    <mergeCell ref="R2:V2"/>
    <mergeCell ref="P2:Q2"/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1"/>
  <sheetViews>
    <sheetView workbookViewId="0">
      <selection activeCell="J17" sqref="J17"/>
    </sheetView>
  </sheetViews>
  <sheetFormatPr baseColWidth="10" defaultColWidth="12.6640625" defaultRowHeight="15" customHeight="1" x14ac:dyDescent="0"/>
  <cols>
    <col min="1" max="1" width="14.5" style="1" bestFit="1" customWidth="1"/>
    <col min="2" max="2" width="9.1640625" style="1" bestFit="1" customWidth="1"/>
    <col min="3" max="3" width="10.1640625" style="1" bestFit="1" customWidth="1"/>
    <col min="4" max="4" width="11" style="1" bestFit="1" customWidth="1"/>
    <col min="5" max="5" width="25.33203125" style="1" bestFit="1" customWidth="1"/>
    <col min="6" max="6" width="7.6640625" style="1" customWidth="1"/>
    <col min="7" max="7" width="8" style="1" customWidth="1"/>
    <col min="8" max="8" width="13.5" style="1" bestFit="1" customWidth="1"/>
    <col min="9" max="9" width="8.5" style="1" customWidth="1"/>
    <col min="10" max="10" width="19" style="1" customWidth="1"/>
    <col min="11" max="16384" width="12.6640625" style="1"/>
  </cols>
  <sheetData>
    <row r="1" spans="1:10" s="9" customFormat="1" ht="14">
      <c r="A1" s="9" t="s">
        <v>0</v>
      </c>
      <c r="B1" s="9" t="s">
        <v>20</v>
      </c>
      <c r="C1" s="9" t="s">
        <v>36</v>
      </c>
      <c r="D1" s="9" t="s">
        <v>1</v>
      </c>
      <c r="E1" s="9" t="s">
        <v>5</v>
      </c>
      <c r="F1" s="7" t="s">
        <v>19</v>
      </c>
      <c r="G1" s="9" t="s">
        <v>2</v>
      </c>
      <c r="H1" s="9" t="s">
        <v>3</v>
      </c>
      <c r="I1" s="9" t="s">
        <v>4</v>
      </c>
      <c r="J1" s="7" t="s">
        <v>21</v>
      </c>
    </row>
    <row r="2" spans="1:10" ht="14">
      <c r="A2" s="1">
        <v>1.25</v>
      </c>
      <c r="B2" s="11">
        <f>10/4</f>
        <v>2.5</v>
      </c>
      <c r="C2" s="19">
        <f>$A$2/B2</f>
        <v>0.5</v>
      </c>
      <c r="D2" s="2">
        <f>$A$2^2/B2</f>
        <v>0.625</v>
      </c>
      <c r="E2" s="6" t="s">
        <v>17</v>
      </c>
      <c r="F2" s="8">
        <v>0.05</v>
      </c>
      <c r="G2" s="1">
        <f>4*0.25</f>
        <v>1</v>
      </c>
      <c r="H2" s="16">
        <v>10</v>
      </c>
      <c r="I2" s="12" t="s">
        <v>6</v>
      </c>
      <c r="J2" s="10" t="s">
        <v>11</v>
      </c>
    </row>
    <row r="3" spans="1:10" ht="14">
      <c r="B3" s="1">
        <v>25</v>
      </c>
      <c r="C3" s="19">
        <f t="shared" ref="C3:C10" si="0">$A$2/B3</f>
        <v>0.05</v>
      </c>
      <c r="D3" s="2">
        <f t="shared" ref="D3:D10" si="1">$A$2^2/B3</f>
        <v>6.25E-2</v>
      </c>
      <c r="E3" s="6" t="s">
        <v>18</v>
      </c>
      <c r="F3" s="8">
        <v>0.01</v>
      </c>
      <c r="G3" s="1">
        <f>4/16</f>
        <v>0.25</v>
      </c>
      <c r="H3" s="16">
        <v>5</v>
      </c>
      <c r="I3" s="12" t="s">
        <v>8</v>
      </c>
      <c r="J3" s="10" t="s">
        <v>22</v>
      </c>
    </row>
    <row r="4" spans="1:10" ht="14">
      <c r="B4" s="18">
        <v>1000</v>
      </c>
      <c r="C4" s="19">
        <f t="shared" si="0"/>
        <v>1.25E-3</v>
      </c>
      <c r="D4" s="2">
        <f t="shared" si="1"/>
        <v>1.5625000000000001E-3</v>
      </c>
      <c r="E4" s="6" t="s">
        <v>9</v>
      </c>
      <c r="F4" s="8">
        <v>0.01</v>
      </c>
      <c r="G4" s="1">
        <f>1*0.1</f>
        <v>0.1</v>
      </c>
      <c r="H4" s="15">
        <v>5</v>
      </c>
      <c r="I4" s="13" t="s">
        <v>7</v>
      </c>
      <c r="J4" s="10" t="s">
        <v>12</v>
      </c>
    </row>
    <row r="5" spans="1:10" ht="42">
      <c r="B5" s="18">
        <v>2500</v>
      </c>
      <c r="C5" s="19">
        <f t="shared" si="0"/>
        <v>5.0000000000000001E-4</v>
      </c>
      <c r="D5" s="2">
        <f t="shared" si="1"/>
        <v>6.2500000000000001E-4</v>
      </c>
      <c r="E5" s="6" t="s">
        <v>13</v>
      </c>
      <c r="F5" s="8">
        <f>((2000*1.0001+499*1.0001+1*1.01)-B5)/B5*100</f>
        <v>1.0396000000000639E-2</v>
      </c>
      <c r="G5" s="4">
        <f>0.125*2000/B5+0.1*499/B5+0.1*1/B5</f>
        <v>0.12000000000000001</v>
      </c>
      <c r="H5" s="21">
        <f>(2000*5+499*5+1*200)/B5</f>
        <v>5.0780000000000003</v>
      </c>
      <c r="I5" s="14" t="s">
        <v>24</v>
      </c>
      <c r="J5" s="10" t="s">
        <v>25</v>
      </c>
    </row>
    <row r="6" spans="1:10" ht="42">
      <c r="B6" s="18">
        <v>25000</v>
      </c>
      <c r="C6" s="19">
        <f t="shared" si="0"/>
        <v>5.0000000000000002E-5</v>
      </c>
      <c r="D6" s="2">
        <f t="shared" si="1"/>
        <v>6.2500000000000001E-5</v>
      </c>
      <c r="E6" s="6" t="s">
        <v>26</v>
      </c>
      <c r="F6" s="8">
        <f>((2*10000*1.0001+4990*1.0001+10*1.01)-B6)/B6*100</f>
        <v>1.0395999999993365E-2</v>
      </c>
      <c r="G6" s="1">
        <f>2/16*10000/B6+1/16*4990/B6 +1/10*1/B6</f>
        <v>6.2479E-2</v>
      </c>
      <c r="H6" s="21">
        <f>(2*10000*5+4990*5+10*200)/B6</f>
        <v>5.0780000000000003</v>
      </c>
      <c r="I6" s="14" t="s">
        <v>27</v>
      </c>
      <c r="J6" s="10" t="s">
        <v>28</v>
      </c>
    </row>
    <row r="7" spans="1:10" ht="14">
      <c r="B7" s="18">
        <v>1000000</v>
      </c>
      <c r="C7" s="19">
        <f t="shared" si="0"/>
        <v>1.2500000000000001E-6</v>
      </c>
      <c r="D7" s="2">
        <f t="shared" si="1"/>
        <v>1.5625000000000001E-6</v>
      </c>
      <c r="E7" s="6" t="s">
        <v>14</v>
      </c>
      <c r="F7" s="8">
        <v>0.05</v>
      </c>
      <c r="G7" s="1">
        <f>0.25</f>
        <v>0.25</v>
      </c>
      <c r="H7" s="15">
        <v>10</v>
      </c>
      <c r="I7" s="13" t="s">
        <v>6</v>
      </c>
      <c r="J7" s="10" t="s">
        <v>15</v>
      </c>
    </row>
    <row r="8" spans="1:10" ht="42">
      <c r="B8" s="18">
        <v>2500000</v>
      </c>
      <c r="C8" s="19">
        <f t="shared" si="0"/>
        <v>4.9999999999999998E-7</v>
      </c>
      <c r="D8" s="2">
        <f t="shared" si="1"/>
        <v>6.2500000000000005E-7</v>
      </c>
      <c r="E8" s="6" t="s">
        <v>16</v>
      </c>
      <c r="F8" s="8">
        <v>0.05</v>
      </c>
      <c r="G8" s="4">
        <f>0.25*2000000/B8+0.125*470000/B8+0.1*30000/B8</f>
        <v>0.22470000000000001</v>
      </c>
      <c r="H8" s="15">
        <v>10</v>
      </c>
      <c r="I8" s="14" t="s">
        <v>24</v>
      </c>
      <c r="J8" s="10" t="s">
        <v>23</v>
      </c>
    </row>
    <row r="9" spans="1:10" ht="28">
      <c r="B9" s="18">
        <v>25000000</v>
      </c>
      <c r="C9" s="19">
        <f t="shared" si="0"/>
        <v>4.9999999999999998E-8</v>
      </c>
      <c r="D9" s="2">
        <f t="shared" si="1"/>
        <v>6.2499999999999997E-8</v>
      </c>
      <c r="E9" s="6" t="s">
        <v>29</v>
      </c>
      <c r="F9" s="8">
        <v>0.1</v>
      </c>
      <c r="G9" s="1">
        <f>13*0.1</f>
        <v>1.3</v>
      </c>
      <c r="H9" s="15">
        <v>25</v>
      </c>
      <c r="I9" s="13" t="s">
        <v>7</v>
      </c>
      <c r="J9" s="10" t="s">
        <v>30</v>
      </c>
    </row>
    <row r="10" spans="1:10" ht="28">
      <c r="B10" s="18">
        <v>125000000</v>
      </c>
      <c r="C10" s="19">
        <f t="shared" si="0"/>
        <v>1E-8</v>
      </c>
      <c r="D10" s="2">
        <f t="shared" si="1"/>
        <v>1.2499999999999999E-8</v>
      </c>
      <c r="E10" s="6" t="s">
        <v>31</v>
      </c>
      <c r="F10" s="8">
        <f>((100000000*1.005+25000000*1.001)-B10)/B10*100</f>
        <v>0.41999999999998811</v>
      </c>
      <c r="G10" s="1">
        <f>10*0.1*100000000/B10+14*0.1*25000000/B10</f>
        <v>1.08</v>
      </c>
      <c r="H10" s="15">
        <v>50</v>
      </c>
      <c r="I10" s="13" t="s">
        <v>8</v>
      </c>
      <c r="J10" s="10" t="s">
        <v>10</v>
      </c>
    </row>
    <row r="11" spans="1:10" ht="14"/>
    <row r="12" spans="1:10" ht="14"/>
    <row r="13" spans="1:10" ht="14">
      <c r="A13"/>
      <c r="B13"/>
      <c r="D13"/>
      <c r="E13"/>
      <c r="F13"/>
    </row>
    <row r="14" spans="1:10" ht="14">
      <c r="B14"/>
      <c r="C14" s="5"/>
      <c r="D14"/>
      <c r="F14"/>
      <c r="G14" s="5"/>
      <c r="H14" s="5"/>
      <c r="I14" s="5"/>
    </row>
    <row r="15" spans="1:10" ht="14">
      <c r="B15"/>
      <c r="C15" s="5"/>
      <c r="D15"/>
      <c r="F15"/>
      <c r="G15" s="5"/>
      <c r="H15" s="5"/>
      <c r="I15" s="5"/>
    </row>
    <row r="16" spans="1:10" ht="14">
      <c r="B16"/>
      <c r="C16" s="5"/>
      <c r="D16"/>
      <c r="F16"/>
      <c r="G16" s="5"/>
      <c r="H16" s="5"/>
      <c r="I16" s="5"/>
    </row>
    <row r="17" spans="2:9" ht="14">
      <c r="B17"/>
      <c r="C17" s="5"/>
      <c r="D17"/>
      <c r="F17"/>
      <c r="G17" s="5"/>
      <c r="H17" s="5"/>
      <c r="I17" s="5"/>
    </row>
    <row r="18" spans="2:9" ht="14">
      <c r="B18"/>
      <c r="C18" s="5"/>
      <c r="D18"/>
      <c r="F18"/>
      <c r="G18" s="5"/>
      <c r="H18" s="5"/>
      <c r="I18" s="5"/>
    </row>
    <row r="19" spans="2:9" ht="14">
      <c r="B19"/>
      <c r="C19" s="5"/>
      <c r="D19"/>
      <c r="F19"/>
      <c r="G19" s="5"/>
      <c r="H19" s="5"/>
      <c r="I19" s="5"/>
    </row>
    <row r="20" spans="2:9" ht="14">
      <c r="B20"/>
      <c r="C20" s="5"/>
      <c r="D20"/>
      <c r="F20"/>
      <c r="G20" s="5"/>
      <c r="H20" s="5"/>
      <c r="I20" s="5"/>
    </row>
    <row r="21" spans="2:9" ht="14"/>
    <row r="22" spans="2:9" ht="14"/>
    <row r="23" spans="2:9" ht="14"/>
    <row r="24" spans="2:9" ht="14"/>
    <row r="25" spans="2:9" ht="14"/>
    <row r="26" spans="2:9" ht="14"/>
    <row r="27" spans="2:9" ht="14"/>
    <row r="28" spans="2:9" ht="14"/>
    <row r="29" spans="2:9" ht="14"/>
    <row r="30" spans="2:9" ht="14"/>
    <row r="31" spans="2:9" ht="14"/>
    <row r="32" spans="2:9" ht="14"/>
    <row r="33" ht="14"/>
    <row r="34" ht="14"/>
    <row r="35" ht="14"/>
    <row r="36" ht="14"/>
    <row r="37" ht="14"/>
    <row r="38" ht="14"/>
    <row r="39" ht="14"/>
    <row r="40" ht="14"/>
    <row r="41" ht="14"/>
    <row r="42" ht="14"/>
    <row r="43" ht="14"/>
    <row r="44" ht="14"/>
    <row r="45" ht="14"/>
    <row r="46" ht="14"/>
    <row r="47" ht="14"/>
    <row r="48" ht="14"/>
    <row r="49" ht="14"/>
    <row r="50" ht="14"/>
    <row r="51" ht="14"/>
    <row r="52" ht="14"/>
    <row r="53" ht="14"/>
    <row r="54" ht="14"/>
    <row r="55" ht="14"/>
    <row r="56" ht="14"/>
    <row r="57" ht="14"/>
    <row r="58" ht="14"/>
    <row r="59" ht="14"/>
    <row r="60" ht="14"/>
    <row r="61" ht="14"/>
    <row r="62" ht="14"/>
    <row r="63" ht="14"/>
    <row r="64" ht="14"/>
    <row r="65" ht="14"/>
    <row r="66" ht="14"/>
    <row r="67" ht="14"/>
    <row r="68" ht="14"/>
    <row r="69" ht="14"/>
    <row r="70" ht="14"/>
    <row r="71" ht="14"/>
    <row r="72" ht="14"/>
    <row r="73" ht="14"/>
    <row r="74" ht="14"/>
    <row r="75" ht="14"/>
    <row r="76" ht="14"/>
    <row r="77" ht="14"/>
    <row r="78" ht="14"/>
    <row r="79" ht="14"/>
    <row r="80" ht="14"/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Measurements</vt:lpstr>
      <vt:lpstr>Designed tolerance</vt:lpstr>
      <vt:lpstr>Resistor 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2017-10-14T12:32:18Z</dcterms:modified>
</cp:coreProperties>
</file>