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25892\Downloads\"/>
    </mc:Choice>
  </mc:AlternateContent>
  <bookViews>
    <workbookView xWindow="0" yWindow="600" windowWidth="20490" windowHeight="7005"/>
  </bookViews>
  <sheets>
    <sheet name="Tabela" sheetId="1" r:id="rId1"/>
    <sheet name="   " sheetId="2" state="hidden" r:id="rId2"/>
    <sheet name="Jogo" sheetId="3" state="hidden" r:id="rId3"/>
    <sheet name="time" sheetId="4" r:id="rId4"/>
    <sheet name="Mais Tabelas" sheetId="5" r:id="rId5"/>
  </sheets>
  <definedNames>
    <definedName name="B5I">Jogo!$K$58</definedName>
    <definedName name="BR20I4">Tabela!$O$78</definedName>
    <definedName name="Brasil">Tabela!$W$2</definedName>
    <definedName name="Copa" localSheetId="2">Jogo!$K$1</definedName>
    <definedName name="D5I">Jogo!$N$58</definedName>
    <definedName name="FIFA">Jogo!$H$1</definedName>
  </definedNames>
  <calcPr calcId="162913"/>
</workbook>
</file>

<file path=xl/calcChain.xml><?xml version="1.0" encoding="utf-8"?>
<calcChain xmlns="http://schemas.openxmlformats.org/spreadsheetml/2006/main">
  <c r="D2" i="5" l="1"/>
  <c r="C8" i="4"/>
  <c r="H64" i="3"/>
  <c r="G64" i="3"/>
  <c r="F64" i="3"/>
  <c r="E64" i="3"/>
  <c r="D64" i="3"/>
  <c r="C64" i="3"/>
  <c r="A64" i="3"/>
  <c r="H63" i="3"/>
  <c r="G63" i="3"/>
  <c r="F63" i="3"/>
  <c r="E63" i="3"/>
  <c r="D63" i="3"/>
  <c r="B63" i="3" s="1"/>
  <c r="C63" i="3"/>
  <c r="A63" i="3"/>
  <c r="H62" i="3"/>
  <c r="G62" i="3"/>
  <c r="I62" i="3" s="1"/>
  <c r="F62" i="3"/>
  <c r="E62" i="3"/>
  <c r="B62" i="3" s="1"/>
  <c r="D62" i="3"/>
  <c r="C62" i="3"/>
  <c r="A62" i="3"/>
  <c r="H61" i="3"/>
  <c r="G61" i="3"/>
  <c r="F61" i="3"/>
  <c r="E61" i="3"/>
  <c r="D61" i="3"/>
  <c r="C61" i="3"/>
  <c r="A61" i="3"/>
  <c r="H56" i="3"/>
  <c r="G56" i="3"/>
  <c r="F56" i="3"/>
  <c r="E56" i="3"/>
  <c r="D56" i="3"/>
  <c r="C56" i="3"/>
  <c r="A56" i="3"/>
  <c r="H55" i="3"/>
  <c r="G55" i="3"/>
  <c r="F55" i="3"/>
  <c r="E55" i="3"/>
  <c r="D55" i="3"/>
  <c r="B55" i="3" s="1"/>
  <c r="C55" i="3"/>
  <c r="A55" i="3"/>
  <c r="H54" i="3"/>
  <c r="G54" i="3"/>
  <c r="F54" i="3"/>
  <c r="E54" i="3"/>
  <c r="D54" i="3"/>
  <c r="C54" i="3"/>
  <c r="A54" i="3"/>
  <c r="H53" i="3"/>
  <c r="G53" i="3"/>
  <c r="F53" i="3"/>
  <c r="E53" i="3"/>
  <c r="D53" i="3"/>
  <c r="C53" i="3"/>
  <c r="A53" i="3"/>
  <c r="H48" i="3"/>
  <c r="G48" i="3"/>
  <c r="I48" i="3" s="1"/>
  <c r="F48" i="3"/>
  <c r="E48" i="3"/>
  <c r="D48" i="3"/>
  <c r="C48" i="3"/>
  <c r="A48" i="3"/>
  <c r="H47" i="3"/>
  <c r="G47" i="3"/>
  <c r="F47" i="3"/>
  <c r="E47" i="3"/>
  <c r="D47" i="3"/>
  <c r="C47" i="3"/>
  <c r="A47" i="3"/>
  <c r="H46" i="3"/>
  <c r="G46" i="3"/>
  <c r="F46" i="3"/>
  <c r="E46" i="3"/>
  <c r="D46" i="3"/>
  <c r="C46" i="3"/>
  <c r="A46" i="3"/>
  <c r="H45" i="3"/>
  <c r="G45" i="3"/>
  <c r="F45" i="3"/>
  <c r="E45" i="3"/>
  <c r="D45" i="3"/>
  <c r="C45" i="3"/>
  <c r="A45" i="3"/>
  <c r="H40" i="3"/>
  <c r="G40" i="3"/>
  <c r="F40" i="3"/>
  <c r="E40" i="3"/>
  <c r="D40" i="3"/>
  <c r="B40" i="3" s="1"/>
  <c r="C40" i="3"/>
  <c r="A40" i="3"/>
  <c r="H39" i="3"/>
  <c r="G39" i="3"/>
  <c r="F39" i="3"/>
  <c r="E39" i="3"/>
  <c r="D39" i="3"/>
  <c r="C39" i="3"/>
  <c r="A39" i="3"/>
  <c r="H38" i="3"/>
  <c r="G38" i="3"/>
  <c r="F38" i="3"/>
  <c r="E38" i="3"/>
  <c r="D38" i="3"/>
  <c r="B38" i="3" s="1"/>
  <c r="C38" i="3"/>
  <c r="A38" i="3"/>
  <c r="H37" i="3"/>
  <c r="G37" i="3"/>
  <c r="F37" i="3"/>
  <c r="E37" i="3"/>
  <c r="D37" i="3"/>
  <c r="C37" i="3"/>
  <c r="A37" i="3"/>
  <c r="H32" i="3"/>
  <c r="G32" i="3"/>
  <c r="F32" i="3"/>
  <c r="E32" i="3"/>
  <c r="D32" i="3"/>
  <c r="C32" i="3"/>
  <c r="A32" i="3"/>
  <c r="H31" i="3"/>
  <c r="G31" i="3"/>
  <c r="F31" i="3"/>
  <c r="E31" i="3"/>
  <c r="D31" i="3"/>
  <c r="C31" i="3"/>
  <c r="A31" i="3"/>
  <c r="H30" i="3"/>
  <c r="G30" i="3"/>
  <c r="F30" i="3"/>
  <c r="E30" i="3"/>
  <c r="D30" i="3"/>
  <c r="B30" i="3" s="1"/>
  <c r="C30" i="3"/>
  <c r="A30" i="3"/>
  <c r="H29" i="3"/>
  <c r="G29" i="3"/>
  <c r="F29" i="3"/>
  <c r="E29" i="3"/>
  <c r="D29" i="3"/>
  <c r="C29" i="3"/>
  <c r="A29" i="3"/>
  <c r="H24" i="3"/>
  <c r="G24" i="3"/>
  <c r="I24" i="3" s="1"/>
  <c r="F24" i="3"/>
  <c r="E24" i="3"/>
  <c r="D24" i="3"/>
  <c r="C24" i="3"/>
  <c r="A24" i="3"/>
  <c r="H23" i="3"/>
  <c r="G23" i="3"/>
  <c r="F23" i="3"/>
  <c r="E23" i="3"/>
  <c r="D23" i="3"/>
  <c r="C23" i="3"/>
  <c r="A23" i="3"/>
  <c r="H22" i="3"/>
  <c r="G22" i="3"/>
  <c r="F22" i="3"/>
  <c r="E22" i="3"/>
  <c r="D22" i="3"/>
  <c r="C22" i="3"/>
  <c r="A22" i="3"/>
  <c r="H21" i="3"/>
  <c r="G21" i="3"/>
  <c r="F21" i="3"/>
  <c r="E21" i="3"/>
  <c r="D21" i="3"/>
  <c r="C21" i="3"/>
  <c r="A21" i="3"/>
  <c r="H16" i="3"/>
  <c r="G16" i="3"/>
  <c r="F16" i="3"/>
  <c r="E16" i="3"/>
  <c r="D16" i="3"/>
  <c r="C16" i="3"/>
  <c r="A16" i="3"/>
  <c r="H15" i="3"/>
  <c r="G15" i="3"/>
  <c r="F15" i="3"/>
  <c r="E15" i="3"/>
  <c r="D15" i="3"/>
  <c r="B15" i="3" s="1"/>
  <c r="C15" i="3"/>
  <c r="A15" i="3"/>
  <c r="H14" i="3"/>
  <c r="G14" i="3"/>
  <c r="I14" i="3" s="1"/>
  <c r="F14" i="3"/>
  <c r="E14" i="3"/>
  <c r="D14" i="3"/>
  <c r="C14" i="3"/>
  <c r="A14" i="3"/>
  <c r="H13" i="3"/>
  <c r="G13" i="3"/>
  <c r="F13" i="3"/>
  <c r="E13" i="3"/>
  <c r="D13" i="3"/>
  <c r="C13" i="3"/>
  <c r="B13" i="3"/>
  <c r="A13" i="3"/>
  <c r="H8" i="3"/>
  <c r="G8" i="3"/>
  <c r="F8" i="3"/>
  <c r="E8" i="3"/>
  <c r="D8" i="3"/>
  <c r="B8" i="3" s="1"/>
  <c r="C8" i="3"/>
  <c r="A8" i="3"/>
  <c r="H7" i="3"/>
  <c r="G7" i="3"/>
  <c r="I7" i="3" s="1"/>
  <c r="F7" i="3"/>
  <c r="E7" i="3"/>
  <c r="D7" i="3"/>
  <c r="C7" i="3"/>
  <c r="A7" i="3"/>
  <c r="H6" i="3"/>
  <c r="G6" i="3"/>
  <c r="F6" i="3"/>
  <c r="E6" i="3"/>
  <c r="D6" i="3"/>
  <c r="B6" i="3" s="1"/>
  <c r="C6" i="3"/>
  <c r="A6" i="3"/>
  <c r="H5" i="3"/>
  <c r="G5" i="3"/>
  <c r="I5" i="3" s="1"/>
  <c r="F5" i="3"/>
  <c r="E5" i="3"/>
  <c r="D5" i="3"/>
  <c r="C5" i="3"/>
  <c r="A5" i="3"/>
  <c r="K67" i="1"/>
  <c r="E67" i="1"/>
  <c r="K66" i="1"/>
  <c r="E66" i="1"/>
  <c r="K65" i="1"/>
  <c r="E65" i="1"/>
  <c r="K64" i="1"/>
  <c r="E64" i="1"/>
  <c r="K63" i="1"/>
  <c r="E63" i="1"/>
  <c r="K62" i="1"/>
  <c r="E62" i="1"/>
  <c r="K59" i="1"/>
  <c r="E59" i="1"/>
  <c r="K58" i="1"/>
  <c r="E58" i="1"/>
  <c r="K57" i="1"/>
  <c r="E57" i="1"/>
  <c r="K56" i="1"/>
  <c r="E56" i="1"/>
  <c r="K55" i="1"/>
  <c r="E55" i="1"/>
  <c r="K54" i="1"/>
  <c r="E54" i="1"/>
  <c r="K51" i="1"/>
  <c r="E51" i="1"/>
  <c r="K50" i="1"/>
  <c r="E50" i="1"/>
  <c r="K49" i="1"/>
  <c r="E49" i="1"/>
  <c r="K48" i="1"/>
  <c r="E48" i="1"/>
  <c r="K47" i="1"/>
  <c r="E47" i="1"/>
  <c r="K46" i="1"/>
  <c r="E46" i="1"/>
  <c r="K43" i="1"/>
  <c r="E43" i="1"/>
  <c r="K42" i="1"/>
  <c r="E42" i="1"/>
  <c r="K41" i="1"/>
  <c r="E41" i="1"/>
  <c r="K40" i="1"/>
  <c r="E40" i="1"/>
  <c r="K39" i="1"/>
  <c r="E39" i="1"/>
  <c r="K38" i="1"/>
  <c r="E38" i="1"/>
  <c r="K35" i="1"/>
  <c r="E35" i="1"/>
  <c r="K34" i="1"/>
  <c r="E34" i="1"/>
  <c r="K33" i="1"/>
  <c r="E33" i="1"/>
  <c r="K32" i="1"/>
  <c r="E32" i="1"/>
  <c r="K31" i="1"/>
  <c r="E31" i="1"/>
  <c r="K30" i="1"/>
  <c r="E30" i="1"/>
  <c r="K27" i="1"/>
  <c r="E27" i="1"/>
  <c r="K26" i="1"/>
  <c r="E26" i="1"/>
  <c r="K25" i="1"/>
  <c r="E25" i="1"/>
  <c r="K24" i="1"/>
  <c r="E24" i="1"/>
  <c r="K23" i="1"/>
  <c r="E23" i="1"/>
  <c r="K22" i="1"/>
  <c r="E22" i="1"/>
  <c r="K19" i="1"/>
  <c r="E19" i="1"/>
  <c r="K18" i="1"/>
  <c r="E18" i="1"/>
  <c r="K17" i="1"/>
  <c r="E17" i="1"/>
  <c r="K16" i="1"/>
  <c r="E16" i="1"/>
  <c r="K15" i="1"/>
  <c r="E15" i="1"/>
  <c r="K14" i="1"/>
  <c r="E14" i="1"/>
  <c r="K11" i="1"/>
  <c r="E11" i="1"/>
  <c r="K10" i="1"/>
  <c r="E10" i="1"/>
  <c r="K9" i="1"/>
  <c r="E9" i="1"/>
  <c r="K8" i="1"/>
  <c r="E8" i="1"/>
  <c r="K7" i="1"/>
  <c r="E7" i="1"/>
  <c r="K6" i="1"/>
  <c r="E6" i="1"/>
  <c r="B47" i="3" l="1"/>
  <c r="B48" i="3"/>
  <c r="K48" i="3" s="1"/>
  <c r="L48" i="3" s="1"/>
  <c r="B32" i="3"/>
  <c r="B61" i="3"/>
  <c r="K61" i="3" s="1"/>
  <c r="L61" i="3" s="1"/>
  <c r="I61" i="3"/>
  <c r="I63" i="3"/>
  <c r="B64" i="3"/>
  <c r="K64" i="3" s="1"/>
  <c r="L64" i="3" s="1"/>
  <c r="I64" i="3"/>
  <c r="I55" i="3"/>
  <c r="B56" i="3"/>
  <c r="K55" i="3" s="1"/>
  <c r="L55" i="3" s="1"/>
  <c r="I56" i="3"/>
  <c r="B54" i="3"/>
  <c r="I54" i="3"/>
  <c r="B53" i="3"/>
  <c r="I45" i="3"/>
  <c r="I46" i="3"/>
  <c r="B46" i="3"/>
  <c r="I47" i="3"/>
  <c r="I38" i="3"/>
  <c r="I39" i="3"/>
  <c r="I37" i="3"/>
  <c r="I40" i="3"/>
  <c r="I29" i="3"/>
  <c r="I31" i="3"/>
  <c r="B29" i="3"/>
  <c r="K30" i="3" s="1"/>
  <c r="L30" i="3" s="1"/>
  <c r="I32" i="3"/>
  <c r="I30" i="3"/>
  <c r="I21" i="3"/>
  <c r="B22" i="3"/>
  <c r="I23" i="3"/>
  <c r="B24" i="3"/>
  <c r="B23" i="3"/>
  <c r="B21" i="3"/>
  <c r="I22" i="3"/>
  <c r="B14" i="3"/>
  <c r="K13" i="3" s="1"/>
  <c r="L13" i="3" s="1"/>
  <c r="I13" i="3"/>
  <c r="I15" i="3"/>
  <c r="B16" i="3"/>
  <c r="K16" i="3" s="1"/>
  <c r="L16" i="3" s="1"/>
  <c r="B5" i="3"/>
  <c r="K5" i="3" s="1"/>
  <c r="L5" i="3" s="1"/>
  <c r="B7" i="3"/>
  <c r="K7" i="3" s="1"/>
  <c r="L7" i="3" s="1"/>
  <c r="I6" i="3"/>
  <c r="I8" i="3"/>
  <c r="I16" i="3"/>
  <c r="B31" i="3"/>
  <c r="B37" i="3"/>
  <c r="K37" i="3" s="1"/>
  <c r="L37" i="3" s="1"/>
  <c r="B39" i="3"/>
  <c r="K39" i="3" s="1"/>
  <c r="L39" i="3" s="1"/>
  <c r="B45" i="3"/>
  <c r="I53" i="3"/>
  <c r="K56" i="3" l="1"/>
  <c r="L56" i="3" s="1"/>
  <c r="K47" i="3"/>
  <c r="L47" i="3" s="1"/>
  <c r="K31" i="3"/>
  <c r="L31" i="3" s="1"/>
  <c r="K14" i="3"/>
  <c r="L14" i="3" s="1"/>
  <c r="N16" i="3" s="1"/>
  <c r="O16" i="3" s="1"/>
  <c r="K62" i="3"/>
  <c r="L62" i="3" s="1"/>
  <c r="N64" i="3" s="1"/>
  <c r="O64" i="3" s="1"/>
  <c r="K63" i="3"/>
  <c r="L63" i="3" s="1"/>
  <c r="K54" i="3"/>
  <c r="L54" i="3" s="1"/>
  <c r="K53" i="3"/>
  <c r="L53" i="3" s="1"/>
  <c r="N55" i="3" s="1"/>
  <c r="O55" i="3" s="1"/>
  <c r="K45" i="3"/>
  <c r="L45" i="3" s="1"/>
  <c r="N39" i="3"/>
  <c r="O39" i="3" s="1"/>
  <c r="K29" i="3"/>
  <c r="L29" i="3" s="1"/>
  <c r="K24" i="3"/>
  <c r="L24" i="3" s="1"/>
  <c r="K21" i="3"/>
  <c r="L21" i="3" s="1"/>
  <c r="K23" i="3"/>
  <c r="L23" i="3" s="1"/>
  <c r="K22" i="3"/>
  <c r="L22" i="3" s="1"/>
  <c r="K15" i="3"/>
  <c r="L15" i="3" s="1"/>
  <c r="N13" i="3" s="1"/>
  <c r="O13" i="3" s="1"/>
  <c r="K6" i="3"/>
  <c r="L6" i="3" s="1"/>
  <c r="K8" i="3"/>
  <c r="L8" i="3" s="1"/>
  <c r="N5" i="3"/>
  <c r="O5" i="3" s="1"/>
  <c r="N7" i="3"/>
  <c r="O7" i="3" s="1"/>
  <c r="K40" i="3"/>
  <c r="L40" i="3" s="1"/>
  <c r="N37" i="3"/>
  <c r="O37" i="3" s="1"/>
  <c r="K38" i="3"/>
  <c r="L38" i="3" s="1"/>
  <c r="K46" i="3"/>
  <c r="L46" i="3" s="1"/>
  <c r="N46" i="3" s="1"/>
  <c r="O46" i="3" s="1"/>
  <c r="K32" i="3"/>
  <c r="L32" i="3" s="1"/>
  <c r="N54" i="3" l="1"/>
  <c r="O54" i="3" s="1"/>
  <c r="Q54" i="3" s="1"/>
  <c r="S54" i="3" s="1"/>
  <c r="N47" i="3"/>
  <c r="O47" i="3" s="1"/>
  <c r="Q47" i="3" s="1"/>
  <c r="N29" i="3"/>
  <c r="O29" i="3" s="1"/>
  <c r="N14" i="3"/>
  <c r="O14" i="3" s="1"/>
  <c r="N8" i="3"/>
  <c r="O8" i="3" s="1"/>
  <c r="Q5" i="3" s="1"/>
  <c r="N62" i="3"/>
  <c r="O62" i="3" s="1"/>
  <c r="N63" i="3"/>
  <c r="O63" i="3" s="1"/>
  <c r="N61" i="3"/>
  <c r="O61" i="3" s="1"/>
  <c r="N56" i="3"/>
  <c r="O56" i="3" s="1"/>
  <c r="N53" i="3"/>
  <c r="O53" i="3" s="1"/>
  <c r="N45" i="3"/>
  <c r="O45" i="3" s="1"/>
  <c r="N48" i="3"/>
  <c r="O48" i="3" s="1"/>
  <c r="N38" i="3"/>
  <c r="O38" i="3" s="1"/>
  <c r="Q38" i="3" s="1"/>
  <c r="S38" i="3" s="1"/>
  <c r="N31" i="3"/>
  <c r="O31" i="3" s="1"/>
  <c r="N24" i="3"/>
  <c r="O24" i="3" s="1"/>
  <c r="N23" i="3"/>
  <c r="O23" i="3" s="1"/>
  <c r="N21" i="3"/>
  <c r="O21" i="3" s="1"/>
  <c r="N22" i="3"/>
  <c r="O22" i="3" s="1"/>
  <c r="N15" i="3"/>
  <c r="O15" i="3" s="1"/>
  <c r="N6" i="3"/>
  <c r="O6" i="3" s="1"/>
  <c r="Q6" i="3" s="1"/>
  <c r="R6" i="3" s="1"/>
  <c r="Q16" i="3"/>
  <c r="Q13" i="3"/>
  <c r="N32" i="3"/>
  <c r="O32" i="3" s="1"/>
  <c r="Q32" i="3" s="1"/>
  <c r="N30" i="3"/>
  <c r="O30" i="3" s="1"/>
  <c r="N40" i="3"/>
  <c r="O40" i="3" s="1"/>
  <c r="Q40" i="3" s="1"/>
  <c r="Q63" i="3" l="1"/>
  <c r="S63" i="3" s="1"/>
  <c r="Q55" i="3"/>
  <c r="R55" i="3" s="1"/>
  <c r="Q46" i="3"/>
  <c r="S46" i="3" s="1"/>
  <c r="Q15" i="3"/>
  <c r="R15" i="3" s="1"/>
  <c r="Q8" i="3"/>
  <c r="R8" i="3" s="1"/>
  <c r="Q62" i="3"/>
  <c r="R62" i="3" s="1"/>
  <c r="Q61" i="3"/>
  <c r="Q64" i="3"/>
  <c r="Q53" i="3"/>
  <c r="S53" i="3" s="1"/>
  <c r="R54" i="3"/>
  <c r="Q56" i="3"/>
  <c r="S56" i="3" s="1"/>
  <c r="Q48" i="3"/>
  <c r="S48" i="3" s="1"/>
  <c r="Q45" i="3"/>
  <c r="R45" i="3" s="1"/>
  <c r="R38" i="3"/>
  <c r="Q39" i="3"/>
  <c r="S39" i="3" s="1"/>
  <c r="Q29" i="3"/>
  <c r="S29" i="3" s="1"/>
  <c r="Q23" i="3"/>
  <c r="S23" i="3" s="1"/>
  <c r="Q21" i="3"/>
  <c r="S21" i="3" s="1"/>
  <c r="Q22" i="3"/>
  <c r="Q24" i="3"/>
  <c r="R24" i="3" s="1"/>
  <c r="Q14" i="3"/>
  <c r="Q7" i="3"/>
  <c r="S7" i="3" s="1"/>
  <c r="S6" i="3"/>
  <c r="S47" i="3"/>
  <c r="R47" i="3"/>
  <c r="Q30" i="3"/>
  <c r="Q31" i="3"/>
  <c r="Q37" i="3"/>
  <c r="S32" i="3"/>
  <c r="R32" i="3"/>
  <c r="S13" i="3"/>
  <c r="R13" i="3"/>
  <c r="S40" i="3"/>
  <c r="R40" i="3"/>
  <c r="S5" i="3"/>
  <c r="R5" i="3"/>
  <c r="R16" i="3"/>
  <c r="S16" i="3"/>
  <c r="S62" i="3" l="1"/>
  <c r="R63" i="3"/>
  <c r="S55" i="3"/>
  <c r="R46" i="3"/>
  <c r="S15" i="3"/>
  <c r="U16" i="3" s="1"/>
  <c r="S8" i="3"/>
  <c r="R64" i="3"/>
  <c r="S64" i="3"/>
  <c r="R61" i="3"/>
  <c r="S61" i="3"/>
  <c r="U62" i="3" s="1"/>
  <c r="R56" i="3"/>
  <c r="U55" i="3" s="1"/>
  <c r="W55" i="3" s="1"/>
  <c r="R53" i="3"/>
  <c r="U54" i="3" s="1"/>
  <c r="W54" i="3" s="1"/>
  <c r="R48" i="3"/>
  <c r="U47" i="3" s="1"/>
  <c r="S45" i="3"/>
  <c r="R39" i="3"/>
  <c r="U39" i="3" s="1"/>
  <c r="R29" i="3"/>
  <c r="R23" i="3"/>
  <c r="R21" i="3"/>
  <c r="R22" i="3"/>
  <c r="S22" i="3"/>
  <c r="S24" i="3"/>
  <c r="S14" i="3"/>
  <c r="R14" i="3"/>
  <c r="R7" i="3"/>
  <c r="S37" i="3"/>
  <c r="R37" i="3"/>
  <c r="U5" i="3"/>
  <c r="U6" i="3"/>
  <c r="S30" i="3"/>
  <c r="R30" i="3"/>
  <c r="S31" i="3"/>
  <c r="R31" i="3"/>
  <c r="U48" i="3" l="1"/>
  <c r="W48" i="3" s="1"/>
  <c r="U45" i="3"/>
  <c r="V45" i="3" s="1"/>
  <c r="U15" i="3"/>
  <c r="W15" i="3" s="1"/>
  <c r="U7" i="3"/>
  <c r="W7" i="3" s="1"/>
  <c r="U64" i="3"/>
  <c r="W64" i="3" s="1"/>
  <c r="U61" i="3"/>
  <c r="V61" i="3" s="1"/>
  <c r="U63" i="3"/>
  <c r="V63" i="3" s="1"/>
  <c r="U56" i="3"/>
  <c r="V56" i="3" s="1"/>
  <c r="U53" i="3"/>
  <c r="V53" i="3" s="1"/>
  <c r="V54" i="3"/>
  <c r="V55" i="3"/>
  <c r="U46" i="3"/>
  <c r="W46" i="3" s="1"/>
  <c r="U40" i="3"/>
  <c r="W40" i="3" s="1"/>
  <c r="U30" i="3"/>
  <c r="W30" i="3" s="1"/>
  <c r="U23" i="3"/>
  <c r="V23" i="3" s="1"/>
  <c r="U24" i="3"/>
  <c r="V24" i="3" s="1"/>
  <c r="U21" i="3"/>
  <c r="U22" i="3"/>
  <c r="U14" i="3"/>
  <c r="V14" i="3" s="1"/>
  <c r="U13" i="3"/>
  <c r="V13" i="3" s="1"/>
  <c r="U8" i="3"/>
  <c r="W8" i="3" s="1"/>
  <c r="U31" i="3"/>
  <c r="U32" i="3"/>
  <c r="W6" i="3"/>
  <c r="V6" i="3"/>
  <c r="U29" i="3"/>
  <c r="W16" i="3"/>
  <c r="V16" i="3"/>
  <c r="V39" i="3"/>
  <c r="W39" i="3"/>
  <c r="V47" i="3"/>
  <c r="W47" i="3"/>
  <c r="W5" i="3"/>
  <c r="V5" i="3"/>
  <c r="U37" i="3"/>
  <c r="U38" i="3"/>
  <c r="W62" i="3"/>
  <c r="V62" i="3"/>
  <c r="V48" i="3" l="1"/>
  <c r="W45" i="3"/>
  <c r="X45" i="3" s="1"/>
  <c r="V46" i="3"/>
  <c r="V30" i="3"/>
  <c r="V15" i="3"/>
  <c r="V7" i="3"/>
  <c r="X5" i="3" s="1"/>
  <c r="W61" i="3"/>
  <c r="V64" i="3"/>
  <c r="X62" i="3" s="1"/>
  <c r="W63" i="3"/>
  <c r="W56" i="3"/>
  <c r="X54" i="3" s="1"/>
  <c r="Y54" i="3" s="1"/>
  <c r="W53" i="3"/>
  <c r="X53" i="3" s="1"/>
  <c r="Z53" i="3" s="1"/>
  <c r="V40" i="3"/>
  <c r="W23" i="3"/>
  <c r="W24" i="3"/>
  <c r="W21" i="3"/>
  <c r="V21" i="3"/>
  <c r="V22" i="3"/>
  <c r="W22" i="3"/>
  <c r="W13" i="3"/>
  <c r="W14" i="3"/>
  <c r="X14" i="3" s="1"/>
  <c r="V8" i="3"/>
  <c r="X16" i="3"/>
  <c r="X7" i="3"/>
  <c r="W32" i="3"/>
  <c r="V32" i="3"/>
  <c r="V37" i="3"/>
  <c r="W37" i="3"/>
  <c r="X8" i="3"/>
  <c r="X6" i="3"/>
  <c r="W38" i="3"/>
  <c r="V38" i="3"/>
  <c r="W29" i="3"/>
  <c r="V29" i="3"/>
  <c r="V31" i="3"/>
  <c r="W31" i="3"/>
  <c r="X47" i="3" l="1"/>
  <c r="X48" i="3"/>
  <c r="Z48" i="3" s="1"/>
  <c r="X46" i="3"/>
  <c r="Z46" i="3" s="1"/>
  <c r="X32" i="3"/>
  <c r="Z32" i="3" s="1"/>
  <c r="X15" i="3"/>
  <c r="Y15" i="3" s="1"/>
  <c r="X63" i="3"/>
  <c r="Z63" i="3" s="1"/>
  <c r="X64" i="3"/>
  <c r="Z64" i="3" s="1"/>
  <c r="X61" i="3"/>
  <c r="Z61" i="3" s="1"/>
  <c r="X56" i="3"/>
  <c r="Z56" i="3" s="1"/>
  <c r="Z54" i="3"/>
  <c r="X55" i="3"/>
  <c r="Y55" i="3" s="1"/>
  <c r="Y53" i="3"/>
  <c r="X30" i="3"/>
  <c r="Z30" i="3" s="1"/>
  <c r="X23" i="3"/>
  <c r="Y23" i="3" s="1"/>
  <c r="X24" i="3"/>
  <c r="Y24" i="3" s="1"/>
  <c r="X22" i="3"/>
  <c r="Y22" i="3" s="1"/>
  <c r="X21" i="3"/>
  <c r="X13" i="3"/>
  <c r="Y13" i="3" s="1"/>
  <c r="X39" i="3"/>
  <c r="X37" i="3"/>
  <c r="Z16" i="3"/>
  <c r="Y16" i="3"/>
  <c r="Z6" i="3"/>
  <c r="Y6" i="3"/>
  <c r="Z47" i="3"/>
  <c r="Y47" i="3"/>
  <c r="Z45" i="3"/>
  <c r="Y45" i="3"/>
  <c r="Z8" i="3"/>
  <c r="Y8" i="3"/>
  <c r="Y5" i="3"/>
  <c r="Z5" i="3"/>
  <c r="Y62" i="3"/>
  <c r="Z62" i="3"/>
  <c r="X29" i="3"/>
  <c r="X31" i="3"/>
  <c r="X40" i="3"/>
  <c r="X38" i="3"/>
  <c r="Y7" i="3"/>
  <c r="Z7" i="3"/>
  <c r="Z14" i="3"/>
  <c r="Y14" i="3"/>
  <c r="Y48" i="3" l="1"/>
  <c r="AB48" i="3" s="1"/>
  <c r="Y46" i="3"/>
  <c r="AB47" i="3" s="1"/>
  <c r="Y32" i="3"/>
  <c r="Z15" i="3"/>
  <c r="AB15" i="3" s="1"/>
  <c r="Y63" i="3"/>
  <c r="AB63" i="3" s="1"/>
  <c r="Y64" i="3"/>
  <c r="Y61" i="3"/>
  <c r="Y56" i="3"/>
  <c r="AB53" i="3" s="1"/>
  <c r="AC53" i="3" s="1"/>
  <c r="Z55" i="3"/>
  <c r="AB55" i="3" s="1"/>
  <c r="AE55" i="3" s="1"/>
  <c r="Y30" i="3"/>
  <c r="Z24" i="3"/>
  <c r="Z23" i="3"/>
  <c r="Z22" i="3"/>
  <c r="Y21" i="3"/>
  <c r="Z21" i="3"/>
  <c r="Z13" i="3"/>
  <c r="AB13" i="3" s="1"/>
  <c r="AB8" i="3"/>
  <c r="AD8" i="3" s="1"/>
  <c r="AB7" i="3"/>
  <c r="AC7" i="3" s="1"/>
  <c r="AB6" i="3"/>
  <c r="Z31" i="3"/>
  <c r="Y31" i="3"/>
  <c r="Y40" i="3"/>
  <c r="Z40" i="3"/>
  <c r="Z29" i="3"/>
  <c r="Y29" i="3"/>
  <c r="Z37" i="3"/>
  <c r="Y37" i="3"/>
  <c r="Y38" i="3"/>
  <c r="Z38" i="3"/>
  <c r="AB5" i="3"/>
  <c r="Z39" i="3"/>
  <c r="Y39" i="3"/>
  <c r="AB45" i="3" l="1"/>
  <c r="AD45" i="3" s="1"/>
  <c r="AB46" i="3"/>
  <c r="AE46" i="3" s="1"/>
  <c r="AB14" i="3"/>
  <c r="AE14" i="3" s="1"/>
  <c r="AB16" i="3"/>
  <c r="AE16" i="3" s="1"/>
  <c r="AB62" i="3"/>
  <c r="AE62" i="3" s="1"/>
  <c r="AB61" i="3"/>
  <c r="AE61" i="3" s="1"/>
  <c r="AB64" i="3"/>
  <c r="AD64" i="3" s="1"/>
  <c r="AB56" i="3"/>
  <c r="AE56" i="3" s="1"/>
  <c r="AB54" i="3"/>
  <c r="AC54" i="3" s="1"/>
  <c r="AC55" i="3"/>
  <c r="AD55" i="3"/>
  <c r="AD53" i="3"/>
  <c r="AE53" i="3"/>
  <c r="AB37" i="3"/>
  <c r="AD37" i="3" s="1"/>
  <c r="AB30" i="3"/>
  <c r="AE30" i="3" s="1"/>
  <c r="AB23" i="3"/>
  <c r="AC23" i="3" s="1"/>
  <c r="AB22" i="3"/>
  <c r="AC22" i="3" s="1"/>
  <c r="AB24" i="3"/>
  <c r="AE24" i="3" s="1"/>
  <c r="AB21" i="3"/>
  <c r="AE21" i="3" s="1"/>
  <c r="AE7" i="3"/>
  <c r="AE8" i="3"/>
  <c r="AC8" i="3"/>
  <c r="AD7" i="3"/>
  <c r="AD5" i="3"/>
  <c r="AC5" i="3"/>
  <c r="AE5" i="3"/>
  <c r="AB39" i="3"/>
  <c r="AB40" i="3"/>
  <c r="AB31" i="3"/>
  <c r="AE47" i="3"/>
  <c r="AD47" i="3"/>
  <c r="AC47" i="3"/>
  <c r="AD15" i="3"/>
  <c r="AC15" i="3"/>
  <c r="AE15" i="3"/>
  <c r="AB38" i="3"/>
  <c r="AD13" i="3"/>
  <c r="AC13" i="3"/>
  <c r="AE13" i="3"/>
  <c r="AC48" i="3"/>
  <c r="AE48" i="3"/>
  <c r="AD48" i="3"/>
  <c r="AB29" i="3"/>
  <c r="AB32" i="3"/>
  <c r="AE63" i="3"/>
  <c r="AD63" i="3"/>
  <c r="AC63" i="3"/>
  <c r="AE6" i="3"/>
  <c r="AD6" i="3"/>
  <c r="AC6" i="3"/>
  <c r="AC45" i="3" l="1"/>
  <c r="AE45" i="3"/>
  <c r="AC46" i="3"/>
  <c r="AD46" i="3"/>
  <c r="AC14" i="3"/>
  <c r="AD14" i="3"/>
  <c r="AF14" i="3" s="1"/>
  <c r="AC16" i="3"/>
  <c r="AD16" i="3"/>
  <c r="AF15" i="3" s="1"/>
  <c r="AD62" i="3"/>
  <c r="AC62" i="3"/>
  <c r="AC61" i="3"/>
  <c r="AD61" i="3"/>
  <c r="AC64" i="3"/>
  <c r="AE64" i="3"/>
  <c r="AC56" i="3"/>
  <c r="AD56" i="3"/>
  <c r="AF55" i="3" s="1"/>
  <c r="AE54" i="3"/>
  <c r="AD54" i="3"/>
  <c r="AF48" i="3"/>
  <c r="AI48" i="3" s="1"/>
  <c r="AC37" i="3"/>
  <c r="AE37" i="3"/>
  <c r="AC30" i="3"/>
  <c r="AD30" i="3"/>
  <c r="AD23" i="3"/>
  <c r="AE23" i="3"/>
  <c r="AE22" i="3"/>
  <c r="AD22" i="3"/>
  <c r="AD24" i="3"/>
  <c r="AC24" i="3"/>
  <c r="AC21" i="3"/>
  <c r="AD21" i="3"/>
  <c r="AF8" i="3"/>
  <c r="AI8" i="3" s="1"/>
  <c r="AF7" i="3"/>
  <c r="AH7" i="3" s="1"/>
  <c r="AC29" i="3"/>
  <c r="AE29" i="3"/>
  <c r="AD29" i="3"/>
  <c r="AC38" i="3"/>
  <c r="AE38" i="3"/>
  <c r="AD38" i="3"/>
  <c r="AE31" i="3"/>
  <c r="AC31" i="3"/>
  <c r="AD31" i="3"/>
  <c r="AF47" i="3"/>
  <c r="AC40" i="3"/>
  <c r="AE40" i="3"/>
  <c r="AD40" i="3"/>
  <c r="AE39" i="3"/>
  <c r="AC39" i="3"/>
  <c r="AD39" i="3"/>
  <c r="AF6" i="3"/>
  <c r="AC32" i="3"/>
  <c r="AE32" i="3"/>
  <c r="AD32" i="3"/>
  <c r="AF5" i="3"/>
  <c r="AF45" i="3" l="1"/>
  <c r="AH45" i="3" s="1"/>
  <c r="AF46" i="3"/>
  <c r="AG46" i="3" s="1"/>
  <c r="AF13" i="3"/>
  <c r="AF16" i="3"/>
  <c r="AH16" i="3" s="1"/>
  <c r="AF61" i="3"/>
  <c r="AI61" i="3" s="1"/>
  <c r="AF62" i="3"/>
  <c r="AG62" i="3" s="1"/>
  <c r="AF63" i="3"/>
  <c r="AG63" i="3" s="1"/>
  <c r="AF64" i="3"/>
  <c r="AG64" i="3" s="1"/>
  <c r="AF56" i="3"/>
  <c r="AG56" i="3" s="1"/>
  <c r="AF53" i="3"/>
  <c r="AH53" i="3" s="1"/>
  <c r="AF54" i="3"/>
  <c r="AG54" i="3" s="1"/>
  <c r="AI55" i="3"/>
  <c r="AG55" i="3"/>
  <c r="AH55" i="3"/>
  <c r="AH48" i="3"/>
  <c r="AG48" i="3"/>
  <c r="AF37" i="3"/>
  <c r="AH37" i="3" s="1"/>
  <c r="AF30" i="3"/>
  <c r="AI30" i="3" s="1"/>
  <c r="AF23" i="3"/>
  <c r="AG23" i="3" s="1"/>
  <c r="AF24" i="3"/>
  <c r="AG24" i="3" s="1"/>
  <c r="AF21" i="3"/>
  <c r="AF22" i="3"/>
  <c r="AG8" i="3"/>
  <c r="AH8" i="3"/>
  <c r="AI7" i="3"/>
  <c r="AG7" i="3"/>
  <c r="AF39" i="3"/>
  <c r="AF40" i="3"/>
  <c r="AF31" i="3"/>
  <c r="AF38" i="3"/>
  <c r="AF29" i="3"/>
  <c r="AH5" i="3"/>
  <c r="AG5" i="3"/>
  <c r="AI5" i="3"/>
  <c r="AH15" i="3"/>
  <c r="AG15" i="3"/>
  <c r="AI15" i="3"/>
  <c r="AH13" i="3"/>
  <c r="AG13" i="3"/>
  <c r="AI13" i="3"/>
  <c r="AF32" i="3"/>
  <c r="AI6" i="3"/>
  <c r="AH6" i="3"/>
  <c r="AG6" i="3"/>
  <c r="AI47" i="3"/>
  <c r="AH47" i="3"/>
  <c r="AG47" i="3"/>
  <c r="AI16" i="3"/>
  <c r="AI14" i="3"/>
  <c r="AH14" i="3"/>
  <c r="AG14" i="3"/>
  <c r="AH61" i="3" l="1"/>
  <c r="AG61" i="3"/>
  <c r="AG45" i="3"/>
  <c r="AI45" i="3"/>
  <c r="AI46" i="3"/>
  <c r="AH46" i="3"/>
  <c r="AJ46" i="3" s="1"/>
  <c r="AG16" i="3"/>
  <c r="AJ16" i="3" s="1"/>
  <c r="AI62" i="3"/>
  <c r="AH62" i="3"/>
  <c r="AH63" i="3"/>
  <c r="AI63" i="3"/>
  <c r="AH64" i="3"/>
  <c r="AI64" i="3"/>
  <c r="AH56" i="3"/>
  <c r="AI53" i="3"/>
  <c r="AI56" i="3"/>
  <c r="AG53" i="3"/>
  <c r="AI54" i="3"/>
  <c r="AH54" i="3"/>
  <c r="AG37" i="3"/>
  <c r="AI37" i="3"/>
  <c r="AG30" i="3"/>
  <c r="AH30" i="3"/>
  <c r="AH23" i="3"/>
  <c r="AI23" i="3"/>
  <c r="AI24" i="3"/>
  <c r="AH24" i="3"/>
  <c r="AG21" i="3"/>
  <c r="AI21" i="3"/>
  <c r="AH21" i="3"/>
  <c r="AI22" i="3"/>
  <c r="AG22" i="3"/>
  <c r="AH22" i="3"/>
  <c r="AJ15" i="3"/>
  <c r="AL15" i="3" s="1"/>
  <c r="AJ7" i="3"/>
  <c r="AL7" i="3" s="1"/>
  <c r="AG40" i="3"/>
  <c r="AI40" i="3"/>
  <c r="AH40" i="3"/>
  <c r="AJ8" i="3"/>
  <c r="AJ6" i="3"/>
  <c r="AI39" i="3"/>
  <c r="AH39" i="3"/>
  <c r="AG39" i="3"/>
  <c r="AJ47" i="3"/>
  <c r="AJ13" i="3"/>
  <c r="AG38" i="3"/>
  <c r="AI38" i="3"/>
  <c r="AH38" i="3"/>
  <c r="AG32" i="3"/>
  <c r="AI32" i="3"/>
  <c r="AH32" i="3"/>
  <c r="AJ45" i="3"/>
  <c r="AJ5" i="3"/>
  <c r="AG29" i="3"/>
  <c r="AI29" i="3"/>
  <c r="AH29" i="3"/>
  <c r="AI31" i="3"/>
  <c r="AH31" i="3"/>
  <c r="AG31" i="3"/>
  <c r="AJ48" i="3" l="1"/>
  <c r="AK48" i="3" s="1"/>
  <c r="AJ14" i="3"/>
  <c r="AK14" i="3" s="1"/>
  <c r="AJ64" i="3"/>
  <c r="AJ63" i="3"/>
  <c r="AL63" i="3" s="1"/>
  <c r="AJ62" i="3"/>
  <c r="AM62" i="3" s="1"/>
  <c r="AJ61" i="3"/>
  <c r="AL61" i="3" s="1"/>
  <c r="AJ53" i="3"/>
  <c r="AM53" i="3" s="1"/>
  <c r="AJ55" i="3"/>
  <c r="AM55" i="3" s="1"/>
  <c r="AJ54" i="3"/>
  <c r="AM54" i="3" s="1"/>
  <c r="AJ56" i="3"/>
  <c r="AM56" i="3" s="1"/>
  <c r="AL53" i="3"/>
  <c r="AJ37" i="3"/>
  <c r="AM37" i="3" s="1"/>
  <c r="AJ30" i="3"/>
  <c r="AM30" i="3" s="1"/>
  <c r="AJ32" i="3"/>
  <c r="AM32" i="3" s="1"/>
  <c r="AJ21" i="3"/>
  <c r="AL21" i="3" s="1"/>
  <c r="AJ23" i="3"/>
  <c r="AK23" i="3" s="1"/>
  <c r="AJ22" i="3"/>
  <c r="AJ24" i="3"/>
  <c r="AM15" i="3"/>
  <c r="AK15" i="3"/>
  <c r="AK7" i="3"/>
  <c r="AM7" i="3"/>
  <c r="AM47" i="3"/>
  <c r="AL47" i="3"/>
  <c r="AK47" i="3"/>
  <c r="AK63" i="3"/>
  <c r="AL5" i="3"/>
  <c r="AK5" i="3"/>
  <c r="AM5" i="3"/>
  <c r="AJ31" i="3"/>
  <c r="AM16" i="3"/>
  <c r="AL16" i="3"/>
  <c r="AK16" i="3"/>
  <c r="AK62" i="3"/>
  <c r="AJ39" i="3"/>
  <c r="AM6" i="3"/>
  <c r="AL6" i="3"/>
  <c r="AK6" i="3"/>
  <c r="AL45" i="3"/>
  <c r="AM45" i="3"/>
  <c r="AK45" i="3"/>
  <c r="AL46" i="3"/>
  <c r="AM46" i="3"/>
  <c r="AK46" i="3"/>
  <c r="AJ29" i="3"/>
  <c r="AJ40" i="3"/>
  <c r="AJ38" i="3"/>
  <c r="AK64" i="3"/>
  <c r="AM64" i="3"/>
  <c r="AL64" i="3"/>
  <c r="AM8" i="3"/>
  <c r="AL8" i="3"/>
  <c r="AK8" i="3"/>
  <c r="AL13" i="3"/>
  <c r="AK13" i="3"/>
  <c r="AM13" i="3"/>
  <c r="AL62" i="3" l="1"/>
  <c r="AK53" i="3"/>
  <c r="AL48" i="3"/>
  <c r="AN45" i="3" s="1"/>
  <c r="AM48" i="3"/>
  <c r="AK30" i="3"/>
  <c r="AL14" i="3"/>
  <c r="AM14" i="3"/>
  <c r="AM63" i="3"/>
  <c r="AK61" i="3"/>
  <c r="AM61" i="3"/>
  <c r="AK56" i="3"/>
  <c r="AL55" i="3"/>
  <c r="AK55" i="3"/>
  <c r="AK54" i="3"/>
  <c r="AL54" i="3"/>
  <c r="AL56" i="3"/>
  <c r="AL37" i="3"/>
  <c r="AK37" i="3"/>
  <c r="AL30" i="3"/>
  <c r="AK32" i="3"/>
  <c r="AL32" i="3"/>
  <c r="AL23" i="3"/>
  <c r="AM23" i="3"/>
  <c r="AK21" i="3"/>
  <c r="AM21" i="3"/>
  <c r="AL24" i="3"/>
  <c r="AK24" i="3"/>
  <c r="AM24" i="3"/>
  <c r="AM22" i="3"/>
  <c r="AL22" i="3"/>
  <c r="AK22" i="3"/>
  <c r="AN6" i="3"/>
  <c r="AP6" i="3" s="1"/>
  <c r="AN7" i="3"/>
  <c r="N10" i="1" s="1"/>
  <c r="AN8" i="3"/>
  <c r="AQ8" i="3" s="1"/>
  <c r="AM39" i="3"/>
  <c r="AL39" i="3"/>
  <c r="AK39" i="3"/>
  <c r="AK40" i="3"/>
  <c r="AM40" i="3"/>
  <c r="AL40" i="3"/>
  <c r="AN47" i="3"/>
  <c r="AK29" i="3"/>
  <c r="AM29" i="3"/>
  <c r="AL29" i="3"/>
  <c r="AN62" i="3"/>
  <c r="AM31" i="3"/>
  <c r="AL31" i="3"/>
  <c r="AK31" i="3"/>
  <c r="AN63" i="3"/>
  <c r="AK38" i="3"/>
  <c r="AM38" i="3"/>
  <c r="AL38" i="3"/>
  <c r="AN13" i="3"/>
  <c r="AN48" i="3"/>
  <c r="AN46" i="3"/>
  <c r="AN16" i="3"/>
  <c r="AN5" i="3"/>
  <c r="AN64" i="3" l="1"/>
  <c r="AP64" i="3" s="1"/>
  <c r="AN61" i="3"/>
  <c r="AO61" i="3" s="1"/>
  <c r="AN53" i="3"/>
  <c r="AQ53" i="3" s="1"/>
  <c r="AN14" i="3"/>
  <c r="AP14" i="3" s="1"/>
  <c r="AN15" i="3"/>
  <c r="AO15" i="3" s="1"/>
  <c r="AO8" i="3"/>
  <c r="AN54" i="3"/>
  <c r="AQ54" i="3" s="1"/>
  <c r="AN56" i="3"/>
  <c r="AO56" i="3" s="1"/>
  <c r="AN55" i="3"/>
  <c r="AN37" i="3"/>
  <c r="AO37" i="3" s="1"/>
  <c r="AN30" i="3"/>
  <c r="AQ30" i="3" s="1"/>
  <c r="AN32" i="3"/>
  <c r="AO32" i="3" s="1"/>
  <c r="AN29" i="3"/>
  <c r="AP29" i="3" s="1"/>
  <c r="AN31" i="3"/>
  <c r="AO31" i="3" s="1"/>
  <c r="AN22" i="3"/>
  <c r="AQ22" i="3" s="1"/>
  <c r="AN23" i="3"/>
  <c r="AO23" i="3" s="1"/>
  <c r="AN21" i="3"/>
  <c r="AN24" i="3"/>
  <c r="N18" i="1"/>
  <c r="U18" i="1" s="1"/>
  <c r="AP7" i="3"/>
  <c r="N11" i="1"/>
  <c r="T11" i="1" s="1"/>
  <c r="AQ6" i="3"/>
  <c r="AP8" i="3"/>
  <c r="N9" i="1"/>
  <c r="Q9" i="1" s="1"/>
  <c r="AO6" i="3"/>
  <c r="AQ7" i="3"/>
  <c r="AO7" i="3"/>
  <c r="AQ16" i="3"/>
  <c r="AP16" i="3"/>
  <c r="AO16" i="3"/>
  <c r="N19" i="1"/>
  <c r="AP5" i="3"/>
  <c r="AO5" i="3"/>
  <c r="AQ5" i="3"/>
  <c r="N8" i="1"/>
  <c r="AQ46" i="3"/>
  <c r="AP46" i="3"/>
  <c r="AO46" i="3"/>
  <c r="N49" i="1"/>
  <c r="AP45" i="3"/>
  <c r="AO45" i="3"/>
  <c r="AQ45" i="3"/>
  <c r="N48" i="1"/>
  <c r="AN40" i="3"/>
  <c r="AQ47" i="3"/>
  <c r="AP47" i="3"/>
  <c r="AO47" i="3"/>
  <c r="N50" i="1"/>
  <c r="AN39" i="3"/>
  <c r="U10" i="1"/>
  <c r="Q10" i="1"/>
  <c r="V10" i="1"/>
  <c r="T10" i="1"/>
  <c r="P10" i="1"/>
  <c r="M10" i="1" s="1"/>
  <c r="O10" i="1"/>
  <c r="S10" i="1"/>
  <c r="R10" i="1"/>
  <c r="AO48" i="3"/>
  <c r="AP48" i="3"/>
  <c r="AQ48" i="3"/>
  <c r="N51" i="1"/>
  <c r="AN38" i="3"/>
  <c r="AP13" i="3"/>
  <c r="AO13" i="3"/>
  <c r="N16" i="1"/>
  <c r="AQ13" i="3"/>
  <c r="AQ63" i="3"/>
  <c r="AP63" i="3"/>
  <c r="AO63" i="3"/>
  <c r="N66" i="1"/>
  <c r="AO62" i="3"/>
  <c r="AP62" i="3"/>
  <c r="AQ62" i="3"/>
  <c r="N65" i="1"/>
  <c r="AQ64" i="3" l="1"/>
  <c r="AO64" i="3"/>
  <c r="N67" i="1"/>
  <c r="P67" i="1" s="1"/>
  <c r="M67" i="1" s="1"/>
  <c r="AQ61" i="3"/>
  <c r="N64" i="1"/>
  <c r="Q64" i="1" s="1"/>
  <c r="AP61" i="3"/>
  <c r="N56" i="1"/>
  <c r="P56" i="1" s="1"/>
  <c r="E76" i="1" s="1"/>
  <c r="K82" i="1" s="1"/>
  <c r="AP53" i="3"/>
  <c r="AO53" i="3"/>
  <c r="AP37" i="3"/>
  <c r="AO29" i="3"/>
  <c r="AQ15" i="3"/>
  <c r="AQ14" i="3"/>
  <c r="N17" i="1"/>
  <c r="T17" i="1" s="1"/>
  <c r="AO14" i="3"/>
  <c r="AP15" i="3"/>
  <c r="U17" i="1"/>
  <c r="O17" i="1"/>
  <c r="S18" i="1"/>
  <c r="T9" i="1"/>
  <c r="U11" i="1"/>
  <c r="T64" i="1"/>
  <c r="AO54" i="3"/>
  <c r="N57" i="1"/>
  <c r="AP54" i="3"/>
  <c r="N59" i="1"/>
  <c r="Q59" i="1" s="1"/>
  <c r="AP56" i="3"/>
  <c r="AQ56" i="3"/>
  <c r="N58" i="1"/>
  <c r="AO55" i="3"/>
  <c r="AQ55" i="3"/>
  <c r="AP55" i="3"/>
  <c r="V56" i="1"/>
  <c r="Q56" i="1"/>
  <c r="AQ37" i="3"/>
  <c r="N40" i="1"/>
  <c r="Q40" i="1" s="1"/>
  <c r="N33" i="1"/>
  <c r="Q33" i="1" s="1"/>
  <c r="AP32" i="3"/>
  <c r="AO30" i="3"/>
  <c r="AP30" i="3"/>
  <c r="AQ32" i="3"/>
  <c r="N35" i="1"/>
  <c r="R35" i="1" s="1"/>
  <c r="AP31" i="3"/>
  <c r="AQ29" i="3"/>
  <c r="AQ31" i="3"/>
  <c r="N32" i="1"/>
  <c r="Q32" i="1" s="1"/>
  <c r="N34" i="1"/>
  <c r="U34" i="1" s="1"/>
  <c r="AO22" i="3"/>
  <c r="N26" i="1"/>
  <c r="Q26" i="1" s="1"/>
  <c r="N25" i="1"/>
  <c r="P25" i="1" s="1"/>
  <c r="AP22" i="3"/>
  <c r="AQ23" i="3"/>
  <c r="AP23" i="3"/>
  <c r="N27" i="1"/>
  <c r="AQ24" i="3"/>
  <c r="AP24" i="3"/>
  <c r="AO24" i="3"/>
  <c r="AP21" i="3"/>
  <c r="AO21" i="3"/>
  <c r="N24" i="1"/>
  <c r="AQ21" i="3"/>
  <c r="O18" i="1"/>
  <c r="V18" i="1"/>
  <c r="R18" i="1"/>
  <c r="P18" i="1"/>
  <c r="M18" i="1" s="1"/>
  <c r="Q18" i="1"/>
  <c r="T18" i="1"/>
  <c r="S11" i="1"/>
  <c r="O11" i="1"/>
  <c r="V9" i="1"/>
  <c r="P11" i="1"/>
  <c r="M11" i="1" s="1"/>
  <c r="V11" i="1"/>
  <c r="Q11" i="1"/>
  <c r="U9" i="1"/>
  <c r="R9" i="1"/>
  <c r="O9" i="1"/>
  <c r="P9" i="1"/>
  <c r="M9" i="1" s="1"/>
  <c r="S9" i="1"/>
  <c r="R11" i="1"/>
  <c r="U66" i="1"/>
  <c r="Q66" i="1"/>
  <c r="T66" i="1"/>
  <c r="P66" i="1"/>
  <c r="M66" i="1" s="1"/>
  <c r="S66" i="1"/>
  <c r="O66" i="1"/>
  <c r="V66" i="1"/>
  <c r="R66" i="1"/>
  <c r="U16" i="1"/>
  <c r="Q16" i="1"/>
  <c r="O16" i="1"/>
  <c r="V16" i="1"/>
  <c r="T16" i="1"/>
  <c r="P16" i="1"/>
  <c r="S16" i="1"/>
  <c r="R16" i="1"/>
  <c r="U51" i="1"/>
  <c r="Q51" i="1"/>
  <c r="T51" i="1"/>
  <c r="P51" i="1"/>
  <c r="M51" i="1" s="1"/>
  <c r="S51" i="1"/>
  <c r="O51" i="1"/>
  <c r="R51" i="1"/>
  <c r="V51" i="1"/>
  <c r="AQ39" i="3"/>
  <c r="AP39" i="3"/>
  <c r="AO39" i="3"/>
  <c r="N42" i="1"/>
  <c r="U48" i="1"/>
  <c r="Q48" i="1"/>
  <c r="S48" i="1"/>
  <c r="R48" i="1"/>
  <c r="T48" i="1"/>
  <c r="P48" i="1"/>
  <c r="V48" i="1"/>
  <c r="O48" i="1"/>
  <c r="U49" i="1"/>
  <c r="Q49" i="1"/>
  <c r="T49" i="1"/>
  <c r="P49" i="1"/>
  <c r="S49" i="1"/>
  <c r="O49" i="1"/>
  <c r="V49" i="1"/>
  <c r="R49" i="1"/>
  <c r="U8" i="1"/>
  <c r="Q8" i="1"/>
  <c r="T8" i="1"/>
  <c r="O8" i="1"/>
  <c r="R8" i="1"/>
  <c r="P8" i="1"/>
  <c r="S8" i="1"/>
  <c r="V8" i="1"/>
  <c r="U19" i="1"/>
  <c r="Q19" i="1"/>
  <c r="T19" i="1"/>
  <c r="P19" i="1"/>
  <c r="M19" i="1" s="1"/>
  <c r="V19" i="1"/>
  <c r="R19" i="1"/>
  <c r="S19" i="1"/>
  <c r="O19" i="1"/>
  <c r="U50" i="1"/>
  <c r="Q50" i="1"/>
  <c r="T50" i="1"/>
  <c r="P50" i="1"/>
  <c r="M50" i="1" s="1"/>
  <c r="S50" i="1"/>
  <c r="O50" i="1"/>
  <c r="V50" i="1"/>
  <c r="R50" i="1"/>
  <c r="U67" i="1"/>
  <c r="Q67" i="1"/>
  <c r="T67" i="1"/>
  <c r="S67" i="1"/>
  <c r="O67" i="1"/>
  <c r="R67" i="1"/>
  <c r="U40" i="1"/>
  <c r="AO40" i="3"/>
  <c r="AP40" i="3"/>
  <c r="N43" i="1"/>
  <c r="AQ40" i="3"/>
  <c r="U65" i="1"/>
  <c r="Q65" i="1"/>
  <c r="T65" i="1"/>
  <c r="P65" i="1"/>
  <c r="S65" i="1"/>
  <c r="O65" i="1"/>
  <c r="V65" i="1"/>
  <c r="R65" i="1"/>
  <c r="AO38" i="3"/>
  <c r="AP38" i="3"/>
  <c r="AQ38" i="3"/>
  <c r="N41" i="1"/>
  <c r="V67" i="1" l="1"/>
  <c r="V64" i="1"/>
  <c r="S64" i="1"/>
  <c r="R64" i="1"/>
  <c r="O64" i="1"/>
  <c r="P64" i="1"/>
  <c r="U64" i="1"/>
  <c r="S56" i="1"/>
  <c r="O56" i="1"/>
  <c r="R56" i="1"/>
  <c r="T56" i="1"/>
  <c r="U56" i="1"/>
  <c r="M56" i="1"/>
  <c r="S59" i="1"/>
  <c r="O59" i="1"/>
  <c r="O40" i="1"/>
  <c r="P40" i="1"/>
  <c r="M40" i="1" s="1"/>
  <c r="V40" i="1"/>
  <c r="T33" i="1"/>
  <c r="V25" i="1"/>
  <c r="Q25" i="1"/>
  <c r="U25" i="1"/>
  <c r="R25" i="1"/>
  <c r="V26" i="1"/>
  <c r="U26" i="1"/>
  <c r="O25" i="1"/>
  <c r="R17" i="1"/>
  <c r="Q17" i="1"/>
  <c r="P17" i="1"/>
  <c r="S17" i="1"/>
  <c r="V17" i="1"/>
  <c r="R57" i="1"/>
  <c r="U57" i="1"/>
  <c r="Q57" i="1"/>
  <c r="O57" i="1"/>
  <c r="P57" i="1"/>
  <c r="S57" i="1"/>
  <c r="T57" i="1"/>
  <c r="V57" i="1"/>
  <c r="U59" i="1"/>
  <c r="P59" i="1"/>
  <c r="M59" i="1" s="1"/>
  <c r="R59" i="1"/>
  <c r="V59" i="1"/>
  <c r="T59" i="1"/>
  <c r="Q58" i="1"/>
  <c r="O58" i="1"/>
  <c r="T58" i="1"/>
  <c r="V58" i="1"/>
  <c r="P58" i="1"/>
  <c r="M58" i="1" s="1"/>
  <c r="R58" i="1"/>
  <c r="U58" i="1"/>
  <c r="S58" i="1"/>
  <c r="S40" i="1"/>
  <c r="R40" i="1"/>
  <c r="T40" i="1"/>
  <c r="U33" i="1"/>
  <c r="T35" i="1"/>
  <c r="V35" i="1"/>
  <c r="S33" i="1"/>
  <c r="P33" i="1"/>
  <c r="M33" i="1" s="1"/>
  <c r="R33" i="1"/>
  <c r="V33" i="1"/>
  <c r="O33" i="1"/>
  <c r="Q34" i="1"/>
  <c r="S34" i="1"/>
  <c r="O34" i="1"/>
  <c r="R34" i="1"/>
  <c r="T34" i="1"/>
  <c r="Q35" i="1"/>
  <c r="S35" i="1"/>
  <c r="P35" i="1"/>
  <c r="M35" i="1" s="1"/>
  <c r="U35" i="1"/>
  <c r="P34" i="1"/>
  <c r="M34" i="1" s="1"/>
  <c r="O35" i="1"/>
  <c r="R32" i="1"/>
  <c r="T32" i="1"/>
  <c r="U32" i="1"/>
  <c r="P32" i="1"/>
  <c r="E74" i="1" s="1"/>
  <c r="K83" i="1" s="1"/>
  <c r="S32" i="1"/>
  <c r="V34" i="1"/>
  <c r="O32" i="1"/>
  <c r="V32" i="1"/>
  <c r="R26" i="1"/>
  <c r="O26" i="1"/>
  <c r="P26" i="1"/>
  <c r="M26" i="1" s="1"/>
  <c r="T26" i="1"/>
  <c r="S26" i="1"/>
  <c r="T25" i="1"/>
  <c r="S25" i="1"/>
  <c r="V24" i="1"/>
  <c r="S24" i="1"/>
  <c r="U24" i="1"/>
  <c r="P24" i="1"/>
  <c r="Q24" i="1"/>
  <c r="T24" i="1"/>
  <c r="R24" i="1"/>
  <c r="O24" i="1"/>
  <c r="U27" i="1"/>
  <c r="T27" i="1"/>
  <c r="Q27" i="1"/>
  <c r="O27" i="1"/>
  <c r="R27" i="1"/>
  <c r="S27" i="1"/>
  <c r="V27" i="1"/>
  <c r="P27" i="1"/>
  <c r="M27" i="1" s="1"/>
  <c r="K73" i="1"/>
  <c r="M65" i="1"/>
  <c r="K76" i="1"/>
  <c r="M48" i="1"/>
  <c r="E77" i="1"/>
  <c r="E84" i="1" s="1"/>
  <c r="K88" i="1" s="1"/>
  <c r="K94" i="1" s="1"/>
  <c r="U41" i="1"/>
  <c r="Q41" i="1"/>
  <c r="V41" i="1"/>
  <c r="P41" i="1"/>
  <c r="R41" i="1"/>
  <c r="T41" i="1"/>
  <c r="O41" i="1"/>
  <c r="S41" i="1"/>
  <c r="U43" i="1"/>
  <c r="Q43" i="1"/>
  <c r="S43" i="1"/>
  <c r="T43" i="1"/>
  <c r="O43" i="1"/>
  <c r="R43" i="1"/>
  <c r="V43" i="1"/>
  <c r="P43" i="1"/>
  <c r="M43" i="1" s="1"/>
  <c r="E71" i="1"/>
  <c r="M8" i="1"/>
  <c r="M49" i="1"/>
  <c r="K75" i="1"/>
  <c r="U42" i="1"/>
  <c r="Q42" i="1"/>
  <c r="T42" i="1"/>
  <c r="O42" i="1"/>
  <c r="S42" i="1"/>
  <c r="R42" i="1"/>
  <c r="V42" i="1"/>
  <c r="P42" i="1"/>
  <c r="M42" i="1" s="1"/>
  <c r="M25" i="1"/>
  <c r="K74" i="1"/>
  <c r="E73" i="1"/>
  <c r="E83" i="1" s="1"/>
  <c r="E88" i="1" s="1"/>
  <c r="K91" i="1" s="1"/>
  <c r="M16" i="1"/>
  <c r="M64" i="1" l="1"/>
  <c r="E78" i="1"/>
  <c r="E75" i="1"/>
  <c r="E82" i="1" s="1"/>
  <c r="K87" i="1" s="1"/>
  <c r="E94" i="1" s="1"/>
  <c r="O81" i="1" s="1"/>
  <c r="O83" i="1" s="1"/>
  <c r="K71" i="1"/>
  <c r="E81" i="1" s="1"/>
  <c r="M17" i="1"/>
  <c r="K78" i="1"/>
  <c r="K84" i="1" s="1"/>
  <c r="M57" i="1"/>
  <c r="K72" i="1"/>
  <c r="M32" i="1"/>
  <c r="E72" i="1"/>
  <c r="K81" i="1" s="1"/>
  <c r="E87" i="1" s="1"/>
  <c r="E91" i="1" s="1"/>
  <c r="M24" i="1"/>
  <c r="M41" i="1"/>
  <c r="K77" i="1"/>
</calcChain>
</file>

<file path=xl/comments1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0"/>
            <color rgb="FF000000"/>
            <rFont val="Arial"/>
          </rPr>
          <t>Guia de Compra
-------------------------------------------
Acompanhe a copa do mundo, inserindo apenas os resultados (placar) dos jogos e obtenha automaticamente a classificação de cada seleção.
-------------------------------------------
www.guiadecompra.com
Você Anuncia, Alguém Compra
-------------------------------------------</t>
        </r>
      </text>
    </comment>
  </commentList>
</comments>
</file>

<file path=xl/sharedStrings.xml><?xml version="1.0" encoding="utf-8"?>
<sst xmlns="http://schemas.openxmlformats.org/spreadsheetml/2006/main" count="575" uniqueCount="145">
  <si>
    <t>Tabela da Copa FIFA 2018</t>
  </si>
  <si>
    <t>www.guiadecompra.com</t>
  </si>
  <si>
    <t>clique e acesse</t>
  </si>
  <si>
    <t>horários do jogos: BRASÍLIA</t>
  </si>
  <si>
    <t>Compartilhe</t>
  </si>
  <si>
    <t>Baixe Outras Planilhas</t>
  </si>
  <si>
    <t>Mais Plnilhas</t>
  </si>
  <si>
    <t>Primeira fase            GRUPO A</t>
  </si>
  <si>
    <t>Tudo Excel</t>
  </si>
  <si>
    <t>x</t>
  </si>
  <si>
    <t>Moscou - L</t>
  </si>
  <si>
    <t>Classificação do grupo A</t>
  </si>
  <si>
    <t>Aprenda Excel Fácil</t>
  </si>
  <si>
    <t>Ecaterimburgo</t>
  </si>
  <si>
    <t>PT</t>
  </si>
  <si>
    <t>J</t>
  </si>
  <si>
    <t>V</t>
  </si>
  <si>
    <t>E</t>
  </si>
  <si>
    <t>D</t>
  </si>
  <si>
    <t>GP</t>
  </si>
  <si>
    <t>GC</t>
  </si>
  <si>
    <t>SG</t>
  </si>
  <si>
    <t>São Petersburgo</t>
  </si>
  <si>
    <t>Pacote de Planilhas</t>
  </si>
  <si>
    <t>Rostov-On-Don</t>
  </si>
  <si>
    <t>Samara</t>
  </si>
  <si>
    <t>Orçamento Familiar</t>
  </si>
  <si>
    <t>Volgogrado</t>
  </si>
  <si>
    <t>Contole de Estoque</t>
  </si>
  <si>
    <t>Primeira fase          GRUPO B</t>
  </si>
  <si>
    <t>Classificação do grupo B</t>
  </si>
  <si>
    <t>Sochi</t>
  </si>
  <si>
    <t>Pequise CEP</t>
  </si>
  <si>
    <t>Pesquise DDD</t>
  </si>
  <si>
    <t>Kazan</t>
  </si>
  <si>
    <t>Kaliningrado</t>
  </si>
  <si>
    <t>Saransk</t>
  </si>
  <si>
    <t>Controle de custo de contrução e reformas</t>
  </si>
  <si>
    <t>Primeira fase          GRUPO C</t>
  </si>
  <si>
    <t>Classificação do grupo C</t>
  </si>
  <si>
    <t>Yekaterinburg</t>
  </si>
  <si>
    <t>Primeira fase          GRUPO D</t>
  </si>
  <si>
    <t>Moscou - S</t>
  </si>
  <si>
    <t>Classificação do grupo D</t>
  </si>
  <si>
    <t>Nijni Novgorod</t>
  </si>
  <si>
    <t xml:space="preserve">Rostov-do-Don </t>
  </si>
  <si>
    <t xml:space="preserve">São Petersburgo </t>
  </si>
  <si>
    <t>Primeira fase          GRUPO E</t>
  </si>
  <si>
    <t>Rostov-do-Don</t>
  </si>
  <si>
    <t>Classificação do grupo E</t>
  </si>
  <si>
    <t>Morcou - S</t>
  </si>
  <si>
    <t>Primeira fase          GRUPO F</t>
  </si>
  <si>
    <t>Classificação do grupo F</t>
  </si>
  <si>
    <t>Iekaterinburgo</t>
  </si>
  <si>
    <t>Primeira fase          GRUPO G</t>
  </si>
  <si>
    <t>Classificação do grupo G</t>
  </si>
  <si>
    <t>Primeira fase          GRUPO H</t>
  </si>
  <si>
    <t>Classificação do grupo H</t>
  </si>
  <si>
    <t>Oitavas de final</t>
  </si>
  <si>
    <t>Tempo normal</t>
  </si>
  <si>
    <t>Quartas de final</t>
  </si>
  <si>
    <t>Semifinal</t>
  </si>
  <si>
    <t>Decisão do terceiro lugar</t>
  </si>
  <si>
    <t>Decisão da Copa de 2018 - Rússia</t>
  </si>
  <si>
    <t>Facebook</t>
  </si>
  <si>
    <t>Desenvolvida por:</t>
  </si>
  <si>
    <t>Peencher Tabela</t>
  </si>
  <si>
    <t>Outras Planilhas</t>
  </si>
  <si>
    <t xml:space="preserve">     </t>
  </si>
  <si>
    <t>Desenvolvida Por</t>
  </si>
  <si>
    <t>www.guiadcompra.com</t>
  </si>
  <si>
    <t>Proíbida a venda desta planilha, por terceiro</t>
  </si>
  <si>
    <t>Caso você tenha comprado de outras mídias, ou de terceiros, esta, ou outras planilhas desenvolvida pelo Guia de Compra, denuncie.</t>
  </si>
  <si>
    <t>guiadecompra@guiadecompra.com</t>
  </si>
  <si>
    <t>Grupo A</t>
  </si>
  <si>
    <t>Pontos ganhos</t>
  </si>
  <si>
    <t>Pontos Ganhos</t>
  </si>
  <si>
    <t>Saldo de gols</t>
  </si>
  <si>
    <t>Seleção</t>
  </si>
  <si>
    <t>pt</t>
  </si>
  <si>
    <t>Grupo B</t>
  </si>
  <si>
    <t>Grupo C</t>
  </si>
  <si>
    <t>Grupo D</t>
  </si>
  <si>
    <t>Grupo E</t>
  </si>
  <si>
    <t>Grupo F</t>
  </si>
  <si>
    <t>Grupo G</t>
  </si>
  <si>
    <t>Grupo H</t>
  </si>
  <si>
    <t>Rússia</t>
  </si>
  <si>
    <t>Portugal</t>
  </si>
  <si>
    <t>França</t>
  </si>
  <si>
    <t>Argentina</t>
  </si>
  <si>
    <t>Brasil</t>
  </si>
  <si>
    <t>Alemanha</t>
  </si>
  <si>
    <t>Bélgica</t>
  </si>
  <si>
    <t>Polônia</t>
  </si>
  <si>
    <t>Arábia Saudita</t>
  </si>
  <si>
    <t>Espanha</t>
  </si>
  <si>
    <t>Austrália</t>
  </si>
  <si>
    <t>Islândia</t>
  </si>
  <si>
    <t>Suiça</t>
  </si>
  <si>
    <t>México</t>
  </si>
  <si>
    <t>Panamá</t>
  </si>
  <si>
    <t>Senegal</t>
  </si>
  <si>
    <t>Egito</t>
  </si>
  <si>
    <t>Marrocos</t>
  </si>
  <si>
    <t>Peru</t>
  </si>
  <si>
    <t>Croácia</t>
  </si>
  <si>
    <t>Costa Rica</t>
  </si>
  <si>
    <t>Suécia</t>
  </si>
  <si>
    <t>Tunísia</t>
  </si>
  <si>
    <t>Colômbia</t>
  </si>
  <si>
    <t>Uruguai</t>
  </si>
  <si>
    <t>Iran</t>
  </si>
  <si>
    <t>Dinamarca</t>
  </si>
  <si>
    <t>Nigéria</t>
  </si>
  <si>
    <t>Sérvia</t>
  </si>
  <si>
    <t>Coréia do Sul</t>
  </si>
  <si>
    <t>Inglaterra</t>
  </si>
  <si>
    <t>Japão</t>
  </si>
  <si>
    <t>GRUPO A</t>
  </si>
  <si>
    <t>GRUPO B</t>
  </si>
  <si>
    <t>GRUPO C</t>
  </si>
  <si>
    <t>GRUPO D</t>
  </si>
  <si>
    <t>GRUPO E</t>
  </si>
  <si>
    <t>GRUPO F</t>
  </si>
  <si>
    <t>GRUPO G</t>
  </si>
  <si>
    <t>GRUPO H</t>
  </si>
  <si>
    <t>Desenvolvida Por:</t>
  </si>
  <si>
    <t>Ir Para a Tabela</t>
  </si>
  <si>
    <t>Preencher os nomes das seleções em cada grupo, de acordo com o sorteio da FIFA</t>
  </si>
  <si>
    <t>VOCÊ ANUNCIA, ALGUÉM COMPRA</t>
  </si>
  <si>
    <t>Copie o link da tabela e coloque no seu site, ou blog</t>
  </si>
  <si>
    <t>https://www.guiadecompra.com/copa-do-mundo/</t>
  </si>
  <si>
    <t>Veja Outras Planilhas de Excel no guia de compra</t>
  </si>
  <si>
    <t>Lista de Planilhas Prontas</t>
  </si>
  <si>
    <t>Pacote com 25 Planilhas Prontas</t>
  </si>
  <si>
    <t>Planilha de Fluxo de Caixa</t>
  </si>
  <si>
    <t>Planilha de Controle de Produtos</t>
  </si>
  <si>
    <t>Planilha de Controle de Estoque</t>
  </si>
  <si>
    <t>Planilha Cadastro de Clientes</t>
  </si>
  <si>
    <t>Planilha de Cotação de Preços</t>
  </si>
  <si>
    <t>Planilha para Calcular o Custo de Fabricação de Produto</t>
  </si>
  <si>
    <t>Planilha de Orçamento Familiar</t>
  </si>
  <si>
    <t>Anuncie Grátis no Guia de Compra</t>
  </si>
  <si>
    <t>Tenha acesso a várias planilhas Prontinhas, todas desenvolvidas pelo Guia de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</si>
</sst>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:mm\ AM/PM"/>
    <numFmt numFmtId="165" formatCode="d\-mmm\-yy"/>
  </numFmts>
  <fonts count="107" x14ac:knownFonts="1">
    <font>
      <sz val="10"/>
      <color rgb="FF000000"/>
      <name val="Arial"/>
    </font>
    <font>
      <sz val="10"/>
      <name val="Arial"/>
    </font>
    <font>
      <sz val="9"/>
      <name val="Arial"/>
    </font>
    <font>
      <sz val="8"/>
      <name val="Arial"/>
    </font>
    <font>
      <b/>
      <sz val="14"/>
      <color rgb="FF5F497A"/>
      <name val="Arial"/>
    </font>
    <font>
      <sz val="10"/>
      <name val="Arial"/>
    </font>
    <font>
      <b/>
      <sz val="10"/>
      <color rgb="FFFF0000"/>
      <name val="Arial"/>
    </font>
    <font>
      <u/>
      <sz val="10"/>
      <color rgb="FF548DD4"/>
      <name val="Arial"/>
    </font>
    <font>
      <sz val="10"/>
      <color rgb="FFFABF8F"/>
      <name val="Arial"/>
    </font>
    <font>
      <b/>
      <sz val="8"/>
      <color rgb="FFC2D69B"/>
      <name val="Arial"/>
    </font>
    <font>
      <u/>
      <sz val="10"/>
      <color rgb="FF548DD4"/>
      <name val="Arial"/>
    </font>
    <font>
      <sz val="10"/>
      <color rgb="FF969696"/>
      <name val="Arial"/>
    </font>
    <font>
      <u/>
      <sz val="10"/>
      <color rgb="FF548DD4"/>
      <name val="Arial"/>
    </font>
    <font>
      <u/>
      <sz val="10"/>
      <color rgb="FF0000FF"/>
      <name val="Arial"/>
    </font>
    <font>
      <u/>
      <sz val="14"/>
      <color rgb="FF0000FF"/>
      <name val="Arial"/>
    </font>
    <font>
      <b/>
      <sz val="10"/>
      <color rgb="FFFF6600"/>
      <name val="Arial"/>
    </font>
    <font>
      <b/>
      <sz val="10"/>
      <name val="Arial"/>
    </font>
    <font>
      <b/>
      <sz val="10"/>
      <color rgb="FF002060"/>
      <name val="Arial"/>
    </font>
    <font>
      <sz val="10"/>
      <color rgb="FF993300"/>
      <name val="Arial"/>
    </font>
    <font>
      <b/>
      <sz val="10"/>
      <color rgb="FF993300"/>
      <name val="Arial"/>
    </font>
    <font>
      <sz val="10"/>
      <color rgb="FF0000FF"/>
      <name val="Arial"/>
    </font>
    <font>
      <b/>
      <sz val="10"/>
      <color rgb="FF76923C"/>
      <name val="Arial"/>
    </font>
    <font>
      <sz val="9"/>
      <color rgb="FF666699"/>
      <name val="Arial"/>
    </font>
    <font>
      <b/>
      <sz val="10"/>
      <color rgb="FF003366"/>
      <name val="Arial"/>
    </font>
    <font>
      <b/>
      <sz val="10"/>
      <color rgb="FF000000"/>
      <name val="Arial"/>
    </font>
    <font>
      <b/>
      <sz val="10"/>
      <color rgb="FF3366FF"/>
      <name val="Arial"/>
    </font>
    <font>
      <sz val="9"/>
      <color rgb="FF17365D"/>
      <name val="Arial"/>
    </font>
    <font>
      <b/>
      <sz val="10"/>
      <color rgb="FF17365D"/>
      <name val="Arial"/>
    </font>
    <font>
      <u/>
      <sz val="10"/>
      <color rgb="FF0000FF"/>
      <name val="Arial"/>
    </font>
    <font>
      <sz val="10"/>
      <color rgb="FFFFFFFF"/>
      <name val="Arial"/>
    </font>
    <font>
      <b/>
      <sz val="10"/>
      <color rgb="FF666699"/>
      <name val="Arial"/>
    </font>
    <font>
      <b/>
      <sz val="10"/>
      <color rgb="FF99CCFF"/>
      <name val="Arial"/>
    </font>
    <font>
      <sz val="10"/>
      <color rgb="FF99CCFF"/>
      <name val="Arial"/>
    </font>
    <font>
      <sz val="9"/>
      <color rgb="FF339966"/>
      <name val="Arial"/>
    </font>
    <font>
      <u/>
      <sz val="10"/>
      <color rgb="FF0000FF"/>
      <name val="Arial"/>
    </font>
    <font>
      <b/>
      <sz val="10"/>
      <color rgb="FF4F6128"/>
      <name val="Arial"/>
    </font>
    <font>
      <sz val="9"/>
      <color rgb="FF4F6128"/>
      <name val="Arial"/>
    </font>
    <font>
      <b/>
      <sz val="10"/>
      <color rgb="FF205867"/>
      <name val="Arial"/>
    </font>
    <font>
      <sz val="10"/>
      <color rgb="FF205867"/>
      <name val="Arial"/>
    </font>
    <font>
      <sz val="9"/>
      <color rgb="FF205867"/>
      <name val="Arial"/>
    </font>
    <font>
      <b/>
      <sz val="10"/>
      <color rgb="FF974806"/>
      <name val="Arial"/>
    </font>
    <font>
      <sz val="9"/>
      <color rgb="FF974806"/>
      <name val="Arial"/>
    </font>
    <font>
      <b/>
      <sz val="10"/>
      <color rgb="FF0033CC"/>
      <name val="Arial"/>
    </font>
    <font>
      <sz val="9"/>
      <color rgb="FF333333"/>
      <name val="Arial"/>
    </font>
    <font>
      <sz val="10"/>
      <color rgb="FF000080"/>
      <name val="Arial"/>
    </font>
    <font>
      <b/>
      <sz val="10"/>
      <color rgb="FF333399"/>
      <name val="Arial"/>
    </font>
    <font>
      <sz val="9"/>
      <color rgb="FFFF6600"/>
      <name val="Arial"/>
    </font>
    <font>
      <u/>
      <sz val="10"/>
      <color rgb="FF0000FF"/>
      <name val="Arial"/>
    </font>
    <font>
      <b/>
      <u/>
      <sz val="10"/>
      <color rgb="FF0000FF"/>
      <name val="Arial"/>
    </font>
    <font>
      <u/>
      <sz val="8"/>
      <color rgb="FFFFFFFF"/>
      <name val="Arial"/>
    </font>
    <font>
      <sz val="10"/>
      <color rgb="FF008000"/>
      <name val="Arial"/>
    </font>
    <font>
      <sz val="10"/>
      <color rgb="FF333399"/>
      <name val="Arial"/>
    </font>
    <font>
      <sz val="9"/>
      <color rgb="FF008000"/>
      <name val="Arial"/>
    </font>
    <font>
      <sz val="10"/>
      <color rgb="FFC0C0C0"/>
      <name val="Arial"/>
    </font>
    <font>
      <b/>
      <sz val="16"/>
      <color rgb="FF4F6128"/>
      <name val="Arial"/>
    </font>
    <font>
      <b/>
      <sz val="10"/>
      <color rgb="FFFFFFFF"/>
      <name val="Arial"/>
    </font>
    <font>
      <b/>
      <sz val="10"/>
      <color rgb="FFCCFFFF"/>
      <name val="Arial"/>
    </font>
    <font>
      <sz val="10"/>
      <color rgb="FFCCFFFF"/>
      <name val="Arial"/>
    </font>
    <font>
      <sz val="9"/>
      <color rgb="FFCCFFFF"/>
      <name val="Arial"/>
    </font>
    <font>
      <sz val="10"/>
      <color rgb="FF333333"/>
      <name val="Arial"/>
    </font>
    <font>
      <u/>
      <sz val="10"/>
      <color rgb="FF0000FF"/>
      <name val="Arial"/>
    </font>
    <font>
      <sz val="10"/>
      <color rgb="FF808080"/>
      <name val="Arial"/>
    </font>
    <font>
      <b/>
      <sz val="9"/>
      <name val="Arial"/>
    </font>
    <font>
      <u/>
      <sz val="10"/>
      <color rgb="FF0000FF"/>
      <name val="Arial"/>
    </font>
    <font>
      <sz val="10"/>
      <color rgb="FFEEECE1"/>
      <name val="Arial"/>
    </font>
    <font>
      <b/>
      <u/>
      <sz val="10"/>
      <color rgb="FFEEECE1"/>
      <name val="Arial"/>
    </font>
    <font>
      <b/>
      <sz val="10"/>
      <color rgb="FF0C0C0C"/>
      <name val="Arial"/>
    </font>
    <font>
      <b/>
      <i/>
      <sz val="9"/>
      <color rgb="FF002060"/>
      <name val="Arial"/>
    </font>
    <font>
      <sz val="16"/>
      <name val="Arial"/>
    </font>
    <font>
      <u/>
      <sz val="16"/>
      <color rgb="FF0000FF"/>
      <name val="Arial"/>
    </font>
    <font>
      <b/>
      <u/>
      <sz val="12"/>
      <color rgb="FF0000FF"/>
      <name val="Arial"/>
    </font>
    <font>
      <b/>
      <u/>
      <sz val="10"/>
      <color rgb="FF0000FF"/>
      <name val="Arial"/>
    </font>
    <font>
      <sz val="8"/>
      <color rgb="FFC0C0C0"/>
      <name val="Arial"/>
    </font>
    <font>
      <b/>
      <sz val="3"/>
      <color rgb="FFDBE5F1"/>
      <name val="Arial"/>
    </font>
    <font>
      <sz val="8"/>
      <color rgb="FFDBE5F1"/>
      <name val="Arial"/>
    </font>
    <font>
      <sz val="8"/>
      <name val="Verdana"/>
    </font>
    <font>
      <u/>
      <sz val="8"/>
      <color rgb="FFC0C0C0"/>
      <name val="Arial"/>
    </font>
    <font>
      <b/>
      <sz val="8"/>
      <name val="Verdana"/>
    </font>
    <font>
      <b/>
      <sz val="8"/>
      <color rgb="FFC0C0C0"/>
      <name val="Arial"/>
    </font>
    <font>
      <sz val="8"/>
      <color rgb="FFFFFFFF"/>
      <name val="Arial"/>
    </font>
    <font>
      <b/>
      <sz val="8"/>
      <color rgb="FF339966"/>
      <name val="Arial"/>
    </font>
    <font>
      <sz val="8"/>
      <color rgb="FF339966"/>
      <name val="Arial"/>
    </font>
    <font>
      <sz val="5"/>
      <color rgb="FFFFFFFF"/>
      <name val="Arial"/>
    </font>
    <font>
      <sz val="10"/>
      <name val="Verdana"/>
    </font>
    <font>
      <b/>
      <sz val="10"/>
      <color rgb="FF339966"/>
      <name val="Arial"/>
    </font>
    <font>
      <sz val="12"/>
      <name val="Arial"/>
    </font>
    <font>
      <u/>
      <sz val="12"/>
      <color rgb="FF0000FF"/>
      <name val="Arial"/>
    </font>
    <font>
      <b/>
      <sz val="18"/>
      <color rgb="FF548DD4"/>
      <name val="Arial"/>
    </font>
    <font>
      <sz val="10"/>
      <color rgb="FF953734"/>
      <name val="Arial"/>
    </font>
    <font>
      <b/>
      <sz val="10"/>
      <color rgb="FFC0504D"/>
      <name val="Arial"/>
    </font>
    <font>
      <b/>
      <u/>
      <sz val="8"/>
      <color rgb="FF0000FF"/>
      <name val="Arial"/>
    </font>
    <font>
      <b/>
      <u/>
      <sz val="8"/>
      <color rgb="FF0000FF"/>
      <name val="Arial"/>
    </font>
    <font>
      <b/>
      <u/>
      <sz val="8"/>
      <color rgb="FF0000FF"/>
      <name val="Arial"/>
    </font>
    <font>
      <u/>
      <sz val="11"/>
      <color rgb="FF0000FF"/>
      <name val="Arial"/>
    </font>
    <font>
      <sz val="8"/>
      <color rgb="FF0066FF"/>
      <name val="Arial"/>
    </font>
    <font>
      <sz val="11"/>
      <color rgb="FFFFFFFF"/>
      <name val="Calibri"/>
    </font>
    <font>
      <b/>
      <i/>
      <u/>
      <sz val="14"/>
      <color rgb="FFFFFFFF"/>
      <name val="Calibri"/>
    </font>
    <font>
      <sz val="11"/>
      <name val="Arial"/>
    </font>
    <font>
      <sz val="11"/>
      <color rgb="FF0000FF"/>
      <name val="Arial"/>
    </font>
    <font>
      <b/>
      <sz val="12"/>
      <color rgb="FF0066FF"/>
      <name val="Arial"/>
    </font>
    <font>
      <sz val="11"/>
      <color rgb="FF0066FF"/>
      <name val="Arial"/>
    </font>
    <font>
      <sz val="11"/>
      <color rgb="FF000BE6"/>
      <name val="Calibri"/>
    </font>
    <font>
      <b/>
      <sz val="11"/>
      <color rgb="FF205867"/>
      <name val="Arial"/>
    </font>
    <font>
      <sz val="11"/>
      <color rgb="FF76923C"/>
      <name val="Arial"/>
    </font>
    <font>
      <b/>
      <sz val="11"/>
      <color rgb="FFFFFF00"/>
      <name val="Calibri"/>
    </font>
    <font>
      <b/>
      <sz val="11"/>
      <color rgb="FF7030A0"/>
      <name val="Calibri"/>
    </font>
    <font>
      <b/>
      <u/>
      <sz val="12"/>
      <color rgb="FF0000FF"/>
      <name val="Arial"/>
    </font>
  </fonts>
  <fills count="32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BD"/>
        <bgColor rgb="FFFFFFBD"/>
      </patternFill>
    </fill>
    <fill>
      <patternFill patternType="solid">
        <fgColor rgb="FFD8D8D8"/>
        <bgColor rgb="FFD8D8D8"/>
      </patternFill>
    </fill>
    <fill>
      <patternFill patternType="solid">
        <fgColor rgb="FF8DB3E2"/>
        <bgColor rgb="FF8DB3E2"/>
      </patternFill>
    </fill>
    <fill>
      <patternFill patternType="solid">
        <fgColor rgb="FFC2D69B"/>
        <bgColor rgb="FFC2D69B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D6E3BC"/>
        <bgColor rgb="FFD6E3BC"/>
      </patternFill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  <fill>
      <patternFill patternType="solid">
        <fgColor rgb="FF92CDDC"/>
        <bgColor rgb="FF92CDDC"/>
      </patternFill>
    </fill>
    <fill>
      <patternFill patternType="solid">
        <fgColor rgb="FF548DD4"/>
        <bgColor rgb="FF548DD4"/>
      </patternFill>
    </fill>
    <fill>
      <patternFill patternType="solid">
        <fgColor rgb="FFFFFF6D"/>
        <bgColor rgb="FFFFFF6D"/>
      </patternFill>
    </fill>
    <fill>
      <patternFill patternType="solid">
        <fgColor rgb="FF31859B"/>
        <bgColor rgb="FF31859B"/>
      </patternFill>
    </fill>
    <fill>
      <patternFill patternType="solid">
        <fgColor rgb="FFC6D9F0"/>
        <bgColor rgb="FFC6D9F0"/>
      </patternFill>
    </fill>
    <fill>
      <patternFill patternType="solid">
        <fgColor rgb="FFFF0000"/>
        <bgColor rgb="FFFF0000"/>
      </patternFill>
    </fill>
    <fill>
      <patternFill patternType="solid">
        <fgColor rgb="FF0033CC"/>
        <bgColor rgb="FF0033CC"/>
      </patternFill>
    </fill>
    <fill>
      <patternFill patternType="solid">
        <fgColor rgb="FFBFBFBF"/>
        <bgColor rgb="FFBFBFBF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EAF1DD"/>
        <bgColor rgb="FFEAF1DD"/>
      </patternFill>
    </fill>
    <fill>
      <patternFill patternType="solid">
        <fgColor rgb="FF009900"/>
        <bgColor rgb="FF0099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76923C"/>
        <bgColor rgb="FF76923C"/>
      </patternFill>
    </fill>
  </fills>
  <borders count="129">
    <border>
      <left/>
      <right/>
      <top/>
      <bottom/>
      <diagonal/>
    </border>
    <border>
      <left/>
      <right/>
      <top/>
      <bottom style="thick">
        <color rgb="FFFFC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FFC000"/>
      </top>
      <bottom/>
      <diagonal/>
    </border>
    <border>
      <left/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thin">
        <color rgb="FF8DB3E2"/>
      </right>
      <top/>
      <bottom style="thin">
        <color rgb="FF8DB3E2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/>
      <diagonal/>
    </border>
    <border>
      <left style="thin">
        <color rgb="FF8DB3E2"/>
      </left>
      <right style="thin">
        <color rgb="FF8DB3E2"/>
      </right>
      <top style="thin">
        <color rgb="FF8DB3E2"/>
      </top>
      <bottom style="thin">
        <color rgb="FF8DB3E2"/>
      </bottom>
      <diagonal/>
    </border>
    <border>
      <left style="thin">
        <color rgb="FF8DB3E2"/>
      </left>
      <right/>
      <top style="thin">
        <color rgb="FF8DB3E2"/>
      </top>
      <bottom style="thin">
        <color rgb="FF8DB3E2"/>
      </bottom>
      <diagonal/>
    </border>
    <border>
      <left/>
      <right style="thin">
        <color rgb="FF8DB3E2"/>
      </right>
      <top style="thin">
        <color rgb="FF8DB3E2"/>
      </top>
      <bottom style="thin">
        <color rgb="FF8DB3E2"/>
      </bottom>
      <diagonal/>
    </border>
    <border>
      <left style="thin">
        <color rgb="FF8DB3E2"/>
      </left>
      <right/>
      <top style="thin">
        <color rgb="FF8DB3E2"/>
      </top>
      <bottom/>
      <diagonal/>
    </border>
    <border>
      <left/>
      <right/>
      <top style="thin">
        <color rgb="FF8DB3E2"/>
      </top>
      <bottom/>
      <diagonal/>
    </border>
    <border>
      <left/>
      <right style="thin">
        <color rgb="FF8DB3E2"/>
      </right>
      <top style="thin">
        <color rgb="FF8DB3E2"/>
      </top>
      <bottom/>
      <diagonal/>
    </border>
    <border>
      <left style="hair">
        <color rgb="FFBFBFBF"/>
      </left>
      <right style="hair">
        <color rgb="FFBFBFBF"/>
      </right>
      <top/>
      <bottom/>
      <diagonal/>
    </border>
    <border>
      <left style="thin">
        <color rgb="FF8DB3E2"/>
      </left>
      <right/>
      <top/>
      <bottom/>
      <diagonal/>
    </border>
    <border>
      <left/>
      <right style="thin">
        <color rgb="FF8DB3E2"/>
      </right>
      <top/>
      <bottom/>
      <diagonal/>
    </border>
    <border>
      <left style="thin">
        <color rgb="FF8DB3E2"/>
      </left>
      <right/>
      <top/>
      <bottom style="thin">
        <color rgb="FF8DB3E2"/>
      </bottom>
      <diagonal/>
    </border>
    <border>
      <left/>
      <right/>
      <top/>
      <bottom style="thin">
        <color rgb="FF8DB3E2"/>
      </bottom>
      <diagonal/>
    </border>
    <border>
      <left/>
      <right style="thin">
        <color rgb="FF8DB3E2"/>
      </right>
      <top/>
      <bottom style="thin">
        <color rgb="FF8DB3E2"/>
      </bottom>
      <diagonal/>
    </border>
    <border>
      <left/>
      <right/>
      <top/>
      <bottom style="thin">
        <color rgb="FFC2D69B"/>
      </bottom>
      <diagonal/>
    </border>
    <border>
      <left/>
      <right/>
      <top/>
      <bottom style="thin">
        <color rgb="FFC2D69B"/>
      </bottom>
      <diagonal/>
    </border>
    <border>
      <left/>
      <right/>
      <top/>
      <bottom style="thin">
        <color rgb="FFC2D69B"/>
      </bottom>
      <diagonal/>
    </border>
    <border>
      <left/>
      <right/>
      <top/>
      <bottom style="thin">
        <color rgb="FFC2D69B"/>
      </bottom>
      <diagonal/>
    </border>
    <border>
      <left/>
      <right style="thin">
        <color rgb="FFC2D69B"/>
      </right>
      <top/>
      <bottom style="thin">
        <color rgb="FFC2D69B"/>
      </bottom>
      <diagonal/>
    </border>
    <border>
      <left style="thin">
        <color rgb="FFC2D69B"/>
      </left>
      <right style="thin">
        <color rgb="FFD6E3BC"/>
      </right>
      <top style="thin">
        <color rgb="FFC2D69B"/>
      </top>
      <bottom style="thin">
        <color rgb="FFD6E3BC"/>
      </bottom>
      <diagonal/>
    </border>
    <border>
      <left style="thin">
        <color rgb="FFD6E3BC"/>
      </left>
      <right style="thin">
        <color rgb="FFD6E3BC"/>
      </right>
      <top/>
      <bottom style="thin">
        <color rgb="FFD6E3BC"/>
      </bottom>
      <diagonal/>
    </border>
    <border>
      <left style="thin">
        <color rgb="FFD6E3BC"/>
      </left>
      <right/>
      <top style="thin">
        <color rgb="FFC2D69B"/>
      </top>
      <bottom style="thin">
        <color rgb="FFD6E3BC"/>
      </bottom>
      <diagonal/>
    </border>
    <border>
      <left/>
      <right style="thin">
        <color rgb="FFD6E3BC"/>
      </right>
      <top style="thin">
        <color rgb="FFC2D69B"/>
      </top>
      <bottom style="thin">
        <color rgb="FFD6E3BC"/>
      </bottom>
      <diagonal/>
    </border>
    <border>
      <left style="thin">
        <color rgb="FFD6E3BC"/>
      </left>
      <right style="thin">
        <color rgb="FFD6E3BC"/>
      </right>
      <top style="thin">
        <color rgb="FFC2D69B"/>
      </top>
      <bottom style="thin">
        <color rgb="FFD6E3BC"/>
      </bottom>
      <diagonal/>
    </border>
    <border>
      <left style="thin">
        <color rgb="FFD6E3BC"/>
      </left>
      <right/>
      <top style="thin">
        <color rgb="FFC2D69B"/>
      </top>
      <bottom/>
      <diagonal/>
    </border>
    <border>
      <left/>
      <right/>
      <top style="thin">
        <color rgb="FFC2D69B"/>
      </top>
      <bottom/>
      <diagonal/>
    </border>
    <border>
      <left/>
      <right style="thin">
        <color rgb="FFC2D69B"/>
      </right>
      <top style="thin">
        <color rgb="FFC2D69B"/>
      </top>
      <bottom/>
      <diagonal/>
    </border>
    <border>
      <left style="thin">
        <color rgb="FFD6E3BC"/>
      </left>
      <right style="thin">
        <color rgb="FFD6E3BC"/>
      </right>
      <top style="thin">
        <color rgb="FFD6E3BC"/>
      </top>
      <bottom style="thin">
        <color rgb="FFD6E3BC"/>
      </bottom>
      <diagonal/>
    </border>
    <border>
      <left style="thin">
        <color rgb="FFD6E3BC"/>
      </left>
      <right/>
      <top style="thin">
        <color rgb="FFD6E3BC"/>
      </top>
      <bottom style="thin">
        <color rgb="FFD6E3BC"/>
      </bottom>
      <diagonal/>
    </border>
    <border>
      <left/>
      <right style="thin">
        <color rgb="FFD6E3BC"/>
      </right>
      <top style="thin">
        <color rgb="FFD6E3BC"/>
      </top>
      <bottom style="thin">
        <color rgb="FFD6E3BC"/>
      </bottom>
      <diagonal/>
    </border>
    <border>
      <left style="thin">
        <color rgb="FFD6E3BC"/>
      </left>
      <right/>
      <top/>
      <bottom/>
      <diagonal/>
    </border>
    <border>
      <left/>
      <right style="thin">
        <color rgb="FFC2D69B"/>
      </right>
      <top/>
      <bottom/>
      <diagonal/>
    </border>
    <border>
      <left style="thin">
        <color rgb="FFC2D69B"/>
      </left>
      <right style="thin">
        <color rgb="FFD6E3BC"/>
      </right>
      <top style="thin">
        <color rgb="FFD6E3BC"/>
      </top>
      <bottom style="thin">
        <color rgb="FFD6E3BC"/>
      </bottom>
      <diagonal/>
    </border>
    <border>
      <left/>
      <right/>
      <top style="thin">
        <color rgb="FFD6E3BC"/>
      </top>
      <bottom style="thin">
        <color rgb="FFD6E3BC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thin">
        <color rgb="FFD6E3BC"/>
      </left>
      <right/>
      <top/>
      <bottom style="thin">
        <color rgb="FFD6E3BC"/>
      </bottom>
      <diagonal/>
    </border>
    <border>
      <left/>
      <right/>
      <top/>
      <bottom style="thin">
        <color rgb="FFC2D69B"/>
      </bottom>
      <diagonal/>
    </border>
    <border>
      <left/>
      <right style="thin">
        <color rgb="FFC2D69B"/>
      </right>
      <top/>
      <bottom style="thin">
        <color rgb="FFC2D69B"/>
      </bottom>
      <diagonal/>
    </border>
    <border>
      <left/>
      <right style="thin">
        <color rgb="FFB6DDE8"/>
      </right>
      <top/>
      <bottom style="thin">
        <color rgb="FFB6DDE8"/>
      </bottom>
      <diagonal/>
    </border>
    <border>
      <left style="thin">
        <color rgb="FFB6DDE8"/>
      </left>
      <right style="thin">
        <color rgb="FFB6DDE8"/>
      </right>
      <top style="thin">
        <color rgb="FFB6DDE8"/>
      </top>
      <bottom style="thin">
        <color rgb="FFB6DDE8"/>
      </bottom>
      <diagonal/>
    </border>
    <border>
      <left style="thin">
        <color rgb="FFB6DDE8"/>
      </left>
      <right/>
      <top style="thin">
        <color rgb="FFB6DDE8"/>
      </top>
      <bottom style="thin">
        <color rgb="FFB6DDE8"/>
      </bottom>
      <diagonal/>
    </border>
    <border>
      <left/>
      <right style="thin">
        <color rgb="FFB6DDE8"/>
      </right>
      <top style="thin">
        <color rgb="FFB6DDE8"/>
      </top>
      <bottom style="thin">
        <color rgb="FFB6DDE8"/>
      </bottom>
      <diagonal/>
    </border>
    <border>
      <left style="thin">
        <color rgb="FFB6DDE8"/>
      </left>
      <right/>
      <top style="thin">
        <color rgb="FFB6DDE8"/>
      </top>
      <bottom/>
      <diagonal/>
    </border>
    <border>
      <left/>
      <right/>
      <top style="thin">
        <color rgb="FFB6DDE8"/>
      </top>
      <bottom/>
      <diagonal/>
    </border>
    <border>
      <left/>
      <right style="thin">
        <color rgb="FFB6DDE8"/>
      </right>
      <top style="thin">
        <color rgb="FFB6DDE8"/>
      </top>
      <bottom/>
      <diagonal/>
    </border>
    <border>
      <left style="thin">
        <color rgb="FFB6DDE8"/>
      </left>
      <right/>
      <top/>
      <bottom/>
      <diagonal/>
    </border>
    <border>
      <left/>
      <right style="thin">
        <color rgb="FFB6DDE8"/>
      </right>
      <top/>
      <bottom/>
      <diagonal/>
    </border>
    <border>
      <left style="thin">
        <color rgb="FFB6DDE8"/>
      </left>
      <right/>
      <top/>
      <bottom style="thin">
        <color rgb="FFB6DDE8"/>
      </bottom>
      <diagonal/>
    </border>
    <border>
      <left/>
      <right/>
      <top/>
      <bottom style="thin">
        <color rgb="FFB6DDE8"/>
      </bottom>
      <diagonal/>
    </border>
    <border>
      <left/>
      <right style="thin">
        <color rgb="FFB6DDE8"/>
      </right>
      <top/>
      <bottom style="thin">
        <color rgb="FFB6DDE8"/>
      </bottom>
      <diagonal/>
    </border>
    <border>
      <left/>
      <right style="thin">
        <color rgb="FFFBD4B4"/>
      </right>
      <top/>
      <bottom/>
      <diagonal/>
    </border>
    <border>
      <left style="thin">
        <color rgb="FFFBD4B4"/>
      </left>
      <right style="thin">
        <color rgb="FFFBD4B4"/>
      </right>
      <top style="thin">
        <color rgb="FFFBD4B4"/>
      </top>
      <bottom style="thin">
        <color rgb="FFFBD4B4"/>
      </bottom>
      <diagonal/>
    </border>
    <border>
      <left style="thin">
        <color rgb="FFFBD4B4"/>
      </left>
      <right/>
      <top style="thin">
        <color rgb="FFFBD4B4"/>
      </top>
      <bottom style="thin">
        <color rgb="FFFBD4B4"/>
      </bottom>
      <diagonal/>
    </border>
    <border>
      <left/>
      <right style="thin">
        <color rgb="FFFBD4B4"/>
      </right>
      <top style="thin">
        <color rgb="FFFBD4B4"/>
      </top>
      <bottom style="thin">
        <color rgb="FFFBD4B4"/>
      </bottom>
      <diagonal/>
    </border>
    <border>
      <left style="thin">
        <color rgb="FFFBD4B4"/>
      </left>
      <right/>
      <top style="thin">
        <color rgb="FFFBD4B4"/>
      </top>
      <bottom/>
      <diagonal/>
    </border>
    <border>
      <left/>
      <right style="thin">
        <color rgb="FFFBD4B4"/>
      </right>
      <top/>
      <bottom/>
      <diagonal/>
    </border>
    <border>
      <left style="thin">
        <color rgb="FFFBD4B4"/>
      </left>
      <right/>
      <top/>
      <bottom/>
      <diagonal/>
    </border>
    <border>
      <left style="thin">
        <color rgb="FFFBD4B4"/>
      </left>
      <right/>
      <top/>
      <bottom style="thin">
        <color rgb="FFFBD4B4"/>
      </bottom>
      <diagonal/>
    </border>
    <border>
      <left/>
      <right/>
      <top/>
      <bottom style="thin">
        <color rgb="FFFBD4B4"/>
      </bottom>
      <diagonal/>
    </border>
    <border>
      <left/>
      <right style="thin">
        <color rgb="FFFBD4B4"/>
      </right>
      <top/>
      <bottom style="thin">
        <color rgb="FFFBD4B4"/>
      </bottom>
      <diagonal/>
    </border>
    <border>
      <left/>
      <right/>
      <top style="thin">
        <color rgb="FFD6E3BC"/>
      </top>
      <bottom style="thin">
        <color rgb="FFD6E3BC"/>
      </bottom>
      <diagonal/>
    </border>
    <border>
      <left/>
      <right/>
      <top style="thin">
        <color rgb="FFD6E3BC"/>
      </top>
      <bottom style="thin">
        <color rgb="FFD6E3BC"/>
      </bottom>
      <diagonal/>
    </border>
    <border>
      <left/>
      <right/>
      <top style="thin">
        <color rgb="FFD6E3BC"/>
      </top>
      <bottom style="thin">
        <color rgb="FFD6E3BC"/>
      </bottom>
      <diagonal/>
    </border>
    <border>
      <left/>
      <right style="thin">
        <color rgb="FFD6E3BC"/>
      </right>
      <top style="thin">
        <color rgb="FFD6E3BC"/>
      </top>
      <bottom style="thin">
        <color rgb="FFD6E3BC"/>
      </bottom>
      <diagonal/>
    </border>
    <border>
      <left style="thin">
        <color rgb="FFD6E3BC"/>
      </left>
      <right/>
      <top style="thin">
        <color rgb="FFD6E3BC"/>
      </top>
      <bottom/>
      <diagonal/>
    </border>
    <border>
      <left/>
      <right/>
      <top style="thin">
        <color rgb="FFD6E3BC"/>
      </top>
      <bottom/>
      <diagonal/>
    </border>
    <border>
      <left/>
      <right style="thin">
        <color rgb="FFD6E3BC"/>
      </right>
      <top style="thin">
        <color rgb="FFD6E3BC"/>
      </top>
      <bottom/>
      <diagonal/>
    </border>
    <border>
      <left/>
      <right style="thin">
        <color rgb="FFD6E3BC"/>
      </right>
      <top/>
      <bottom/>
      <diagonal/>
    </border>
    <border>
      <left/>
      <right/>
      <top/>
      <bottom style="thin">
        <color rgb="FFD6E3BC"/>
      </bottom>
      <diagonal/>
    </border>
    <border>
      <left/>
      <right style="thin">
        <color rgb="FFD6E3BC"/>
      </right>
      <top/>
      <bottom style="thin">
        <color rgb="FFD6E3BC"/>
      </bottom>
      <diagonal/>
    </border>
    <border>
      <left style="thin">
        <color rgb="FFB6DDE8"/>
      </left>
      <right/>
      <top/>
      <bottom style="thin">
        <color rgb="FFB6DDE8"/>
      </bottom>
      <diagonal/>
    </border>
    <border>
      <left/>
      <right/>
      <top/>
      <bottom style="thin">
        <color rgb="FFB6DDE8"/>
      </bottom>
      <diagonal/>
    </border>
    <border>
      <left/>
      <right/>
      <top/>
      <bottom style="thin">
        <color rgb="FFB6DDE8"/>
      </bottom>
      <diagonal/>
    </border>
    <border>
      <left/>
      <right style="thin">
        <color rgb="FFFBD4B4"/>
      </right>
      <top/>
      <bottom style="thin">
        <color rgb="FFFBD4B4"/>
      </bottom>
      <diagonal/>
    </border>
    <border>
      <left/>
      <right/>
      <top style="thin">
        <color rgb="FFFBD4B4"/>
      </top>
      <bottom/>
      <diagonal/>
    </border>
    <border>
      <left/>
      <right style="thin">
        <color rgb="FFFBD4B4"/>
      </right>
      <top style="thin">
        <color rgb="FFFBD4B4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B2A1C7"/>
      </right>
      <top/>
      <bottom/>
      <diagonal/>
    </border>
    <border>
      <left style="thin">
        <color rgb="FFB2A1C7"/>
      </left>
      <right/>
      <top style="thin">
        <color rgb="FFB2A1C7"/>
      </top>
      <bottom/>
      <diagonal/>
    </border>
    <border>
      <left/>
      <right style="thin">
        <color rgb="FFB2A1C7"/>
      </right>
      <top style="thin">
        <color rgb="FFB2A1C7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B2A1C7"/>
      </right>
      <top/>
      <bottom/>
      <diagonal/>
    </border>
    <border>
      <left style="thin">
        <color rgb="FFB2A1C7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B2A1C7"/>
      </right>
      <top/>
      <bottom/>
      <diagonal/>
    </border>
    <border>
      <left style="thin">
        <color rgb="FFB2A1C7"/>
      </left>
      <right/>
      <top/>
      <bottom style="thin">
        <color rgb="FFB2A1C7"/>
      </bottom>
      <diagonal/>
    </border>
    <border>
      <left/>
      <right style="thin">
        <color rgb="FFB2A1C7"/>
      </right>
      <top/>
      <bottom style="thin">
        <color rgb="FFB2A1C7"/>
      </bottom>
      <diagonal/>
    </border>
    <border>
      <left/>
      <right/>
      <top/>
      <bottom style="medium">
        <color rgb="FFFABF8F"/>
      </bottom>
      <diagonal/>
    </border>
    <border>
      <left style="medium">
        <color rgb="FFFABF8F"/>
      </left>
      <right/>
      <top style="medium">
        <color rgb="FFFABF8F"/>
      </top>
      <bottom style="medium">
        <color rgb="FFFABF8F"/>
      </bottom>
      <diagonal/>
    </border>
    <border>
      <left/>
      <right/>
      <top style="medium">
        <color rgb="FFFABF8F"/>
      </top>
      <bottom style="medium">
        <color rgb="FFFABF8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94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6" fillId="0" borderId="0" xfId="0" applyFont="1" applyAlignment="1">
      <alignment horizontal="center" vertical="center" wrapText="1"/>
    </xf>
    <xf numFmtId="0" fontId="3" fillId="0" borderId="6" xfId="0" applyFont="1" applyBorder="1"/>
    <xf numFmtId="0" fontId="1" fillId="0" borderId="0" xfId="0" applyFont="1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1" fillId="4" borderId="7" xfId="0" applyFont="1" applyFill="1" applyBorder="1"/>
    <xf numFmtId="0" fontId="1" fillId="0" borderId="11" xfId="0" applyFont="1" applyBorder="1" applyAlignment="1">
      <alignment horizontal="center" vertical="top"/>
    </xf>
    <xf numFmtId="0" fontId="10" fillId="4" borderId="2" xfId="0" applyFont="1" applyFill="1" applyBorder="1" applyAlignment="1">
      <alignment horizontal="center" vertical="center"/>
    </xf>
    <xf numFmtId="0" fontId="11" fillId="4" borderId="2" xfId="0" applyFont="1" applyFill="1" applyBorder="1"/>
    <xf numFmtId="0" fontId="13" fillId="4" borderId="2" xfId="0" applyFont="1" applyFill="1" applyBorder="1"/>
    <xf numFmtId="0" fontId="14" fillId="0" borderId="0" xfId="0" applyFont="1" applyAlignment="1">
      <alignment horizontal="center"/>
    </xf>
    <xf numFmtId="0" fontId="1" fillId="6" borderId="2" xfId="0" applyFont="1" applyFill="1" applyBorder="1"/>
    <xf numFmtId="0" fontId="1" fillId="0" borderId="0" xfId="0" applyFont="1"/>
    <xf numFmtId="0" fontId="3" fillId="0" borderId="0" xfId="0" applyFont="1"/>
    <xf numFmtId="0" fontId="11" fillId="0" borderId="0" xfId="0" applyFont="1"/>
    <xf numFmtId="0" fontId="15" fillId="0" borderId="0" xfId="0" applyFont="1" applyAlignment="1">
      <alignment horizontal="center" vertical="top"/>
    </xf>
    <xf numFmtId="0" fontId="16" fillId="4" borderId="2" xfId="0" applyFont="1" applyFill="1" applyBorder="1"/>
    <xf numFmtId="0" fontId="16" fillId="0" borderId="0" xfId="0" applyFont="1"/>
    <xf numFmtId="0" fontId="18" fillId="7" borderId="2" xfId="0" applyFont="1" applyFill="1" applyBorder="1"/>
    <xf numFmtId="164" fontId="18" fillId="7" borderId="2" xfId="0" applyNumberFormat="1" applyFont="1" applyFill="1" applyBorder="1"/>
    <xf numFmtId="0" fontId="1" fillId="7" borderId="2" xfId="0" applyFont="1" applyFill="1" applyBorder="1"/>
    <xf numFmtId="0" fontId="19" fillId="7" borderId="2" xfId="0" applyFont="1" applyFill="1" applyBorder="1"/>
    <xf numFmtId="0" fontId="20" fillId="7" borderId="2" xfId="0" applyFont="1" applyFill="1" applyBorder="1"/>
    <xf numFmtId="0" fontId="20" fillId="7" borderId="12" xfId="0" applyFont="1" applyFill="1" applyBorder="1"/>
    <xf numFmtId="0" fontId="21" fillId="0" borderId="13" xfId="0" applyFont="1" applyBorder="1" applyAlignment="1">
      <alignment horizontal="center"/>
    </xf>
    <xf numFmtId="14" fontId="22" fillId="0" borderId="14" xfId="0" applyNumberFormat="1" applyFont="1" applyBorder="1" applyAlignment="1">
      <alignment horizontal="center"/>
    </xf>
    <xf numFmtId="20" fontId="22" fillId="0" borderId="14" xfId="0" applyNumberFormat="1" applyFont="1" applyBorder="1" applyAlignment="1">
      <alignment horizontal="left"/>
    </xf>
    <xf numFmtId="0" fontId="2" fillId="0" borderId="15" xfId="0" applyFont="1" applyBorder="1" applyAlignment="1">
      <alignment horizontal="right"/>
    </xf>
    <xf numFmtId="0" fontId="23" fillId="0" borderId="16" xfId="0" applyFont="1" applyBorder="1"/>
    <xf numFmtId="0" fontId="24" fillId="0" borderId="14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6" fillId="0" borderId="14" xfId="0" applyFont="1" applyBorder="1"/>
    <xf numFmtId="0" fontId="1" fillId="0" borderId="17" xfId="0" applyFont="1" applyBorder="1"/>
    <xf numFmtId="0" fontId="28" fillId="0" borderId="20" xfId="0" applyFont="1" applyBorder="1" applyAlignment="1">
      <alignment horizontal="center"/>
    </xf>
    <xf numFmtId="0" fontId="29" fillId="0" borderId="21" xfId="0" applyFont="1" applyBorder="1"/>
    <xf numFmtId="0" fontId="30" fillId="0" borderId="0" xfId="0" applyFont="1"/>
    <xf numFmtId="0" fontId="27" fillId="0" borderId="0" xfId="0" applyFont="1" applyAlignment="1">
      <alignment horizontal="center"/>
    </xf>
    <xf numFmtId="0" fontId="27" fillId="0" borderId="22" xfId="0" applyFont="1" applyBorder="1" applyAlignment="1">
      <alignment horizontal="center"/>
    </xf>
    <xf numFmtId="0" fontId="1" fillId="0" borderId="20" xfId="0" applyFont="1" applyBorder="1"/>
    <xf numFmtId="0" fontId="29" fillId="0" borderId="21" xfId="0" applyFont="1" applyBorder="1" applyAlignment="1">
      <alignment horizontal="right"/>
    </xf>
    <xf numFmtId="0" fontId="0" fillId="0" borderId="0" xfId="0" applyFont="1"/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2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1" fillId="0" borderId="24" xfId="0" applyFont="1" applyBorder="1"/>
    <xf numFmtId="0" fontId="31" fillId="0" borderId="24" xfId="0" applyFont="1" applyBorder="1" applyAlignment="1">
      <alignment horizontal="center"/>
    </xf>
    <xf numFmtId="0" fontId="32" fillId="0" borderId="24" xfId="0" applyFont="1" applyBorder="1" applyAlignment="1">
      <alignment horizontal="center"/>
    </xf>
    <xf numFmtId="0" fontId="32" fillId="0" borderId="25" xfId="0" applyFont="1" applyBorder="1" applyAlignment="1">
      <alignment horizontal="center"/>
    </xf>
    <xf numFmtId="165" fontId="1" fillId="0" borderId="0" xfId="0" applyNumberFormat="1" applyFont="1"/>
    <xf numFmtId="20" fontId="1" fillId="0" borderId="0" xfId="0" applyNumberFormat="1" applyFont="1"/>
    <xf numFmtId="0" fontId="1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0" fontId="33" fillId="0" borderId="0" xfId="0" applyFont="1"/>
    <xf numFmtId="0" fontId="29" fillId="0" borderId="0" xfId="0" applyFont="1"/>
    <xf numFmtId="0" fontId="34" fillId="0" borderId="20" xfId="0" applyFont="1" applyBorder="1" applyAlignment="1">
      <alignment horizontal="center" wrapText="1"/>
    </xf>
    <xf numFmtId="0" fontId="19" fillId="8" borderId="29" xfId="0" applyFont="1" applyFill="1" applyBorder="1"/>
    <xf numFmtId="164" fontId="18" fillId="8" borderId="29" xfId="0" applyNumberFormat="1" applyFont="1" applyFill="1" applyBorder="1"/>
    <xf numFmtId="0" fontId="33" fillId="8" borderId="29" xfId="0" applyFont="1" applyFill="1" applyBorder="1"/>
    <xf numFmtId="0" fontId="29" fillId="8" borderId="29" xfId="0" applyFont="1" applyFill="1" applyBorder="1"/>
    <xf numFmtId="0" fontId="18" fillId="8" borderId="29" xfId="0" applyFont="1" applyFill="1" applyBorder="1"/>
    <xf numFmtId="0" fontId="20" fillId="8" borderId="29" xfId="0" applyFont="1" applyFill="1" applyBorder="1"/>
    <xf numFmtId="0" fontId="20" fillId="8" borderId="30" xfId="0" applyFont="1" applyFill="1" applyBorder="1"/>
    <xf numFmtId="0" fontId="1" fillId="0" borderId="20" xfId="0" applyFont="1" applyBorder="1" applyAlignment="1">
      <alignment wrapText="1"/>
    </xf>
    <xf numFmtId="14" fontId="22" fillId="0" borderId="31" xfId="0" applyNumberFormat="1" applyFont="1" applyBorder="1" applyAlignment="1">
      <alignment horizontal="center"/>
    </xf>
    <xf numFmtId="20" fontId="22" fillId="0" borderId="32" xfId="0" applyNumberFormat="1" applyFont="1" applyBorder="1" applyAlignment="1">
      <alignment horizontal="left"/>
    </xf>
    <xf numFmtId="0" fontId="2" fillId="0" borderId="33" xfId="0" applyFont="1" applyBorder="1" applyAlignment="1">
      <alignment horizontal="right"/>
    </xf>
    <xf numFmtId="0" fontId="23" fillId="0" borderId="34" xfId="0" applyFont="1" applyBorder="1"/>
    <xf numFmtId="0" fontId="24" fillId="0" borderId="35" xfId="0" applyFont="1" applyBorder="1" applyAlignment="1">
      <alignment horizontal="center"/>
    </xf>
    <xf numFmtId="0" fontId="25" fillId="0" borderId="35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left"/>
    </xf>
    <xf numFmtId="0" fontId="36" fillId="0" borderId="32" xfId="0" applyFont="1" applyBorder="1"/>
    <xf numFmtId="0" fontId="29" fillId="0" borderId="36" xfId="0" applyFont="1" applyBorder="1"/>
    <xf numFmtId="20" fontId="22" fillId="0" borderId="39" xfId="0" applyNumberFormat="1" applyFont="1" applyBorder="1" applyAlignment="1">
      <alignment horizontal="left"/>
    </xf>
    <xf numFmtId="0" fontId="2" fillId="0" borderId="40" xfId="0" applyFont="1" applyBorder="1" applyAlignment="1">
      <alignment horizontal="right"/>
    </xf>
    <xf numFmtId="0" fontId="23" fillId="0" borderId="41" xfId="0" applyFont="1" applyBorder="1"/>
    <xf numFmtId="0" fontId="24" fillId="0" borderId="39" xfId="0" applyFont="1" applyBorder="1" applyAlignment="1">
      <alignment horizontal="center"/>
    </xf>
    <xf numFmtId="0" fontId="25" fillId="0" borderId="39" xfId="0" applyFont="1" applyBorder="1" applyAlignment="1">
      <alignment horizontal="center"/>
    </xf>
    <xf numFmtId="0" fontId="24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left"/>
    </xf>
    <xf numFmtId="0" fontId="36" fillId="0" borderId="39" xfId="0" applyFont="1" applyBorder="1"/>
    <xf numFmtId="0" fontId="29" fillId="0" borderId="42" xfId="0" applyFont="1" applyBorder="1"/>
    <xf numFmtId="0" fontId="35" fillId="0" borderId="0" xfId="0" applyFont="1" applyAlignment="1">
      <alignment horizontal="center"/>
    </xf>
    <xf numFmtId="0" fontId="35" fillId="0" borderId="43" xfId="0" applyFont="1" applyBorder="1" applyAlignment="1">
      <alignment horizontal="center"/>
    </xf>
    <xf numFmtId="14" fontId="22" fillId="0" borderId="44" xfId="0" applyNumberFormat="1" applyFont="1" applyBorder="1" applyAlignment="1">
      <alignment horizontal="center"/>
    </xf>
    <xf numFmtId="0" fontId="2" fillId="0" borderId="45" xfId="0" applyFont="1" applyBorder="1" applyAlignment="1">
      <alignment horizontal="left"/>
    </xf>
    <xf numFmtId="0" fontId="29" fillId="0" borderId="42" xfId="0" applyFont="1" applyBorder="1" applyAlignment="1">
      <alignment horizontal="right"/>
    </xf>
    <xf numFmtId="0" fontId="32" fillId="0" borderId="43" xfId="0" applyFont="1" applyBorder="1" applyAlignment="1">
      <alignment horizontal="center"/>
    </xf>
    <xf numFmtId="0" fontId="1" fillId="0" borderId="46" xfId="0" applyFont="1" applyBorder="1"/>
    <xf numFmtId="0" fontId="29" fillId="0" borderId="47" xfId="0" applyFont="1" applyBorder="1" applyAlignment="1">
      <alignment horizontal="right"/>
    </xf>
    <xf numFmtId="0" fontId="1" fillId="0" borderId="48" xfId="0" applyFont="1" applyBorder="1"/>
    <xf numFmtId="0" fontId="31" fillId="0" borderId="48" xfId="0" applyFont="1" applyBorder="1" applyAlignment="1">
      <alignment horizontal="center"/>
    </xf>
    <xf numFmtId="0" fontId="32" fillId="0" borderId="48" xfId="0" applyFont="1" applyBorder="1" applyAlignment="1">
      <alignment horizontal="center"/>
    </xf>
    <xf numFmtId="0" fontId="32" fillId="0" borderId="49" xfId="0" applyFont="1" applyBorder="1" applyAlignment="1">
      <alignment horizontal="center"/>
    </xf>
    <xf numFmtId="0" fontId="37" fillId="9" borderId="2" xfId="0" applyFont="1" applyFill="1" applyBorder="1"/>
    <xf numFmtId="164" fontId="38" fillId="9" borderId="2" xfId="0" applyNumberFormat="1" applyFont="1" applyFill="1" applyBorder="1"/>
    <xf numFmtId="0" fontId="39" fillId="9" borderId="2" xfId="0" applyFont="1" applyFill="1" applyBorder="1"/>
    <xf numFmtId="0" fontId="29" fillId="9" borderId="2" xfId="0" applyFont="1" applyFill="1" applyBorder="1"/>
    <xf numFmtId="0" fontId="38" fillId="9" borderId="2" xfId="0" applyFont="1" applyFill="1" applyBorder="1"/>
    <xf numFmtId="0" fontId="38" fillId="9" borderId="50" xfId="0" applyFont="1" applyFill="1" applyBorder="1"/>
    <xf numFmtId="14" fontId="22" fillId="0" borderId="51" xfId="0" applyNumberFormat="1" applyFont="1" applyBorder="1" applyAlignment="1">
      <alignment horizontal="center"/>
    </xf>
    <xf numFmtId="20" fontId="22" fillId="0" borderId="51" xfId="0" applyNumberFormat="1" applyFont="1" applyBorder="1" applyAlignment="1">
      <alignment horizontal="left"/>
    </xf>
    <xf numFmtId="0" fontId="1" fillId="0" borderId="52" xfId="0" applyFont="1" applyBorder="1" applyAlignment="1">
      <alignment horizontal="right"/>
    </xf>
    <xf numFmtId="0" fontId="23" fillId="0" borderId="53" xfId="0" applyFont="1" applyBorder="1"/>
    <xf numFmtId="0" fontId="24" fillId="0" borderId="51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24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left"/>
    </xf>
    <xf numFmtId="0" fontId="39" fillId="0" borderId="51" xfId="0" applyFont="1" applyBorder="1"/>
    <xf numFmtId="0" fontId="29" fillId="0" borderId="54" xfId="0" applyFont="1" applyBorder="1"/>
    <xf numFmtId="0" fontId="1" fillId="5" borderId="2" xfId="0" applyFont="1" applyFill="1" applyBorder="1"/>
    <xf numFmtId="0" fontId="29" fillId="0" borderId="57" xfId="0" applyFont="1" applyBorder="1"/>
    <xf numFmtId="0" fontId="37" fillId="0" borderId="0" xfId="0" applyFont="1" applyAlignment="1">
      <alignment horizontal="center"/>
    </xf>
    <xf numFmtId="0" fontId="37" fillId="0" borderId="58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29" fillId="0" borderId="59" xfId="0" applyFont="1" applyBorder="1"/>
    <xf numFmtId="0" fontId="1" fillId="0" borderId="60" xfId="0" applyFont="1" applyBorder="1"/>
    <xf numFmtId="0" fontId="31" fillId="0" borderId="60" xfId="0" applyFont="1" applyBorder="1" applyAlignment="1">
      <alignment horizontal="center"/>
    </xf>
    <xf numFmtId="0" fontId="32" fillId="0" borderId="60" xfId="0" applyFont="1" applyBorder="1" applyAlignment="1">
      <alignment horizontal="center"/>
    </xf>
    <xf numFmtId="0" fontId="32" fillId="0" borderId="61" xfId="0" applyFont="1" applyBorder="1" applyAlignment="1">
      <alignment horizontal="center"/>
    </xf>
    <xf numFmtId="0" fontId="2" fillId="0" borderId="0" xfId="0" applyFont="1"/>
    <xf numFmtId="0" fontId="19" fillId="10" borderId="2" xfId="0" applyFont="1" applyFill="1" applyBorder="1"/>
    <xf numFmtId="164" fontId="18" fillId="10" borderId="2" xfId="0" applyNumberFormat="1" applyFont="1" applyFill="1" applyBorder="1"/>
    <xf numFmtId="0" fontId="33" fillId="10" borderId="2" xfId="0" applyFont="1" applyFill="1" applyBorder="1"/>
    <xf numFmtId="0" fontId="29" fillId="10" borderId="2" xfId="0" applyFont="1" applyFill="1" applyBorder="1"/>
    <xf numFmtId="0" fontId="18" fillId="10" borderId="2" xfId="0" applyFont="1" applyFill="1" applyBorder="1"/>
    <xf numFmtId="0" fontId="20" fillId="10" borderId="2" xfId="0" applyFont="1" applyFill="1" applyBorder="1"/>
    <xf numFmtId="0" fontId="20" fillId="10" borderId="62" xfId="0" applyFont="1" applyFill="1" applyBorder="1"/>
    <xf numFmtId="14" fontId="22" fillId="0" borderId="63" xfId="0" applyNumberFormat="1" applyFont="1" applyBorder="1" applyAlignment="1">
      <alignment horizontal="center"/>
    </xf>
    <xf numFmtId="20" fontId="22" fillId="0" borderId="63" xfId="0" applyNumberFormat="1" applyFont="1" applyBorder="1" applyAlignment="1">
      <alignment horizontal="left"/>
    </xf>
    <xf numFmtId="0" fontId="1" fillId="0" borderId="64" xfId="0" applyFont="1" applyBorder="1" applyAlignment="1">
      <alignment horizontal="right"/>
    </xf>
    <xf numFmtId="0" fontId="23" fillId="0" borderId="65" xfId="0" applyFont="1" applyBorder="1"/>
    <xf numFmtId="0" fontId="24" fillId="0" borderId="63" xfId="0" applyFont="1" applyBorder="1" applyAlignment="1">
      <alignment horizontal="center"/>
    </xf>
    <xf numFmtId="0" fontId="25" fillId="0" borderId="63" xfId="0" applyFont="1" applyBorder="1" applyAlignment="1">
      <alignment horizontal="center"/>
    </xf>
    <xf numFmtId="0" fontId="24" fillId="0" borderId="64" xfId="0" applyFont="1" applyBorder="1" applyAlignment="1">
      <alignment horizontal="center"/>
    </xf>
    <xf numFmtId="0" fontId="1" fillId="0" borderId="65" xfId="0" applyFont="1" applyBorder="1" applyAlignment="1">
      <alignment horizontal="left"/>
    </xf>
    <xf numFmtId="0" fontId="41" fillId="0" borderId="63" xfId="0" applyFont="1" applyBorder="1"/>
    <xf numFmtId="0" fontId="29" fillId="0" borderId="66" xfId="0" applyFont="1" applyBorder="1"/>
    <xf numFmtId="0" fontId="29" fillId="0" borderId="68" xfId="0" applyFont="1" applyBorder="1"/>
    <xf numFmtId="0" fontId="40" fillId="0" borderId="0" xfId="0" applyFont="1" applyAlignment="1">
      <alignment horizontal="center"/>
    </xf>
    <xf numFmtId="0" fontId="40" fillId="0" borderId="67" xfId="0" applyFont="1" applyBorder="1" applyAlignment="1">
      <alignment horizontal="center"/>
    </xf>
    <xf numFmtId="0" fontId="32" fillId="0" borderId="67" xfId="0" applyFont="1" applyBorder="1" applyAlignment="1">
      <alignment horizontal="center"/>
    </xf>
    <xf numFmtId="0" fontId="29" fillId="0" borderId="69" xfId="0" applyFont="1" applyBorder="1"/>
    <xf numFmtId="0" fontId="1" fillId="0" borderId="70" xfId="0" applyFont="1" applyBorder="1"/>
    <xf numFmtId="0" fontId="31" fillId="0" borderId="70" xfId="0" applyFont="1" applyBorder="1" applyAlignment="1">
      <alignment horizontal="center"/>
    </xf>
    <xf numFmtId="0" fontId="32" fillId="0" borderId="70" xfId="0" applyFont="1" applyBorder="1" applyAlignment="1">
      <alignment horizontal="center"/>
    </xf>
    <xf numFmtId="0" fontId="32" fillId="0" borderId="71" xfId="0" applyFont="1" applyBorder="1" applyAlignment="1">
      <alignment horizontal="center"/>
    </xf>
    <xf numFmtId="0" fontId="29" fillId="7" borderId="2" xfId="0" applyFont="1" applyFill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left"/>
    </xf>
    <xf numFmtId="0" fontId="29" fillId="0" borderId="17" xfId="0" applyFont="1" applyBorder="1"/>
    <xf numFmtId="0" fontId="29" fillId="0" borderId="23" xfId="0" applyFont="1" applyBorder="1"/>
    <xf numFmtId="0" fontId="19" fillId="11" borderId="73" xfId="0" applyFont="1" applyFill="1" applyBorder="1"/>
    <xf numFmtId="164" fontId="18" fillId="11" borderId="73" xfId="0" applyNumberFormat="1" applyFont="1" applyFill="1" applyBorder="1"/>
    <xf numFmtId="0" fontId="33" fillId="11" borderId="73" xfId="0" applyFont="1" applyFill="1" applyBorder="1"/>
    <xf numFmtId="0" fontId="29" fillId="11" borderId="73" xfId="0" applyFont="1" applyFill="1" applyBorder="1"/>
    <xf numFmtId="0" fontId="18" fillId="11" borderId="73" xfId="0" applyFont="1" applyFill="1" applyBorder="1"/>
    <xf numFmtId="0" fontId="20" fillId="11" borderId="73" xfId="0" applyFont="1" applyFill="1" applyBorder="1"/>
    <xf numFmtId="0" fontId="20" fillId="11" borderId="75" xfId="0" applyFont="1" applyFill="1" applyBorder="1"/>
    <xf numFmtId="14" fontId="22" fillId="0" borderId="39" xfId="0" applyNumberFormat="1" applyFont="1" applyBorder="1" applyAlignment="1">
      <alignment horizontal="center"/>
    </xf>
    <xf numFmtId="0" fontId="1" fillId="0" borderId="40" xfId="0" applyFont="1" applyBorder="1" applyAlignment="1">
      <alignment horizontal="right"/>
    </xf>
    <xf numFmtId="0" fontId="1" fillId="0" borderId="41" xfId="0" applyFont="1" applyBorder="1" applyAlignment="1">
      <alignment horizontal="left"/>
    </xf>
    <xf numFmtId="0" fontId="29" fillId="0" borderId="76" xfId="0" applyFont="1" applyBorder="1"/>
    <xf numFmtId="0" fontId="35" fillId="0" borderId="79" xfId="0" applyFont="1" applyBorder="1" applyAlignment="1">
      <alignment horizontal="center"/>
    </xf>
    <xf numFmtId="0" fontId="32" fillId="0" borderId="79" xfId="0" applyFont="1" applyBorder="1" applyAlignment="1">
      <alignment horizontal="center"/>
    </xf>
    <xf numFmtId="0" fontId="29" fillId="0" borderId="47" xfId="0" applyFont="1" applyBorder="1"/>
    <xf numFmtId="0" fontId="1" fillId="0" borderId="80" xfId="0" applyFont="1" applyBorder="1"/>
    <xf numFmtId="0" fontId="31" fillId="0" borderId="80" xfId="0" applyFont="1" applyBorder="1" applyAlignment="1">
      <alignment horizontal="center"/>
    </xf>
    <xf numFmtId="0" fontId="32" fillId="0" borderId="80" xfId="0" applyFont="1" applyBorder="1" applyAlignment="1">
      <alignment horizontal="center"/>
    </xf>
    <xf numFmtId="0" fontId="32" fillId="0" borderId="81" xfId="0" applyFont="1" applyBorder="1" applyAlignment="1">
      <alignment horizontal="center"/>
    </xf>
    <xf numFmtId="0" fontId="20" fillId="10" borderId="85" xfId="0" applyFont="1" applyFill="1" applyBorder="1"/>
    <xf numFmtId="0" fontId="37" fillId="12" borderId="7" xfId="0" applyFont="1" applyFill="1" applyBorder="1" applyAlignment="1">
      <alignment vertical="center"/>
    </xf>
    <xf numFmtId="0" fontId="1" fillId="12" borderId="7" xfId="0" applyFont="1" applyFill="1" applyBorder="1"/>
    <xf numFmtId="0" fontId="16" fillId="12" borderId="7" xfId="0" applyFont="1" applyFill="1" applyBorder="1"/>
    <xf numFmtId="0" fontId="2" fillId="12" borderId="7" xfId="0" applyFont="1" applyFill="1" applyBorder="1"/>
    <xf numFmtId="0" fontId="1" fillId="0" borderId="0" xfId="0" applyFont="1" applyAlignment="1">
      <alignment vertical="top"/>
    </xf>
    <xf numFmtId="14" fontId="43" fillId="0" borderId="0" xfId="0" applyNumberFormat="1" applyFont="1" applyAlignment="1">
      <alignment horizontal="center"/>
    </xf>
    <xf numFmtId="20" fontId="43" fillId="0" borderId="0" xfId="0" applyNumberFormat="1" applyFont="1" applyAlignment="1">
      <alignment horizontal="left"/>
    </xf>
    <xf numFmtId="0" fontId="4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45" fillId="0" borderId="88" xfId="0" applyFont="1" applyBorder="1" applyAlignment="1">
      <alignment horizontal="center"/>
    </xf>
    <xf numFmtId="0" fontId="25" fillId="0" borderId="89" xfId="0" applyFont="1" applyBorder="1" applyAlignment="1">
      <alignment horizontal="center"/>
    </xf>
    <xf numFmtId="0" fontId="45" fillId="0" borderId="90" xfId="0" applyFont="1" applyBorder="1" applyAlignment="1">
      <alignment horizontal="center"/>
    </xf>
    <xf numFmtId="0" fontId="44" fillId="0" borderId="0" xfId="0" applyFont="1" applyAlignment="1">
      <alignment horizontal="left"/>
    </xf>
    <xf numFmtId="0" fontId="46" fillId="0" borderId="0" xfId="0" applyFont="1"/>
    <xf numFmtId="0" fontId="1" fillId="13" borderId="2" xfId="0" applyFont="1" applyFill="1" applyBorder="1" applyAlignment="1">
      <alignment horizontal="left"/>
    </xf>
    <xf numFmtId="0" fontId="45" fillId="0" borderId="91" xfId="0" applyFont="1" applyBorder="1" applyAlignment="1">
      <alignment horizontal="center"/>
    </xf>
    <xf numFmtId="0" fontId="25" fillId="0" borderId="92" xfId="0" applyFont="1" applyBorder="1" applyAlignment="1">
      <alignment horizontal="center"/>
    </xf>
    <xf numFmtId="0" fontId="45" fillId="0" borderId="93" xfId="0" applyFont="1" applyBorder="1" applyAlignment="1">
      <alignment horizontal="center"/>
    </xf>
    <xf numFmtId="0" fontId="1" fillId="10" borderId="2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left"/>
    </xf>
    <xf numFmtId="0" fontId="47" fillId="0" borderId="0" xfId="0" applyFont="1"/>
    <xf numFmtId="0" fontId="1" fillId="0" borderId="0" xfId="0" applyFont="1" applyAlignment="1">
      <alignment horizontal="left"/>
    </xf>
    <xf numFmtId="0" fontId="1" fillId="15" borderId="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14" fontId="50" fillId="0" borderId="0" xfId="0" applyNumberFormat="1" applyFont="1" applyAlignment="1">
      <alignment horizontal="center"/>
    </xf>
    <xf numFmtId="20" fontId="50" fillId="0" borderId="0" xfId="0" applyNumberFormat="1" applyFont="1" applyAlignment="1">
      <alignment horizontal="left"/>
    </xf>
    <xf numFmtId="0" fontId="51" fillId="0" borderId="0" xfId="0" applyFont="1"/>
    <xf numFmtId="0" fontId="45" fillId="0" borderId="0" xfId="0" applyFont="1"/>
    <xf numFmtId="0" fontId="45" fillId="0" borderId="0" xfId="0" applyFont="1" applyAlignment="1">
      <alignment horizontal="center"/>
    </xf>
    <xf numFmtId="0" fontId="52" fillId="0" borderId="0" xfId="0" applyFont="1"/>
    <xf numFmtId="0" fontId="53" fillId="0" borderId="0" xfId="0" applyFont="1"/>
    <xf numFmtId="0" fontId="1" fillId="11" borderId="2" xfId="0" applyFont="1" applyFill="1" applyBorder="1"/>
    <xf numFmtId="0" fontId="1" fillId="8" borderId="2" xfId="0" applyFont="1" applyFill="1" applyBorder="1"/>
    <xf numFmtId="0" fontId="51" fillId="0" borderId="0" xfId="0" applyFont="1" applyAlignment="1">
      <alignment horizontal="center"/>
    </xf>
    <xf numFmtId="0" fontId="16" fillId="16" borderId="2" xfId="0" applyFont="1" applyFill="1" applyBorder="1" applyAlignment="1">
      <alignment horizontal="center"/>
    </xf>
    <xf numFmtId="0" fontId="37" fillId="13" borderId="2" xfId="0" applyFont="1" applyFill="1" applyBorder="1" applyAlignment="1">
      <alignment vertical="center"/>
    </xf>
    <xf numFmtId="0" fontId="1" fillId="13" borderId="2" xfId="0" applyFont="1" applyFill="1" applyBorder="1"/>
    <xf numFmtId="0" fontId="16" fillId="13" borderId="2" xfId="0" applyFont="1" applyFill="1" applyBorder="1"/>
    <xf numFmtId="0" fontId="2" fillId="13" borderId="2" xfId="0" applyFont="1" applyFill="1" applyBorder="1"/>
    <xf numFmtId="0" fontId="53" fillId="13" borderId="2" xfId="0" applyFont="1" applyFill="1" applyBorder="1"/>
    <xf numFmtId="0" fontId="51" fillId="0" borderId="0" xfId="0" applyFont="1" applyAlignment="1">
      <alignment horizontal="right"/>
    </xf>
    <xf numFmtId="0" fontId="55" fillId="17" borderId="2" xfId="0" applyFont="1" applyFill="1" applyBorder="1"/>
    <xf numFmtId="0" fontId="37" fillId="18" borderId="2" xfId="0" applyFont="1" applyFill="1" applyBorder="1" applyAlignment="1">
      <alignment vertical="center"/>
    </xf>
    <xf numFmtId="0" fontId="38" fillId="18" borderId="2" xfId="0" applyFont="1" applyFill="1" applyBorder="1"/>
    <xf numFmtId="0" fontId="37" fillId="18" borderId="2" xfId="0" applyFont="1" applyFill="1" applyBorder="1"/>
    <xf numFmtId="0" fontId="56" fillId="18" borderId="2" xfId="0" applyFont="1" applyFill="1" applyBorder="1"/>
    <xf numFmtId="0" fontId="57" fillId="18" borderId="2" xfId="0" applyFont="1" applyFill="1" applyBorder="1"/>
    <xf numFmtId="0" fontId="58" fillId="18" borderId="2" xfId="0" applyFont="1" applyFill="1" applyBorder="1"/>
    <xf numFmtId="0" fontId="53" fillId="18" borderId="2" xfId="0" applyFont="1" applyFill="1" applyBorder="1"/>
    <xf numFmtId="14" fontId="59" fillId="0" borderId="0" xfId="0" applyNumberFormat="1" applyFont="1" applyAlignment="1">
      <alignment horizontal="center"/>
    </xf>
    <xf numFmtId="20" fontId="59" fillId="0" borderId="0" xfId="0" applyNumberFormat="1" applyFont="1" applyAlignment="1">
      <alignment horizontal="left"/>
    </xf>
    <xf numFmtId="0" fontId="24" fillId="0" borderId="94" xfId="0" applyFont="1" applyBorder="1" applyAlignment="1">
      <alignment horizontal="center"/>
    </xf>
    <xf numFmtId="0" fontId="55" fillId="19" borderId="2" xfId="0" applyFont="1" applyFill="1" applyBorder="1"/>
    <xf numFmtId="0" fontId="1" fillId="0" borderId="11" xfId="0" applyFont="1" applyBorder="1"/>
    <xf numFmtId="0" fontId="1" fillId="3" borderId="95" xfId="0" applyFont="1" applyFill="1" applyBorder="1"/>
    <xf numFmtId="0" fontId="1" fillId="4" borderId="95" xfId="0" applyFont="1" applyFill="1" applyBorder="1"/>
    <xf numFmtId="0" fontId="55" fillId="21" borderId="95" xfId="0" applyFont="1" applyFill="1" applyBorder="1"/>
    <xf numFmtId="0" fontId="1" fillId="21" borderId="95" xfId="0" applyFont="1" applyFill="1" applyBorder="1"/>
    <xf numFmtId="0" fontId="1" fillId="22" borderId="95" xfId="0" applyFont="1" applyFill="1" applyBorder="1"/>
    <xf numFmtId="0" fontId="1" fillId="0" borderId="96" xfId="0" applyFont="1" applyBorder="1"/>
    <xf numFmtId="0" fontId="61" fillId="21" borderId="2" xfId="0" applyFont="1" applyFill="1" applyBorder="1"/>
    <xf numFmtId="0" fontId="1" fillId="21" borderId="2" xfId="0" applyFont="1" applyFill="1" applyBorder="1"/>
    <xf numFmtId="0" fontId="62" fillId="4" borderId="2" xfId="0" applyFont="1" applyFill="1" applyBorder="1"/>
    <xf numFmtId="0" fontId="1" fillId="22" borderId="2" xfId="0" applyFont="1" applyFill="1" applyBorder="1"/>
    <xf numFmtId="0" fontId="64" fillId="21" borderId="2" xfId="0" applyFont="1" applyFill="1" applyBorder="1"/>
    <xf numFmtId="0" fontId="66" fillId="22" borderId="2" xfId="0" applyFont="1" applyFill="1" applyBorder="1" applyAlignment="1">
      <alignment vertical="center"/>
    </xf>
    <xf numFmtId="0" fontId="1" fillId="23" borderId="2" xfId="0" applyFont="1" applyFill="1" applyBorder="1"/>
    <xf numFmtId="0" fontId="2" fillId="23" borderId="2" xfId="0" applyFont="1" applyFill="1" applyBorder="1"/>
    <xf numFmtId="0" fontId="66" fillId="23" borderId="2" xfId="0" applyFont="1" applyFill="1" applyBorder="1" applyAlignment="1">
      <alignment vertical="center"/>
    </xf>
    <xf numFmtId="0" fontId="68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70" fillId="0" borderId="0" xfId="0" applyFont="1" applyAlignment="1">
      <alignment horizontal="center" vertical="center"/>
    </xf>
    <xf numFmtId="0" fontId="71" fillId="24" borderId="2" xfId="0" applyFont="1" applyFill="1" applyBorder="1"/>
    <xf numFmtId="0" fontId="72" fillId="24" borderId="2" xfId="0" applyFont="1" applyFill="1" applyBorder="1"/>
    <xf numFmtId="0" fontId="72" fillId="12" borderId="2" xfId="0" applyFont="1" applyFill="1" applyBorder="1"/>
    <xf numFmtId="0" fontId="73" fillId="12" borderId="2" xfId="0" applyFont="1" applyFill="1" applyBorder="1"/>
    <xf numFmtId="0" fontId="74" fillId="12" borderId="2" xfId="0" applyFont="1" applyFill="1" applyBorder="1" applyAlignment="1">
      <alignment horizontal="center"/>
    </xf>
    <xf numFmtId="0" fontId="3" fillId="4" borderId="2" xfId="0" applyFont="1" applyFill="1" applyBorder="1"/>
    <xf numFmtId="0" fontId="75" fillId="0" borderId="0" xfId="0" applyFont="1"/>
    <xf numFmtId="0" fontId="72" fillId="0" borderId="0" xfId="0" applyFont="1"/>
    <xf numFmtId="0" fontId="77" fillId="26" borderId="2" xfId="0" applyFont="1" applyFill="1" applyBorder="1"/>
    <xf numFmtId="0" fontId="78" fillId="26" borderId="2" xfId="0" applyFont="1" applyFill="1" applyBorder="1" applyAlignment="1">
      <alignment horizontal="center"/>
    </xf>
    <xf numFmtId="0" fontId="72" fillId="26" borderId="2" xfId="0" applyFont="1" applyFill="1" applyBorder="1" applyAlignment="1">
      <alignment horizontal="center"/>
    </xf>
    <xf numFmtId="0" fontId="78" fillId="0" borderId="0" xfId="0" applyFont="1"/>
    <xf numFmtId="0" fontId="79" fillId="0" borderId="0" xfId="0" applyFont="1"/>
    <xf numFmtId="0" fontId="75" fillId="26" borderId="2" xfId="0" applyFont="1" applyFill="1" applyBorder="1"/>
    <xf numFmtId="0" fontId="80" fillId="26" borderId="2" xfId="0" applyFont="1" applyFill="1" applyBorder="1" applyAlignment="1">
      <alignment horizontal="center"/>
    </xf>
    <xf numFmtId="0" fontId="81" fillId="26" borderId="2" xfId="0" applyFont="1" applyFill="1" applyBorder="1" applyAlignment="1">
      <alignment horizontal="center"/>
    </xf>
    <xf numFmtId="0" fontId="78" fillId="0" borderId="0" xfId="0" applyFont="1" applyAlignment="1">
      <alignment horizontal="center"/>
    </xf>
    <xf numFmtId="0" fontId="72" fillId="26" borderId="2" xfId="0" applyFont="1" applyFill="1" applyBorder="1"/>
    <xf numFmtId="0" fontId="82" fillId="0" borderId="0" xfId="0" applyFont="1"/>
    <xf numFmtId="0" fontId="83" fillId="0" borderId="0" xfId="0" applyFont="1"/>
    <xf numFmtId="0" fontId="1" fillId="0" borderId="97" xfId="0" applyFont="1" applyBorder="1"/>
    <xf numFmtId="0" fontId="1" fillId="0" borderId="98" xfId="0" applyFont="1" applyBorder="1"/>
    <xf numFmtId="0" fontId="1" fillId="0" borderId="99" xfId="0" applyFont="1" applyBorder="1"/>
    <xf numFmtId="0" fontId="1" fillId="0" borderId="100" xfId="0" applyFont="1" applyBorder="1"/>
    <xf numFmtId="0" fontId="1" fillId="0" borderId="101" xfId="0" applyFont="1" applyBorder="1"/>
    <xf numFmtId="0" fontId="1" fillId="0" borderId="102" xfId="0" applyFont="1" applyBorder="1"/>
    <xf numFmtId="0" fontId="55" fillId="21" borderId="103" xfId="0" applyFont="1" applyFill="1" applyBorder="1"/>
    <xf numFmtId="0" fontId="55" fillId="27" borderId="104" xfId="0" applyFont="1" applyFill="1" applyBorder="1"/>
    <xf numFmtId="0" fontId="55" fillId="22" borderId="104" xfId="0" applyFont="1" applyFill="1" applyBorder="1"/>
    <xf numFmtId="0" fontId="55" fillId="7" borderId="104" xfId="0" applyFont="1" applyFill="1" applyBorder="1"/>
    <xf numFmtId="0" fontId="84" fillId="25" borderId="104" xfId="0" applyFont="1" applyFill="1" applyBorder="1"/>
    <xf numFmtId="0" fontId="55" fillId="28" borderId="104" xfId="0" applyFont="1" applyFill="1" applyBorder="1"/>
    <xf numFmtId="0" fontId="55" fillId="29" borderId="104" xfId="0" applyFont="1" applyFill="1" applyBorder="1"/>
    <xf numFmtId="0" fontId="55" fillId="21" borderId="105" xfId="0" applyFont="1" applyFill="1" applyBorder="1"/>
    <xf numFmtId="0" fontId="3" fillId="0" borderId="11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90" fillId="0" borderId="117" xfId="0" applyFont="1" applyBorder="1" applyAlignment="1">
      <alignment vertical="center"/>
    </xf>
    <xf numFmtId="0" fontId="91" fillId="0" borderId="118" xfId="0" applyFont="1" applyBorder="1" applyAlignment="1">
      <alignment vertical="center"/>
    </xf>
    <xf numFmtId="0" fontId="92" fillId="0" borderId="0" xfId="0" applyFont="1" applyAlignment="1">
      <alignment horizontal="center" vertical="center"/>
    </xf>
    <xf numFmtId="0" fontId="1" fillId="0" borderId="123" xfId="0" applyFont="1" applyBorder="1" applyAlignment="1">
      <alignment vertical="center"/>
    </xf>
    <xf numFmtId="0" fontId="94" fillId="0" borderId="125" xfId="0" applyFont="1" applyBorder="1" applyAlignment="1">
      <alignment vertical="center"/>
    </xf>
    <xf numFmtId="0" fontId="1" fillId="30" borderId="2" xfId="0" applyFont="1" applyFill="1" applyBorder="1"/>
    <xf numFmtId="0" fontId="1" fillId="18" borderId="2" xfId="0" applyFont="1" applyFill="1" applyBorder="1"/>
    <xf numFmtId="0" fontId="1" fillId="17" borderId="2" xfId="0" applyFont="1" applyFill="1" applyBorder="1"/>
    <xf numFmtId="0" fontId="97" fillId="0" borderId="0" xfId="0" applyFont="1"/>
    <xf numFmtId="0" fontId="97" fillId="31" borderId="2" xfId="0" applyFont="1" applyFill="1" applyBorder="1"/>
    <xf numFmtId="0" fontId="100" fillId="11" borderId="2" xfId="0" applyFont="1" applyFill="1" applyBorder="1" applyAlignment="1">
      <alignment horizontal="left"/>
    </xf>
    <xf numFmtId="0" fontId="101" fillId="11" borderId="2" xfId="0" applyFont="1" applyFill="1" applyBorder="1" applyAlignment="1">
      <alignment horizontal="left"/>
    </xf>
    <xf numFmtId="0" fontId="102" fillId="11" borderId="2" xfId="0" applyFont="1" applyFill="1" applyBorder="1" applyAlignment="1">
      <alignment horizontal="left"/>
    </xf>
    <xf numFmtId="0" fontId="103" fillId="11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0" fontId="1" fillId="31" borderId="2" xfId="0" applyFont="1" applyFill="1" applyBorder="1"/>
    <xf numFmtId="0" fontId="105" fillId="31" borderId="2" xfId="0" applyFont="1" applyFill="1" applyBorder="1" applyAlignment="1">
      <alignment horizontal="center"/>
    </xf>
    <xf numFmtId="0" fontId="106" fillId="0" borderId="0" xfId="0" applyFont="1" applyAlignment="1">
      <alignment horizontal="right"/>
    </xf>
    <xf numFmtId="0" fontId="65" fillId="22" borderId="3" xfId="0" applyFont="1" applyFill="1" applyBorder="1" applyAlignment="1">
      <alignment horizontal="left" vertical="center"/>
    </xf>
    <xf numFmtId="0" fontId="5" fillId="0" borderId="5" xfId="0" applyFont="1" applyBorder="1"/>
    <xf numFmtId="0" fontId="3" fillId="12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40" fillId="10" borderId="3" xfId="0" applyFont="1" applyFill="1" applyBorder="1" applyAlignment="1">
      <alignment horizontal="center"/>
    </xf>
    <xf numFmtId="0" fontId="5" fillId="0" borderId="4" xfId="0" applyFont="1" applyBorder="1"/>
    <xf numFmtId="0" fontId="37" fillId="9" borderId="3" xfId="0" applyFont="1" applyFill="1" applyBorder="1" applyAlignment="1">
      <alignment horizontal="center"/>
    </xf>
    <xf numFmtId="0" fontId="19" fillId="10" borderId="3" xfId="0" applyFont="1" applyFill="1" applyBorder="1" applyAlignment="1">
      <alignment horizontal="left"/>
    </xf>
    <xf numFmtId="0" fontId="37" fillId="9" borderId="82" xfId="0" applyFont="1" applyFill="1" applyBorder="1" applyAlignment="1">
      <alignment horizontal="center"/>
    </xf>
    <xf numFmtId="0" fontId="5" fillId="0" borderId="83" xfId="0" applyFont="1" applyBorder="1"/>
    <xf numFmtId="0" fontId="5" fillId="0" borderId="84" xfId="0" applyFont="1" applyBorder="1"/>
    <xf numFmtId="0" fontId="19" fillId="11" borderId="74" xfId="0" applyFont="1" applyFill="1" applyBorder="1" applyAlignment="1">
      <alignment horizontal="left"/>
    </xf>
    <xf numFmtId="0" fontId="5" fillId="0" borderId="45" xfId="0" applyFont="1" applyBorder="1"/>
    <xf numFmtId="0" fontId="5" fillId="0" borderId="72" xfId="0" applyFont="1" applyBorder="1"/>
    <xf numFmtId="0" fontId="37" fillId="9" borderId="3" xfId="0" applyFont="1" applyFill="1" applyBorder="1" applyAlignment="1">
      <alignment horizontal="left"/>
    </xf>
    <xf numFmtId="0" fontId="35" fillId="8" borderId="26" xfId="0" applyFont="1" applyFill="1" applyBorder="1" applyAlignment="1">
      <alignment horizontal="center"/>
    </xf>
    <xf numFmtId="0" fontId="5" fillId="0" borderId="27" xfId="0" applyFont="1" applyBorder="1"/>
    <xf numFmtId="0" fontId="5" fillId="0" borderId="28" xfId="0" applyFont="1" applyBorder="1"/>
    <xf numFmtId="0" fontId="19" fillId="8" borderId="26" xfId="0" applyFont="1" applyFill="1" applyBorder="1" applyAlignment="1">
      <alignment horizontal="left"/>
    </xf>
    <xf numFmtId="0" fontId="42" fillId="7" borderId="3" xfId="0" applyFont="1" applyFill="1" applyBorder="1" applyAlignment="1">
      <alignment horizontal="center"/>
    </xf>
    <xf numFmtId="0" fontId="35" fillId="11" borderId="40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left"/>
    </xf>
    <xf numFmtId="0" fontId="27" fillId="0" borderId="18" xfId="0" applyFont="1" applyBorder="1" applyAlignment="1">
      <alignment vertical="center"/>
    </xf>
    <xf numFmtId="0" fontId="5" fillId="0" borderId="18" xfId="0" applyFont="1" applyBorder="1"/>
    <xf numFmtId="0" fontId="5" fillId="0" borderId="19" xfId="0" applyFont="1" applyBorder="1"/>
    <xf numFmtId="0" fontId="4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/>
    <xf numFmtId="0" fontId="17" fillId="7" borderId="3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wrapText="1"/>
    </xf>
    <xf numFmtId="0" fontId="5" fillId="0" borderId="46" xfId="0" applyFont="1" applyBorder="1"/>
    <xf numFmtId="0" fontId="37" fillId="0" borderId="55" xfId="0" applyFont="1" applyBorder="1"/>
    <xf numFmtId="0" fontId="5" fillId="0" borderId="55" xfId="0" applyFont="1" applyBorder="1"/>
    <xf numFmtId="0" fontId="5" fillId="0" borderId="56" xfId="0" applyFont="1" applyBorder="1"/>
    <xf numFmtId="0" fontId="48" fillId="0" borderId="0" xfId="0" applyFont="1" applyAlignment="1">
      <alignment horizontal="center"/>
    </xf>
    <xf numFmtId="0" fontId="40" fillId="0" borderId="0" xfId="0" applyFont="1"/>
    <xf numFmtId="0" fontId="5" fillId="0" borderId="67" xfId="0" applyFont="1" applyBorder="1"/>
    <xf numFmtId="0" fontId="35" fillId="0" borderId="37" xfId="0" applyFont="1" applyBorder="1" applyAlignment="1">
      <alignment vertical="center"/>
    </xf>
    <xf numFmtId="0" fontId="5" fillId="0" borderId="37" xfId="0" applyFont="1" applyBorder="1"/>
    <xf numFmtId="0" fontId="5" fillId="0" borderId="38" xfId="0" applyFont="1" applyBorder="1"/>
    <xf numFmtId="0" fontId="35" fillId="0" borderId="77" xfId="0" applyFont="1" applyBorder="1"/>
    <xf numFmtId="0" fontId="5" fillId="0" borderId="77" xfId="0" applyFont="1" applyBorder="1"/>
    <xf numFmtId="0" fontId="5" fillId="0" borderId="78" xfId="0" applyFont="1" applyBorder="1"/>
    <xf numFmtId="0" fontId="27" fillId="0" borderId="18" xfId="0" applyFont="1" applyBorder="1"/>
    <xf numFmtId="0" fontId="40" fillId="0" borderId="86" xfId="0" applyFont="1" applyBorder="1"/>
    <xf numFmtId="0" fontId="5" fillId="0" borderId="86" xfId="0" applyFont="1" applyBorder="1"/>
    <xf numFmtId="0" fontId="5" fillId="0" borderId="87" xfId="0" applyFont="1" applyBorder="1"/>
    <xf numFmtId="0" fontId="67" fillId="0" borderId="0" xfId="0" applyFont="1" applyAlignment="1">
      <alignment horizontal="center" vertical="top"/>
    </xf>
    <xf numFmtId="0" fontId="63" fillId="0" borderId="0" xfId="0" applyFont="1" applyAlignment="1">
      <alignment horizontal="center"/>
    </xf>
    <xf numFmtId="0" fontId="4" fillId="0" borderId="0" xfId="0" applyFont="1" applyAlignment="1">
      <alignment vertical="top" wrapText="1"/>
    </xf>
    <xf numFmtId="0" fontId="16" fillId="20" borderId="8" xfId="0" applyFont="1" applyFill="1" applyBorder="1" applyAlignment="1">
      <alignment horizontal="center"/>
    </xf>
    <xf numFmtId="0" fontId="60" fillId="4" borderId="3" xfId="0" applyFont="1" applyFill="1" applyBorder="1" applyAlignment="1">
      <alignment horizontal="center"/>
    </xf>
    <xf numFmtId="0" fontId="49" fillId="0" borderId="0" xfId="0" applyFont="1"/>
    <xf numFmtId="0" fontId="54" fillId="0" borderId="0" xfId="0" applyFont="1"/>
    <xf numFmtId="0" fontId="72" fillId="25" borderId="3" xfId="0" applyFont="1" applyFill="1" applyBorder="1" applyAlignment="1">
      <alignment horizontal="center"/>
    </xf>
    <xf numFmtId="0" fontId="76" fillId="25" borderId="3" xfId="0" applyFont="1" applyFill="1" applyBorder="1" applyAlignment="1">
      <alignment horizontal="center"/>
    </xf>
    <xf numFmtId="0" fontId="86" fillId="3" borderId="108" xfId="0" applyFont="1" applyFill="1" applyBorder="1" applyAlignment="1">
      <alignment horizontal="left" vertical="center"/>
    </xf>
    <xf numFmtId="0" fontId="5" fillId="0" borderId="107" xfId="0" applyFont="1" applyBorder="1"/>
    <xf numFmtId="0" fontId="93" fillId="0" borderId="124" xfId="0" applyFont="1" applyBorder="1" applyAlignment="1">
      <alignment horizontal="center" vertical="center"/>
    </xf>
    <xf numFmtId="0" fontId="5" fillId="0" borderId="125" xfId="0" applyFont="1" applyBorder="1"/>
    <xf numFmtId="0" fontId="1" fillId="0" borderId="123" xfId="0" applyFont="1" applyBorder="1" applyAlignment="1">
      <alignment horizontal="center" vertical="center"/>
    </xf>
    <xf numFmtId="0" fontId="5" fillId="0" borderId="123" xfId="0" applyFont="1" applyBorder="1"/>
    <xf numFmtId="0" fontId="88" fillId="0" borderId="111" xfId="0" applyFont="1" applyBorder="1" applyAlignment="1">
      <alignment horizontal="left" vertical="center" wrapText="1"/>
    </xf>
    <xf numFmtId="0" fontId="5" fillId="0" borderId="112" xfId="0" applyFont="1" applyBorder="1"/>
    <xf numFmtId="0" fontId="5" fillId="0" borderId="116" xfId="0" applyFont="1" applyBorder="1"/>
    <xf numFmtId="0" fontId="5" fillId="0" borderId="115" xfId="0" applyFont="1" applyBorder="1"/>
    <xf numFmtId="0" fontId="5" fillId="0" borderId="121" xfId="0" applyFont="1" applyBorder="1"/>
    <xf numFmtId="0" fontId="5" fillId="0" borderId="122" xfId="0" applyFont="1" applyBorder="1"/>
    <xf numFmtId="0" fontId="85" fillId="3" borderId="106" xfId="0" applyFont="1" applyFill="1" applyBorder="1" applyAlignment="1">
      <alignment horizontal="center" vertical="center"/>
    </xf>
    <xf numFmtId="0" fontId="89" fillId="0" borderId="113" xfId="0" applyFont="1" applyBorder="1" applyAlignment="1">
      <alignment horizontal="center" vertical="center"/>
    </xf>
    <xf numFmtId="0" fontId="87" fillId="11" borderId="109" xfId="0" applyFont="1" applyFill="1" applyBorder="1" applyAlignment="1">
      <alignment horizontal="center" vertical="center"/>
    </xf>
    <xf numFmtId="0" fontId="5" fillId="0" borderId="110" xfId="0" applyFont="1" applyBorder="1"/>
    <xf numFmtId="0" fontId="5" fillId="0" borderId="114" xfId="0" applyFont="1" applyBorder="1"/>
    <xf numFmtId="0" fontId="5" fillId="0" borderId="119" xfId="0" applyFont="1" applyBorder="1"/>
    <xf numFmtId="0" fontId="5" fillId="0" borderId="120" xfId="0" applyFont="1" applyBorder="1"/>
    <xf numFmtId="0" fontId="99" fillId="4" borderId="126" xfId="0" applyFont="1" applyFill="1" applyBorder="1" applyAlignment="1">
      <alignment horizontal="left" vertical="center" wrapText="1"/>
    </xf>
    <xf numFmtId="0" fontId="5" fillId="0" borderId="128" xfId="0" applyFont="1" applyBorder="1"/>
    <xf numFmtId="0" fontId="5" fillId="0" borderId="127" xfId="0" applyFont="1" applyBorder="1"/>
    <xf numFmtId="0" fontId="104" fillId="31" borderId="3" xfId="0" applyFont="1" applyFill="1" applyBorder="1" applyAlignment="1">
      <alignment horizontal="center"/>
    </xf>
    <xf numFmtId="0" fontId="98" fillId="4" borderId="126" xfId="0" applyFont="1" applyFill="1" applyBorder="1" applyAlignment="1">
      <alignment horizontal="left" vertical="center" wrapText="1"/>
    </xf>
    <xf numFmtId="0" fontId="55" fillId="31" borderId="126" xfId="0" applyFont="1" applyFill="1" applyBorder="1" applyAlignment="1">
      <alignment horizontal="center" vertical="center" wrapText="1"/>
    </xf>
    <xf numFmtId="0" fontId="95" fillId="31" borderId="126" xfId="0" applyFont="1" applyFill="1" applyBorder="1" applyAlignment="1">
      <alignment horizontal="center"/>
    </xf>
    <xf numFmtId="0" fontId="96" fillId="31" borderId="126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solid">
          <fgColor rgb="FFFFC000"/>
          <bgColor rgb="FFFFC000"/>
        </patternFill>
      </fill>
    </dxf>
    <dxf>
      <font>
        <color rgb="FFFF0000"/>
      </font>
      <fill>
        <patternFill patternType="none"/>
      </fill>
      <border>
        <left style="hair">
          <color rgb="FFFF9900"/>
        </left>
        <right style="hair">
          <color rgb="FFFF9900"/>
        </right>
        <top style="hair">
          <color rgb="FFFF9900"/>
        </top>
        <bottom style="hair">
          <color rgb="FFFF9900"/>
        </bottom>
      </border>
    </dxf>
    <dxf>
      <font>
        <color rgb="FF000000"/>
      </font>
      <fill>
        <patternFill patternType="none"/>
      </fill>
      <border>
        <left style="hair">
          <color rgb="FFFF9900"/>
        </left>
        <right style="hair">
          <color rgb="FFFF9900"/>
        </right>
        <top style="hair">
          <color rgb="FFFF9900"/>
        </top>
        <bottom style="hair">
          <color rgb="FFFF9900"/>
        </bottom>
      </border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104775</xdr:colOff>
      <xdr:row>92</xdr:row>
      <xdr:rowOff>114300</xdr:rowOff>
    </xdr:from>
    <xdr:ext cx="390525" cy="34290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276225</xdr:colOff>
      <xdr:row>1</xdr:row>
      <xdr:rowOff>57150</xdr:rowOff>
    </xdr:from>
    <xdr:ext cx="390525" cy="342900"/>
    <xdr:pic>
      <xdr:nvPicPr>
        <xdr:cNvPr id="3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276225</xdr:colOff>
      <xdr:row>1</xdr:row>
      <xdr:rowOff>38100</xdr:rowOff>
    </xdr:from>
    <xdr:ext cx="571500" cy="51435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uiadecompra.com/cep/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www.guiadecompra.com/excel/planilhas-de-excel.php" TargetMode="External"/><Relationship Id="rId7" Type="http://schemas.openxmlformats.org/officeDocument/2006/relationships/hyperlink" Target="https://www.guiadecompra.com/excel/controle-de-estoque.php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www.facebook.com/sharer/sharer.php?u=http%3A%2F%2Fwww.guiadecompra.com%2Fcopa-do-mundo%2Findex.php" TargetMode="External"/><Relationship Id="rId1" Type="http://schemas.openxmlformats.org/officeDocument/2006/relationships/hyperlink" Target="http://www.guiadecompra.com/" TargetMode="External"/><Relationship Id="rId6" Type="http://schemas.openxmlformats.org/officeDocument/2006/relationships/hyperlink" Target="https://www.guiadecompra.com/excel/planilha-orcamento-familiar.php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guiadecompra.com/excel/planilhas-de-excel-p1.php" TargetMode="External"/><Relationship Id="rId10" Type="http://schemas.openxmlformats.org/officeDocument/2006/relationships/hyperlink" Target="http://www.guiadecompra.com/" TargetMode="External"/><Relationship Id="rId4" Type="http://schemas.openxmlformats.org/officeDocument/2006/relationships/hyperlink" Target="http://www.tudoexcel.com.br/" TargetMode="External"/><Relationship Id="rId9" Type="http://schemas.openxmlformats.org/officeDocument/2006/relationships/hyperlink" Target="https://www.guiadecompra.com/ddd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guiadecompra@guiadecompra.com" TargetMode="External"/><Relationship Id="rId1" Type="http://schemas.openxmlformats.org/officeDocument/2006/relationships/hyperlink" Target="http://www.guiadcompra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uiadecompra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uiadecompra.com/copa-do-mund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33CC"/>
  </sheetPr>
  <dimension ref="A1:X102"/>
  <sheetViews>
    <sheetView showGridLines="0" tabSelected="1" topLeftCell="A79" workbookViewId="0">
      <selection activeCell="I96" sqref="I96"/>
    </sheetView>
  </sheetViews>
  <sheetFormatPr defaultColWidth="14.42578125" defaultRowHeight="15" customHeight="1" x14ac:dyDescent="0.2"/>
  <cols>
    <col min="1" max="1" width="3.28515625" customWidth="1"/>
    <col min="2" max="2" width="2.42578125" customWidth="1"/>
    <col min="3" max="3" width="11.42578125" customWidth="1"/>
    <col min="4" max="4" width="6" customWidth="1"/>
    <col min="5" max="5" width="15.5703125" customWidth="1"/>
    <col min="6" max="10" width="3.28515625" customWidth="1"/>
    <col min="11" max="11" width="15.5703125" customWidth="1"/>
    <col min="12" max="12" width="14.140625" customWidth="1"/>
    <col min="13" max="13" width="3.7109375" customWidth="1"/>
    <col min="14" max="14" width="17.7109375" customWidth="1"/>
    <col min="15" max="22" width="3.42578125" customWidth="1"/>
    <col min="23" max="23" width="4.140625" customWidth="1"/>
    <col min="24" max="24" width="20.42578125" customWidth="1"/>
  </cols>
  <sheetData>
    <row r="1" spans="1:24" ht="12.75" customHeight="1" x14ac:dyDescent="0.2">
      <c r="A1" s="1"/>
      <c r="B1" s="1"/>
      <c r="C1" s="1"/>
      <c r="D1" s="1"/>
      <c r="E1" s="2"/>
      <c r="F1" s="1"/>
      <c r="G1" s="1"/>
      <c r="H1" s="1"/>
      <c r="I1" s="1"/>
      <c r="J1" s="1"/>
      <c r="K1" s="2"/>
      <c r="L1" s="3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7" customHeight="1" x14ac:dyDescent="0.2">
      <c r="A2" s="4"/>
      <c r="B2" s="5"/>
      <c r="C2" s="334" t="s">
        <v>0</v>
      </c>
      <c r="D2" s="314"/>
      <c r="E2" s="314"/>
      <c r="F2" s="314"/>
      <c r="G2" s="314"/>
      <c r="H2" s="314"/>
      <c r="I2" s="314"/>
      <c r="J2" s="309"/>
      <c r="K2" s="6"/>
      <c r="L2" s="7"/>
      <c r="M2" s="8"/>
      <c r="N2" s="335" t="s">
        <v>1</v>
      </c>
      <c r="O2" s="336"/>
      <c r="P2" s="336"/>
      <c r="Q2" s="336"/>
      <c r="R2" s="336"/>
      <c r="S2" s="336"/>
      <c r="T2" s="336"/>
      <c r="U2" s="336"/>
      <c r="V2" s="336"/>
      <c r="W2" s="5"/>
      <c r="X2" s="9" t="s">
        <v>2</v>
      </c>
    </row>
    <row r="3" spans="1:24" ht="24.75" customHeight="1" x14ac:dyDescent="0.25">
      <c r="A3" s="10"/>
      <c r="B3" s="11"/>
      <c r="C3" s="339" t="s">
        <v>3</v>
      </c>
      <c r="D3" s="311"/>
      <c r="E3" s="311"/>
      <c r="F3" s="311"/>
      <c r="G3" s="311"/>
      <c r="H3" s="311"/>
      <c r="I3" s="311"/>
      <c r="J3" s="312"/>
      <c r="K3" s="12"/>
      <c r="L3" s="13" t="s">
        <v>4</v>
      </c>
      <c r="M3" s="14"/>
      <c r="N3" s="338" t="s">
        <v>5</v>
      </c>
      <c r="O3" s="314"/>
      <c r="P3" s="314"/>
      <c r="Q3" s="314"/>
      <c r="R3" s="314"/>
      <c r="S3" s="314"/>
      <c r="T3" s="314"/>
      <c r="U3" s="314"/>
      <c r="V3" s="309"/>
      <c r="W3" s="15"/>
      <c r="X3" s="16" t="s">
        <v>6</v>
      </c>
    </row>
    <row r="4" spans="1:24" ht="12.75" x14ac:dyDescent="0.2">
      <c r="A4" s="17"/>
      <c r="B4" s="5"/>
      <c r="C4" s="18"/>
      <c r="D4" s="18"/>
      <c r="E4" s="18"/>
      <c r="F4" s="18"/>
      <c r="G4" s="18"/>
      <c r="H4" s="18"/>
      <c r="I4" s="18"/>
      <c r="J4" s="18"/>
      <c r="K4" s="18"/>
      <c r="L4" s="19"/>
      <c r="M4" s="20"/>
      <c r="N4" s="21"/>
      <c r="O4" s="21"/>
      <c r="P4" s="21"/>
      <c r="Q4" s="21"/>
      <c r="R4" s="21"/>
      <c r="S4" s="21"/>
      <c r="T4" s="21"/>
      <c r="U4" s="21"/>
      <c r="V4" s="21"/>
      <c r="W4" s="22"/>
      <c r="X4" s="23"/>
    </row>
    <row r="5" spans="1:24" ht="15.75" customHeight="1" x14ac:dyDescent="0.2">
      <c r="A5" s="4"/>
      <c r="B5" s="5"/>
      <c r="C5" s="337" t="s">
        <v>7</v>
      </c>
      <c r="D5" s="314"/>
      <c r="E5" s="309"/>
      <c r="F5" s="24"/>
      <c r="G5" s="330"/>
      <c r="H5" s="314"/>
      <c r="I5" s="309"/>
      <c r="J5" s="24"/>
      <c r="K5" s="25"/>
      <c r="L5" s="24"/>
      <c r="M5" s="26"/>
      <c r="N5" s="25"/>
      <c r="O5" s="27"/>
      <c r="P5" s="27"/>
      <c r="Q5" s="27"/>
      <c r="R5" s="27"/>
      <c r="S5" s="24"/>
      <c r="T5" s="28"/>
      <c r="U5" s="28"/>
      <c r="V5" s="29"/>
      <c r="W5" s="5"/>
      <c r="X5" s="30" t="s">
        <v>8</v>
      </c>
    </row>
    <row r="6" spans="1:24" ht="18" customHeight="1" x14ac:dyDescent="0.2">
      <c r="A6" s="4"/>
      <c r="B6" s="5"/>
      <c r="C6" s="31">
        <v>43265</v>
      </c>
      <c r="D6" s="32">
        <v>0.5</v>
      </c>
      <c r="E6" s="33" t="str">
        <f>time!A1</f>
        <v>Rússia</v>
      </c>
      <c r="F6" s="34"/>
      <c r="G6" s="35">
        <v>2</v>
      </c>
      <c r="H6" s="36" t="s">
        <v>9</v>
      </c>
      <c r="I6" s="35">
        <v>1</v>
      </c>
      <c r="J6" s="37"/>
      <c r="K6" s="38" t="str">
        <f>time!A2</f>
        <v>Arábia Saudita</v>
      </c>
      <c r="L6" s="39" t="s">
        <v>10</v>
      </c>
      <c r="M6" s="40"/>
      <c r="N6" s="331" t="s">
        <v>11</v>
      </c>
      <c r="O6" s="332"/>
      <c r="P6" s="332"/>
      <c r="Q6" s="332"/>
      <c r="R6" s="332"/>
      <c r="S6" s="332"/>
      <c r="T6" s="332"/>
      <c r="U6" s="332"/>
      <c r="V6" s="333"/>
      <c r="W6" s="5"/>
      <c r="X6" s="41" t="s">
        <v>12</v>
      </c>
    </row>
    <row r="7" spans="1:24" ht="18" customHeight="1" x14ac:dyDescent="0.2">
      <c r="A7" s="4"/>
      <c r="B7" s="5"/>
      <c r="C7" s="31">
        <v>43266</v>
      </c>
      <c r="D7" s="32">
        <v>0.375</v>
      </c>
      <c r="E7" s="33" t="str">
        <f>time!A3</f>
        <v>Egito</v>
      </c>
      <c r="F7" s="34"/>
      <c r="G7" s="35">
        <v>0</v>
      </c>
      <c r="H7" s="36" t="s">
        <v>9</v>
      </c>
      <c r="I7" s="35">
        <v>2</v>
      </c>
      <c r="J7" s="37"/>
      <c r="K7" s="38" t="str">
        <f>time!A4</f>
        <v>Uruguai</v>
      </c>
      <c r="L7" s="39" t="s">
        <v>13</v>
      </c>
      <c r="M7" s="42"/>
      <c r="N7" s="43"/>
      <c r="O7" s="44" t="s">
        <v>14</v>
      </c>
      <c r="P7" s="44" t="s">
        <v>15</v>
      </c>
      <c r="Q7" s="44" t="s">
        <v>16</v>
      </c>
      <c r="R7" s="44" t="s">
        <v>17</v>
      </c>
      <c r="S7" s="44" t="s">
        <v>18</v>
      </c>
      <c r="T7" s="44" t="s">
        <v>19</v>
      </c>
      <c r="U7" s="44" t="s">
        <v>20</v>
      </c>
      <c r="V7" s="45" t="s">
        <v>21</v>
      </c>
      <c r="W7" s="5"/>
      <c r="X7" s="46"/>
    </row>
    <row r="8" spans="1:24" ht="18" customHeight="1" x14ac:dyDescent="0.2">
      <c r="A8" s="4"/>
      <c r="B8" s="5"/>
      <c r="C8" s="31">
        <v>43270</v>
      </c>
      <c r="D8" s="32">
        <v>0.79166666666666663</v>
      </c>
      <c r="E8" s="33" t="str">
        <f>time!A1</f>
        <v>Rússia</v>
      </c>
      <c r="F8" s="34"/>
      <c r="G8" s="35">
        <v>2</v>
      </c>
      <c r="H8" s="36" t="s">
        <v>9</v>
      </c>
      <c r="I8" s="35">
        <v>3</v>
      </c>
      <c r="J8" s="37"/>
      <c r="K8" s="38" t="str">
        <f>time!A3</f>
        <v>Egito</v>
      </c>
      <c r="L8" s="39" t="s">
        <v>22</v>
      </c>
      <c r="M8" s="47">
        <f>IF(P8&gt;0,1,"")</f>
        <v>1</v>
      </c>
      <c r="N8" s="48" t="str">
        <f>IF(N2="www.guiadecompra.com",Jogo!AN5,"erro")</f>
        <v>Uruguai</v>
      </c>
      <c r="O8" s="49">
        <f>IF(B5I=Tabela!N2,VLOOKUP(N8,Jogo!$A$5:$I$8,2,FALSE),0)</f>
        <v>9</v>
      </c>
      <c r="P8" s="50">
        <f>IF(D5I=Tabela!N3,VLOOKUP(N8,Jogo!$A$5:$I$8,3,FALSE),0)</f>
        <v>3</v>
      </c>
      <c r="Q8" s="50">
        <f>VLOOKUP(N8,Jogo!$A$5:$I$8,4,FALSE)</f>
        <v>3</v>
      </c>
      <c r="R8" s="50">
        <f>VLOOKUP(N8,Jogo!$A$5:$I$8,5,FALSE)</f>
        <v>0</v>
      </c>
      <c r="S8" s="50">
        <f>VLOOKUP(N8,Jogo!$A$5:$I$8,6,FALSE)</f>
        <v>0</v>
      </c>
      <c r="T8" s="50">
        <f>VLOOKUP(N8,Jogo!$A$5:$I$8,7,FALSE)</f>
        <v>6</v>
      </c>
      <c r="U8" s="50">
        <f>VLOOKUP(N8,Jogo!$A$5:$I$8,8,FALSE)</f>
        <v>0</v>
      </c>
      <c r="V8" s="51">
        <f>VLOOKUP(N8,Jogo!$A$5:$I$8,9,FALSE)</f>
        <v>6</v>
      </c>
      <c r="W8" s="5"/>
      <c r="X8" s="41" t="s">
        <v>23</v>
      </c>
    </row>
    <row r="9" spans="1:24" ht="18" customHeight="1" x14ac:dyDescent="0.2">
      <c r="A9" s="4"/>
      <c r="B9" s="5"/>
      <c r="C9" s="31">
        <v>43271</v>
      </c>
      <c r="D9" s="32">
        <v>0.5</v>
      </c>
      <c r="E9" s="33" t="str">
        <f>time!A4</f>
        <v>Uruguai</v>
      </c>
      <c r="F9" s="34"/>
      <c r="G9" s="35">
        <v>3</v>
      </c>
      <c r="H9" s="36" t="s">
        <v>9</v>
      </c>
      <c r="I9" s="35">
        <v>0</v>
      </c>
      <c r="J9" s="37"/>
      <c r="K9" s="38" t="str">
        <f>time!A2</f>
        <v>Arábia Saudita</v>
      </c>
      <c r="L9" s="39" t="s">
        <v>24</v>
      </c>
      <c r="M9" s="47">
        <f>IF(P9&gt;0,2,"")</f>
        <v>2</v>
      </c>
      <c r="N9" s="48" t="str">
        <f>IF(N2="www.guiadecompra.com",Jogo!AN6,"erro")</f>
        <v>Egito</v>
      </c>
      <c r="O9" s="49">
        <f>IF(B5I=Tabela!N2,VLOOKUP(N9,Jogo!$A$5:$I$8,2,FALSE),0)</f>
        <v>6</v>
      </c>
      <c r="P9" s="50">
        <f>IF(D5I=Tabela!N3,VLOOKUP(N9,Jogo!$A$5:$I$8,3,FALSE),0)</f>
        <v>3</v>
      </c>
      <c r="Q9" s="50">
        <f>VLOOKUP(N9,Jogo!$A$5:$I$8,4,FALSE)</f>
        <v>2</v>
      </c>
      <c r="R9" s="50">
        <f>VLOOKUP(N9,Jogo!$A$5:$I$8,5,FALSE)</f>
        <v>0</v>
      </c>
      <c r="S9" s="50">
        <f>VLOOKUP(N9,Jogo!$A$5:$I$8,6,FALSE)</f>
        <v>1</v>
      </c>
      <c r="T9" s="50">
        <f>VLOOKUP(N9,Jogo!$A$5:$I$8,7,FALSE)</f>
        <v>5</v>
      </c>
      <c r="U9" s="50">
        <f>VLOOKUP(N9,Jogo!$A$5:$I$8,8,FALSE)</f>
        <v>4</v>
      </c>
      <c r="V9" s="51">
        <f>VLOOKUP(N9,Jogo!$A$5:$I$8,9,FALSE)</f>
        <v>1</v>
      </c>
      <c r="W9" s="5"/>
      <c r="X9" s="52"/>
    </row>
    <row r="10" spans="1:24" ht="18" customHeight="1" x14ac:dyDescent="0.2">
      <c r="A10" s="4"/>
      <c r="B10" s="5"/>
      <c r="C10" s="31">
        <v>43276</v>
      </c>
      <c r="D10" s="32">
        <v>0.45833333333333331</v>
      </c>
      <c r="E10" s="33" t="str">
        <f>time!A4</f>
        <v>Uruguai</v>
      </c>
      <c r="F10" s="34"/>
      <c r="G10" s="35">
        <v>1</v>
      </c>
      <c r="H10" s="36" t="s">
        <v>9</v>
      </c>
      <c r="I10" s="35">
        <v>0</v>
      </c>
      <c r="J10" s="37"/>
      <c r="K10" s="38" t="str">
        <f>time!A1</f>
        <v>Rússia</v>
      </c>
      <c r="L10" s="39" t="s">
        <v>25</v>
      </c>
      <c r="M10" s="47">
        <f>IF(P10&gt;0,3,"")</f>
        <v>3</v>
      </c>
      <c r="N10" s="18" t="str">
        <f>IF(N2="www.guiadecompra.com",Jogo!AN7,"erro")</f>
        <v>Rússia</v>
      </c>
      <c r="O10" s="49">
        <f>IF(B5I=Tabela!N2,VLOOKUP(N10,Jogo!$A$5:$I$8,2,FALSE),0)</f>
        <v>3</v>
      </c>
      <c r="P10" s="50">
        <f>IF(D5I=Tabela!N3,VLOOKUP(N10,Jogo!$A$5:$I$8,3,FALSE),0)</f>
        <v>3</v>
      </c>
      <c r="Q10" s="50">
        <f>VLOOKUP(N10,Jogo!$A$5:$I$8,4,FALSE)</f>
        <v>1</v>
      </c>
      <c r="R10" s="50">
        <f>VLOOKUP(N10,Jogo!$A$5:$I$8,5,FALSE)</f>
        <v>0</v>
      </c>
      <c r="S10" s="50">
        <f>VLOOKUP(N10,Jogo!$A$5:$I$8,6,FALSE)</f>
        <v>2</v>
      </c>
      <c r="T10" s="50">
        <f>VLOOKUP(N10,Jogo!$A$5:$I$8,7,FALSE)</f>
        <v>4</v>
      </c>
      <c r="U10" s="50">
        <f>VLOOKUP(N10,Jogo!$A$5:$I$8,8,FALSE)</f>
        <v>5</v>
      </c>
      <c r="V10" s="51">
        <f>VLOOKUP(N10,Jogo!$A$5:$I$8,9,FALSE)</f>
        <v>-1</v>
      </c>
      <c r="W10" s="5"/>
      <c r="X10" s="41" t="s">
        <v>26</v>
      </c>
    </row>
    <row r="11" spans="1:24" ht="18" customHeight="1" x14ac:dyDescent="0.2">
      <c r="A11" s="4"/>
      <c r="B11" s="5"/>
      <c r="C11" s="31">
        <v>43276</v>
      </c>
      <c r="D11" s="32">
        <v>0.45833333333333331</v>
      </c>
      <c r="E11" s="33" t="str">
        <f>time!A2</f>
        <v>Arábia Saudita</v>
      </c>
      <c r="F11" s="34"/>
      <c r="G11" s="35">
        <v>0</v>
      </c>
      <c r="H11" s="36" t="s">
        <v>9</v>
      </c>
      <c r="I11" s="35">
        <v>2</v>
      </c>
      <c r="J11" s="37"/>
      <c r="K11" s="38" t="str">
        <f>time!A3</f>
        <v>Egito</v>
      </c>
      <c r="L11" s="39" t="s">
        <v>27</v>
      </c>
      <c r="M11" s="53">
        <f>IF(P11&gt;0,4,"")</f>
        <v>4</v>
      </c>
      <c r="N11" s="54" t="str">
        <f>IF(N2="www.guiadecompra.com",Jogo!AN8,"erro")</f>
        <v>Arábia Saudita</v>
      </c>
      <c r="O11" s="55">
        <f>IF(B5I=Tabela!N2,VLOOKUP(N11,Jogo!$A$5:$I$8,2,FALSE),0)</f>
        <v>0</v>
      </c>
      <c r="P11" s="56">
        <f>IF(D5I=Tabela!N3,VLOOKUP(N11,Jogo!$A$5:$I$8,3,FALSE),0)</f>
        <v>3</v>
      </c>
      <c r="Q11" s="56">
        <f>VLOOKUP(N11,Jogo!$A$5:$I$8,4,FALSE)</f>
        <v>0</v>
      </c>
      <c r="R11" s="56">
        <f>VLOOKUP(N11,Jogo!$A$5:$I$8,5,FALSE)</f>
        <v>0</v>
      </c>
      <c r="S11" s="56">
        <f>VLOOKUP(N11,Jogo!$A$5:$I$8,6,FALSE)</f>
        <v>3</v>
      </c>
      <c r="T11" s="56">
        <f>VLOOKUP(N11,Jogo!$A$5:$I$8,7,FALSE)</f>
        <v>1</v>
      </c>
      <c r="U11" s="56">
        <f>VLOOKUP(N11,Jogo!$A$5:$I$8,8,FALSE)</f>
        <v>7</v>
      </c>
      <c r="V11" s="57">
        <f>VLOOKUP(N11,Jogo!$A$5:$I$8,9,FALSE)</f>
        <v>-6</v>
      </c>
      <c r="W11" s="5"/>
      <c r="X11" s="46"/>
    </row>
    <row r="12" spans="1:24" ht="15.75" customHeight="1" x14ac:dyDescent="0.2">
      <c r="A12" s="17"/>
      <c r="B12" s="5"/>
      <c r="C12" s="58"/>
      <c r="D12" s="59"/>
      <c r="E12" s="60"/>
      <c r="F12" s="23"/>
      <c r="G12" s="61"/>
      <c r="H12" s="61"/>
      <c r="I12" s="61"/>
      <c r="J12" s="61"/>
      <c r="K12" s="18"/>
      <c r="L12" s="62"/>
      <c r="M12" s="63"/>
      <c r="N12" s="18"/>
      <c r="O12" s="60"/>
      <c r="P12" s="60"/>
      <c r="Q12" s="60"/>
      <c r="R12" s="60"/>
      <c r="S12" s="60"/>
      <c r="T12" s="60"/>
      <c r="U12" s="60"/>
      <c r="V12" s="60"/>
      <c r="W12" s="5"/>
      <c r="X12" s="64" t="s">
        <v>28</v>
      </c>
    </row>
    <row r="13" spans="1:24" ht="15.75" customHeight="1" x14ac:dyDescent="0.2">
      <c r="A13" s="4"/>
      <c r="B13" s="5"/>
      <c r="C13" s="324" t="s">
        <v>29</v>
      </c>
      <c r="D13" s="325"/>
      <c r="E13" s="326"/>
      <c r="F13" s="65"/>
      <c r="G13" s="327"/>
      <c r="H13" s="325"/>
      <c r="I13" s="326"/>
      <c r="J13" s="65"/>
      <c r="K13" s="66"/>
      <c r="L13" s="67"/>
      <c r="M13" s="68"/>
      <c r="N13" s="66"/>
      <c r="O13" s="65"/>
      <c r="P13" s="65"/>
      <c r="Q13" s="65"/>
      <c r="R13" s="65"/>
      <c r="S13" s="69"/>
      <c r="T13" s="70"/>
      <c r="U13" s="70"/>
      <c r="V13" s="71"/>
      <c r="W13" s="5"/>
      <c r="X13" s="72"/>
    </row>
    <row r="14" spans="1:24" ht="18" customHeight="1" x14ac:dyDescent="0.2">
      <c r="A14" s="4"/>
      <c r="B14" s="5"/>
      <c r="C14" s="73">
        <v>43266</v>
      </c>
      <c r="D14" s="74">
        <v>0.5</v>
      </c>
      <c r="E14" s="75" t="str">
        <f>time!B3</f>
        <v>Marrocos</v>
      </c>
      <c r="F14" s="76"/>
      <c r="G14" s="77">
        <v>1</v>
      </c>
      <c r="H14" s="78" t="s">
        <v>9</v>
      </c>
      <c r="I14" s="77">
        <v>0</v>
      </c>
      <c r="J14" s="79"/>
      <c r="K14" s="80" t="str">
        <f>time!B4</f>
        <v>Iran</v>
      </c>
      <c r="L14" s="81" t="s">
        <v>22</v>
      </c>
      <c r="M14" s="82"/>
      <c r="N14" s="348" t="s">
        <v>30</v>
      </c>
      <c r="O14" s="349"/>
      <c r="P14" s="349"/>
      <c r="Q14" s="349"/>
      <c r="R14" s="349"/>
      <c r="S14" s="349"/>
      <c r="T14" s="349"/>
      <c r="U14" s="349"/>
      <c r="V14" s="350"/>
      <c r="W14" s="5"/>
      <c r="X14" s="52"/>
    </row>
    <row r="15" spans="1:24" ht="18" customHeight="1" x14ac:dyDescent="0.2">
      <c r="A15" s="4"/>
      <c r="B15" s="5"/>
      <c r="C15" s="73">
        <v>43266</v>
      </c>
      <c r="D15" s="83">
        <v>0.625</v>
      </c>
      <c r="E15" s="84" t="str">
        <f>time!B1</f>
        <v>Portugal</v>
      </c>
      <c r="F15" s="85"/>
      <c r="G15" s="86">
        <v>2</v>
      </c>
      <c r="H15" s="87" t="s">
        <v>9</v>
      </c>
      <c r="I15" s="86">
        <v>2</v>
      </c>
      <c r="J15" s="88"/>
      <c r="K15" s="89" t="str">
        <f>time!B2</f>
        <v>Espanha</v>
      </c>
      <c r="L15" s="90" t="s">
        <v>31</v>
      </c>
      <c r="M15" s="91"/>
      <c r="N15" s="43"/>
      <c r="O15" s="92" t="s">
        <v>14</v>
      </c>
      <c r="P15" s="92" t="s">
        <v>15</v>
      </c>
      <c r="Q15" s="92" t="s">
        <v>16</v>
      </c>
      <c r="R15" s="92" t="s">
        <v>17</v>
      </c>
      <c r="S15" s="92" t="s">
        <v>18</v>
      </c>
      <c r="T15" s="92" t="s">
        <v>19</v>
      </c>
      <c r="U15" s="92" t="s">
        <v>20</v>
      </c>
      <c r="V15" s="93" t="s">
        <v>21</v>
      </c>
      <c r="W15" s="5"/>
      <c r="X15" s="41" t="s">
        <v>32</v>
      </c>
    </row>
    <row r="16" spans="1:24" ht="18" customHeight="1" x14ac:dyDescent="0.2">
      <c r="A16" s="4"/>
      <c r="B16" s="5"/>
      <c r="C16" s="94">
        <v>43271</v>
      </c>
      <c r="D16" s="83">
        <v>0.375</v>
      </c>
      <c r="E16" s="75" t="str">
        <f>time!B1</f>
        <v>Portugal</v>
      </c>
      <c r="F16" s="85"/>
      <c r="G16" s="86">
        <v>3</v>
      </c>
      <c r="H16" s="87" t="s">
        <v>9</v>
      </c>
      <c r="I16" s="86">
        <v>0</v>
      </c>
      <c r="J16" s="88"/>
      <c r="K16" s="95" t="str">
        <f>time!B3</f>
        <v>Marrocos</v>
      </c>
      <c r="L16" s="90" t="s">
        <v>10</v>
      </c>
      <c r="M16" s="96">
        <f>IF(P16&gt;0,1,"")</f>
        <v>1</v>
      </c>
      <c r="N16" s="48" t="str">
        <f>IF(N2="www.guiadecompra.com",Jogo!AN13,"erro")</f>
        <v>Portugal</v>
      </c>
      <c r="O16" s="49">
        <f>IF(B5I=Tabela!N2,VLOOKUP(N16,Jogo!$A$13:$I$16,2,FALSE),0)</f>
        <v>7</v>
      </c>
      <c r="P16" s="50">
        <f>IF(D5I=Tabela!N3,VLOOKUP(N16,Jogo!$A$13:$I$16,3,FALSE),0)</f>
        <v>3</v>
      </c>
      <c r="Q16" s="50">
        <f>VLOOKUP(N16,Jogo!$A$13:$I$16,4,FALSE)</f>
        <v>2</v>
      </c>
      <c r="R16" s="50">
        <f>VLOOKUP(N16,Jogo!$A$13:$I$16,5,FALSE)</f>
        <v>1</v>
      </c>
      <c r="S16" s="50">
        <f>VLOOKUP(N16,Jogo!$A$13:$I$16,6,FALSE)</f>
        <v>0</v>
      </c>
      <c r="T16" s="50">
        <f>VLOOKUP(N16,Jogo!$A$13:$I$16,7,FALSE)</f>
        <v>9</v>
      </c>
      <c r="U16" s="50">
        <f>VLOOKUP(N16,Jogo!$A$13:$I$16,8,FALSE)</f>
        <v>2</v>
      </c>
      <c r="V16" s="97">
        <f>VLOOKUP(N16,Jogo!$A$13:$I$16,9,FALSE)</f>
        <v>7</v>
      </c>
      <c r="W16" s="5"/>
      <c r="X16" s="41" t="s">
        <v>33</v>
      </c>
    </row>
    <row r="17" spans="1:24" ht="18" customHeight="1" x14ac:dyDescent="0.2">
      <c r="A17" s="4"/>
      <c r="B17" s="5"/>
      <c r="C17" s="94">
        <v>43271</v>
      </c>
      <c r="D17" s="83">
        <v>0.625</v>
      </c>
      <c r="E17" s="75" t="str">
        <f>time!B4</f>
        <v>Iran</v>
      </c>
      <c r="F17" s="85"/>
      <c r="G17" s="86">
        <v>1</v>
      </c>
      <c r="H17" s="87" t="s">
        <v>9</v>
      </c>
      <c r="I17" s="86">
        <v>4</v>
      </c>
      <c r="J17" s="88"/>
      <c r="K17" s="89" t="str">
        <f>time!B2</f>
        <v>Espanha</v>
      </c>
      <c r="L17" s="90" t="s">
        <v>34</v>
      </c>
      <c r="M17" s="96">
        <f>IF(P17&gt;0,2,"")</f>
        <v>2</v>
      </c>
      <c r="N17" s="48" t="str">
        <f>IF(N2="www.guiadecompra.com",Jogo!AN14,"erro")</f>
        <v>Espanha</v>
      </c>
      <c r="O17" s="49">
        <f>IF(B5I=Tabela!N2,VLOOKUP(N17,Jogo!$A$13:$I$16,2,FALSE),0)</f>
        <v>7</v>
      </c>
      <c r="P17" s="50">
        <f>IF(D5I=Tabela!N3,VLOOKUP(N17,Jogo!$A$13:$I$16,3,FALSE),0)</f>
        <v>3</v>
      </c>
      <c r="Q17" s="50">
        <f>VLOOKUP(N17,Jogo!$A$13:$I$16,4,FALSE)</f>
        <v>2</v>
      </c>
      <c r="R17" s="50">
        <f>VLOOKUP(N17,Jogo!$A$13:$I$16,5,FALSE)</f>
        <v>1</v>
      </c>
      <c r="S17" s="50">
        <f>VLOOKUP(N17,Jogo!$A$13:$I$16,6,FALSE)</f>
        <v>0</v>
      </c>
      <c r="T17" s="50">
        <f>VLOOKUP(N17,Jogo!$A$13:$I$16,7,FALSE)</f>
        <v>9</v>
      </c>
      <c r="U17" s="50">
        <f>VLOOKUP(N17,Jogo!$A$13:$I$16,8,FALSE)</f>
        <v>3</v>
      </c>
      <c r="V17" s="97">
        <f>VLOOKUP(N17,Jogo!$A$13:$I$16,9,FALSE)</f>
        <v>6</v>
      </c>
      <c r="W17" s="5"/>
      <c r="X17" s="98"/>
    </row>
    <row r="18" spans="1:24" ht="18" customHeight="1" x14ac:dyDescent="0.2">
      <c r="A18" s="4"/>
      <c r="B18" s="5"/>
      <c r="C18" s="94">
        <v>43276</v>
      </c>
      <c r="D18" s="83">
        <v>0.625</v>
      </c>
      <c r="E18" s="75" t="str">
        <f>time!B2</f>
        <v>Espanha</v>
      </c>
      <c r="F18" s="85"/>
      <c r="G18" s="86">
        <v>3</v>
      </c>
      <c r="H18" s="87" t="s">
        <v>9</v>
      </c>
      <c r="I18" s="86">
        <v>0</v>
      </c>
      <c r="J18" s="88"/>
      <c r="K18" s="89" t="str">
        <f>time!B3</f>
        <v>Marrocos</v>
      </c>
      <c r="L18" s="90" t="s">
        <v>35</v>
      </c>
      <c r="M18" s="96">
        <f>IF(P18&gt;0,3,"")</f>
        <v>3</v>
      </c>
      <c r="N18" s="18" t="str">
        <f>IF(N2="www.guiadecompra.com",Jogo!AN15,"erro")</f>
        <v>Marrocos</v>
      </c>
      <c r="O18" s="49">
        <f>IF(B5I=Tabela!N2,VLOOKUP(N18,Jogo!$A$13:$I$16,2,FALSE),0)</f>
        <v>3</v>
      </c>
      <c r="P18" s="50">
        <f>IF(D5I=Tabela!N3,VLOOKUP(N18,Jogo!$A$13:$I$16,3,FALSE),0)</f>
        <v>3</v>
      </c>
      <c r="Q18" s="50">
        <f>VLOOKUP(N18,Jogo!$A$13:$I$16,4,FALSE)</f>
        <v>1</v>
      </c>
      <c r="R18" s="50">
        <f>VLOOKUP(N18,Jogo!$A$13:$I$16,5,FALSE)</f>
        <v>0</v>
      </c>
      <c r="S18" s="50">
        <f>VLOOKUP(N18,Jogo!$A$13:$I$16,6,FALSE)</f>
        <v>2</v>
      </c>
      <c r="T18" s="50">
        <f>VLOOKUP(N18,Jogo!$A$13:$I$16,7,FALSE)</f>
        <v>1</v>
      </c>
      <c r="U18" s="50">
        <f>VLOOKUP(N18,Jogo!$A$13:$I$16,8,FALSE)</f>
        <v>6</v>
      </c>
      <c r="V18" s="97">
        <f>VLOOKUP(N18,Jogo!$A$13:$I$16,9,FALSE)</f>
        <v>-5</v>
      </c>
      <c r="W18" s="5"/>
      <c r="X18" s="18"/>
    </row>
    <row r="19" spans="1:24" ht="18" customHeight="1" x14ac:dyDescent="0.2">
      <c r="A19" s="4"/>
      <c r="B19" s="5"/>
      <c r="C19" s="94">
        <v>43276</v>
      </c>
      <c r="D19" s="83">
        <v>0.625</v>
      </c>
      <c r="E19" s="75" t="str">
        <f>time!B4</f>
        <v>Iran</v>
      </c>
      <c r="F19" s="85"/>
      <c r="G19" s="86">
        <v>0</v>
      </c>
      <c r="H19" s="87" t="s">
        <v>9</v>
      </c>
      <c r="I19" s="86">
        <v>4</v>
      </c>
      <c r="J19" s="88"/>
      <c r="K19" s="95" t="str">
        <f>time!B1</f>
        <v>Portugal</v>
      </c>
      <c r="L19" s="90" t="s">
        <v>36</v>
      </c>
      <c r="M19" s="99">
        <f>IF(P19&gt;0,4,"")</f>
        <v>4</v>
      </c>
      <c r="N19" s="100" t="str">
        <f>IF(N2="www.guiadecompra.com",Jogo!AN16,"erro")</f>
        <v>Iran</v>
      </c>
      <c r="O19" s="101">
        <f>IF(B5I=Tabela!N2,VLOOKUP(N19,Jogo!$A$13:$I$16,2,FALSE),0)</f>
        <v>0</v>
      </c>
      <c r="P19" s="102">
        <f>IF(D5I=Tabela!N3,VLOOKUP(N19,Jogo!$A$13:$I$16,3,FALSE),0)</f>
        <v>3</v>
      </c>
      <c r="Q19" s="102">
        <f>VLOOKUP(N19,Jogo!$A$13:$I$16,4,FALSE)</f>
        <v>0</v>
      </c>
      <c r="R19" s="102">
        <f>VLOOKUP(N19,Jogo!$A$13:$I$16,5,FALSE)</f>
        <v>0</v>
      </c>
      <c r="S19" s="102">
        <f>VLOOKUP(N19,Jogo!$A$13:$I$16,6,FALSE)</f>
        <v>3</v>
      </c>
      <c r="T19" s="102">
        <f>VLOOKUP(N19,Jogo!$A$13:$I$16,7,FALSE)</f>
        <v>1</v>
      </c>
      <c r="U19" s="102">
        <f>VLOOKUP(N19,Jogo!$A$13:$I$16,8,FALSE)</f>
        <v>9</v>
      </c>
      <c r="V19" s="103">
        <f>VLOOKUP(N19,Jogo!$A$13:$I$16,9,FALSE)</f>
        <v>-8</v>
      </c>
      <c r="W19" s="5"/>
      <c r="X19" s="340" t="s">
        <v>37</v>
      </c>
    </row>
    <row r="20" spans="1:24" ht="15.75" customHeight="1" x14ac:dyDescent="0.2">
      <c r="A20" s="17"/>
      <c r="B20" s="5"/>
      <c r="C20" s="58"/>
      <c r="D20" s="59"/>
      <c r="E20" s="60"/>
      <c r="F20" s="23"/>
      <c r="G20" s="61"/>
      <c r="H20" s="61"/>
      <c r="I20" s="61"/>
      <c r="J20" s="61"/>
      <c r="K20" s="18"/>
      <c r="L20" s="62"/>
      <c r="M20" s="63"/>
      <c r="N20" s="18"/>
      <c r="O20" s="60"/>
      <c r="P20" s="60"/>
      <c r="Q20" s="60"/>
      <c r="R20" s="60"/>
      <c r="S20" s="60"/>
      <c r="T20" s="60"/>
      <c r="U20" s="60"/>
      <c r="V20" s="60"/>
      <c r="W20" s="5"/>
      <c r="X20" s="341"/>
    </row>
    <row r="21" spans="1:24" ht="15.75" customHeight="1" x14ac:dyDescent="0.2">
      <c r="A21" s="4"/>
      <c r="B21" s="5"/>
      <c r="C21" s="315" t="s">
        <v>38</v>
      </c>
      <c r="D21" s="314"/>
      <c r="E21" s="309"/>
      <c r="F21" s="104"/>
      <c r="G21" s="323"/>
      <c r="H21" s="314"/>
      <c r="I21" s="309"/>
      <c r="J21" s="104"/>
      <c r="K21" s="105"/>
      <c r="L21" s="106"/>
      <c r="M21" s="107"/>
      <c r="N21" s="105"/>
      <c r="O21" s="104"/>
      <c r="P21" s="104"/>
      <c r="Q21" s="104"/>
      <c r="R21" s="104"/>
      <c r="S21" s="108"/>
      <c r="T21" s="108"/>
      <c r="U21" s="108"/>
      <c r="V21" s="109"/>
      <c r="W21" s="5"/>
      <c r="X21" s="18"/>
    </row>
    <row r="22" spans="1:24" ht="18" customHeight="1" x14ac:dyDescent="0.2">
      <c r="A22" s="4"/>
      <c r="B22" s="5"/>
      <c r="C22" s="110">
        <v>43267</v>
      </c>
      <c r="D22" s="111">
        <v>0.29166666666666669</v>
      </c>
      <c r="E22" s="112" t="str">
        <f>time!C1</f>
        <v>França</v>
      </c>
      <c r="F22" s="113"/>
      <c r="G22" s="114">
        <v>3</v>
      </c>
      <c r="H22" s="115" t="s">
        <v>9</v>
      </c>
      <c r="I22" s="114">
        <v>2</v>
      </c>
      <c r="J22" s="116"/>
      <c r="K22" s="117" t="str">
        <f>time!C2</f>
        <v>Austrália</v>
      </c>
      <c r="L22" s="118" t="s">
        <v>34</v>
      </c>
      <c r="M22" s="119"/>
      <c r="N22" s="342" t="s">
        <v>39</v>
      </c>
      <c r="O22" s="343"/>
      <c r="P22" s="343"/>
      <c r="Q22" s="343"/>
      <c r="R22" s="343"/>
      <c r="S22" s="343"/>
      <c r="T22" s="343"/>
      <c r="U22" s="343"/>
      <c r="V22" s="344"/>
      <c r="W22" s="5"/>
      <c r="X22" s="120"/>
    </row>
    <row r="23" spans="1:24" ht="18" customHeight="1" x14ac:dyDescent="0.2">
      <c r="A23" s="4"/>
      <c r="B23" s="5"/>
      <c r="C23" s="110">
        <v>43267</v>
      </c>
      <c r="D23" s="111">
        <v>0.54166666666666663</v>
      </c>
      <c r="E23" s="112" t="str">
        <f>time!C3</f>
        <v>Peru</v>
      </c>
      <c r="F23" s="113"/>
      <c r="G23" s="114">
        <v>2</v>
      </c>
      <c r="H23" s="115" t="s">
        <v>9</v>
      </c>
      <c r="I23" s="114">
        <v>1</v>
      </c>
      <c r="J23" s="116"/>
      <c r="K23" s="117" t="str">
        <f>time!C4</f>
        <v>Dinamarca</v>
      </c>
      <c r="L23" s="118" t="s">
        <v>36</v>
      </c>
      <c r="M23" s="121"/>
      <c r="N23" s="43"/>
      <c r="O23" s="122" t="s">
        <v>14</v>
      </c>
      <c r="P23" s="122" t="s">
        <v>15</v>
      </c>
      <c r="Q23" s="122" t="s">
        <v>16</v>
      </c>
      <c r="R23" s="122" t="s">
        <v>17</v>
      </c>
      <c r="S23" s="122" t="s">
        <v>18</v>
      </c>
      <c r="T23" s="122" t="s">
        <v>19</v>
      </c>
      <c r="U23" s="122" t="s">
        <v>20</v>
      </c>
      <c r="V23" s="123" t="s">
        <v>21</v>
      </c>
      <c r="W23" s="5"/>
      <c r="X23" s="120"/>
    </row>
    <row r="24" spans="1:24" ht="18" customHeight="1" x14ac:dyDescent="0.2">
      <c r="A24" s="4"/>
      <c r="B24" s="5"/>
      <c r="C24" s="110">
        <v>43272</v>
      </c>
      <c r="D24" s="111">
        <v>0.375</v>
      </c>
      <c r="E24" s="112" t="str">
        <f>time!C4</f>
        <v>Dinamarca</v>
      </c>
      <c r="F24" s="113"/>
      <c r="G24" s="114">
        <v>2</v>
      </c>
      <c r="H24" s="115" t="s">
        <v>9</v>
      </c>
      <c r="I24" s="114">
        <v>0</v>
      </c>
      <c r="J24" s="116"/>
      <c r="K24" s="117" t="str">
        <f>time!C2</f>
        <v>Austrália</v>
      </c>
      <c r="L24" s="118" t="s">
        <v>25</v>
      </c>
      <c r="M24" s="121">
        <f>IF(P24&gt;0,1,"")</f>
        <v>1</v>
      </c>
      <c r="N24" s="48" t="str">
        <f>IF(N2="www.guiadecompra.com",Jogo!AN21,"erro")</f>
        <v>França</v>
      </c>
      <c r="O24" s="49">
        <f>IF(B5I=Tabela!N2,VLOOKUP(N24,Jogo!$A$21:$I$24,2,FALSE),0)</f>
        <v>7</v>
      </c>
      <c r="P24" s="50">
        <f>IF(D5I=Tabela!N3,VLOOKUP(N24,Jogo!$A$21:$I$24,3,FALSE),0)</f>
        <v>3</v>
      </c>
      <c r="Q24" s="50">
        <f>VLOOKUP(N24,Jogo!$A$21:$I$24,4,FALSE)</f>
        <v>2</v>
      </c>
      <c r="R24" s="50">
        <f>VLOOKUP(N24,Jogo!$A$21:$I$24,5,FALSE)</f>
        <v>1</v>
      </c>
      <c r="S24" s="50">
        <f>VLOOKUP(N24,Jogo!$A$21:$I$24,6,FALSE)</f>
        <v>0</v>
      </c>
      <c r="T24" s="50">
        <f>VLOOKUP(N24,Jogo!$A$21:$I$24,7,FALSE)</f>
        <v>8</v>
      </c>
      <c r="U24" s="50">
        <f>VLOOKUP(N24,Jogo!$A$21:$I$24,8,FALSE)</f>
        <v>6</v>
      </c>
      <c r="V24" s="124">
        <f>VLOOKUP(N24,Jogo!$A$21:$I$24,9,FALSE)</f>
        <v>2</v>
      </c>
      <c r="W24" s="5"/>
      <c r="X24" s="18"/>
    </row>
    <row r="25" spans="1:24" ht="18" customHeight="1" x14ac:dyDescent="0.2">
      <c r="A25" s="4"/>
      <c r="B25" s="5"/>
      <c r="C25" s="110">
        <v>43272</v>
      </c>
      <c r="D25" s="111">
        <v>0.5</v>
      </c>
      <c r="E25" s="112" t="str">
        <f>time!C1</f>
        <v>França</v>
      </c>
      <c r="F25" s="113"/>
      <c r="G25" s="114">
        <v>3</v>
      </c>
      <c r="H25" s="115" t="s">
        <v>9</v>
      </c>
      <c r="I25" s="114">
        <v>2</v>
      </c>
      <c r="J25" s="116"/>
      <c r="K25" s="117" t="str">
        <f>time!C3</f>
        <v>Peru</v>
      </c>
      <c r="L25" s="118" t="s">
        <v>40</v>
      </c>
      <c r="M25" s="121">
        <f>IF(P25&gt;0,2,"")</f>
        <v>2</v>
      </c>
      <c r="N25" s="48" t="str">
        <f>IF(N2="www.guiadecompra.com",Jogo!AN22,"erro")</f>
        <v>Peru</v>
      </c>
      <c r="O25" s="49">
        <f>IF(B5I=Tabela!N2,VLOOKUP(N25,Jogo!$A$21:$I$24,2,FALSE),0)</f>
        <v>6</v>
      </c>
      <c r="P25" s="50">
        <f>IF(D5I=Tabela!N3,VLOOKUP(N25,Jogo!$A$21:$I$24,3,FALSE),0)</f>
        <v>3</v>
      </c>
      <c r="Q25" s="50">
        <f>VLOOKUP(N25,Jogo!$A$21:$I$24,4,FALSE)</f>
        <v>2</v>
      </c>
      <c r="R25" s="50">
        <f>VLOOKUP(N25,Jogo!$A$21:$I$24,5,FALSE)</f>
        <v>0</v>
      </c>
      <c r="S25" s="50">
        <f>VLOOKUP(N25,Jogo!$A$21:$I$24,6,FALSE)</f>
        <v>1</v>
      </c>
      <c r="T25" s="50">
        <f>VLOOKUP(N25,Jogo!$A$21:$I$24,7,FALSE)</f>
        <v>6</v>
      </c>
      <c r="U25" s="50">
        <f>VLOOKUP(N25,Jogo!$A$21:$I$24,8,FALSE)</f>
        <v>5</v>
      </c>
      <c r="V25" s="124">
        <f>VLOOKUP(N25,Jogo!$A$21:$I$24,9,FALSE)</f>
        <v>1</v>
      </c>
      <c r="W25" s="5"/>
      <c r="X25" s="18"/>
    </row>
    <row r="26" spans="1:24" ht="18" customHeight="1" x14ac:dyDescent="0.2">
      <c r="A26" s="4"/>
      <c r="B26" s="5"/>
      <c r="C26" s="110">
        <v>43277</v>
      </c>
      <c r="D26" s="111">
        <v>0.45833333333333331</v>
      </c>
      <c r="E26" s="112" t="str">
        <f>time!C4</f>
        <v>Dinamarca</v>
      </c>
      <c r="F26" s="113"/>
      <c r="G26" s="114">
        <v>2</v>
      </c>
      <c r="H26" s="115" t="s">
        <v>9</v>
      </c>
      <c r="I26" s="114">
        <v>2</v>
      </c>
      <c r="J26" s="116"/>
      <c r="K26" s="117" t="str">
        <f>time!C1</f>
        <v>França</v>
      </c>
      <c r="L26" s="118" t="s">
        <v>10</v>
      </c>
      <c r="M26" s="121">
        <f>IF(P26&gt;0,3,"")</f>
        <v>3</v>
      </c>
      <c r="N26" s="18" t="str">
        <f>IF(N2="www.guiadecompra.com",Jogo!AN23,"erro")</f>
        <v>Dinamarca</v>
      </c>
      <c r="O26" s="49">
        <f>IF(B5I=Tabela!N2,VLOOKUP(N26,Jogo!$A$21:$I$24,2,FALSE),0)</f>
        <v>4</v>
      </c>
      <c r="P26" s="50">
        <f>IF(D5I=Tabela!N3,VLOOKUP(N26,Jogo!$A$21:$I$24,3,FALSE),0)</f>
        <v>3</v>
      </c>
      <c r="Q26" s="50">
        <f>VLOOKUP(N26,Jogo!$A$21:$I$24,4,FALSE)</f>
        <v>1</v>
      </c>
      <c r="R26" s="50">
        <f>VLOOKUP(N26,Jogo!$A$21:$I$24,5,FALSE)</f>
        <v>1</v>
      </c>
      <c r="S26" s="50">
        <f>VLOOKUP(N26,Jogo!$A$21:$I$24,6,FALSE)</f>
        <v>1</v>
      </c>
      <c r="T26" s="50">
        <f>VLOOKUP(N26,Jogo!$A$21:$I$24,7,FALSE)</f>
        <v>5</v>
      </c>
      <c r="U26" s="50">
        <f>VLOOKUP(N26,Jogo!$A$21:$I$24,8,FALSE)</f>
        <v>4</v>
      </c>
      <c r="V26" s="124">
        <f>VLOOKUP(N26,Jogo!$A$21:$I$24,9,FALSE)</f>
        <v>1</v>
      </c>
      <c r="W26" s="5"/>
      <c r="X26" s="18"/>
    </row>
    <row r="27" spans="1:24" ht="18" customHeight="1" x14ac:dyDescent="0.2">
      <c r="A27" s="4"/>
      <c r="B27" s="5"/>
      <c r="C27" s="110">
        <v>43277</v>
      </c>
      <c r="D27" s="111">
        <v>0.45833333333333331</v>
      </c>
      <c r="E27" s="112" t="str">
        <f>time!C2</f>
        <v>Austrália</v>
      </c>
      <c r="F27" s="113"/>
      <c r="G27" s="114">
        <v>1</v>
      </c>
      <c r="H27" s="115" t="s">
        <v>9</v>
      </c>
      <c r="I27" s="114">
        <v>2</v>
      </c>
      <c r="J27" s="116"/>
      <c r="K27" s="117" t="str">
        <f>time!C3</f>
        <v>Peru</v>
      </c>
      <c r="L27" s="118" t="s">
        <v>31</v>
      </c>
      <c r="M27" s="125">
        <f>IF(P27&gt;0,4,"")</f>
        <v>4</v>
      </c>
      <c r="N27" s="126" t="str">
        <f>IF(N2="www.guiadecompra.com",Jogo!AN24,"erro")</f>
        <v>Austrália</v>
      </c>
      <c r="O27" s="127">
        <f>IF(B5I=Tabela!N2,VLOOKUP(N27,Jogo!$A$21:$I$24,2,FALSE),0)</f>
        <v>0</v>
      </c>
      <c r="P27" s="128">
        <f>IF(D5I=Tabela!N3,VLOOKUP(N27,Jogo!$A$21:$I$24,3,FALSE),0)</f>
        <v>3</v>
      </c>
      <c r="Q27" s="128">
        <f>VLOOKUP(N27,Jogo!$A$21:$I$24,4,FALSE)</f>
        <v>0</v>
      </c>
      <c r="R27" s="128">
        <f>VLOOKUP(N27,Jogo!$A$21:$I$24,5,FALSE)</f>
        <v>0</v>
      </c>
      <c r="S27" s="128">
        <f>VLOOKUP(N27,Jogo!$A$21:$I$24,6,FALSE)</f>
        <v>3</v>
      </c>
      <c r="T27" s="128">
        <f>VLOOKUP(N27,Jogo!$A$21:$I$24,7,FALSE)</f>
        <v>3</v>
      </c>
      <c r="U27" s="128">
        <f>VLOOKUP(N27,Jogo!$A$21:$I$24,8,FALSE)</f>
        <v>7</v>
      </c>
      <c r="V27" s="129">
        <f>VLOOKUP(N27,Jogo!$A$21:$I$24,9,FALSE)</f>
        <v>-4</v>
      </c>
      <c r="W27" s="5"/>
      <c r="X27" s="18"/>
    </row>
    <row r="28" spans="1:24" ht="15.75" customHeight="1" x14ac:dyDescent="0.2">
      <c r="A28" s="17"/>
      <c r="B28" s="5"/>
      <c r="C28" s="58"/>
      <c r="D28" s="59"/>
      <c r="E28" s="60"/>
      <c r="F28" s="23"/>
      <c r="G28" s="61"/>
      <c r="H28" s="61"/>
      <c r="I28" s="61"/>
      <c r="J28" s="61"/>
      <c r="K28" s="18"/>
      <c r="L28" s="130"/>
      <c r="M28" s="63"/>
      <c r="N28" s="18"/>
      <c r="O28" s="60"/>
      <c r="P28" s="60"/>
      <c r="Q28" s="60"/>
      <c r="R28" s="60"/>
      <c r="S28" s="60"/>
      <c r="T28" s="60"/>
      <c r="U28" s="60"/>
      <c r="V28" s="60"/>
      <c r="W28" s="5"/>
      <c r="X28" s="18"/>
    </row>
    <row r="29" spans="1:24" ht="15.75" customHeight="1" x14ac:dyDescent="0.2">
      <c r="A29" s="4"/>
      <c r="B29" s="5"/>
      <c r="C29" s="313" t="s">
        <v>41</v>
      </c>
      <c r="D29" s="314"/>
      <c r="E29" s="309"/>
      <c r="F29" s="131"/>
      <c r="G29" s="316"/>
      <c r="H29" s="314"/>
      <c r="I29" s="309"/>
      <c r="J29" s="131"/>
      <c r="K29" s="132"/>
      <c r="L29" s="133"/>
      <c r="M29" s="134"/>
      <c r="N29" s="132"/>
      <c r="O29" s="131"/>
      <c r="P29" s="131"/>
      <c r="Q29" s="131"/>
      <c r="R29" s="131"/>
      <c r="S29" s="135"/>
      <c r="T29" s="136"/>
      <c r="U29" s="136"/>
      <c r="V29" s="137"/>
      <c r="W29" s="5"/>
      <c r="X29" s="18"/>
    </row>
    <row r="30" spans="1:24" ht="18" customHeight="1" x14ac:dyDescent="0.2">
      <c r="A30" s="4"/>
      <c r="B30" s="5"/>
      <c r="C30" s="138">
        <v>43267</v>
      </c>
      <c r="D30" s="139">
        <v>0.41666666666666669</v>
      </c>
      <c r="E30" s="140" t="str">
        <f>time!D1</f>
        <v>Argentina</v>
      </c>
      <c r="F30" s="141"/>
      <c r="G30" s="142">
        <v>2</v>
      </c>
      <c r="H30" s="143" t="s">
        <v>9</v>
      </c>
      <c r="I30" s="142">
        <v>0</v>
      </c>
      <c r="J30" s="144"/>
      <c r="K30" s="145" t="str">
        <f>time!D2</f>
        <v>Islândia</v>
      </c>
      <c r="L30" s="146" t="s">
        <v>42</v>
      </c>
      <c r="M30" s="147"/>
      <c r="N30" s="346" t="s">
        <v>43</v>
      </c>
      <c r="O30" s="336"/>
      <c r="P30" s="336"/>
      <c r="Q30" s="336"/>
      <c r="R30" s="336"/>
      <c r="S30" s="336"/>
      <c r="T30" s="336"/>
      <c r="U30" s="336"/>
      <c r="V30" s="347"/>
      <c r="W30" s="5"/>
      <c r="X30" s="18"/>
    </row>
    <row r="31" spans="1:24" ht="18" customHeight="1" x14ac:dyDescent="0.2">
      <c r="A31" s="4"/>
      <c r="B31" s="5"/>
      <c r="C31" s="138">
        <v>43267</v>
      </c>
      <c r="D31" s="139">
        <v>0.66666666666666663</v>
      </c>
      <c r="E31" s="140" t="str">
        <f>time!D3</f>
        <v>Croácia</v>
      </c>
      <c r="F31" s="141"/>
      <c r="G31" s="142">
        <v>2</v>
      </c>
      <c r="H31" s="143" t="s">
        <v>9</v>
      </c>
      <c r="I31" s="142">
        <v>1</v>
      </c>
      <c r="J31" s="144"/>
      <c r="K31" s="145" t="str">
        <f>time!D4</f>
        <v>Nigéria</v>
      </c>
      <c r="L31" s="146" t="s">
        <v>35</v>
      </c>
      <c r="M31" s="148"/>
      <c r="N31" s="43"/>
      <c r="O31" s="149" t="s">
        <v>14</v>
      </c>
      <c r="P31" s="149" t="s">
        <v>15</v>
      </c>
      <c r="Q31" s="149" t="s">
        <v>16</v>
      </c>
      <c r="R31" s="149" t="s">
        <v>17</v>
      </c>
      <c r="S31" s="149" t="s">
        <v>18</v>
      </c>
      <c r="T31" s="149" t="s">
        <v>19</v>
      </c>
      <c r="U31" s="149" t="s">
        <v>20</v>
      </c>
      <c r="V31" s="150" t="s">
        <v>21</v>
      </c>
      <c r="W31" s="5"/>
      <c r="X31" s="18"/>
    </row>
    <row r="32" spans="1:24" ht="18" customHeight="1" x14ac:dyDescent="0.2">
      <c r="A32" s="4"/>
      <c r="B32" s="5"/>
      <c r="C32" s="138">
        <v>43272</v>
      </c>
      <c r="D32" s="139">
        <v>0.625</v>
      </c>
      <c r="E32" s="140" t="str">
        <f>time!D1</f>
        <v>Argentina</v>
      </c>
      <c r="F32" s="141"/>
      <c r="G32" s="142">
        <v>1</v>
      </c>
      <c r="H32" s="143" t="s">
        <v>9</v>
      </c>
      <c r="I32" s="142">
        <v>0</v>
      </c>
      <c r="J32" s="144"/>
      <c r="K32" s="145" t="str">
        <f>time!D3</f>
        <v>Croácia</v>
      </c>
      <c r="L32" s="146" t="s">
        <v>44</v>
      </c>
      <c r="M32" s="148">
        <f>IF(P32&gt;0,1,"")</f>
        <v>1</v>
      </c>
      <c r="N32" s="48" t="str">
        <f>IF(N2="www.guiadecompra.com",Jogo!AN29,"erro")</f>
        <v>Argentina</v>
      </c>
      <c r="O32" s="49">
        <f>IF(B5I=Tabela!N2,VLOOKUP(N32,Jogo!$A$29:$I$32,2,FALSE),0)</f>
        <v>9</v>
      </c>
      <c r="P32" s="50">
        <f>IF(D5I=Tabela!N3,VLOOKUP(N32,Jogo!$A$29:$I$32,3,FALSE),0)</f>
        <v>3</v>
      </c>
      <c r="Q32" s="50">
        <f>VLOOKUP(N32,Jogo!$A$29:$I$32,4,FALSE)</f>
        <v>3</v>
      </c>
      <c r="R32" s="50">
        <f>VLOOKUP(N32,Jogo!$A$29:$I$32,5,FALSE)</f>
        <v>0</v>
      </c>
      <c r="S32" s="50">
        <f>VLOOKUP(N32,Jogo!$A$29:$I$32,6,FALSE)</f>
        <v>0</v>
      </c>
      <c r="T32" s="50">
        <f>VLOOKUP(N32,Jogo!$A$29:$I$32,7,FALSE)</f>
        <v>5</v>
      </c>
      <c r="U32" s="50">
        <f>VLOOKUP(N32,Jogo!$A$29:$I$32,8,FALSE)</f>
        <v>0</v>
      </c>
      <c r="V32" s="151">
        <f>VLOOKUP(N32,Jogo!$A$29:$I$32,9,FALSE)</f>
        <v>5</v>
      </c>
      <c r="W32" s="5"/>
      <c r="X32" s="18"/>
    </row>
    <row r="33" spans="1:24" ht="18" customHeight="1" x14ac:dyDescent="0.2">
      <c r="A33" s="4"/>
      <c r="B33" s="5"/>
      <c r="C33" s="138">
        <v>43273</v>
      </c>
      <c r="D33" s="139">
        <v>0.5</v>
      </c>
      <c r="E33" s="140" t="str">
        <f>time!D4</f>
        <v>Nigéria</v>
      </c>
      <c r="F33" s="141"/>
      <c r="G33" s="142">
        <v>1</v>
      </c>
      <c r="H33" s="143" t="s">
        <v>9</v>
      </c>
      <c r="I33" s="142">
        <v>2</v>
      </c>
      <c r="J33" s="144"/>
      <c r="K33" s="145" t="str">
        <f>time!D2</f>
        <v>Islândia</v>
      </c>
      <c r="L33" s="146" t="s">
        <v>27</v>
      </c>
      <c r="M33" s="148">
        <f>IF(P33&gt;0,2,"")</f>
        <v>2</v>
      </c>
      <c r="N33" s="48" t="str">
        <f>IF(N2="www.guiadecompra.com",Jogo!AN30,"erro")</f>
        <v>Croácia</v>
      </c>
      <c r="O33" s="49">
        <f>IF(B5I=Tabela!N2,VLOOKUP(N33,Jogo!$A$29:$I$32,2,FALSE),0)</f>
        <v>6</v>
      </c>
      <c r="P33" s="50">
        <f>IF(D5I=Tabela!N3,VLOOKUP(N33,Jogo!$A$29:$I$32,3,FALSE),0)</f>
        <v>3</v>
      </c>
      <c r="Q33" s="50">
        <f>VLOOKUP(N33,Jogo!$A$29:$I$32,4,FALSE)</f>
        <v>2</v>
      </c>
      <c r="R33" s="50">
        <f>VLOOKUP(N33,Jogo!$A$29:$I$32,5,FALSE)</f>
        <v>0</v>
      </c>
      <c r="S33" s="50">
        <f>VLOOKUP(N33,Jogo!$A$29:$I$32,6,FALSE)</f>
        <v>1</v>
      </c>
      <c r="T33" s="50">
        <f>VLOOKUP(N33,Jogo!$A$29:$I$32,7,FALSE)</f>
        <v>3</v>
      </c>
      <c r="U33" s="50">
        <f>VLOOKUP(N33,Jogo!$A$29:$I$32,8,FALSE)</f>
        <v>2</v>
      </c>
      <c r="V33" s="151">
        <f>VLOOKUP(N33,Jogo!$A$29:$I$32,9,FALSE)</f>
        <v>1</v>
      </c>
      <c r="W33" s="5"/>
      <c r="X33" s="18"/>
    </row>
    <row r="34" spans="1:24" ht="18" customHeight="1" x14ac:dyDescent="0.2">
      <c r="A34" s="4"/>
      <c r="B34" s="5"/>
      <c r="C34" s="138">
        <v>43277</v>
      </c>
      <c r="D34" s="139">
        <v>0.625</v>
      </c>
      <c r="E34" s="140" t="str">
        <f>time!D2</f>
        <v>Islândia</v>
      </c>
      <c r="F34" s="141"/>
      <c r="G34" s="142">
        <v>0</v>
      </c>
      <c r="H34" s="143" t="s">
        <v>9</v>
      </c>
      <c r="I34" s="142">
        <v>1</v>
      </c>
      <c r="J34" s="144"/>
      <c r="K34" s="145" t="str">
        <f>time!D3</f>
        <v>Croácia</v>
      </c>
      <c r="L34" s="146" t="s">
        <v>45</v>
      </c>
      <c r="M34" s="148">
        <f>IF(P34&gt;0,3,"")</f>
        <v>3</v>
      </c>
      <c r="N34" s="18" t="str">
        <f>IF(N2="www.guiadecompra.com",Jogo!AN31,"erro")</f>
        <v>Islândia</v>
      </c>
      <c r="O34" s="49">
        <f>IF(B5I=Tabela!N2,VLOOKUP(N34,Jogo!$A$29:$I$32,2,FALSE),0)</f>
        <v>3</v>
      </c>
      <c r="P34" s="50">
        <f>IF(D5I=Tabela!N3,VLOOKUP(N34,Jogo!$A$29:$I$32,3,FALSE),0)</f>
        <v>3</v>
      </c>
      <c r="Q34" s="50">
        <f>VLOOKUP(N34,Jogo!$A$29:$I$32,4,FALSE)</f>
        <v>1</v>
      </c>
      <c r="R34" s="50">
        <f>VLOOKUP(N34,Jogo!$A$29:$I$32,5,FALSE)</f>
        <v>0</v>
      </c>
      <c r="S34" s="50">
        <f>VLOOKUP(N34,Jogo!$A$29:$I$32,6,FALSE)</f>
        <v>2</v>
      </c>
      <c r="T34" s="50">
        <f>VLOOKUP(N34,Jogo!$A$29:$I$32,7,FALSE)</f>
        <v>2</v>
      </c>
      <c r="U34" s="50">
        <f>VLOOKUP(N34,Jogo!$A$29:$I$32,8,FALSE)</f>
        <v>4</v>
      </c>
      <c r="V34" s="151">
        <f>VLOOKUP(N34,Jogo!$A$29:$I$32,9,FALSE)</f>
        <v>-2</v>
      </c>
      <c r="W34" s="5"/>
      <c r="X34" s="18"/>
    </row>
    <row r="35" spans="1:24" ht="18" customHeight="1" x14ac:dyDescent="0.2">
      <c r="A35" s="4"/>
      <c r="B35" s="5"/>
      <c r="C35" s="138">
        <v>43277</v>
      </c>
      <c r="D35" s="139">
        <v>0.625</v>
      </c>
      <c r="E35" s="140" t="str">
        <f>time!D4</f>
        <v>Nigéria</v>
      </c>
      <c r="F35" s="141"/>
      <c r="G35" s="142">
        <v>0</v>
      </c>
      <c r="H35" s="143" t="s">
        <v>9</v>
      </c>
      <c r="I35" s="142">
        <v>2</v>
      </c>
      <c r="J35" s="144"/>
      <c r="K35" s="145" t="str">
        <f>time!D1</f>
        <v>Argentina</v>
      </c>
      <c r="L35" s="146" t="s">
        <v>46</v>
      </c>
      <c r="M35" s="152">
        <f>IF(P35&gt;0,4,"")</f>
        <v>4</v>
      </c>
      <c r="N35" s="153" t="str">
        <f>IF(N2="www.guiadecompra.com",Jogo!AN32,"erro")</f>
        <v>Nigéria</v>
      </c>
      <c r="O35" s="154">
        <f>IF(B5I=Tabela!N2,VLOOKUP(N35,Jogo!$A$29:$I$32,2,FALSE),0)</f>
        <v>0</v>
      </c>
      <c r="P35" s="155">
        <f>IF(D5I=Tabela!N3,VLOOKUP(N35,Jogo!$A$29:$I$32,3,FALSE),0)</f>
        <v>3</v>
      </c>
      <c r="Q35" s="155">
        <f>VLOOKUP(N35,Jogo!$A$29:$I$32,4,FALSE)</f>
        <v>0</v>
      </c>
      <c r="R35" s="155">
        <f>VLOOKUP(N35,Jogo!$A$29:$I$32,5,FALSE)</f>
        <v>0</v>
      </c>
      <c r="S35" s="155">
        <f>VLOOKUP(N35,Jogo!$A$29:$I$32,6,FALSE)</f>
        <v>3</v>
      </c>
      <c r="T35" s="155">
        <f>VLOOKUP(N35,Jogo!$A$29:$I$32,7,FALSE)</f>
        <v>2</v>
      </c>
      <c r="U35" s="155">
        <f>VLOOKUP(N35,Jogo!$A$29:$I$32,8,FALSE)</f>
        <v>6</v>
      </c>
      <c r="V35" s="156">
        <f>VLOOKUP(N35,Jogo!$A$29:$I$32,9,FALSE)</f>
        <v>-4</v>
      </c>
      <c r="W35" s="5"/>
      <c r="X35" s="18"/>
    </row>
    <row r="36" spans="1:24" ht="15.75" customHeight="1" x14ac:dyDescent="0.2">
      <c r="A36" s="17"/>
      <c r="B36" s="5"/>
      <c r="C36" s="58"/>
      <c r="D36" s="59"/>
      <c r="E36" s="60"/>
      <c r="F36" s="23"/>
      <c r="G36" s="61"/>
      <c r="H36" s="61"/>
      <c r="I36" s="61"/>
      <c r="J36" s="61"/>
      <c r="K36" s="18"/>
      <c r="L36" s="62"/>
      <c r="M36" s="63"/>
      <c r="N36" s="18"/>
      <c r="O36" s="60"/>
      <c r="P36" s="60"/>
      <c r="Q36" s="60"/>
      <c r="R36" s="60"/>
      <c r="S36" s="60"/>
      <c r="T36" s="60"/>
      <c r="U36" s="60"/>
      <c r="V36" s="60"/>
      <c r="W36" s="5"/>
      <c r="X36" s="18"/>
    </row>
    <row r="37" spans="1:24" ht="15.75" customHeight="1" x14ac:dyDescent="0.2">
      <c r="A37" s="4"/>
      <c r="B37" s="5"/>
      <c r="C37" s="328" t="s">
        <v>47</v>
      </c>
      <c r="D37" s="314"/>
      <c r="E37" s="309"/>
      <c r="F37" s="24"/>
      <c r="G37" s="330"/>
      <c r="H37" s="314"/>
      <c r="I37" s="309"/>
      <c r="J37" s="24"/>
      <c r="K37" s="25"/>
      <c r="L37" s="24"/>
      <c r="M37" s="157"/>
      <c r="N37" s="25"/>
      <c r="O37" s="27"/>
      <c r="P37" s="27"/>
      <c r="Q37" s="27"/>
      <c r="R37" s="27"/>
      <c r="S37" s="24"/>
      <c r="T37" s="28"/>
      <c r="U37" s="28"/>
      <c r="V37" s="29"/>
      <c r="W37" s="5"/>
      <c r="X37" s="18"/>
    </row>
    <row r="38" spans="1:24" ht="18" customHeight="1" x14ac:dyDescent="0.2">
      <c r="A38" s="4"/>
      <c r="B38" s="5"/>
      <c r="C38" s="31">
        <v>43268</v>
      </c>
      <c r="D38" s="32">
        <v>0.375</v>
      </c>
      <c r="E38" s="158" t="str">
        <f>time!E3</f>
        <v>Costa Rica</v>
      </c>
      <c r="F38" s="34"/>
      <c r="G38" s="35">
        <v>0</v>
      </c>
      <c r="H38" s="36" t="s">
        <v>9</v>
      </c>
      <c r="I38" s="35">
        <v>2</v>
      </c>
      <c r="J38" s="37"/>
      <c r="K38" s="159" t="str">
        <f>time!E4</f>
        <v>Sérvia</v>
      </c>
      <c r="L38" s="39" t="s">
        <v>48</v>
      </c>
      <c r="M38" s="160"/>
      <c r="N38" s="354" t="s">
        <v>49</v>
      </c>
      <c r="O38" s="332"/>
      <c r="P38" s="332"/>
      <c r="Q38" s="332"/>
      <c r="R38" s="332"/>
      <c r="S38" s="332"/>
      <c r="T38" s="332"/>
      <c r="U38" s="332"/>
      <c r="V38" s="333"/>
      <c r="W38" s="5"/>
      <c r="X38" s="18"/>
    </row>
    <row r="39" spans="1:24" ht="18" customHeight="1" x14ac:dyDescent="0.2">
      <c r="A39" s="4"/>
      <c r="B39" s="5"/>
      <c r="C39" s="31">
        <v>43268</v>
      </c>
      <c r="D39" s="32">
        <v>0.625</v>
      </c>
      <c r="E39" s="158" t="str">
        <f>time!E1</f>
        <v>Brasil</v>
      </c>
      <c r="F39" s="34"/>
      <c r="G39" s="35">
        <v>2</v>
      </c>
      <c r="H39" s="36" t="s">
        <v>9</v>
      </c>
      <c r="I39" s="35">
        <v>0</v>
      </c>
      <c r="J39" s="37"/>
      <c r="K39" s="159" t="str">
        <f>time!E2</f>
        <v>Suiça</v>
      </c>
      <c r="L39" s="39" t="s">
        <v>25</v>
      </c>
      <c r="M39" s="42"/>
      <c r="N39" s="43"/>
      <c r="O39" s="44" t="s">
        <v>14</v>
      </c>
      <c r="P39" s="44" t="s">
        <v>15</v>
      </c>
      <c r="Q39" s="44" t="s">
        <v>16</v>
      </c>
      <c r="R39" s="44" t="s">
        <v>17</v>
      </c>
      <c r="S39" s="44" t="s">
        <v>18</v>
      </c>
      <c r="T39" s="44" t="s">
        <v>19</v>
      </c>
      <c r="U39" s="44" t="s">
        <v>20</v>
      </c>
      <c r="V39" s="45" t="s">
        <v>21</v>
      </c>
      <c r="W39" s="5"/>
      <c r="X39" s="18"/>
    </row>
    <row r="40" spans="1:24" ht="18" customHeight="1" x14ac:dyDescent="0.2">
      <c r="A40" s="4"/>
      <c r="B40" s="5"/>
      <c r="C40" s="31">
        <v>43273</v>
      </c>
      <c r="D40" s="32">
        <v>0.375</v>
      </c>
      <c r="E40" s="158" t="str">
        <f>time!E1</f>
        <v>Brasil</v>
      </c>
      <c r="F40" s="34"/>
      <c r="G40" s="35">
        <v>4</v>
      </c>
      <c r="H40" s="36" t="s">
        <v>9</v>
      </c>
      <c r="I40" s="35">
        <v>1</v>
      </c>
      <c r="J40" s="37"/>
      <c r="K40" s="159" t="str">
        <f>time!E3</f>
        <v>Costa Rica</v>
      </c>
      <c r="L40" s="39" t="s">
        <v>22</v>
      </c>
      <c r="M40" s="42">
        <f>IF(P40&gt;0,1,"")</f>
        <v>1</v>
      </c>
      <c r="N40" s="48" t="str">
        <f>IF(N2="www.guiadecompra.com",Jogo!AN37,"erro")</f>
        <v>Brasil</v>
      </c>
      <c r="O40" s="49">
        <f>IF(B5I=Tabela!N2,VLOOKUP(N40,Jogo!$A$37:$I$40,2,FALSE),0)</f>
        <v>9</v>
      </c>
      <c r="P40" s="50">
        <f>IF(D5I=Tabela!N3,VLOOKUP(N40,Jogo!$A$37:$I$40,3,FALSE),0)</f>
        <v>3</v>
      </c>
      <c r="Q40" s="50">
        <f>VLOOKUP(N40,Jogo!$A$37:$I$40,4,FALSE)</f>
        <v>3</v>
      </c>
      <c r="R40" s="50">
        <f>VLOOKUP(N40,Jogo!$A$37:$I$40,5,FALSE)</f>
        <v>0</v>
      </c>
      <c r="S40" s="50">
        <f>VLOOKUP(N40,Jogo!$A$37:$I$40,6,FALSE)</f>
        <v>0</v>
      </c>
      <c r="T40" s="50">
        <f>VLOOKUP(N40,Jogo!$A$37:$I$40,7,FALSE)</f>
        <v>9</v>
      </c>
      <c r="U40" s="50">
        <f>VLOOKUP(N40,Jogo!$A$37:$I$40,8,FALSE)</f>
        <v>2</v>
      </c>
      <c r="V40" s="51">
        <f>VLOOKUP(N40,Jogo!$A$37:$I$40,9,FALSE)</f>
        <v>7</v>
      </c>
      <c r="W40" s="5"/>
      <c r="X40" s="18"/>
    </row>
    <row r="41" spans="1:24" ht="18" customHeight="1" x14ac:dyDescent="0.2">
      <c r="A41" s="4"/>
      <c r="B41" s="5"/>
      <c r="C41" s="31">
        <v>43273</v>
      </c>
      <c r="D41" s="32">
        <v>0.625</v>
      </c>
      <c r="E41" s="158" t="str">
        <f>time!E4</f>
        <v>Sérvia</v>
      </c>
      <c r="F41" s="34"/>
      <c r="G41" s="35">
        <v>2</v>
      </c>
      <c r="H41" s="36" t="s">
        <v>9</v>
      </c>
      <c r="I41" s="35">
        <v>2</v>
      </c>
      <c r="J41" s="37"/>
      <c r="K41" s="159" t="str">
        <f>time!E2</f>
        <v>Suiça</v>
      </c>
      <c r="L41" s="39" t="s">
        <v>35</v>
      </c>
      <c r="M41" s="42">
        <f>IF(P41&gt;0,2,"")</f>
        <v>2</v>
      </c>
      <c r="N41" s="48" t="str">
        <f>IF(N2="www.guiadecompra.com",Jogo!AN38,"erro")</f>
        <v>Sérvia</v>
      </c>
      <c r="O41" s="49">
        <f>IF(B5I=Tabela!N2,VLOOKUP(N41,Jogo!$A$37:$I$40,2,FALSE),0)</f>
        <v>4</v>
      </c>
      <c r="P41" s="50">
        <f>IF(D5I=Tabela!N3,VLOOKUP(N41,Jogo!$A$37:$I$40,3,FALSE),0)</f>
        <v>3</v>
      </c>
      <c r="Q41" s="50">
        <f>VLOOKUP(N41,Jogo!$A$37:$I$40,4,FALSE)</f>
        <v>1</v>
      </c>
      <c r="R41" s="50">
        <f>VLOOKUP(N41,Jogo!$A$37:$I$40,5,FALSE)</f>
        <v>1</v>
      </c>
      <c r="S41" s="50">
        <f>VLOOKUP(N41,Jogo!$A$37:$I$40,6,FALSE)</f>
        <v>1</v>
      </c>
      <c r="T41" s="50">
        <f>VLOOKUP(N41,Jogo!$A$37:$I$40,7,FALSE)</f>
        <v>5</v>
      </c>
      <c r="U41" s="50">
        <f>VLOOKUP(N41,Jogo!$A$37:$I$40,8,FALSE)</f>
        <v>5</v>
      </c>
      <c r="V41" s="51">
        <f>VLOOKUP(N41,Jogo!$A$37:$I$40,9,FALSE)</f>
        <v>0</v>
      </c>
      <c r="W41" s="5"/>
      <c r="X41" s="18"/>
    </row>
    <row r="42" spans="1:24" ht="18" customHeight="1" x14ac:dyDescent="0.2">
      <c r="A42" s="4"/>
      <c r="B42" s="5"/>
      <c r="C42" s="31">
        <v>43278</v>
      </c>
      <c r="D42" s="32">
        <v>0.625</v>
      </c>
      <c r="E42" s="158" t="str">
        <f>time!E4</f>
        <v>Sérvia</v>
      </c>
      <c r="F42" s="34"/>
      <c r="G42" s="35">
        <v>1</v>
      </c>
      <c r="H42" s="36" t="s">
        <v>9</v>
      </c>
      <c r="I42" s="35">
        <v>3</v>
      </c>
      <c r="J42" s="37"/>
      <c r="K42" s="159" t="str">
        <f>time!E1</f>
        <v>Brasil</v>
      </c>
      <c r="L42" s="39" t="s">
        <v>50</v>
      </c>
      <c r="M42" s="42">
        <f>IF(P42&gt;0,3,"")</f>
        <v>3</v>
      </c>
      <c r="N42" s="18" t="str">
        <f>IF(N2="www.guiadecompra.com",Jogo!AN39,"erro")</f>
        <v>Suiça</v>
      </c>
      <c r="O42" s="49">
        <f>IF(B5I=Tabela!N2,VLOOKUP(N42,Jogo!$A$37:$I$40,2,FALSE),0)</f>
        <v>4</v>
      </c>
      <c r="P42" s="50">
        <f>IF(D5I=Tabela!N3,VLOOKUP(N42,Jogo!$A$37:$I$40,3,FALSE),0)</f>
        <v>3</v>
      </c>
      <c r="Q42" s="50">
        <f>VLOOKUP(N42,Jogo!$A$37:$I$40,4,FALSE)</f>
        <v>1</v>
      </c>
      <c r="R42" s="50">
        <f>VLOOKUP(N42,Jogo!$A$37:$I$40,5,FALSE)</f>
        <v>1</v>
      </c>
      <c r="S42" s="50">
        <f>VLOOKUP(N42,Jogo!$A$37:$I$40,6,FALSE)</f>
        <v>1</v>
      </c>
      <c r="T42" s="50">
        <f>VLOOKUP(N42,Jogo!$A$37:$I$40,7,FALSE)</f>
        <v>4</v>
      </c>
      <c r="U42" s="50">
        <f>VLOOKUP(N42,Jogo!$A$37:$I$40,8,FALSE)</f>
        <v>5</v>
      </c>
      <c r="V42" s="51">
        <f>VLOOKUP(N42,Jogo!$A$37:$I$40,9,FALSE)</f>
        <v>-1</v>
      </c>
      <c r="W42" s="5"/>
      <c r="X42" s="18"/>
    </row>
    <row r="43" spans="1:24" ht="18" customHeight="1" x14ac:dyDescent="0.2">
      <c r="A43" s="4"/>
      <c r="B43" s="5"/>
      <c r="C43" s="31">
        <v>43278</v>
      </c>
      <c r="D43" s="32">
        <v>0.625</v>
      </c>
      <c r="E43" s="158" t="str">
        <f>time!E2</f>
        <v>Suiça</v>
      </c>
      <c r="F43" s="34"/>
      <c r="G43" s="35">
        <v>2</v>
      </c>
      <c r="H43" s="36" t="s">
        <v>9</v>
      </c>
      <c r="I43" s="35">
        <v>1</v>
      </c>
      <c r="J43" s="37"/>
      <c r="K43" s="159" t="str">
        <f>time!E3</f>
        <v>Costa Rica</v>
      </c>
      <c r="L43" s="39" t="s">
        <v>44</v>
      </c>
      <c r="M43" s="161">
        <f>IF(P43&gt;0,4,"")</f>
        <v>4</v>
      </c>
      <c r="N43" s="54" t="str">
        <f>IF(N2="www.guiadecompra.com",Jogo!AN40,"erro")</f>
        <v>Costa Rica</v>
      </c>
      <c r="O43" s="55">
        <f>IF(B5I=Tabela!N2,VLOOKUP(N43,Jogo!$A$37:$I$40,2,FALSE),0)</f>
        <v>0</v>
      </c>
      <c r="P43" s="56">
        <f>IF(D5I=Tabela!N3,VLOOKUP(N43,Jogo!$A$37:$I$40,3,FALSE),0)</f>
        <v>3</v>
      </c>
      <c r="Q43" s="56">
        <f>VLOOKUP(N43,Jogo!$A$37:$I$40,4,FALSE)</f>
        <v>0</v>
      </c>
      <c r="R43" s="56">
        <f>VLOOKUP(N43,Jogo!$A$37:$I$40,5,FALSE)</f>
        <v>0</v>
      </c>
      <c r="S43" s="56">
        <f>VLOOKUP(N43,Jogo!$A$37:$I$40,6,FALSE)</f>
        <v>3</v>
      </c>
      <c r="T43" s="56">
        <f>VLOOKUP(N43,Jogo!$A$37:$I$40,7,FALSE)</f>
        <v>2</v>
      </c>
      <c r="U43" s="56">
        <f>VLOOKUP(N43,Jogo!$A$37:$I$40,8,FALSE)</f>
        <v>8</v>
      </c>
      <c r="V43" s="57">
        <f>VLOOKUP(N43,Jogo!$A$37:$I$40,9,FALSE)</f>
        <v>-6</v>
      </c>
      <c r="W43" s="5"/>
      <c r="X43" s="18"/>
    </row>
    <row r="44" spans="1:24" ht="15.75" customHeight="1" x14ac:dyDescent="0.2">
      <c r="A44" s="17"/>
      <c r="B44" s="5"/>
      <c r="C44" s="58"/>
      <c r="D44" s="59"/>
      <c r="E44" s="60"/>
      <c r="F44" s="23"/>
      <c r="G44" s="61"/>
      <c r="H44" s="61"/>
      <c r="I44" s="61"/>
      <c r="J44" s="61"/>
      <c r="K44" s="18"/>
      <c r="L44" s="62"/>
      <c r="M44" s="63"/>
      <c r="N44" s="18"/>
      <c r="O44" s="60"/>
      <c r="P44" s="60"/>
      <c r="Q44" s="60"/>
      <c r="R44" s="60"/>
      <c r="S44" s="60"/>
      <c r="T44" s="60"/>
      <c r="U44" s="60"/>
      <c r="V44" s="60"/>
      <c r="W44" s="5"/>
      <c r="X44" s="18"/>
    </row>
    <row r="45" spans="1:24" ht="15.75" customHeight="1" x14ac:dyDescent="0.2">
      <c r="A45" s="4"/>
      <c r="B45" s="5"/>
      <c r="C45" s="329" t="s">
        <v>51</v>
      </c>
      <c r="D45" s="321"/>
      <c r="E45" s="322"/>
      <c r="F45" s="162"/>
      <c r="G45" s="320"/>
      <c r="H45" s="321"/>
      <c r="I45" s="322"/>
      <c r="J45" s="162"/>
      <c r="K45" s="163"/>
      <c r="L45" s="164"/>
      <c r="M45" s="165"/>
      <c r="N45" s="163"/>
      <c r="O45" s="162"/>
      <c r="P45" s="162"/>
      <c r="Q45" s="162"/>
      <c r="R45" s="162"/>
      <c r="S45" s="166"/>
      <c r="T45" s="167"/>
      <c r="U45" s="167"/>
      <c r="V45" s="168"/>
      <c r="W45" s="5"/>
      <c r="X45" s="18"/>
    </row>
    <row r="46" spans="1:24" ht="18" customHeight="1" x14ac:dyDescent="0.2">
      <c r="A46" s="4"/>
      <c r="B46" s="5"/>
      <c r="C46" s="169">
        <v>43268</v>
      </c>
      <c r="D46" s="83">
        <v>0.5</v>
      </c>
      <c r="E46" s="170" t="str">
        <f>time!F1</f>
        <v>Alemanha</v>
      </c>
      <c r="F46" s="85"/>
      <c r="G46" s="86">
        <v>3</v>
      </c>
      <c r="H46" s="87" t="s">
        <v>9</v>
      </c>
      <c r="I46" s="86">
        <v>1</v>
      </c>
      <c r="J46" s="88"/>
      <c r="K46" s="171" t="str">
        <f>time!F2</f>
        <v>México</v>
      </c>
      <c r="L46" s="90" t="s">
        <v>10</v>
      </c>
      <c r="M46" s="172"/>
      <c r="N46" s="351" t="s">
        <v>52</v>
      </c>
      <c r="O46" s="352"/>
      <c r="P46" s="352"/>
      <c r="Q46" s="352"/>
      <c r="R46" s="352"/>
      <c r="S46" s="352"/>
      <c r="T46" s="352"/>
      <c r="U46" s="352"/>
      <c r="V46" s="353"/>
      <c r="W46" s="5"/>
      <c r="X46" s="18"/>
    </row>
    <row r="47" spans="1:24" ht="18" customHeight="1" x14ac:dyDescent="0.2">
      <c r="A47" s="4"/>
      <c r="B47" s="5"/>
      <c r="C47" s="169">
        <v>43269</v>
      </c>
      <c r="D47" s="83">
        <v>0.375</v>
      </c>
      <c r="E47" s="170" t="str">
        <f>time!F3</f>
        <v>Suécia</v>
      </c>
      <c r="F47" s="85"/>
      <c r="G47" s="86">
        <v>1</v>
      </c>
      <c r="H47" s="87" t="s">
        <v>9</v>
      </c>
      <c r="I47" s="86">
        <v>2</v>
      </c>
      <c r="J47" s="88"/>
      <c r="K47" s="171" t="str">
        <f>time!F4</f>
        <v>Coréia do Sul</v>
      </c>
      <c r="L47" s="90" t="s">
        <v>44</v>
      </c>
      <c r="M47" s="91"/>
      <c r="N47" s="43"/>
      <c r="O47" s="92" t="s">
        <v>14</v>
      </c>
      <c r="P47" s="92" t="s">
        <v>15</v>
      </c>
      <c r="Q47" s="92" t="s">
        <v>16</v>
      </c>
      <c r="R47" s="92" t="s">
        <v>17</v>
      </c>
      <c r="S47" s="92" t="s">
        <v>18</v>
      </c>
      <c r="T47" s="92" t="s">
        <v>19</v>
      </c>
      <c r="U47" s="92" t="s">
        <v>20</v>
      </c>
      <c r="V47" s="173" t="s">
        <v>21</v>
      </c>
      <c r="W47" s="5"/>
      <c r="X47" s="18"/>
    </row>
    <row r="48" spans="1:24" ht="18" customHeight="1" x14ac:dyDescent="0.2">
      <c r="A48" s="4"/>
      <c r="B48" s="5"/>
      <c r="C48" s="169">
        <v>43274</v>
      </c>
      <c r="D48" s="83">
        <v>0.5</v>
      </c>
      <c r="E48" s="170" t="str">
        <f>time!F4</f>
        <v>Coréia do Sul</v>
      </c>
      <c r="F48" s="85"/>
      <c r="G48" s="86">
        <v>0</v>
      </c>
      <c r="H48" s="87" t="s">
        <v>9</v>
      </c>
      <c r="I48" s="86">
        <v>1</v>
      </c>
      <c r="J48" s="88"/>
      <c r="K48" s="171" t="str">
        <f>time!F2</f>
        <v>México</v>
      </c>
      <c r="L48" s="90" t="s">
        <v>48</v>
      </c>
      <c r="M48" s="91">
        <f>IF(P48&gt;0,1,"")</f>
        <v>1</v>
      </c>
      <c r="N48" s="48" t="str">
        <f>IF(N2="www.guiadecompra.com",Jogo!AN45,"erro")</f>
        <v>Alemanha</v>
      </c>
      <c r="O48" s="49">
        <f>IF(B5I=Tabela!N2,VLOOKUP(N48,Jogo!$A$45:$I$48,2,FALSE),0)</f>
        <v>9</v>
      </c>
      <c r="P48" s="50">
        <f>IF(D5I=Tabela!N3,VLOOKUP(N48,Jogo!$A$45:$I$48,3,FALSE),0)</f>
        <v>3</v>
      </c>
      <c r="Q48" s="50">
        <f>VLOOKUP(N48,Jogo!$A$45:$I$48,4,FALSE)</f>
        <v>3</v>
      </c>
      <c r="R48" s="50">
        <f>VLOOKUP(N48,Jogo!$A$45:$I$48,5,FALSE)</f>
        <v>0</v>
      </c>
      <c r="S48" s="50">
        <f>VLOOKUP(N48,Jogo!$A$45:$I$48,6,FALSE)</f>
        <v>0</v>
      </c>
      <c r="T48" s="50">
        <f>VLOOKUP(N48,Jogo!$A$45:$I$48,7,FALSE)</f>
        <v>8</v>
      </c>
      <c r="U48" s="50">
        <f>VLOOKUP(N48,Jogo!$A$45:$I$48,8,FALSE)</f>
        <v>2</v>
      </c>
      <c r="V48" s="174">
        <f>VLOOKUP(N48,Jogo!$A$45:$I$48,9,FALSE)</f>
        <v>6</v>
      </c>
      <c r="W48" s="5"/>
      <c r="X48" s="18"/>
    </row>
    <row r="49" spans="1:24" ht="18" customHeight="1" x14ac:dyDescent="0.2">
      <c r="A49" s="4"/>
      <c r="B49" s="5"/>
      <c r="C49" s="169">
        <v>43274</v>
      </c>
      <c r="D49" s="83">
        <v>0.625</v>
      </c>
      <c r="E49" s="170" t="str">
        <f>time!F1</f>
        <v>Alemanha</v>
      </c>
      <c r="F49" s="85"/>
      <c r="G49" s="86">
        <v>2</v>
      </c>
      <c r="H49" s="87" t="s">
        <v>9</v>
      </c>
      <c r="I49" s="86">
        <v>0</v>
      </c>
      <c r="J49" s="88"/>
      <c r="K49" s="171" t="str">
        <f>time!F3</f>
        <v>Suécia</v>
      </c>
      <c r="L49" s="90" t="s">
        <v>31</v>
      </c>
      <c r="M49" s="91">
        <f>IF(P49&gt;0,2,"")</f>
        <v>2</v>
      </c>
      <c r="N49" s="48" t="str">
        <f>IF(N2="www.guiadecompra.com",Jogo!AN46,"erro")</f>
        <v>México</v>
      </c>
      <c r="O49" s="49">
        <f>IF(B5I=Tabela!N2,VLOOKUP(N49,Jogo!$A$45:$I$48,2,FALSE),0)</f>
        <v>4</v>
      </c>
      <c r="P49" s="50">
        <f>IF(D5I=Tabela!N3,VLOOKUP(N49,Jogo!$A$45:$I$48,3,FALSE),0)</f>
        <v>3</v>
      </c>
      <c r="Q49" s="50">
        <f>VLOOKUP(N49,Jogo!$A$45:$I$48,4,FALSE)</f>
        <v>1</v>
      </c>
      <c r="R49" s="50">
        <f>VLOOKUP(N49,Jogo!$A$45:$I$48,5,FALSE)</f>
        <v>1</v>
      </c>
      <c r="S49" s="50">
        <f>VLOOKUP(N49,Jogo!$A$45:$I$48,6,FALSE)</f>
        <v>1</v>
      </c>
      <c r="T49" s="50">
        <f>VLOOKUP(N49,Jogo!$A$45:$I$48,7,FALSE)</f>
        <v>4</v>
      </c>
      <c r="U49" s="50">
        <f>VLOOKUP(N49,Jogo!$A$45:$I$48,8,FALSE)</f>
        <v>5</v>
      </c>
      <c r="V49" s="174">
        <f>VLOOKUP(N49,Jogo!$A$45:$I$48,9,FALSE)</f>
        <v>-1</v>
      </c>
      <c r="W49" s="5"/>
      <c r="X49" s="18"/>
    </row>
    <row r="50" spans="1:24" ht="18" customHeight="1" x14ac:dyDescent="0.2">
      <c r="A50" s="4"/>
      <c r="B50" s="5"/>
      <c r="C50" s="169">
        <v>43278</v>
      </c>
      <c r="D50" s="83">
        <v>0.45833333333333331</v>
      </c>
      <c r="E50" s="170" t="str">
        <f>time!F4</f>
        <v>Coréia do Sul</v>
      </c>
      <c r="F50" s="85"/>
      <c r="G50" s="86">
        <v>1</v>
      </c>
      <c r="H50" s="87" t="s">
        <v>9</v>
      </c>
      <c r="I50" s="86">
        <v>3</v>
      </c>
      <c r="J50" s="88"/>
      <c r="K50" s="171" t="str">
        <f>time!F1</f>
        <v>Alemanha</v>
      </c>
      <c r="L50" s="90" t="s">
        <v>34</v>
      </c>
      <c r="M50" s="91">
        <f>IF(P50&gt;0,3,"")</f>
        <v>3</v>
      </c>
      <c r="N50" s="18" t="str">
        <f>IF(N2="www.guiadecompra.com",Jogo!AN47,"erro")</f>
        <v>Coréia do Sul</v>
      </c>
      <c r="O50" s="49">
        <f>IF(B5I=Tabela!N2,VLOOKUP(N50,Jogo!$A$45:$I$48,2,FALSE),0)</f>
        <v>3</v>
      </c>
      <c r="P50" s="50">
        <f>IF(D5I=Tabela!N3,VLOOKUP(N50,Jogo!$A$45:$I$48,3,FALSE),0)</f>
        <v>3</v>
      </c>
      <c r="Q50" s="50">
        <f>VLOOKUP(N50,Jogo!$A$45:$I$48,4,FALSE)</f>
        <v>1</v>
      </c>
      <c r="R50" s="50">
        <f>VLOOKUP(N50,Jogo!$A$45:$I$48,5,FALSE)</f>
        <v>0</v>
      </c>
      <c r="S50" s="50">
        <f>VLOOKUP(N50,Jogo!$A$45:$I$48,6,FALSE)</f>
        <v>2</v>
      </c>
      <c r="T50" s="50">
        <f>VLOOKUP(N50,Jogo!$A$45:$I$48,7,FALSE)</f>
        <v>3</v>
      </c>
      <c r="U50" s="50">
        <f>VLOOKUP(N50,Jogo!$A$45:$I$48,8,FALSE)</f>
        <v>5</v>
      </c>
      <c r="V50" s="174">
        <f>VLOOKUP(N50,Jogo!$A$45:$I$48,9,FALSE)</f>
        <v>-2</v>
      </c>
      <c r="W50" s="5"/>
      <c r="X50" s="18"/>
    </row>
    <row r="51" spans="1:24" ht="18" customHeight="1" x14ac:dyDescent="0.2">
      <c r="A51" s="4"/>
      <c r="B51" s="5"/>
      <c r="C51" s="169">
        <v>43278</v>
      </c>
      <c r="D51" s="83">
        <v>0.45833333333333331</v>
      </c>
      <c r="E51" s="170" t="str">
        <f>time!F2</f>
        <v>México</v>
      </c>
      <c r="F51" s="85"/>
      <c r="G51" s="86">
        <v>2</v>
      </c>
      <c r="H51" s="87" t="s">
        <v>9</v>
      </c>
      <c r="I51" s="86">
        <v>2</v>
      </c>
      <c r="J51" s="88"/>
      <c r="K51" s="171" t="str">
        <f>time!F3</f>
        <v>Suécia</v>
      </c>
      <c r="L51" s="90" t="s">
        <v>53</v>
      </c>
      <c r="M51" s="175">
        <f>IF(P51&gt;0,4,"")</f>
        <v>4</v>
      </c>
      <c r="N51" s="176" t="str">
        <f>IF(N2="www.guiadecompra.com",Jogo!AN48,"erro")</f>
        <v>Suécia</v>
      </c>
      <c r="O51" s="177">
        <f>IF(B5I=Tabela!N2,VLOOKUP(N51,Jogo!$A$45:$I$48,2,FALSE),0)</f>
        <v>1</v>
      </c>
      <c r="P51" s="178">
        <f>IF(D5I=Tabela!N3,VLOOKUP(N51,Jogo!$A$45:$I$48,3,FALSE),0)</f>
        <v>3</v>
      </c>
      <c r="Q51" s="178">
        <f>VLOOKUP(N51,Jogo!$A$45:$I$48,4,FALSE)</f>
        <v>0</v>
      </c>
      <c r="R51" s="178">
        <f>VLOOKUP(N51,Jogo!$A$45:$I$48,5,FALSE)</f>
        <v>1</v>
      </c>
      <c r="S51" s="178">
        <f>VLOOKUP(N51,Jogo!$A$45:$I$48,6,FALSE)</f>
        <v>2</v>
      </c>
      <c r="T51" s="178">
        <f>VLOOKUP(N51,Jogo!$A$45:$I$48,7,FALSE)</f>
        <v>3</v>
      </c>
      <c r="U51" s="178">
        <f>VLOOKUP(N51,Jogo!$A$45:$I$48,8,FALSE)</f>
        <v>6</v>
      </c>
      <c r="V51" s="179">
        <f>VLOOKUP(N51,Jogo!$A$45:$I$48,9,FALSE)</f>
        <v>-3</v>
      </c>
      <c r="W51" s="5"/>
      <c r="X51" s="18"/>
    </row>
    <row r="52" spans="1:24" ht="15.75" customHeight="1" x14ac:dyDescent="0.2">
      <c r="A52" s="17"/>
      <c r="B52" s="5"/>
      <c r="C52" s="58"/>
      <c r="D52" s="59"/>
      <c r="E52" s="60"/>
      <c r="F52" s="23"/>
      <c r="G52" s="61"/>
      <c r="H52" s="61"/>
      <c r="I52" s="61"/>
      <c r="J52" s="61"/>
      <c r="K52" s="18"/>
      <c r="L52" s="62"/>
      <c r="M52" s="63"/>
      <c r="N52" s="18"/>
      <c r="O52" s="60"/>
      <c r="P52" s="60"/>
      <c r="Q52" s="60"/>
      <c r="R52" s="60"/>
      <c r="S52" s="60"/>
      <c r="T52" s="60"/>
      <c r="U52" s="60"/>
      <c r="V52" s="60"/>
      <c r="W52" s="5"/>
      <c r="X52" s="18"/>
    </row>
    <row r="53" spans="1:24" ht="15.75" customHeight="1" x14ac:dyDescent="0.2">
      <c r="A53" s="4"/>
      <c r="B53" s="5"/>
      <c r="C53" s="317" t="s">
        <v>54</v>
      </c>
      <c r="D53" s="318"/>
      <c r="E53" s="319"/>
      <c r="F53" s="104"/>
      <c r="G53" s="323"/>
      <c r="H53" s="314"/>
      <c r="I53" s="309"/>
      <c r="J53" s="104"/>
      <c r="K53" s="105"/>
      <c r="L53" s="106"/>
      <c r="M53" s="107"/>
      <c r="N53" s="105"/>
      <c r="O53" s="104"/>
      <c r="P53" s="104"/>
      <c r="Q53" s="104"/>
      <c r="R53" s="104"/>
      <c r="S53" s="108"/>
      <c r="T53" s="108"/>
      <c r="U53" s="108"/>
      <c r="V53" s="109"/>
      <c r="W53" s="5"/>
      <c r="X53" s="18"/>
    </row>
    <row r="54" spans="1:24" ht="18" customHeight="1" x14ac:dyDescent="0.2">
      <c r="A54" s="4"/>
      <c r="B54" s="5"/>
      <c r="C54" s="110">
        <v>43269</v>
      </c>
      <c r="D54" s="111">
        <v>0.5</v>
      </c>
      <c r="E54" s="112" t="str">
        <f>time!G1</f>
        <v>Bélgica</v>
      </c>
      <c r="F54" s="113"/>
      <c r="G54" s="114">
        <v>3</v>
      </c>
      <c r="H54" s="115" t="s">
        <v>9</v>
      </c>
      <c r="I54" s="114">
        <v>0</v>
      </c>
      <c r="J54" s="116"/>
      <c r="K54" s="117" t="str">
        <f>time!G2</f>
        <v>Panamá</v>
      </c>
      <c r="L54" s="118" t="s">
        <v>31</v>
      </c>
      <c r="M54" s="119"/>
      <c r="N54" s="342" t="s">
        <v>55</v>
      </c>
      <c r="O54" s="343"/>
      <c r="P54" s="343"/>
      <c r="Q54" s="343"/>
      <c r="R54" s="343"/>
      <c r="S54" s="343"/>
      <c r="T54" s="343"/>
      <c r="U54" s="343"/>
      <c r="V54" s="344"/>
      <c r="W54" s="5"/>
      <c r="X54" s="18"/>
    </row>
    <row r="55" spans="1:24" ht="18" customHeight="1" x14ac:dyDescent="0.2">
      <c r="A55" s="4"/>
      <c r="B55" s="5"/>
      <c r="C55" s="110">
        <v>43269</v>
      </c>
      <c r="D55" s="111">
        <v>0.625</v>
      </c>
      <c r="E55" s="112" t="str">
        <f>time!G3</f>
        <v>Tunísia</v>
      </c>
      <c r="F55" s="113"/>
      <c r="G55" s="114">
        <v>0</v>
      </c>
      <c r="H55" s="115" t="s">
        <v>9</v>
      </c>
      <c r="I55" s="114">
        <v>3</v>
      </c>
      <c r="J55" s="116"/>
      <c r="K55" s="117" t="str">
        <f>time!G4</f>
        <v>Inglaterra</v>
      </c>
      <c r="L55" s="118" t="s">
        <v>27</v>
      </c>
      <c r="M55" s="121"/>
      <c r="N55" s="43"/>
      <c r="O55" s="122" t="s">
        <v>14</v>
      </c>
      <c r="P55" s="122" t="s">
        <v>15</v>
      </c>
      <c r="Q55" s="122" t="s">
        <v>16</v>
      </c>
      <c r="R55" s="122" t="s">
        <v>17</v>
      </c>
      <c r="S55" s="122" t="s">
        <v>18</v>
      </c>
      <c r="T55" s="122" t="s">
        <v>19</v>
      </c>
      <c r="U55" s="122" t="s">
        <v>20</v>
      </c>
      <c r="V55" s="123" t="s">
        <v>21</v>
      </c>
      <c r="W55" s="5"/>
      <c r="X55" s="18"/>
    </row>
    <row r="56" spans="1:24" ht="18" customHeight="1" x14ac:dyDescent="0.2">
      <c r="A56" s="4"/>
      <c r="B56" s="5"/>
      <c r="C56" s="110">
        <v>43274</v>
      </c>
      <c r="D56" s="111">
        <v>0.375</v>
      </c>
      <c r="E56" s="112" t="str">
        <f>time!G1</f>
        <v>Bélgica</v>
      </c>
      <c r="F56" s="113"/>
      <c r="G56" s="114">
        <v>2</v>
      </c>
      <c r="H56" s="115" t="s">
        <v>9</v>
      </c>
      <c r="I56" s="114">
        <v>1</v>
      </c>
      <c r="J56" s="116"/>
      <c r="K56" s="117" t="str">
        <f>time!G3</f>
        <v>Tunísia</v>
      </c>
      <c r="L56" s="118" t="s">
        <v>42</v>
      </c>
      <c r="M56" s="121">
        <f>IF(P56&gt;0,1,"")</f>
        <v>1</v>
      </c>
      <c r="N56" s="48" t="str">
        <f>IF(N2="www.guiadecompra.com",Jogo!AN53,"erro")</f>
        <v>Bélgica</v>
      </c>
      <c r="O56" s="49">
        <f>IF(B5I=Tabela!N2,VLOOKUP(N56,Jogo!$A$53:$I$56,2,FALSE),0)</f>
        <v>9</v>
      </c>
      <c r="P56" s="50">
        <f>IF(D5I=Tabela!N3,VLOOKUP(N56,Jogo!$A$53:$I$56,3,FALSE),0)</f>
        <v>3</v>
      </c>
      <c r="Q56" s="50">
        <f>VLOOKUP(N56,Jogo!$A$53:$I$56,4,FALSE)</f>
        <v>3</v>
      </c>
      <c r="R56" s="50">
        <f>VLOOKUP(N56,Jogo!$A$53:$I$56,5,FALSE)</f>
        <v>0</v>
      </c>
      <c r="S56" s="50">
        <f>VLOOKUP(N56,Jogo!$A$53:$I$56,6,FALSE)</f>
        <v>0</v>
      </c>
      <c r="T56" s="50">
        <f>VLOOKUP(N56,Jogo!$A$53:$I$56,7,FALSE)</f>
        <v>7</v>
      </c>
      <c r="U56" s="50">
        <f>VLOOKUP(N56,Jogo!$A$53:$I$56,8,FALSE)</f>
        <v>2</v>
      </c>
      <c r="V56" s="124">
        <f>VLOOKUP(N56,Jogo!$A$53:$I$56,9,FALSE)</f>
        <v>5</v>
      </c>
      <c r="W56" s="5"/>
      <c r="X56" s="18"/>
    </row>
    <row r="57" spans="1:24" ht="18" customHeight="1" x14ac:dyDescent="0.2">
      <c r="A57" s="4"/>
      <c r="B57" s="5"/>
      <c r="C57" s="110">
        <v>43275</v>
      </c>
      <c r="D57" s="111">
        <v>0.375</v>
      </c>
      <c r="E57" s="112" t="str">
        <f>time!G4</f>
        <v>Inglaterra</v>
      </c>
      <c r="F57" s="113"/>
      <c r="G57" s="114">
        <v>2</v>
      </c>
      <c r="H57" s="115" t="s">
        <v>9</v>
      </c>
      <c r="I57" s="114">
        <v>0</v>
      </c>
      <c r="J57" s="116"/>
      <c r="K57" s="117" t="str">
        <f>time!G2</f>
        <v>Panamá</v>
      </c>
      <c r="L57" s="118" t="s">
        <v>44</v>
      </c>
      <c r="M57" s="121">
        <f>IF(P57&gt;0,2,"")</f>
        <v>2</v>
      </c>
      <c r="N57" s="48" t="str">
        <f>IF(N2="www.guiadecompra.com",Jogo!AN54,"erro")</f>
        <v>Inglaterra</v>
      </c>
      <c r="O57" s="49">
        <f>IF(B5I=Tabela!N2,VLOOKUP(N57,Jogo!$A$53:$I$56,2,FALSE),0)</f>
        <v>6</v>
      </c>
      <c r="P57" s="50">
        <f>IF(D5I=Tabela!N3,VLOOKUP(N57,Jogo!$A$53:$I$56,3,FALSE),0)</f>
        <v>3</v>
      </c>
      <c r="Q57" s="50">
        <f>VLOOKUP(N57,Jogo!$A$53:$I$56,4,FALSE)</f>
        <v>2</v>
      </c>
      <c r="R57" s="50">
        <f>VLOOKUP(N57,Jogo!$A$53:$I$56,5,FALSE)</f>
        <v>0</v>
      </c>
      <c r="S57" s="50">
        <f>VLOOKUP(N57,Jogo!$A$53:$I$56,6,FALSE)</f>
        <v>1</v>
      </c>
      <c r="T57" s="50">
        <f>VLOOKUP(N57,Jogo!$A$53:$I$56,7,FALSE)</f>
        <v>6</v>
      </c>
      <c r="U57" s="50">
        <f>VLOOKUP(N57,Jogo!$A$53:$I$56,8,FALSE)</f>
        <v>2</v>
      </c>
      <c r="V57" s="124">
        <f>VLOOKUP(N57,Jogo!$A$53:$I$56,9,FALSE)</f>
        <v>4</v>
      </c>
      <c r="W57" s="5"/>
      <c r="X57" s="18"/>
    </row>
    <row r="58" spans="1:24" ht="18" customHeight="1" x14ac:dyDescent="0.2">
      <c r="A58" s="4"/>
      <c r="B58" s="5"/>
      <c r="C58" s="110">
        <v>43279</v>
      </c>
      <c r="D58" s="111">
        <v>0.625</v>
      </c>
      <c r="E58" s="112" t="str">
        <f>time!G4</f>
        <v>Inglaterra</v>
      </c>
      <c r="F58" s="113"/>
      <c r="G58" s="114">
        <v>1</v>
      </c>
      <c r="H58" s="115" t="s">
        <v>9</v>
      </c>
      <c r="I58" s="114">
        <v>2</v>
      </c>
      <c r="J58" s="116"/>
      <c r="K58" s="117" t="str">
        <f>time!G1</f>
        <v>Bélgica</v>
      </c>
      <c r="L58" s="118" t="s">
        <v>35</v>
      </c>
      <c r="M58" s="121">
        <f>IF(P58&gt;0,3,"")</f>
        <v>3</v>
      </c>
      <c r="N58" s="18" t="str">
        <f>IF(N2="www.guiadecompra.com",Jogo!AN55,"erro")</f>
        <v>Tunísia</v>
      </c>
      <c r="O58" s="49">
        <f>IF(B5I=Tabela!N2,VLOOKUP(N58,Jogo!$A$53:$I$56,2,FALSE),0)</f>
        <v>1</v>
      </c>
      <c r="P58" s="50">
        <f>IF(D5I=Tabela!N3,VLOOKUP(N58,Jogo!$A$53:$I$56,3,FALSE),0)</f>
        <v>3</v>
      </c>
      <c r="Q58" s="50">
        <f>VLOOKUP(N58,Jogo!$A$53:$I$56,4,FALSE)</f>
        <v>0</v>
      </c>
      <c r="R58" s="50">
        <f>VLOOKUP(N58,Jogo!$A$53:$I$56,5,FALSE)</f>
        <v>1</v>
      </c>
      <c r="S58" s="50">
        <f>VLOOKUP(N58,Jogo!$A$53:$I$56,6,FALSE)</f>
        <v>2</v>
      </c>
      <c r="T58" s="50">
        <f>VLOOKUP(N58,Jogo!$A$53:$I$56,7,FALSE)</f>
        <v>2</v>
      </c>
      <c r="U58" s="50">
        <f>VLOOKUP(N58,Jogo!$A$53:$I$56,8,FALSE)</f>
        <v>6</v>
      </c>
      <c r="V58" s="124">
        <f>VLOOKUP(N58,Jogo!$A$53:$I$56,9,FALSE)</f>
        <v>-4</v>
      </c>
      <c r="W58" s="5"/>
      <c r="X58" s="18"/>
    </row>
    <row r="59" spans="1:24" ht="18" customHeight="1" x14ac:dyDescent="0.2">
      <c r="A59" s="4"/>
      <c r="B59" s="5"/>
      <c r="C59" s="110">
        <v>43279</v>
      </c>
      <c r="D59" s="111">
        <v>0.625</v>
      </c>
      <c r="E59" s="112" t="str">
        <f>time!G2</f>
        <v>Panamá</v>
      </c>
      <c r="F59" s="113"/>
      <c r="G59" s="114">
        <v>1</v>
      </c>
      <c r="H59" s="115" t="s">
        <v>9</v>
      </c>
      <c r="I59" s="114">
        <v>1</v>
      </c>
      <c r="J59" s="116"/>
      <c r="K59" s="117" t="str">
        <f>time!G3</f>
        <v>Tunísia</v>
      </c>
      <c r="L59" s="118" t="s">
        <v>36</v>
      </c>
      <c r="M59" s="125">
        <f>IF(P59&gt;0,4,"")</f>
        <v>4</v>
      </c>
      <c r="N59" s="126" t="str">
        <f>IF(N2="www.guiadecompra.com",Jogo!AN56,"erro")</f>
        <v>Panamá</v>
      </c>
      <c r="O59" s="127">
        <f>IF(B5I=Tabela!N2,VLOOKUP(N59,Jogo!$A$53:$I$56,2,FALSE),0)</f>
        <v>1</v>
      </c>
      <c r="P59" s="128">
        <f>IF(D5I=Tabela!N3,VLOOKUP(N59,Jogo!$A$53:$I$56,3,FALSE),0)</f>
        <v>3</v>
      </c>
      <c r="Q59" s="128">
        <f>VLOOKUP(N59,Jogo!$A$53:$I$56,4,FALSE)</f>
        <v>0</v>
      </c>
      <c r="R59" s="128">
        <f>VLOOKUP(N59,Jogo!$A$53:$I$56,5,FALSE)</f>
        <v>1</v>
      </c>
      <c r="S59" s="128">
        <f>VLOOKUP(N59,Jogo!$A$53:$I$56,6,FALSE)</f>
        <v>2</v>
      </c>
      <c r="T59" s="128">
        <f>VLOOKUP(N59,Jogo!$A$53:$I$56,7,FALSE)</f>
        <v>1</v>
      </c>
      <c r="U59" s="128">
        <f>VLOOKUP(N59,Jogo!$A$53:$I$56,8,FALSE)</f>
        <v>6</v>
      </c>
      <c r="V59" s="129">
        <f>VLOOKUP(N59,Jogo!$A$53:$I$56,9,FALSE)</f>
        <v>-5</v>
      </c>
      <c r="W59" s="5"/>
      <c r="X59" s="18"/>
    </row>
    <row r="60" spans="1:24" ht="15.75" customHeight="1" x14ac:dyDescent="0.2">
      <c r="A60" s="17"/>
      <c r="B60" s="5"/>
      <c r="C60" s="58"/>
      <c r="D60" s="59"/>
      <c r="E60" s="60"/>
      <c r="F60" s="23"/>
      <c r="G60" s="61"/>
      <c r="H60" s="61"/>
      <c r="I60" s="61"/>
      <c r="J60" s="61"/>
      <c r="K60" s="18"/>
      <c r="L60" s="62"/>
      <c r="M60" s="63"/>
      <c r="N60" s="18"/>
      <c r="O60" s="60"/>
      <c r="P60" s="60"/>
      <c r="Q60" s="60"/>
      <c r="R60" s="60"/>
      <c r="S60" s="60"/>
      <c r="T60" s="60"/>
      <c r="U60" s="60"/>
      <c r="V60" s="60"/>
      <c r="W60" s="5"/>
      <c r="X60" s="18"/>
    </row>
    <row r="61" spans="1:24" ht="15.75" customHeight="1" x14ac:dyDescent="0.2">
      <c r="A61" s="4"/>
      <c r="B61" s="5"/>
      <c r="C61" s="313" t="s">
        <v>56</v>
      </c>
      <c r="D61" s="314"/>
      <c r="E61" s="309"/>
      <c r="F61" s="131"/>
      <c r="G61" s="316"/>
      <c r="H61" s="314"/>
      <c r="I61" s="309"/>
      <c r="J61" s="131"/>
      <c r="K61" s="132"/>
      <c r="L61" s="133"/>
      <c r="M61" s="134"/>
      <c r="N61" s="132"/>
      <c r="O61" s="131"/>
      <c r="P61" s="131"/>
      <c r="Q61" s="131"/>
      <c r="R61" s="131"/>
      <c r="S61" s="135"/>
      <c r="T61" s="136"/>
      <c r="U61" s="136"/>
      <c r="V61" s="180"/>
      <c r="W61" s="5"/>
      <c r="X61" s="18"/>
    </row>
    <row r="62" spans="1:24" ht="18" customHeight="1" x14ac:dyDescent="0.2">
      <c r="A62" s="4"/>
      <c r="B62" s="5"/>
      <c r="C62" s="138">
        <v>43270</v>
      </c>
      <c r="D62" s="139">
        <v>0.375</v>
      </c>
      <c r="E62" s="140" t="str">
        <f>time!H3</f>
        <v>Colômbia</v>
      </c>
      <c r="F62" s="141"/>
      <c r="G62" s="142">
        <v>2</v>
      </c>
      <c r="H62" s="143" t="s">
        <v>9</v>
      </c>
      <c r="I62" s="142">
        <v>0</v>
      </c>
      <c r="J62" s="144"/>
      <c r="K62" s="145" t="str">
        <f>time!H4</f>
        <v>Japão</v>
      </c>
      <c r="L62" s="146" t="s">
        <v>36</v>
      </c>
      <c r="M62" s="147"/>
      <c r="N62" s="355" t="s">
        <v>57</v>
      </c>
      <c r="O62" s="356"/>
      <c r="P62" s="356"/>
      <c r="Q62" s="356"/>
      <c r="R62" s="356"/>
      <c r="S62" s="356"/>
      <c r="T62" s="356"/>
      <c r="U62" s="356"/>
      <c r="V62" s="357"/>
      <c r="W62" s="5"/>
      <c r="X62" s="18"/>
    </row>
    <row r="63" spans="1:24" ht="18" customHeight="1" x14ac:dyDescent="0.2">
      <c r="A63" s="4"/>
      <c r="B63" s="5"/>
      <c r="C63" s="138">
        <v>43270</v>
      </c>
      <c r="D63" s="139">
        <v>0.5</v>
      </c>
      <c r="E63" s="140" t="str">
        <f>time!H1</f>
        <v>Polônia</v>
      </c>
      <c r="F63" s="141"/>
      <c r="G63" s="142">
        <v>2</v>
      </c>
      <c r="H63" s="143" t="s">
        <v>9</v>
      </c>
      <c r="I63" s="142">
        <v>1</v>
      </c>
      <c r="J63" s="144"/>
      <c r="K63" s="145" t="str">
        <f>time!H2</f>
        <v>Senegal</v>
      </c>
      <c r="L63" s="146" t="s">
        <v>42</v>
      </c>
      <c r="M63" s="148"/>
      <c r="N63" s="43"/>
      <c r="O63" s="149" t="s">
        <v>14</v>
      </c>
      <c r="P63" s="149" t="s">
        <v>15</v>
      </c>
      <c r="Q63" s="149" t="s">
        <v>16</v>
      </c>
      <c r="R63" s="149" t="s">
        <v>17</v>
      </c>
      <c r="S63" s="149" t="s">
        <v>18</v>
      </c>
      <c r="T63" s="149" t="s">
        <v>19</v>
      </c>
      <c r="U63" s="149" t="s">
        <v>20</v>
      </c>
      <c r="V63" s="150" t="s">
        <v>21</v>
      </c>
      <c r="W63" s="5"/>
      <c r="X63" s="18"/>
    </row>
    <row r="64" spans="1:24" ht="18" customHeight="1" x14ac:dyDescent="0.2">
      <c r="A64" s="4"/>
      <c r="B64" s="5"/>
      <c r="C64" s="138">
        <v>43275</v>
      </c>
      <c r="D64" s="139">
        <v>0.5</v>
      </c>
      <c r="E64" s="140" t="str">
        <f>time!H4</f>
        <v>Japão</v>
      </c>
      <c r="F64" s="141"/>
      <c r="G64" s="142">
        <v>1</v>
      </c>
      <c r="H64" s="143" t="s">
        <v>9</v>
      </c>
      <c r="I64" s="142">
        <v>1</v>
      </c>
      <c r="J64" s="144"/>
      <c r="K64" s="145" t="str">
        <f>time!H2</f>
        <v>Senegal</v>
      </c>
      <c r="L64" s="146" t="s">
        <v>53</v>
      </c>
      <c r="M64" s="148">
        <f>IF(P64&gt;0,1,"")</f>
        <v>1</v>
      </c>
      <c r="N64" s="48" t="str">
        <f>IF(N2="www.guiadecompra.com",Jogo!AN61,"erro")</f>
        <v>Polônia</v>
      </c>
      <c r="O64" s="49">
        <f>IF(B5I=Tabela!N2,VLOOKUP(N64,Jogo!$A$61:$I$64,2,FALSE),0)</f>
        <v>7</v>
      </c>
      <c r="P64" s="50">
        <f>IF(D5I=Tabela!N3,VLOOKUP(N64,Jogo!$A$61:$I$64,3,FALSE),0)</f>
        <v>3</v>
      </c>
      <c r="Q64" s="50">
        <f>VLOOKUP(N64,Jogo!$A$61:$I$64,4,FALSE)</f>
        <v>2</v>
      </c>
      <c r="R64" s="50">
        <f>VLOOKUP(N64,Jogo!$A$61:$I$64,5,FALSE)</f>
        <v>1</v>
      </c>
      <c r="S64" s="50">
        <f>VLOOKUP(N64,Jogo!$A$61:$I$64,6,FALSE)</f>
        <v>0</v>
      </c>
      <c r="T64" s="50">
        <f>VLOOKUP(N64,Jogo!$A$61:$I$64,7,FALSE)</f>
        <v>5</v>
      </c>
      <c r="U64" s="50">
        <f>VLOOKUP(N64,Jogo!$A$61:$I$64,8,FALSE)</f>
        <v>3</v>
      </c>
      <c r="V64" s="151">
        <f>VLOOKUP(N64,Jogo!$A$61:$I$64,9,FALSE)</f>
        <v>2</v>
      </c>
      <c r="W64" s="5"/>
      <c r="X64" s="18"/>
    </row>
    <row r="65" spans="1:24" ht="18" customHeight="1" x14ac:dyDescent="0.2">
      <c r="A65" s="4"/>
      <c r="B65" s="5"/>
      <c r="C65" s="138">
        <v>43275</v>
      </c>
      <c r="D65" s="139">
        <v>0.625</v>
      </c>
      <c r="E65" s="140" t="str">
        <f>time!H1</f>
        <v>Polônia</v>
      </c>
      <c r="F65" s="141"/>
      <c r="G65" s="142">
        <v>2</v>
      </c>
      <c r="H65" s="143" t="s">
        <v>9</v>
      </c>
      <c r="I65" s="142">
        <v>1</v>
      </c>
      <c r="J65" s="144"/>
      <c r="K65" s="145" t="str">
        <f>time!H3</f>
        <v>Colômbia</v>
      </c>
      <c r="L65" s="146" t="s">
        <v>34</v>
      </c>
      <c r="M65" s="148">
        <f>IF(P65&gt;0,2,"")</f>
        <v>2</v>
      </c>
      <c r="N65" s="48" t="str">
        <f>IF(N2="www.guiadecompra.com",Jogo!AN62,"erro")</f>
        <v>Colômbia</v>
      </c>
      <c r="O65" s="49">
        <f>IF(B5I=Tabela!N2,VLOOKUP(N65,Jogo!$A$61:$I$64,2,FALSE),0)</f>
        <v>6</v>
      </c>
      <c r="P65" s="50">
        <f>IF(D5I=Tabela!N3,VLOOKUP(N65,Jogo!$A$61:$I$64,3,FALSE),0)</f>
        <v>3</v>
      </c>
      <c r="Q65" s="50">
        <f>VLOOKUP(N65,Jogo!$A$61:$I$64,4,FALSE)</f>
        <v>2</v>
      </c>
      <c r="R65" s="50">
        <f>VLOOKUP(N65,Jogo!$A$61:$I$64,5,FALSE)</f>
        <v>0</v>
      </c>
      <c r="S65" s="50">
        <f>VLOOKUP(N65,Jogo!$A$61:$I$64,6,FALSE)</f>
        <v>1</v>
      </c>
      <c r="T65" s="50">
        <f>VLOOKUP(N65,Jogo!$A$61:$I$64,7,FALSE)</f>
        <v>5</v>
      </c>
      <c r="U65" s="50">
        <f>VLOOKUP(N65,Jogo!$A$61:$I$64,8,FALSE)</f>
        <v>3</v>
      </c>
      <c r="V65" s="151">
        <f>VLOOKUP(N65,Jogo!$A$61:$I$64,9,FALSE)</f>
        <v>2</v>
      </c>
      <c r="W65" s="5"/>
      <c r="X65" s="18"/>
    </row>
    <row r="66" spans="1:24" ht="18" customHeight="1" x14ac:dyDescent="0.2">
      <c r="A66" s="4"/>
      <c r="B66" s="5"/>
      <c r="C66" s="138">
        <v>43279</v>
      </c>
      <c r="D66" s="139">
        <v>0.45833333333333331</v>
      </c>
      <c r="E66" s="140" t="str">
        <f>time!H4</f>
        <v>Japão</v>
      </c>
      <c r="F66" s="141"/>
      <c r="G66" s="142">
        <v>1</v>
      </c>
      <c r="H66" s="143" t="s">
        <v>9</v>
      </c>
      <c r="I66" s="142">
        <v>1</v>
      </c>
      <c r="J66" s="144"/>
      <c r="K66" s="145" t="str">
        <f>time!H1</f>
        <v>Polônia</v>
      </c>
      <c r="L66" s="146" t="s">
        <v>27</v>
      </c>
      <c r="M66" s="148">
        <f>IF(P66&gt;0,3,"")</f>
        <v>3</v>
      </c>
      <c r="N66" s="18" t="str">
        <f>IF(N2="www.guiadecompra.com",Jogo!AN63,"erro")</f>
        <v>Japão</v>
      </c>
      <c r="O66" s="49">
        <f>IF(B5I=Tabela!N2,VLOOKUP(N66,Jogo!$A$61:$I$64,2,FALSE),0)</f>
        <v>2</v>
      </c>
      <c r="P66" s="50">
        <f>IF(D5I=Tabela!N3,VLOOKUP(N66,Jogo!$A$61:$I$64,3,FALSE),0)</f>
        <v>3</v>
      </c>
      <c r="Q66" s="50">
        <f>VLOOKUP(N66,Jogo!$A$61:$I$64,4,FALSE)</f>
        <v>0</v>
      </c>
      <c r="R66" s="50">
        <f>VLOOKUP(N66,Jogo!$A$61:$I$64,5,FALSE)</f>
        <v>2</v>
      </c>
      <c r="S66" s="50">
        <f>VLOOKUP(N66,Jogo!$A$61:$I$64,6,FALSE)</f>
        <v>1</v>
      </c>
      <c r="T66" s="50">
        <f>VLOOKUP(N66,Jogo!$A$61:$I$64,7,FALSE)</f>
        <v>2</v>
      </c>
      <c r="U66" s="50">
        <f>VLOOKUP(N66,Jogo!$A$61:$I$64,8,FALSE)</f>
        <v>4</v>
      </c>
      <c r="V66" s="151">
        <f>VLOOKUP(N66,Jogo!$A$61:$I$64,9,FALSE)</f>
        <v>-2</v>
      </c>
      <c r="W66" s="5"/>
      <c r="X66" s="18"/>
    </row>
    <row r="67" spans="1:24" ht="18" customHeight="1" x14ac:dyDescent="0.2">
      <c r="A67" s="4"/>
      <c r="B67" s="5"/>
      <c r="C67" s="138">
        <v>43279</v>
      </c>
      <c r="D67" s="139">
        <v>0.45833333333333331</v>
      </c>
      <c r="E67" s="140" t="str">
        <f>time!H2</f>
        <v>Senegal</v>
      </c>
      <c r="F67" s="141"/>
      <c r="G67" s="142">
        <v>1</v>
      </c>
      <c r="H67" s="143" t="s">
        <v>9</v>
      </c>
      <c r="I67" s="142">
        <v>2</v>
      </c>
      <c r="J67" s="144"/>
      <c r="K67" s="145" t="str">
        <f>time!H3</f>
        <v>Colômbia</v>
      </c>
      <c r="L67" s="146" t="s">
        <v>25</v>
      </c>
      <c r="M67" s="152">
        <f>IF(P67&gt;0,4,"")</f>
        <v>4</v>
      </c>
      <c r="N67" s="153" t="str">
        <f>IF(N2="www.guiadecompra.com",Jogo!AN64,"erro")</f>
        <v>Senegal</v>
      </c>
      <c r="O67" s="154">
        <f>IF(B5I=Tabela!N2,VLOOKUP(N67,Jogo!$A$61:$I$64,2,FALSE),0)</f>
        <v>1</v>
      </c>
      <c r="P67" s="155">
        <f>IF(D5I=Tabela!N3,VLOOKUP(N67,Jogo!$A$61:$I$64,3,FALSE),0)</f>
        <v>3</v>
      </c>
      <c r="Q67" s="155">
        <f>VLOOKUP(N67,Jogo!$A$61:$I$64,4,FALSE)</f>
        <v>0</v>
      </c>
      <c r="R67" s="155">
        <f>VLOOKUP(N67,Jogo!$A$61:$I$64,5,FALSE)</f>
        <v>1</v>
      </c>
      <c r="S67" s="155">
        <f>VLOOKUP(N67,Jogo!$A$61:$I$64,6,FALSE)</f>
        <v>2</v>
      </c>
      <c r="T67" s="155">
        <f>VLOOKUP(N67,Jogo!$A$61:$I$64,7,FALSE)</f>
        <v>3</v>
      </c>
      <c r="U67" s="155">
        <f>VLOOKUP(N67,Jogo!$A$61:$I$64,8,FALSE)</f>
        <v>5</v>
      </c>
      <c r="V67" s="156">
        <f>VLOOKUP(N67,Jogo!$A$61:$I$64,9,FALSE)</f>
        <v>-2</v>
      </c>
      <c r="W67" s="5"/>
      <c r="X67" s="18"/>
    </row>
    <row r="68" spans="1:24" ht="15.75" customHeight="1" x14ac:dyDescent="0.2">
      <c r="A68" s="4"/>
      <c r="B68" s="5"/>
      <c r="C68" s="18"/>
      <c r="D68" s="18"/>
      <c r="E68" s="18"/>
      <c r="F68" s="23"/>
      <c r="G68" s="23"/>
      <c r="H68" s="23"/>
      <c r="I68" s="23"/>
      <c r="J68" s="23"/>
      <c r="K68" s="18"/>
      <c r="L68" s="130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5"/>
      <c r="X68" s="18"/>
    </row>
    <row r="69" spans="1:24" ht="15.75" customHeight="1" x14ac:dyDescent="0.2">
      <c r="A69" s="4"/>
      <c r="B69" s="5"/>
      <c r="C69" s="18"/>
      <c r="D69" s="18"/>
      <c r="E69" s="18"/>
      <c r="F69" s="23"/>
      <c r="G69" s="23"/>
      <c r="H69" s="23"/>
      <c r="I69" s="23"/>
      <c r="J69" s="23"/>
      <c r="K69" s="18"/>
      <c r="L69" s="130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5"/>
      <c r="X69" s="18"/>
    </row>
    <row r="70" spans="1:24" ht="15.75" customHeight="1" x14ac:dyDescent="0.2">
      <c r="A70" s="4"/>
      <c r="B70" s="5"/>
      <c r="C70" s="181" t="s">
        <v>58</v>
      </c>
      <c r="D70" s="182"/>
      <c r="E70" s="182"/>
      <c r="F70" s="183"/>
      <c r="G70" s="310" t="s">
        <v>59</v>
      </c>
      <c r="H70" s="311"/>
      <c r="I70" s="312"/>
      <c r="J70" s="183"/>
      <c r="K70" s="182"/>
      <c r="L70" s="184"/>
      <c r="M70" s="182"/>
      <c r="N70" s="185"/>
      <c r="O70" s="185"/>
      <c r="P70" s="185"/>
      <c r="Q70" s="185"/>
      <c r="R70" s="185"/>
      <c r="S70" s="185"/>
      <c r="T70" s="185"/>
      <c r="U70" s="185"/>
      <c r="V70" s="185"/>
      <c r="W70" s="5"/>
      <c r="X70" s="18"/>
    </row>
    <row r="71" spans="1:24" ht="19.5" customHeight="1" x14ac:dyDescent="0.2">
      <c r="A71" s="4"/>
      <c r="B71" s="5"/>
      <c r="C71" s="186">
        <v>43281</v>
      </c>
      <c r="D71" s="187">
        <v>0.625</v>
      </c>
      <c r="E71" s="188" t="str">
        <f>IF(P8=3,N8,"1º do grupo A")</f>
        <v>Uruguai</v>
      </c>
      <c r="F71" s="189"/>
      <c r="G71" s="190">
        <v>1</v>
      </c>
      <c r="H71" s="191" t="s">
        <v>9</v>
      </c>
      <c r="I71" s="192">
        <v>3</v>
      </c>
      <c r="J71" s="189"/>
      <c r="K71" s="193" t="str">
        <f>IF(P17=3,N17,"2º do grupo B")</f>
        <v>Espanha</v>
      </c>
      <c r="L71" s="194" t="s">
        <v>31</v>
      </c>
      <c r="M71" s="195">
        <v>49</v>
      </c>
      <c r="N71" s="185"/>
      <c r="O71" s="185"/>
      <c r="P71" s="185"/>
      <c r="Q71" s="185"/>
      <c r="R71" s="185"/>
      <c r="S71" s="185"/>
      <c r="T71" s="185"/>
      <c r="U71" s="185"/>
      <c r="V71" s="185"/>
      <c r="W71" s="5"/>
      <c r="X71" s="18"/>
    </row>
    <row r="72" spans="1:24" ht="19.5" customHeight="1" x14ac:dyDescent="0.2">
      <c r="A72" s="4"/>
      <c r="B72" s="5"/>
      <c r="C72" s="186">
        <v>43281</v>
      </c>
      <c r="D72" s="187">
        <v>0.45833333333333331</v>
      </c>
      <c r="E72" s="188" t="str">
        <f>IF(P24=3,N24,"1º do grupo C")</f>
        <v>França</v>
      </c>
      <c r="F72" s="189"/>
      <c r="G72" s="196">
        <v>2</v>
      </c>
      <c r="H72" s="197" t="s">
        <v>9</v>
      </c>
      <c r="I72" s="198">
        <v>1</v>
      </c>
      <c r="J72" s="189"/>
      <c r="K72" s="193" t="str">
        <f>IF(P33=3,N33,"2º do grupo D")</f>
        <v>Croácia</v>
      </c>
      <c r="L72" s="194" t="s">
        <v>34</v>
      </c>
      <c r="M72" s="195">
        <v>50</v>
      </c>
      <c r="N72" s="185"/>
      <c r="O72" s="185"/>
      <c r="P72" s="185"/>
      <c r="Q72" s="185"/>
      <c r="R72" s="185"/>
      <c r="S72" s="185"/>
      <c r="T72" s="185"/>
      <c r="U72" s="185"/>
      <c r="V72" s="185"/>
      <c r="W72" s="5"/>
      <c r="X72" s="18"/>
    </row>
    <row r="73" spans="1:24" ht="19.5" customHeight="1" x14ac:dyDescent="0.2">
      <c r="A73" s="4"/>
      <c r="B73" s="5"/>
      <c r="C73" s="186">
        <v>43282</v>
      </c>
      <c r="D73" s="187">
        <v>0.45833333333333331</v>
      </c>
      <c r="E73" s="188" t="str">
        <f>IF(P16=3,N16,"1º do grupo B")</f>
        <v>Portugal</v>
      </c>
      <c r="F73" s="189"/>
      <c r="G73" s="196">
        <v>3</v>
      </c>
      <c r="H73" s="197" t="s">
        <v>9</v>
      </c>
      <c r="I73" s="198">
        <v>2</v>
      </c>
      <c r="J73" s="189"/>
      <c r="K73" s="193" t="str">
        <f>IF(P9=3,N9,"2º do grupo A")</f>
        <v>Egito</v>
      </c>
      <c r="L73" s="194" t="s">
        <v>10</v>
      </c>
      <c r="M73" s="199">
        <v>51</v>
      </c>
      <c r="N73" s="185"/>
      <c r="O73" s="185"/>
      <c r="P73" s="185"/>
      <c r="Q73" s="185"/>
      <c r="R73" s="185"/>
      <c r="S73" s="185"/>
      <c r="T73" s="185"/>
      <c r="U73" s="185"/>
      <c r="V73" s="185"/>
      <c r="W73" s="5"/>
      <c r="X73" s="18"/>
    </row>
    <row r="74" spans="1:24" ht="19.5" customHeight="1" x14ac:dyDescent="0.2">
      <c r="A74" s="4"/>
      <c r="B74" s="5"/>
      <c r="C74" s="186">
        <v>43282</v>
      </c>
      <c r="D74" s="187">
        <v>0.625</v>
      </c>
      <c r="E74" s="188" t="str">
        <f>IF(P32=3,N32,"1º do grupo D")</f>
        <v>Argentina</v>
      </c>
      <c r="F74" s="189"/>
      <c r="G74" s="196">
        <v>2</v>
      </c>
      <c r="H74" s="197" t="s">
        <v>9</v>
      </c>
      <c r="I74" s="198">
        <v>1</v>
      </c>
      <c r="J74" s="189"/>
      <c r="K74" s="193" t="str">
        <f>IF(P25=3,N25,"2º do grupo C")</f>
        <v>Peru</v>
      </c>
      <c r="L74" s="194" t="s">
        <v>44</v>
      </c>
      <c r="M74" s="199">
        <v>52</v>
      </c>
      <c r="N74" s="185"/>
      <c r="O74" s="185"/>
      <c r="P74" s="185"/>
      <c r="Q74" s="185"/>
      <c r="R74" s="185"/>
      <c r="S74" s="185"/>
      <c r="T74" s="185"/>
      <c r="U74" s="185"/>
      <c r="V74" s="185"/>
      <c r="W74" s="5"/>
      <c r="X74" s="18"/>
    </row>
    <row r="75" spans="1:24" ht="19.5" customHeight="1" x14ac:dyDescent="0.2">
      <c r="A75" s="4"/>
      <c r="B75" s="5"/>
      <c r="C75" s="186">
        <v>43283</v>
      </c>
      <c r="D75" s="187">
        <v>0.45833333333333331</v>
      </c>
      <c r="E75" s="188" t="str">
        <f>IF(P40=3,N40,"1º do grupo E")</f>
        <v>Brasil</v>
      </c>
      <c r="F75" s="189"/>
      <c r="G75" s="196">
        <v>1</v>
      </c>
      <c r="H75" s="197" t="s">
        <v>9</v>
      </c>
      <c r="I75" s="198">
        <v>0</v>
      </c>
      <c r="J75" s="189"/>
      <c r="K75" s="193" t="str">
        <f>IF(P49=3,N49,"2º do grupo F")</f>
        <v>México</v>
      </c>
      <c r="L75" s="194" t="s">
        <v>25</v>
      </c>
      <c r="M75" s="200">
        <v>53</v>
      </c>
      <c r="N75" s="18"/>
      <c r="O75" s="201"/>
      <c r="P75" s="201"/>
      <c r="Q75" s="201"/>
      <c r="R75" s="201"/>
      <c r="S75" s="201"/>
      <c r="T75" s="201"/>
      <c r="U75" s="18"/>
      <c r="V75" s="201"/>
      <c r="W75" s="5"/>
      <c r="X75" s="18"/>
    </row>
    <row r="76" spans="1:24" ht="19.5" customHeight="1" x14ac:dyDescent="0.2">
      <c r="A76" s="4"/>
      <c r="B76" s="5"/>
      <c r="C76" s="186">
        <v>43283</v>
      </c>
      <c r="D76" s="187">
        <v>0.625</v>
      </c>
      <c r="E76" s="188" t="str">
        <f>IF(P56=3,N56,"1º do grupo G")</f>
        <v>Bélgica</v>
      </c>
      <c r="F76" s="189"/>
      <c r="G76" s="196">
        <v>3</v>
      </c>
      <c r="H76" s="197" t="s">
        <v>9</v>
      </c>
      <c r="I76" s="198">
        <v>2</v>
      </c>
      <c r="J76" s="189"/>
      <c r="K76" s="193" t="str">
        <f>IF(P65=3,N65,"2º do grupo H")</f>
        <v>Colômbia</v>
      </c>
      <c r="L76" s="194" t="s">
        <v>48</v>
      </c>
      <c r="M76" s="200">
        <v>54</v>
      </c>
      <c r="N76" s="202"/>
      <c r="O76" s="201"/>
      <c r="P76" s="201"/>
      <c r="Q76" s="201"/>
      <c r="R76" s="201"/>
      <c r="S76" s="201"/>
      <c r="T76" s="201"/>
      <c r="U76" s="201"/>
      <c r="V76" s="201"/>
      <c r="W76" s="5"/>
      <c r="X76" s="18"/>
    </row>
    <row r="77" spans="1:24" ht="19.5" customHeight="1" x14ac:dyDescent="0.2">
      <c r="A77" s="4"/>
      <c r="B77" s="5"/>
      <c r="C77" s="186">
        <v>43284</v>
      </c>
      <c r="D77" s="187">
        <v>0.45833333333333331</v>
      </c>
      <c r="E77" s="188" t="str">
        <f>IF(P48=3,N48,"1º do grupo F")</f>
        <v>Alemanha</v>
      </c>
      <c r="F77" s="189"/>
      <c r="G77" s="196">
        <v>1</v>
      </c>
      <c r="H77" s="197" t="s">
        <v>9</v>
      </c>
      <c r="I77" s="198">
        <v>0</v>
      </c>
      <c r="J77" s="189"/>
      <c r="K77" s="193" t="str">
        <f>IF(P41=3,N41,"2º do grupo E")</f>
        <v>Sérvia</v>
      </c>
      <c r="L77" s="194" t="s">
        <v>22</v>
      </c>
      <c r="M77" s="203">
        <v>55</v>
      </c>
      <c r="N77" s="345"/>
      <c r="O77" s="336"/>
      <c r="P77" s="336"/>
      <c r="Q77" s="336"/>
      <c r="R77" s="336"/>
      <c r="S77" s="336"/>
      <c r="T77" s="336"/>
      <c r="U77" s="336"/>
      <c r="V77" s="336"/>
      <c r="W77" s="5"/>
      <c r="X77" s="18"/>
    </row>
    <row r="78" spans="1:24" ht="19.5" customHeight="1" x14ac:dyDescent="0.2">
      <c r="A78" s="4"/>
      <c r="B78" s="5"/>
      <c r="C78" s="186">
        <v>43284</v>
      </c>
      <c r="D78" s="187">
        <v>0.625</v>
      </c>
      <c r="E78" s="188" t="str">
        <f>IF(P64=3,N64,"1º do grupo H")</f>
        <v>Polônia</v>
      </c>
      <c r="F78" s="189"/>
      <c r="G78" s="196">
        <v>1</v>
      </c>
      <c r="H78" s="197" t="s">
        <v>9</v>
      </c>
      <c r="I78" s="198">
        <v>2</v>
      </c>
      <c r="J78" s="189"/>
      <c r="K78" s="193" t="str">
        <f>IF(P57=3,N57,"2º do grupo G")</f>
        <v>Inglaterra</v>
      </c>
      <c r="L78" s="194" t="s">
        <v>42</v>
      </c>
      <c r="M78" s="203">
        <v>56</v>
      </c>
      <c r="N78" s="204"/>
      <c r="O78" s="363" t="s">
        <v>0</v>
      </c>
      <c r="P78" s="336"/>
      <c r="Q78" s="336"/>
      <c r="R78" s="336"/>
      <c r="S78" s="336"/>
      <c r="T78" s="336"/>
      <c r="U78" s="336"/>
      <c r="V78" s="336"/>
      <c r="W78" s="5"/>
      <c r="X78" s="18"/>
    </row>
    <row r="79" spans="1:24" ht="15.75" customHeight="1" x14ac:dyDescent="0.2">
      <c r="A79" s="4"/>
      <c r="B79" s="5"/>
      <c r="C79" s="205"/>
      <c r="D79" s="206"/>
      <c r="E79" s="207"/>
      <c r="F79" s="208"/>
      <c r="G79" s="209"/>
      <c r="H79" s="209"/>
      <c r="I79" s="209"/>
      <c r="J79" s="209"/>
      <c r="K79" s="207"/>
      <c r="L79" s="210"/>
      <c r="M79" s="211"/>
      <c r="N79" s="18"/>
      <c r="O79" s="18"/>
      <c r="P79" s="18"/>
      <c r="Q79" s="18"/>
      <c r="R79" s="18"/>
      <c r="S79" s="18"/>
      <c r="T79" s="18"/>
      <c r="U79" s="18"/>
      <c r="V79" s="18"/>
      <c r="W79" s="5"/>
      <c r="X79" s="18"/>
    </row>
    <row r="80" spans="1:24" ht="15.75" customHeight="1" x14ac:dyDescent="0.2">
      <c r="A80" s="4"/>
      <c r="B80" s="5"/>
      <c r="C80" s="181" t="s">
        <v>60</v>
      </c>
      <c r="D80" s="182"/>
      <c r="E80" s="182"/>
      <c r="F80" s="183"/>
      <c r="G80" s="310"/>
      <c r="H80" s="311"/>
      <c r="I80" s="312"/>
      <c r="J80" s="183"/>
      <c r="K80" s="182"/>
      <c r="L80" s="184"/>
      <c r="M80" s="182"/>
      <c r="N80" s="18"/>
      <c r="O80" s="18"/>
      <c r="P80" s="18"/>
      <c r="Q80" s="18"/>
      <c r="R80" s="18"/>
      <c r="S80" s="18"/>
      <c r="T80" s="18"/>
      <c r="U80" s="18"/>
      <c r="V80" s="18"/>
      <c r="W80" s="5"/>
      <c r="X80" s="18"/>
    </row>
    <row r="81" spans="1:24" ht="19.5" customHeight="1" x14ac:dyDescent="0.2">
      <c r="A81" s="4"/>
      <c r="B81" s="5"/>
      <c r="C81" s="186">
        <v>43287</v>
      </c>
      <c r="D81" s="187">
        <v>0.45833333333333331</v>
      </c>
      <c r="E81" s="188" t="str">
        <f>IF(OR(G71="",I71="",AND(G71=I71,OR(F71="",J71=""))),"Vencedor do 49",IF(G71=I71,IF(F71&gt;J71,E71,K71),IF(G71&gt;I71,E71,K71)))</f>
        <v>Espanha</v>
      </c>
      <c r="F81" s="189"/>
      <c r="G81" s="196">
        <v>1</v>
      </c>
      <c r="H81" s="197" t="s">
        <v>9</v>
      </c>
      <c r="I81" s="198">
        <v>3</v>
      </c>
      <c r="J81" s="189"/>
      <c r="K81" s="193" t="str">
        <f>IF(OR(I72="",G72="",AND(I72=G72,OR(J72="",F72=""))),"Vencedor do 50",IF(I72=G72,IF(J72&gt;F72,K72,E72),IF(I72&gt;G72,K72,E72)))</f>
        <v>França</v>
      </c>
      <c r="L81" s="194" t="s">
        <v>44</v>
      </c>
      <c r="M81" s="212">
        <v>57</v>
      </c>
      <c r="N81" s="211"/>
      <c r="O81" s="364" t="str">
        <f>IF(OR($G$94="",$I$94="",AND($G$94=$I$94,OR($F$94="",$J$94=""))),"",IF($G$94=$I$94,IF($F$94&gt;$J$94,$E$94,$K$94),IF($G$94&gt;$I$94,$E$94,$K$94)))</f>
        <v>Brasil</v>
      </c>
      <c r="P81" s="336"/>
      <c r="Q81" s="336"/>
      <c r="R81" s="336"/>
      <c r="S81" s="336"/>
      <c r="T81" s="336"/>
      <c r="U81" s="336"/>
      <c r="V81" s="18"/>
      <c r="W81" s="5"/>
      <c r="X81" s="18"/>
    </row>
    <row r="82" spans="1:24" ht="19.5" customHeight="1" x14ac:dyDescent="0.2">
      <c r="A82" s="4"/>
      <c r="B82" s="5"/>
      <c r="C82" s="186">
        <v>43287</v>
      </c>
      <c r="D82" s="187">
        <v>0.625</v>
      </c>
      <c r="E82" s="188" t="str">
        <f>IF(OR(G75="",I75="",AND(G75=I75,OR(F75="",J75=""))),"Vencedor do 53",IF(G75=I75,IF(F75&gt;J75,E75,K75),IF(G75&gt;I75,E75,K75)))</f>
        <v>Brasil</v>
      </c>
      <c r="F82" s="189"/>
      <c r="G82" s="196">
        <v>2</v>
      </c>
      <c r="H82" s="197" t="s">
        <v>9</v>
      </c>
      <c r="I82" s="198">
        <v>1</v>
      </c>
      <c r="J82" s="189"/>
      <c r="K82" s="193" t="str">
        <f>IF(OR(I76="",G76="",AND(I76=G76,OR(J76="",F76=""))),"Vencedor do 54",IF(I76=G76,IF(J76&gt;F76,K76,E76),IF(I76&gt;G76,K76,E76)))</f>
        <v>Bélgica</v>
      </c>
      <c r="L82" s="194" t="s">
        <v>34</v>
      </c>
      <c r="M82" s="212">
        <v>58</v>
      </c>
      <c r="N82" s="211"/>
      <c r="O82" s="336"/>
      <c r="P82" s="336"/>
      <c r="Q82" s="336"/>
      <c r="R82" s="336"/>
      <c r="S82" s="336"/>
      <c r="T82" s="336"/>
      <c r="U82" s="336"/>
      <c r="V82" s="18"/>
      <c r="W82" s="5"/>
      <c r="X82" s="18"/>
    </row>
    <row r="83" spans="1:24" ht="19.5" customHeight="1" x14ac:dyDescent="0.2">
      <c r="A83" s="4"/>
      <c r="B83" s="5"/>
      <c r="C83" s="186">
        <v>43288</v>
      </c>
      <c r="D83" s="187">
        <v>0.625</v>
      </c>
      <c r="E83" s="188" t="str">
        <f>IF(OR(G73="",I73="",AND(G73=I73,OR(F73="",J73=""))),"Vencedor do 51",IF(G73=I73,IF(F73&gt;J73,E73,K73),IF(G73&gt;I73,E73,K73)))</f>
        <v>Portugal</v>
      </c>
      <c r="F83" s="189"/>
      <c r="G83" s="196">
        <v>1</v>
      </c>
      <c r="H83" s="197" t="s">
        <v>9</v>
      </c>
      <c r="I83" s="198">
        <v>2</v>
      </c>
      <c r="J83" s="189"/>
      <c r="K83" s="193" t="str">
        <f>IF(OR(I74="",G74="",AND(I74=G74,OR(J74="",F74=""))),"Vencedor do 52",IF(I74=G74,IF(J74&gt;F74,K74,E74),IF(I74&gt;G74,K74,E74)))</f>
        <v>Argentina</v>
      </c>
      <c r="L83" s="194" t="s">
        <v>31</v>
      </c>
      <c r="M83" s="213">
        <v>60</v>
      </c>
      <c r="N83" s="214"/>
      <c r="O83" s="360" t="str">
        <f>IF(O81="","  ","A Seleção campeã da Copa do Mundo, de 2018")</f>
        <v>A Seleção campeã da Copa do Mundo, de 2018</v>
      </c>
      <c r="P83" s="336"/>
      <c r="Q83" s="336"/>
      <c r="R83" s="336"/>
      <c r="S83" s="336"/>
      <c r="T83" s="336"/>
      <c r="U83" s="336"/>
      <c r="V83" s="18"/>
      <c r="W83" s="5"/>
      <c r="X83" s="18"/>
    </row>
    <row r="84" spans="1:24" ht="19.5" customHeight="1" x14ac:dyDescent="0.2">
      <c r="A84" s="4"/>
      <c r="B84" s="5"/>
      <c r="C84" s="186">
        <v>43288</v>
      </c>
      <c r="D84" s="187">
        <v>0.45833333333333331</v>
      </c>
      <c r="E84" s="188" t="str">
        <f>IF(OR(G77="",I77="",AND(G77=I77,OR(F77="",J77=""))),"Vencedor do 55",IF(G77=I77,IF(F77&gt;J77,E77,K77),IF(G77&gt;I77,E77,K77)))</f>
        <v>Alemanha</v>
      </c>
      <c r="F84" s="189"/>
      <c r="G84" s="196">
        <v>3</v>
      </c>
      <c r="H84" s="197" t="s">
        <v>9</v>
      </c>
      <c r="I84" s="198">
        <v>0</v>
      </c>
      <c r="J84" s="189"/>
      <c r="K84" s="193" t="str">
        <f>IF(OR(I78="",G78="",AND(I78=G78,OR(J78="",F78=""))),"Vencedor do 56",IF(I78=G78,IF(J78&gt;F78,K78,E78),IF(I78&gt;G78,K78,E78)))</f>
        <v>Inglaterra</v>
      </c>
      <c r="L84" s="194" t="s">
        <v>25</v>
      </c>
      <c r="M84" s="213">
        <v>59</v>
      </c>
      <c r="N84" s="18"/>
      <c r="O84" s="336"/>
      <c r="P84" s="336"/>
      <c r="Q84" s="336"/>
      <c r="R84" s="336"/>
      <c r="S84" s="336"/>
      <c r="T84" s="336"/>
      <c r="U84" s="336"/>
      <c r="V84" s="18"/>
      <c r="W84" s="5"/>
      <c r="X84" s="18"/>
    </row>
    <row r="85" spans="1:24" ht="15.75" customHeight="1" x14ac:dyDescent="0.2">
      <c r="A85" s="4"/>
      <c r="B85" s="5"/>
      <c r="C85" s="205"/>
      <c r="D85" s="206"/>
      <c r="E85" s="207"/>
      <c r="F85" s="208"/>
      <c r="G85" s="61"/>
      <c r="H85" s="61"/>
      <c r="I85" s="61"/>
      <c r="J85" s="61"/>
      <c r="K85" s="207"/>
      <c r="L85" s="210"/>
      <c r="M85" s="211"/>
      <c r="N85" s="18"/>
      <c r="O85" s="336"/>
      <c r="P85" s="336"/>
      <c r="Q85" s="336"/>
      <c r="R85" s="336"/>
      <c r="S85" s="336"/>
      <c r="T85" s="336"/>
      <c r="U85" s="336"/>
      <c r="V85" s="18"/>
      <c r="W85" s="5"/>
      <c r="X85" s="18"/>
    </row>
    <row r="86" spans="1:24" ht="15.75" customHeight="1" x14ac:dyDescent="0.2">
      <c r="A86" s="4"/>
      <c r="B86" s="5"/>
      <c r="C86" s="181" t="s">
        <v>61</v>
      </c>
      <c r="D86" s="182"/>
      <c r="E86" s="182"/>
      <c r="F86" s="183"/>
      <c r="G86" s="310"/>
      <c r="H86" s="311"/>
      <c r="I86" s="312"/>
      <c r="J86" s="183"/>
      <c r="K86" s="182"/>
      <c r="L86" s="184"/>
      <c r="M86" s="182"/>
      <c r="N86" s="18"/>
      <c r="O86" s="336"/>
      <c r="P86" s="336"/>
      <c r="Q86" s="336"/>
      <c r="R86" s="336"/>
      <c r="S86" s="336"/>
      <c r="T86" s="336"/>
      <c r="U86" s="336"/>
      <c r="V86" s="18"/>
      <c r="W86" s="5"/>
      <c r="X86" s="18"/>
    </row>
    <row r="87" spans="1:24" ht="19.5" customHeight="1" x14ac:dyDescent="0.2">
      <c r="A87" s="4"/>
      <c r="B87" s="5"/>
      <c r="C87" s="186">
        <v>40734</v>
      </c>
      <c r="D87" s="187">
        <v>0.625</v>
      </c>
      <c r="E87" s="188" t="str">
        <f>IF(OR(G81="",I81="",AND(G81=I81,OR(F81="",J81=""))),"Vencedor do 57",IF(G81=I81,IF(F81&gt;J81,E81,K81),IF(G81&gt;I81,E81,K81)))</f>
        <v>França</v>
      </c>
      <c r="F87" s="189"/>
      <c r="G87" s="196">
        <v>1</v>
      </c>
      <c r="H87" s="197" t="s">
        <v>9</v>
      </c>
      <c r="I87" s="198">
        <v>2</v>
      </c>
      <c r="J87" s="189"/>
      <c r="K87" s="193" t="str">
        <f>IF(OR(I82="",G82="",AND(I82=G82,OR(J82="",F82=""))),"Vencedor do 58",IF(I82=G82,IF(J82&gt;F82,K82,E82),IF(I82&gt;G82,K82,E82)))</f>
        <v>Brasil</v>
      </c>
      <c r="L87" s="194" t="s">
        <v>22</v>
      </c>
      <c r="M87" s="215">
        <v>61</v>
      </c>
      <c r="N87" s="18"/>
      <c r="O87" s="336"/>
      <c r="P87" s="336"/>
      <c r="Q87" s="336"/>
      <c r="R87" s="336"/>
      <c r="S87" s="336"/>
      <c r="T87" s="336"/>
      <c r="U87" s="336"/>
      <c r="V87" s="18"/>
      <c r="W87" s="5"/>
      <c r="X87" s="18"/>
    </row>
    <row r="88" spans="1:24" ht="19.5" customHeight="1" x14ac:dyDescent="0.2">
      <c r="A88" s="4"/>
      <c r="B88" s="5"/>
      <c r="C88" s="186">
        <v>43292</v>
      </c>
      <c r="D88" s="187">
        <v>0.625</v>
      </c>
      <c r="E88" s="188" t="str">
        <f>IF(OR(G83="",I83="",AND(G83=I83,OR(F83="",J83=""))),"Vencedor do 59",IF(G83=I83,IF(F83&gt;J83,E83,K83),IF(G83&gt;I83,E83,K83)))</f>
        <v>Argentina</v>
      </c>
      <c r="F88" s="189"/>
      <c r="G88" s="196">
        <v>0</v>
      </c>
      <c r="H88" s="197" t="s">
        <v>9</v>
      </c>
      <c r="I88" s="198">
        <v>2</v>
      </c>
      <c r="J88" s="189"/>
      <c r="K88" s="193" t="str">
        <f>IF(OR(I84="",G84="",AND(I84=G84,OR(J84="",F84=""))),"Vencedor do 60",IF(I84=G84,IF(J84&gt;F84,K84,E84),IF(I84&gt;G84,K84,E84)))</f>
        <v>Alemanha</v>
      </c>
      <c r="L88" s="194" t="s">
        <v>10</v>
      </c>
      <c r="M88" s="215">
        <v>62</v>
      </c>
      <c r="N88" s="18"/>
      <c r="O88" s="336"/>
      <c r="P88" s="336"/>
      <c r="Q88" s="336"/>
      <c r="R88" s="336"/>
      <c r="S88" s="336"/>
      <c r="T88" s="336"/>
      <c r="U88" s="336"/>
      <c r="V88" s="18"/>
      <c r="W88" s="5"/>
      <c r="X88" s="18"/>
    </row>
    <row r="89" spans="1:24" ht="15.75" customHeight="1" x14ac:dyDescent="0.2">
      <c r="A89" s="4"/>
      <c r="B89" s="5"/>
      <c r="C89" s="205"/>
      <c r="D89" s="206"/>
      <c r="E89" s="214"/>
      <c r="F89" s="209"/>
      <c r="G89" s="61"/>
      <c r="H89" s="61"/>
      <c r="I89" s="61"/>
      <c r="J89" s="61"/>
      <c r="K89" s="214"/>
      <c r="L89" s="210"/>
      <c r="M89" s="211"/>
      <c r="N89" s="18"/>
      <c r="O89" s="336"/>
      <c r="P89" s="336"/>
      <c r="Q89" s="336"/>
      <c r="R89" s="336"/>
      <c r="S89" s="336"/>
      <c r="T89" s="336"/>
      <c r="U89" s="336"/>
      <c r="V89" s="18"/>
      <c r="W89" s="5"/>
      <c r="X89" s="18"/>
    </row>
    <row r="90" spans="1:24" ht="15.75" customHeight="1" x14ac:dyDescent="0.2">
      <c r="A90" s="4"/>
      <c r="B90" s="5"/>
      <c r="C90" s="216" t="s">
        <v>62</v>
      </c>
      <c r="D90" s="217"/>
      <c r="E90" s="217"/>
      <c r="F90" s="218"/>
      <c r="G90" s="218"/>
      <c r="H90" s="218"/>
      <c r="I90" s="218"/>
      <c r="J90" s="218"/>
      <c r="K90" s="217"/>
      <c r="L90" s="219"/>
      <c r="M90" s="220"/>
      <c r="N90" s="18"/>
      <c r="O90" s="336"/>
      <c r="P90" s="336"/>
      <c r="Q90" s="336"/>
      <c r="R90" s="336"/>
      <c r="S90" s="336"/>
      <c r="T90" s="336"/>
      <c r="U90" s="336"/>
      <c r="V90" s="18"/>
      <c r="W90" s="5"/>
      <c r="X90" s="18"/>
    </row>
    <row r="91" spans="1:24" ht="19.5" customHeight="1" x14ac:dyDescent="0.2">
      <c r="A91" s="4"/>
      <c r="B91" s="5"/>
      <c r="C91" s="186">
        <v>43295</v>
      </c>
      <c r="D91" s="187">
        <v>0.45833333333333331</v>
      </c>
      <c r="E91" s="221" t="str">
        <f>IF(OR(G87="",I87="",AND(G87=I87,OR(F87="",J87="")))," ",IF(G87=I87,IF(F87&lt;J87,E87,K87),IF(G87&lt;I87,E87,K87)))</f>
        <v>França</v>
      </c>
      <c r="F91" s="189"/>
      <c r="G91" s="190">
        <v>3</v>
      </c>
      <c r="H91" s="191" t="s">
        <v>9</v>
      </c>
      <c r="I91" s="192">
        <v>1</v>
      </c>
      <c r="J91" s="189"/>
      <c r="K91" s="207" t="str">
        <f>IF(OR(I88="",G88="",AND(I88=G88,OR(J88="",F88=""))),"    ",IF(I88=G88,IF(J88&lt;F88,K88,E88),IF(I88&lt;G88,K88,E88)))</f>
        <v>Argentina</v>
      </c>
      <c r="L91" s="194" t="s">
        <v>22</v>
      </c>
      <c r="M91" s="222">
        <v>63</v>
      </c>
      <c r="N91" s="18"/>
      <c r="O91" s="336"/>
      <c r="P91" s="336"/>
      <c r="Q91" s="336"/>
      <c r="R91" s="336"/>
      <c r="S91" s="336"/>
      <c r="T91" s="336"/>
      <c r="U91" s="336"/>
      <c r="V91" s="18"/>
      <c r="W91" s="5"/>
      <c r="X91" s="18"/>
    </row>
    <row r="92" spans="1:24" ht="15.75" customHeight="1" x14ac:dyDescent="0.2">
      <c r="A92" s="4"/>
      <c r="B92" s="5"/>
      <c r="C92" s="18"/>
      <c r="D92" s="18"/>
      <c r="E92" s="18"/>
      <c r="F92" s="23"/>
      <c r="G92" s="23"/>
      <c r="H92" s="23"/>
      <c r="I92" s="23"/>
      <c r="J92" s="23"/>
      <c r="K92" s="18"/>
      <c r="L92" s="130"/>
      <c r="M92" s="211"/>
      <c r="N92" s="18"/>
      <c r="O92" s="18"/>
      <c r="P92" s="18"/>
      <c r="Q92" s="18"/>
      <c r="R92" s="18"/>
      <c r="S92" s="18"/>
      <c r="T92" s="18"/>
      <c r="U92" s="18"/>
      <c r="V92" s="18"/>
      <c r="W92" s="5"/>
      <c r="X92" s="18"/>
    </row>
    <row r="93" spans="1:24" ht="15.75" customHeight="1" x14ac:dyDescent="0.2">
      <c r="A93" s="4"/>
      <c r="B93" s="5"/>
      <c r="C93" s="223" t="s">
        <v>63</v>
      </c>
      <c r="D93" s="224"/>
      <c r="E93" s="224"/>
      <c r="F93" s="225"/>
      <c r="G93" s="225"/>
      <c r="H93" s="226"/>
      <c r="I93" s="226"/>
      <c r="J93" s="226"/>
      <c r="K93" s="227"/>
      <c r="L93" s="228"/>
      <c r="M93" s="229"/>
      <c r="N93" s="18"/>
      <c r="O93" s="18"/>
      <c r="P93" s="18"/>
      <c r="Q93" s="18"/>
      <c r="R93" s="18"/>
      <c r="S93" s="18"/>
      <c r="T93" s="18"/>
      <c r="U93" s="18"/>
      <c r="V93" s="18"/>
      <c r="W93" s="5"/>
      <c r="X93" s="18"/>
    </row>
    <row r="94" spans="1:24" ht="19.5" customHeight="1" x14ac:dyDescent="0.2">
      <c r="A94" s="4"/>
      <c r="B94" s="5"/>
      <c r="C94" s="230">
        <v>43296</v>
      </c>
      <c r="D94" s="231">
        <v>0.5</v>
      </c>
      <c r="E94" s="232" t="str">
        <f>IF(OR(G87="",I87="",AND(G87=I87,OR(F87="",J87=""))),"  ",IF(G87=I87,IF(F87&gt;J87,E87,K87),IF(G87&gt;I87,E87,K87)))</f>
        <v>Brasil</v>
      </c>
      <c r="F94" s="189"/>
      <c r="G94" s="190">
        <v>2</v>
      </c>
      <c r="H94" s="191" t="s">
        <v>9</v>
      </c>
      <c r="I94" s="192">
        <v>1</v>
      </c>
      <c r="J94" s="189"/>
      <c r="K94" s="232" t="str">
        <f>IF(OR(I88="",G88="",AND(I88=G88,OR(J88="",F88=""))),"  ",IF(I88=G88,IF(J88&gt;F88,K88,E88),IF(I88&gt;G88,K88,E88)))</f>
        <v>Alemanha</v>
      </c>
      <c r="L94" s="194" t="s">
        <v>10</v>
      </c>
      <c r="M94" s="233">
        <v>64</v>
      </c>
      <c r="N94" s="18"/>
      <c r="O94" s="18"/>
      <c r="P94" s="18"/>
      <c r="Q94" s="18"/>
      <c r="R94" s="18"/>
      <c r="S94" s="18"/>
      <c r="T94" s="18"/>
      <c r="U94" s="18"/>
      <c r="V94" s="18"/>
      <c r="W94" s="5"/>
      <c r="X94" s="18"/>
    </row>
    <row r="95" spans="1:24" ht="15.75" customHeight="1" x14ac:dyDescent="0.2">
      <c r="A95" s="4"/>
      <c r="B95" s="5"/>
      <c r="C95" s="18"/>
      <c r="D95" s="18"/>
      <c r="E95" s="18"/>
      <c r="F95" s="18"/>
      <c r="G95" s="18"/>
      <c r="H95" s="18"/>
      <c r="I95" s="18"/>
      <c r="J95" s="18"/>
      <c r="K95" s="18"/>
      <c r="L95" s="130"/>
      <c r="M95" s="18"/>
      <c r="N95" s="18"/>
      <c r="O95" s="18"/>
      <c r="P95" s="18"/>
      <c r="Q95" s="362" t="s">
        <v>4</v>
      </c>
      <c r="R95" s="314"/>
      <c r="S95" s="309"/>
      <c r="T95" s="18"/>
      <c r="U95" s="18"/>
      <c r="V95" s="18"/>
      <c r="W95" s="5"/>
      <c r="X95" s="18"/>
    </row>
    <row r="96" spans="1:24" ht="12.75" customHeight="1" x14ac:dyDescent="0.2">
      <c r="A96" s="10"/>
      <c r="B96" s="11"/>
      <c r="C96" s="234"/>
      <c r="D96" s="234"/>
      <c r="E96" s="234"/>
      <c r="F96" s="234"/>
      <c r="G96" s="234"/>
      <c r="H96" s="234"/>
      <c r="I96" s="234"/>
      <c r="J96" s="234"/>
      <c r="K96" s="234"/>
      <c r="L96" s="234"/>
      <c r="M96" s="234"/>
      <c r="N96" s="234"/>
      <c r="O96" s="234"/>
      <c r="P96" s="234"/>
      <c r="Q96" s="361" t="s">
        <v>64</v>
      </c>
      <c r="R96" s="311"/>
      <c r="S96" s="312"/>
      <c r="T96" s="234"/>
      <c r="U96" s="234"/>
      <c r="V96" s="234"/>
      <c r="W96" s="5"/>
      <c r="X96" s="18"/>
    </row>
    <row r="97" spans="1:24" ht="12.75" customHeight="1" x14ac:dyDescent="0.2">
      <c r="A97" s="235"/>
      <c r="B97" s="236"/>
      <c r="C97" s="237"/>
      <c r="D97" s="238"/>
      <c r="E97" s="238"/>
      <c r="F97" s="238"/>
      <c r="G97" s="238"/>
      <c r="H97" s="238"/>
      <c r="I97" s="238"/>
      <c r="J97" s="238"/>
      <c r="K97" s="239"/>
      <c r="L97" s="239"/>
      <c r="M97" s="239"/>
      <c r="N97" s="239"/>
      <c r="O97" s="239"/>
      <c r="P97" s="240"/>
      <c r="Q97" s="240"/>
      <c r="R97" s="240"/>
      <c r="S97" s="240"/>
      <c r="T97" s="240"/>
      <c r="U97" s="238"/>
      <c r="V97" s="239"/>
      <c r="W97" s="5"/>
      <c r="X97" s="18"/>
    </row>
    <row r="98" spans="1:24" ht="12.75" customHeight="1" x14ac:dyDescent="0.2">
      <c r="A98" s="4"/>
      <c r="B98" s="5"/>
      <c r="C98" s="241"/>
      <c r="D98" s="242"/>
      <c r="E98" s="242"/>
      <c r="F98" s="242"/>
      <c r="G98" s="242"/>
      <c r="H98" s="242"/>
      <c r="I98" s="242"/>
      <c r="J98" s="242"/>
      <c r="K98" s="243" t="s">
        <v>65</v>
      </c>
      <c r="L98" s="244"/>
      <c r="M98" s="244"/>
      <c r="N98" s="244"/>
      <c r="O98" s="244"/>
      <c r="P98" s="359" t="s">
        <v>66</v>
      </c>
      <c r="Q98" s="336"/>
      <c r="R98" s="336"/>
      <c r="S98" s="336"/>
      <c r="T98" s="336"/>
      <c r="U98" s="242"/>
      <c r="V98" s="244"/>
      <c r="W98" s="5"/>
      <c r="X98" s="18"/>
    </row>
    <row r="99" spans="1:24" ht="12.75" customHeight="1" x14ac:dyDescent="0.2">
      <c r="A99" s="4"/>
      <c r="B99" s="5"/>
      <c r="C99" s="242"/>
      <c r="D99" s="242"/>
      <c r="E99" s="242"/>
      <c r="F99" s="242"/>
      <c r="G99" s="242"/>
      <c r="H99" s="242"/>
      <c r="I99" s="242"/>
      <c r="J99" s="245"/>
      <c r="K99" s="308" t="s">
        <v>1</v>
      </c>
      <c r="L99" s="309"/>
      <c r="M99" s="246"/>
      <c r="N99" s="246"/>
      <c r="O99" s="244"/>
      <c r="P99" s="18"/>
      <c r="Q99" s="18"/>
      <c r="R99" s="18"/>
      <c r="S99" s="18"/>
      <c r="T99" s="18"/>
      <c r="U99" s="245"/>
      <c r="V99" s="244"/>
      <c r="W99" s="5"/>
      <c r="X99" s="18"/>
    </row>
    <row r="100" spans="1:24" ht="12.75" customHeight="1" x14ac:dyDescent="0.2">
      <c r="A100" s="4"/>
      <c r="B100" s="5"/>
      <c r="C100" s="242"/>
      <c r="D100" s="242"/>
      <c r="E100" s="242"/>
      <c r="F100" s="242"/>
      <c r="G100" s="242"/>
      <c r="H100" s="242"/>
      <c r="I100" s="242"/>
      <c r="J100" s="242"/>
      <c r="K100" s="244"/>
      <c r="L100" s="244"/>
      <c r="M100" s="244"/>
      <c r="N100" s="244"/>
      <c r="O100" s="244"/>
      <c r="P100" s="358" t="s">
        <v>67</v>
      </c>
      <c r="Q100" s="336"/>
      <c r="R100" s="336"/>
      <c r="S100" s="336"/>
      <c r="T100" s="336"/>
      <c r="U100" s="242"/>
      <c r="V100" s="244"/>
      <c r="W100" s="5"/>
      <c r="X100" s="18"/>
    </row>
    <row r="101" spans="1:24" ht="20.25" customHeight="1" x14ac:dyDescent="0.2">
      <c r="A101" s="4"/>
      <c r="B101" s="5"/>
      <c r="C101" s="247"/>
      <c r="D101" s="247"/>
      <c r="E101" s="248"/>
      <c r="F101" s="247"/>
      <c r="G101" s="247"/>
      <c r="H101" s="247"/>
      <c r="I101" s="247"/>
      <c r="J101" s="247"/>
      <c r="K101" s="249"/>
      <c r="L101" s="249"/>
      <c r="M101" s="249"/>
      <c r="N101" s="249"/>
      <c r="O101" s="247"/>
      <c r="P101" s="247"/>
      <c r="Q101" s="247"/>
      <c r="R101" s="247"/>
      <c r="S101" s="247"/>
      <c r="T101" s="247"/>
      <c r="U101" s="247"/>
      <c r="V101" s="247"/>
      <c r="W101" s="5"/>
      <c r="X101" s="18"/>
    </row>
    <row r="102" spans="1:24" ht="12.75" customHeight="1" x14ac:dyDescent="0.2">
      <c r="A102" s="18"/>
      <c r="B102" s="5"/>
      <c r="C102" s="18"/>
      <c r="D102" s="18"/>
      <c r="E102" s="130"/>
      <c r="F102" s="18"/>
      <c r="G102" s="18"/>
      <c r="H102" s="18"/>
      <c r="I102" s="18"/>
      <c r="J102" s="18"/>
      <c r="K102" s="130"/>
      <c r="L102" s="19" t="s">
        <v>68</v>
      </c>
      <c r="M102" s="19"/>
      <c r="N102" s="18"/>
      <c r="O102" s="18"/>
      <c r="P102" s="18"/>
      <c r="Q102" s="18"/>
      <c r="R102" s="18"/>
      <c r="S102" s="18"/>
      <c r="T102" s="18"/>
      <c r="U102" s="18"/>
      <c r="V102" s="18"/>
      <c r="W102" s="5"/>
      <c r="X102" s="18"/>
    </row>
  </sheetData>
  <mergeCells count="41">
    <mergeCell ref="O78:V78"/>
    <mergeCell ref="O81:U82"/>
    <mergeCell ref="P100:T100"/>
    <mergeCell ref="P98:T98"/>
    <mergeCell ref="O83:U91"/>
    <mergeCell ref="Q96:S96"/>
    <mergeCell ref="Q95:S95"/>
    <mergeCell ref="X19:X20"/>
    <mergeCell ref="N22:V22"/>
    <mergeCell ref="N77:V77"/>
    <mergeCell ref="N30:V30"/>
    <mergeCell ref="N14:V14"/>
    <mergeCell ref="N46:V46"/>
    <mergeCell ref="N38:V38"/>
    <mergeCell ref="N54:V54"/>
    <mergeCell ref="N62:V62"/>
    <mergeCell ref="N6:V6"/>
    <mergeCell ref="C2:J2"/>
    <mergeCell ref="N2:V2"/>
    <mergeCell ref="C5:E5"/>
    <mergeCell ref="G5:I5"/>
    <mergeCell ref="N3:V3"/>
    <mergeCell ref="C3:J3"/>
    <mergeCell ref="C13:E13"/>
    <mergeCell ref="G13:I13"/>
    <mergeCell ref="C29:E29"/>
    <mergeCell ref="G29:I29"/>
    <mergeCell ref="C37:E37"/>
    <mergeCell ref="G21:I21"/>
    <mergeCell ref="G37:I37"/>
    <mergeCell ref="K99:L99"/>
    <mergeCell ref="G70:I70"/>
    <mergeCell ref="G80:I80"/>
    <mergeCell ref="C61:E61"/>
    <mergeCell ref="C21:E21"/>
    <mergeCell ref="G86:I86"/>
    <mergeCell ref="G61:I61"/>
    <mergeCell ref="C53:E53"/>
    <mergeCell ref="G45:I45"/>
    <mergeCell ref="G53:I53"/>
    <mergeCell ref="C45:E45"/>
  </mergeCells>
  <conditionalFormatting sqref="J71:J78 J81:J84 J87:J88 J91 J94">
    <cfRule type="expression" dxfId="31" priority="1" stopIfTrue="1">
      <formula>IF(AND(#REF!=#REF!,#REF!&lt;&gt;"",#REF!&lt;&gt;""),1,0)</formula>
    </cfRule>
  </conditionalFormatting>
  <conditionalFormatting sqref="O8:V11 O16:V19 O24:V27 O32:V35 O40:V43 O48:V51 O56:V59 O64:V67">
    <cfRule type="cellIs" dxfId="30" priority="2" stopIfTrue="1" operator="greaterThan">
      <formula>0</formula>
    </cfRule>
  </conditionalFormatting>
  <conditionalFormatting sqref="O8:V11 O16:V19 O24:V27 O32:V35 O40:V43 O48:V51 O56:V59 O64:V67">
    <cfRule type="cellIs" dxfId="29" priority="3" stopIfTrue="1" operator="lessThan">
      <formula>0</formula>
    </cfRule>
  </conditionalFormatting>
  <conditionalFormatting sqref="F71">
    <cfRule type="expression" dxfId="28" priority="4" stopIfTrue="1">
      <formula>IF(AND(G71=I71,G71&lt;&gt;"",I71&lt;&gt;""),1,0)</formula>
    </cfRule>
  </conditionalFormatting>
  <conditionalFormatting sqref="F71">
    <cfRule type="expression" dxfId="27" priority="5" stopIfTrue="1">
      <formula>IF(AND(G71=I71,G71&lt;&gt;"",I71&lt;&gt;""),1,0)</formula>
    </cfRule>
  </conditionalFormatting>
  <conditionalFormatting sqref="F71:F78">
    <cfRule type="expression" dxfId="26" priority="6" stopIfTrue="1">
      <formula>IF(AND(G71=I71,G71&lt;&gt;"",I71&lt;&gt;""),1,0)</formula>
    </cfRule>
  </conditionalFormatting>
  <conditionalFormatting sqref="J71:J78">
    <cfRule type="expression" dxfId="25" priority="7" stopIfTrue="1">
      <formula>IF(AND(G71=I71,G71&lt;&gt;"",I71&lt;&gt;""),1,0)</formula>
    </cfRule>
  </conditionalFormatting>
  <conditionalFormatting sqref="F81:F84">
    <cfRule type="expression" dxfId="24" priority="8" stopIfTrue="1">
      <formula>IF(AND(G81=I81,G81&lt;&gt;"",I81&lt;&gt;""),1,0)</formula>
    </cfRule>
  </conditionalFormatting>
  <conditionalFormatting sqref="J81:J84">
    <cfRule type="expression" dxfId="23" priority="9" stopIfTrue="1">
      <formula>IF(AND(G81=I81,G81&lt;&gt;"",I81&lt;&gt;""),1,0)</formula>
    </cfRule>
  </conditionalFormatting>
  <conditionalFormatting sqref="F87:F88">
    <cfRule type="expression" dxfId="22" priority="10" stopIfTrue="1">
      <formula>IF(AND(G87=I87,G87&lt;&gt;"",I87&lt;&gt;""),1,0)</formula>
    </cfRule>
  </conditionalFormatting>
  <conditionalFormatting sqref="J87:J88">
    <cfRule type="expression" dxfId="21" priority="11" stopIfTrue="1">
      <formula>IF(AND(G87=I87,G87&lt;&gt;"",I87&lt;&gt;""),1,0)</formula>
    </cfRule>
  </conditionalFormatting>
  <conditionalFormatting sqref="F91">
    <cfRule type="expression" dxfId="20" priority="12" stopIfTrue="1">
      <formula>IF(AND(G91=I91,G91&lt;&gt;"",I91&lt;&gt;""),1,0)</formula>
    </cfRule>
  </conditionalFormatting>
  <conditionalFormatting sqref="J91">
    <cfRule type="expression" dxfId="19" priority="13" stopIfTrue="1">
      <formula>IF(AND(G91=I91,G91&lt;&gt;"",I91&lt;&gt;""),1,0)</formula>
    </cfRule>
  </conditionalFormatting>
  <conditionalFormatting sqref="F94">
    <cfRule type="expression" dxfId="18" priority="14" stopIfTrue="1">
      <formula>IF(AND(G94=I94,G94&lt;&gt;"",I94&lt;&gt;""),1,0)</formula>
    </cfRule>
  </conditionalFormatting>
  <conditionalFormatting sqref="J94">
    <cfRule type="expression" dxfId="17" priority="15" stopIfTrue="1">
      <formula>IF(AND(G94=I94,G94&lt;&gt;"",I94&lt;&gt;""),1,0)</formula>
    </cfRule>
  </conditionalFormatting>
  <conditionalFormatting sqref="N8">
    <cfRule type="expression" dxfId="16" priority="16">
      <formula>$P$8=3</formula>
    </cfRule>
  </conditionalFormatting>
  <conditionalFormatting sqref="N9">
    <cfRule type="expression" dxfId="15" priority="17">
      <formula>$P$9=3</formula>
    </cfRule>
  </conditionalFormatting>
  <conditionalFormatting sqref="N16">
    <cfRule type="expression" dxfId="14" priority="18">
      <formula>$P$16=3</formula>
    </cfRule>
  </conditionalFormatting>
  <conditionalFormatting sqref="N17">
    <cfRule type="expression" dxfId="13" priority="19">
      <formula>$P$17=3</formula>
    </cfRule>
  </conditionalFormatting>
  <conditionalFormatting sqref="N24">
    <cfRule type="expression" dxfId="12" priority="20">
      <formula>$P$24=3</formula>
    </cfRule>
  </conditionalFormatting>
  <conditionalFormatting sqref="N25">
    <cfRule type="expression" dxfId="11" priority="21">
      <formula>$P$25=3</formula>
    </cfRule>
  </conditionalFormatting>
  <conditionalFormatting sqref="N32">
    <cfRule type="expression" dxfId="10" priority="22">
      <formula>$P$32=3</formula>
    </cfRule>
  </conditionalFormatting>
  <conditionalFormatting sqref="N33">
    <cfRule type="expression" dxfId="9" priority="23">
      <formula>$P$33=3</formula>
    </cfRule>
  </conditionalFormatting>
  <conditionalFormatting sqref="N40">
    <cfRule type="expression" dxfId="8" priority="24">
      <formula>$P$40=3</formula>
    </cfRule>
  </conditionalFormatting>
  <conditionalFormatting sqref="N41">
    <cfRule type="expression" dxfId="7" priority="25">
      <formula>$P$41=3</formula>
    </cfRule>
  </conditionalFormatting>
  <conditionalFormatting sqref="N48">
    <cfRule type="expression" dxfId="6" priority="26">
      <formula>$P$48=3</formula>
    </cfRule>
  </conditionalFormatting>
  <conditionalFormatting sqref="N49">
    <cfRule type="expression" dxfId="5" priority="27">
      <formula>$P$49=3</formula>
    </cfRule>
  </conditionalFormatting>
  <conditionalFormatting sqref="N56">
    <cfRule type="expression" dxfId="4" priority="28">
      <formula>$P$56=3</formula>
    </cfRule>
  </conditionalFormatting>
  <conditionalFormatting sqref="N57">
    <cfRule type="expression" dxfId="3" priority="29">
      <formula>$P$57=3</formula>
    </cfRule>
  </conditionalFormatting>
  <conditionalFormatting sqref="N64">
    <cfRule type="expression" dxfId="2" priority="30">
      <formula>$P$64=3</formula>
    </cfRule>
  </conditionalFormatting>
  <conditionalFormatting sqref="N65">
    <cfRule type="expression" dxfId="1" priority="31">
      <formula>$P$65=3</formula>
    </cfRule>
  </conditionalFormatting>
  <conditionalFormatting sqref="F94 F81:F84 F87:F88 F91 F72:F78">
    <cfRule type="expression" dxfId="0" priority="32" stopIfTrue="1">
      <formula>IF(AND(#REF!=C1,#REF!&lt;&gt;"",C1&lt;&gt;""),1,0)</formula>
    </cfRule>
  </conditionalFormatting>
  <hyperlinks>
    <hyperlink ref="N2" r:id="rId1"/>
    <hyperlink ref="L3" r:id="rId2"/>
    <hyperlink ref="X3" r:id="rId3"/>
    <hyperlink ref="X6" r:id="rId4"/>
    <hyperlink ref="X8" r:id="rId5"/>
    <hyperlink ref="X10" r:id="rId6"/>
    <hyperlink ref="X12" r:id="rId7"/>
    <hyperlink ref="X15" r:id="rId8"/>
    <hyperlink ref="X16" r:id="rId9"/>
    <hyperlink ref="K99" r:id="rId10"/>
  </hyperlinks>
  <printOptions horizontalCentered="1"/>
  <pageMargins left="0.39374999999999999" right="0.39374999999999999" top="0.59027777777777779" bottom="0.78749999999999998" header="0" footer="0"/>
  <pageSetup paperSize="9" scale="87" orientation="portrait"/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"/>
  <sheetViews>
    <sheetView workbookViewId="0"/>
  </sheetViews>
  <sheetFormatPr defaultColWidth="14.42578125" defaultRowHeight="15" customHeight="1" x14ac:dyDescent="0.2"/>
  <cols>
    <col min="1" max="1" width="8.7109375" customWidth="1"/>
    <col min="2" max="2" width="75.42578125" customWidth="1"/>
    <col min="3" max="11" width="8.7109375" customWidth="1"/>
  </cols>
  <sheetData>
    <row r="1" spans="2:2" ht="12.75" customHeight="1" x14ac:dyDescent="0.2"/>
    <row r="2" spans="2:2" ht="12.75" customHeight="1" x14ac:dyDescent="0.2">
      <c r="B2" s="250" t="s">
        <v>69</v>
      </c>
    </row>
    <row r="3" spans="2:2" ht="30.75" customHeight="1" x14ac:dyDescent="0.2">
      <c r="B3" s="251" t="s">
        <v>70</v>
      </c>
    </row>
    <row r="4" spans="2:2" ht="27.75" customHeight="1" x14ac:dyDescent="0.2">
      <c r="B4" s="8" t="s">
        <v>71</v>
      </c>
    </row>
    <row r="5" spans="2:2" ht="51" customHeight="1" x14ac:dyDescent="0.2">
      <c r="B5" s="252" t="s">
        <v>72</v>
      </c>
    </row>
    <row r="6" spans="2:2" ht="12.75" customHeight="1" x14ac:dyDescent="0.2">
      <c r="B6" s="253" t="s">
        <v>73</v>
      </c>
    </row>
    <row r="7" spans="2:2" ht="12.75" customHeight="1" x14ac:dyDescent="0.2"/>
    <row r="8" spans="2:2" ht="12.75" customHeight="1" x14ac:dyDescent="0.2"/>
    <row r="9" spans="2:2" ht="12.75" customHeight="1" x14ac:dyDescent="0.2"/>
    <row r="10" spans="2:2" ht="12.75" customHeight="1" x14ac:dyDescent="0.2"/>
    <row r="11" spans="2:2" ht="12.75" customHeight="1" x14ac:dyDescent="0.2"/>
    <row r="12" spans="2:2" ht="12.75" customHeight="1" x14ac:dyDescent="0.2"/>
    <row r="13" spans="2:2" ht="12.75" customHeight="1" x14ac:dyDescent="0.2"/>
    <row r="14" spans="2:2" ht="12.75" customHeight="1" x14ac:dyDescent="0.2"/>
    <row r="15" spans="2:2" ht="12.75" customHeight="1" x14ac:dyDescent="0.2"/>
    <row r="16" spans="2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hyperlinks>
    <hyperlink ref="B3" r:id="rId1"/>
    <hyperlink ref="B6" r:id="rId2"/>
  </hyperlink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"/>
  <sheetViews>
    <sheetView showGridLines="0" workbookViewId="0"/>
  </sheetViews>
  <sheetFormatPr defaultColWidth="14.42578125" defaultRowHeight="15" customHeight="1" x14ac:dyDescent="0.2"/>
  <cols>
    <col min="1" max="1" width="24.28515625" customWidth="1"/>
    <col min="2" max="2" width="3" customWidth="1"/>
    <col min="3" max="3" width="1.85546875" customWidth="1"/>
    <col min="4" max="4" width="2.140625" customWidth="1"/>
    <col min="5" max="5" width="1.85546875" customWidth="1"/>
    <col min="6" max="6" width="2" customWidth="1"/>
    <col min="7" max="7" width="3" customWidth="1"/>
    <col min="8" max="10" width="3.140625" customWidth="1"/>
    <col min="11" max="11" width="15.85546875" customWidth="1"/>
    <col min="12" max="12" width="2.7109375" customWidth="1"/>
    <col min="13" max="13" width="2" customWidth="1"/>
    <col min="14" max="14" width="14.42578125" customWidth="1"/>
    <col min="15" max="15" width="2.28515625" customWidth="1"/>
    <col min="16" max="16" width="2.5703125" customWidth="1"/>
    <col min="17" max="17" width="12.85546875" customWidth="1"/>
    <col min="18" max="18" width="2.7109375" customWidth="1"/>
    <col min="19" max="19" width="3.140625" customWidth="1"/>
    <col min="20" max="20" width="2.28515625" customWidth="1"/>
    <col min="21" max="21" width="13.85546875" customWidth="1"/>
    <col min="22" max="22" width="2.7109375" customWidth="1"/>
    <col min="23" max="23" width="3.140625" customWidth="1"/>
    <col min="24" max="24" width="12" customWidth="1"/>
    <col min="25" max="25" width="2.7109375" customWidth="1"/>
    <col min="26" max="26" width="3.140625" customWidth="1"/>
    <col min="27" max="27" width="2.85546875" customWidth="1"/>
    <col min="28" max="28" width="10.140625" customWidth="1"/>
    <col min="29" max="29" width="2.7109375" customWidth="1"/>
    <col min="30" max="30" width="3.140625" customWidth="1"/>
    <col min="31" max="31" width="3" customWidth="1"/>
    <col min="32" max="32" width="10.140625" customWidth="1"/>
    <col min="33" max="33" width="2.7109375" customWidth="1"/>
    <col min="34" max="34" width="3.140625" customWidth="1"/>
    <col min="35" max="35" width="3" customWidth="1"/>
    <col min="36" max="36" width="10.140625" customWidth="1"/>
    <col min="37" max="37" width="2.7109375" customWidth="1"/>
    <col min="38" max="38" width="3.140625" customWidth="1"/>
    <col min="39" max="39" width="3" customWidth="1"/>
    <col min="40" max="40" width="10.140625" customWidth="1"/>
    <col min="41" max="41" width="8.85546875" customWidth="1"/>
    <col min="42" max="42" width="8" customWidth="1"/>
    <col min="43" max="43" width="7.85546875" customWidth="1"/>
    <col min="44" max="44" width="21.85546875" customWidth="1"/>
  </cols>
  <sheetData>
    <row r="1" spans="1:44" ht="14.25" customHeight="1" x14ac:dyDescent="0.2">
      <c r="A1" s="254" t="s">
        <v>1</v>
      </c>
      <c r="B1" s="255"/>
      <c r="C1" s="255"/>
      <c r="D1" s="255"/>
      <c r="E1" s="255"/>
      <c r="F1" s="255"/>
      <c r="G1" s="256"/>
      <c r="H1" s="257">
        <v>2014</v>
      </c>
      <c r="I1" s="256"/>
      <c r="J1" s="255"/>
      <c r="K1" s="258">
        <v>2014</v>
      </c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5"/>
      <c r="AI1" s="255"/>
      <c r="AJ1" s="255"/>
      <c r="AK1" s="255"/>
      <c r="AL1" s="255"/>
      <c r="AM1" s="255"/>
      <c r="AN1" s="255"/>
      <c r="AO1" s="259"/>
      <c r="AP1" s="5"/>
      <c r="AQ1" s="5"/>
      <c r="AR1" s="18"/>
    </row>
    <row r="2" spans="1:44" ht="14.25" customHeight="1" x14ac:dyDescent="0.2">
      <c r="A2" s="260"/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261"/>
      <c r="AQ2" s="261"/>
      <c r="AR2" s="19"/>
    </row>
    <row r="3" spans="1:44" ht="14.25" customHeight="1" x14ac:dyDescent="0.2">
      <c r="A3" s="260"/>
      <c r="B3" s="366" t="s">
        <v>74</v>
      </c>
      <c r="C3" s="314"/>
      <c r="D3" s="314"/>
      <c r="E3" s="314"/>
      <c r="F3" s="314"/>
      <c r="G3" s="314"/>
      <c r="H3" s="314"/>
      <c r="I3" s="309"/>
      <c r="J3" s="261"/>
      <c r="K3" s="261" t="s">
        <v>75</v>
      </c>
      <c r="L3" s="261"/>
      <c r="M3" s="261"/>
      <c r="N3" s="261" t="s">
        <v>76</v>
      </c>
      <c r="O3" s="261"/>
      <c r="P3" s="261"/>
      <c r="Q3" s="261" t="s">
        <v>77</v>
      </c>
      <c r="R3" s="261"/>
      <c r="S3" s="261"/>
      <c r="T3" s="261"/>
      <c r="U3" s="261" t="s">
        <v>77</v>
      </c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61"/>
      <c r="AQ3" s="261"/>
      <c r="AR3" s="19"/>
    </row>
    <row r="4" spans="1:44" ht="14.25" customHeight="1" x14ac:dyDescent="0.2">
      <c r="A4" s="262" t="s">
        <v>78</v>
      </c>
      <c r="B4" s="263" t="s">
        <v>14</v>
      </c>
      <c r="C4" s="264" t="s">
        <v>15</v>
      </c>
      <c r="D4" s="264" t="s">
        <v>16</v>
      </c>
      <c r="E4" s="264" t="s">
        <v>17</v>
      </c>
      <c r="F4" s="264" t="s">
        <v>18</v>
      </c>
      <c r="G4" s="264" t="s">
        <v>19</v>
      </c>
      <c r="H4" s="264" t="s">
        <v>20</v>
      </c>
      <c r="I4" s="264" t="s">
        <v>21</v>
      </c>
      <c r="J4" s="265"/>
      <c r="K4" s="261"/>
      <c r="L4" s="261" t="s">
        <v>14</v>
      </c>
      <c r="M4" s="261"/>
      <c r="N4" s="261"/>
      <c r="O4" s="261" t="s">
        <v>79</v>
      </c>
      <c r="P4" s="261"/>
      <c r="Q4" s="261"/>
      <c r="R4" s="261" t="s">
        <v>14</v>
      </c>
      <c r="S4" s="261" t="s">
        <v>21</v>
      </c>
      <c r="T4" s="261"/>
      <c r="U4" s="261"/>
      <c r="V4" s="261" t="s">
        <v>14</v>
      </c>
      <c r="W4" s="261" t="s">
        <v>21</v>
      </c>
      <c r="X4" s="261"/>
      <c r="Y4" s="261" t="s">
        <v>14</v>
      </c>
      <c r="Z4" s="261" t="s">
        <v>21</v>
      </c>
      <c r="AA4" s="261"/>
      <c r="AB4" s="261"/>
      <c r="AC4" s="261" t="s">
        <v>14</v>
      </c>
      <c r="AD4" s="261" t="s">
        <v>21</v>
      </c>
      <c r="AE4" s="261" t="s">
        <v>19</v>
      </c>
      <c r="AF4" s="261"/>
      <c r="AG4" s="261" t="s">
        <v>14</v>
      </c>
      <c r="AH4" s="261" t="s">
        <v>21</v>
      </c>
      <c r="AI4" s="261" t="s">
        <v>19</v>
      </c>
      <c r="AJ4" s="261"/>
      <c r="AK4" s="261" t="s">
        <v>14</v>
      </c>
      <c r="AL4" s="261" t="s">
        <v>21</v>
      </c>
      <c r="AM4" s="261" t="s">
        <v>19</v>
      </c>
      <c r="AN4" s="261"/>
      <c r="AO4" s="266" t="s">
        <v>14</v>
      </c>
      <c r="AP4" s="266" t="s">
        <v>21</v>
      </c>
      <c r="AQ4" s="266" t="s">
        <v>19</v>
      </c>
      <c r="AR4" s="19"/>
    </row>
    <row r="5" spans="1:44" ht="14.25" customHeight="1" x14ac:dyDescent="0.2">
      <c r="A5" s="267" t="str">
        <f>time!A1</f>
        <v>Rússia</v>
      </c>
      <c r="B5" s="268">
        <f>IF(Jogo!Copa=FIFA,SUM(D5*3)+E5,0)</f>
        <v>3</v>
      </c>
      <c r="C5" s="269">
        <f>COUNT(Tabela!G6,Tabela!G8,Tabela!I10)</f>
        <v>3</v>
      </c>
      <c r="D5" s="269">
        <f>SUM(IF(Tabela!$G$6&gt;Tabela!$I$6,COUNT(Tabela!$G$6)),IF(Tabela!$G$8&gt;Tabela!$I$8,COUNT(Tabela!$G$8)),IF(Tabela!$I$10&gt;Tabela!$G$10,COUNT(Tabela!$I$10)))</f>
        <v>1</v>
      </c>
      <c r="E5" s="269">
        <f>SUM(IF(Tabela!$G$6=Tabela!$I$6,COUNT(Tabela!$G$6)),IF(Tabela!$G$8=Tabela!$I$8,COUNT(Tabela!$G$8)),IF(Tabela!$I$10=Tabela!$G$10,COUNT(Tabela!$G$10)))</f>
        <v>0</v>
      </c>
      <c r="F5" s="269">
        <f>SUM(IF(Tabela!$G$6&lt;Tabela!$I$6,COUNT(Tabela!$G$6)),IF(Tabela!$G$8&lt;Tabela!$I$8,COUNT(Tabela!$G$8)),IF(Tabela!$I$10&lt;Tabela!$G$10,COUNT(Tabela!$G$10)))</f>
        <v>2</v>
      </c>
      <c r="G5" s="269">
        <f>SUM(Tabela!G6+Tabela!G8+Tabela!I10)</f>
        <v>4</v>
      </c>
      <c r="H5" s="269">
        <f>SUM(Tabela!I6+Tabela!I8+Tabela!G10)</f>
        <v>5</v>
      </c>
      <c r="I5" s="269">
        <f>IF(BR20I4=Tabela!C2,SUM(G5-H5),"X")</f>
        <v>-1</v>
      </c>
      <c r="J5" s="270"/>
      <c r="K5" s="261" t="str">
        <f>IF($B5&gt;=$B6,$A5,$A6)</f>
        <v>Rússia</v>
      </c>
      <c r="L5" s="261">
        <f t="shared" ref="L5:L8" si="0">VLOOKUP(K5,$A$5:$I$8,2,FALSE)</f>
        <v>3</v>
      </c>
      <c r="M5" s="261"/>
      <c r="N5" s="261" t="str">
        <f t="shared" ref="N5:N6" si="1">IF(L5&gt;=L7,K5,K7)</f>
        <v>Uruguai</v>
      </c>
      <c r="O5" s="261">
        <f t="shared" ref="O5:O8" si="2">VLOOKUP(N5,$A$5:$I$8,2,FALSE)</f>
        <v>9</v>
      </c>
      <c r="P5" s="261"/>
      <c r="Q5" s="261" t="str">
        <f>IF(O5&gt;=O8,N5,N8)</f>
        <v>Uruguai</v>
      </c>
      <c r="R5" s="261">
        <f t="shared" ref="R5:R8" si="3">VLOOKUP(Q5,$A$5:$I$8,2,FALSE)</f>
        <v>9</v>
      </c>
      <c r="S5" s="261">
        <f t="shared" ref="S5:S8" si="4">VLOOKUP(Q5,$A$5:$I$8,9,FALSE)</f>
        <v>6</v>
      </c>
      <c r="T5" s="261"/>
      <c r="U5" s="261" t="str">
        <f>IF(AND(R5=R6,S6&gt;S5),Q6,Q5)</f>
        <v>Uruguai</v>
      </c>
      <c r="V5" s="261">
        <f t="shared" ref="V5:V8" si="5">VLOOKUP(U5,$A$5:$I$8,2,FALSE)</f>
        <v>9</v>
      </c>
      <c r="W5" s="261">
        <f t="shared" ref="W5:W8" si="6">VLOOKUP(U5,$A$5:$I$8,9,FALSE)</f>
        <v>6</v>
      </c>
      <c r="X5" s="261" t="str">
        <f t="shared" ref="X5:X6" si="7">IF(AND(V5=V7,W7&gt;W5),U7,U5)</f>
        <v>Uruguai</v>
      </c>
      <c r="Y5" s="261">
        <f t="shared" ref="Y5:Y8" si="8">VLOOKUP(X5,$A$5:$I$8,2,FALSE)</f>
        <v>9</v>
      </c>
      <c r="Z5" s="261">
        <f t="shared" ref="Z5:Z8" si="9">VLOOKUP(X5,$A$5:$I$8,9,FALSE)</f>
        <v>6</v>
      </c>
      <c r="AA5" s="261"/>
      <c r="AB5" s="261" t="str">
        <f>IF(AND(Y5=Y8,Z8&gt;Z5),X8,X5)</f>
        <v>Uruguai</v>
      </c>
      <c r="AC5" s="261">
        <f t="shared" ref="AC5:AC8" si="10">VLOOKUP(AB5,$A$5:$I$8,2,FALSE)</f>
        <v>9</v>
      </c>
      <c r="AD5" s="261">
        <f t="shared" ref="AD5:AD8" si="11">VLOOKUP(AB5,$A$5:$I$8,9,FALSE)</f>
        <v>6</v>
      </c>
      <c r="AE5" s="261">
        <f t="shared" ref="AE5:AE8" si="12">VLOOKUP(AB5,$A$5:$I$8,7,FALSE)</f>
        <v>6</v>
      </c>
      <c r="AF5" s="261" t="str">
        <f>IF(AND(AC5=AC6,AD5=AD6,AE6&gt;AE5),AB6,AB5)</f>
        <v>Uruguai</v>
      </c>
      <c r="AG5" s="261">
        <f t="shared" ref="AG5:AG8" si="13">VLOOKUP(AF5,$A$5:$I$8,2,FALSE)</f>
        <v>9</v>
      </c>
      <c r="AH5" s="261">
        <f t="shared" ref="AH5:AH8" si="14">VLOOKUP(AF5,$A$5:$I$8,9,FALSE)</f>
        <v>6</v>
      </c>
      <c r="AI5" s="261">
        <f t="shared" ref="AI5:AI8" si="15">VLOOKUP(AF5,$A$5:$I$8,7,FALSE)</f>
        <v>6</v>
      </c>
      <c r="AJ5" s="261" t="str">
        <f t="shared" ref="AJ5:AJ6" si="16">IF(AND(AG5=AG7,AH5=AH7,AI7&gt;AI5),AF7,AF5)</f>
        <v>Uruguai</v>
      </c>
      <c r="AK5" s="261">
        <f t="shared" ref="AK5:AK8" si="17">VLOOKUP(AJ5,$A$5:$I$8,2,FALSE)</f>
        <v>9</v>
      </c>
      <c r="AL5" s="261">
        <f t="shared" ref="AL5:AL8" si="18">VLOOKUP(AJ5,$A$5:$I$8,9,FALSE)</f>
        <v>6</v>
      </c>
      <c r="AM5" s="261">
        <f t="shared" ref="AM5:AM8" si="19">VLOOKUP(AJ5,$A$5:$I$8,7,FALSE)</f>
        <v>6</v>
      </c>
      <c r="AN5" s="261" t="str">
        <f>IF(AND(AK5=AK8,AL5=AL8,AM8&gt;AM5),AJ8,AJ5)</f>
        <v>Uruguai</v>
      </c>
      <c r="AO5" s="266">
        <f t="shared" ref="AO5:AO8" si="20">VLOOKUP(AN5,$A$5:$I$8,2,FALSE)</f>
        <v>9</v>
      </c>
      <c r="AP5" s="266">
        <f>IF(Tabela!N2="www.guiadecompra.com",VLOOKUP(AN5,$A$5:$I$8,9,FALSE),0)</f>
        <v>6</v>
      </c>
      <c r="AQ5" s="266">
        <f t="shared" ref="AQ5:AQ8" si="21">VLOOKUP(AN5,$A$5:$I$8,7,FALSE)</f>
        <v>6</v>
      </c>
      <c r="AR5" s="19"/>
    </row>
    <row r="6" spans="1:44" ht="14.25" customHeight="1" x14ac:dyDescent="0.2">
      <c r="A6" s="267" t="str">
        <f>time!A2</f>
        <v>Arábia Saudita</v>
      </c>
      <c r="B6" s="268">
        <f>IF(Jogo!Copa=FIFA,SUM(D6*3)+E6,0)</f>
        <v>0</v>
      </c>
      <c r="C6" s="269">
        <f>COUNT(Tabela!I6,Tabela!I9,Tabela!G11)</f>
        <v>3</v>
      </c>
      <c r="D6" s="269">
        <f>SUM(IF(Tabela!$I$6&gt;Tabela!$G$6,COUNT(Tabela!$I$6)),IF(Tabela!$I$9&gt;Tabela!$G$9,COUNT(Tabela!$I$9)),IF(Tabela!$G$11&gt;Tabela!$I$11,COUNT(Tabela!$G$11)))</f>
        <v>0</v>
      </c>
      <c r="E6" s="269">
        <f>SUM(IF(Tabela!$I$6=Tabela!$G$6,COUNT(Tabela!$I$6)),IF(Tabela!$I$9=Tabela!$G$9,COUNT(Tabela!$I$9)),IF(Tabela!$G$11=Tabela!$I$11,COUNT(Tabela!$G$11)))</f>
        <v>0</v>
      </c>
      <c r="F6" s="269">
        <f>SUM(IF(Tabela!$I$6&lt;Tabela!$G$6,COUNT(Tabela!$I$6)),IF(Tabela!$I$9&lt;Tabela!$G$9,COUNT(Tabela!$I$9)),IF(Tabela!$G$11&lt;Tabela!$I$11,COUNT(Tabela!$G$11)))</f>
        <v>3</v>
      </c>
      <c r="G6" s="269">
        <f>SUM(Tabela!I6+Tabela!I9+Tabela!G11)</f>
        <v>1</v>
      </c>
      <c r="H6" s="269">
        <f>SUM(Tabela!G6+Tabela!G9+Tabela!I11)</f>
        <v>7</v>
      </c>
      <c r="I6" s="269">
        <f>IF(BR20I4=Tabela!C2,SUM(G6-H6),"X")</f>
        <v>-6</v>
      </c>
      <c r="J6" s="270"/>
      <c r="K6" s="261" t="str">
        <f>IF(B6&lt;=B5,A6,A5)</f>
        <v>Arábia Saudita</v>
      </c>
      <c r="L6" s="261">
        <f t="shared" si="0"/>
        <v>0</v>
      </c>
      <c r="M6" s="261"/>
      <c r="N6" s="261" t="str">
        <f t="shared" si="1"/>
        <v>Egito</v>
      </c>
      <c r="O6" s="261">
        <f t="shared" si="2"/>
        <v>6</v>
      </c>
      <c r="P6" s="261"/>
      <c r="Q6" s="261" t="str">
        <f>IF(O6&gt;=O7,N6,N7)</f>
        <v>Egito</v>
      </c>
      <c r="R6" s="261">
        <f t="shared" si="3"/>
        <v>6</v>
      </c>
      <c r="S6" s="261">
        <f t="shared" si="4"/>
        <v>1</v>
      </c>
      <c r="T6" s="261"/>
      <c r="U6" s="261" t="str">
        <f>IF(AND(R5=R6,S6&gt;S5),Q5,Q6)</f>
        <v>Egito</v>
      </c>
      <c r="V6" s="261">
        <f t="shared" si="5"/>
        <v>6</v>
      </c>
      <c r="W6" s="261">
        <f t="shared" si="6"/>
        <v>1</v>
      </c>
      <c r="X6" s="261" t="str">
        <f t="shared" si="7"/>
        <v>Egito</v>
      </c>
      <c r="Y6" s="261">
        <f t="shared" si="8"/>
        <v>6</v>
      </c>
      <c r="Z6" s="261">
        <f t="shared" si="9"/>
        <v>1</v>
      </c>
      <c r="AA6" s="261"/>
      <c r="AB6" s="261" t="str">
        <f>IF(AND(Y6=Y7,Z7&gt;Z6),X7,X6)</f>
        <v>Egito</v>
      </c>
      <c r="AC6" s="261">
        <f t="shared" si="10"/>
        <v>6</v>
      </c>
      <c r="AD6" s="261">
        <f t="shared" si="11"/>
        <v>1</v>
      </c>
      <c r="AE6" s="261">
        <f t="shared" si="12"/>
        <v>5</v>
      </c>
      <c r="AF6" s="261" t="str">
        <f>IF(AND(AC6=AC5,AD6=AD5,AE6&gt;AE5),AB5,AB6)</f>
        <v>Egito</v>
      </c>
      <c r="AG6" s="261">
        <f t="shared" si="13"/>
        <v>6</v>
      </c>
      <c r="AH6" s="261">
        <f t="shared" si="14"/>
        <v>1</v>
      </c>
      <c r="AI6" s="261">
        <f t="shared" si="15"/>
        <v>5</v>
      </c>
      <c r="AJ6" s="261" t="str">
        <f t="shared" si="16"/>
        <v>Egito</v>
      </c>
      <c r="AK6" s="261">
        <f t="shared" si="17"/>
        <v>6</v>
      </c>
      <c r="AL6" s="261">
        <f t="shared" si="18"/>
        <v>1</v>
      </c>
      <c r="AM6" s="261">
        <f t="shared" si="19"/>
        <v>5</v>
      </c>
      <c r="AN6" s="261" t="str">
        <f>IF(AND(AK6=AK7,AL6=AL7,AM7&gt;AM6),AJ7,AJ6)</f>
        <v>Egito</v>
      </c>
      <c r="AO6" s="266">
        <f t="shared" si="20"/>
        <v>6</v>
      </c>
      <c r="AP6" s="266">
        <f>IF(Tabela!N2="www.guiadecompra.com",VLOOKUP(AN6,$A$5:$I$8,9,FALSE),0)</f>
        <v>1</v>
      </c>
      <c r="AQ6" s="266">
        <f t="shared" si="21"/>
        <v>5</v>
      </c>
      <c r="AR6" s="19"/>
    </row>
    <row r="7" spans="1:44" ht="14.25" customHeight="1" x14ac:dyDescent="0.2">
      <c r="A7" s="267" t="str">
        <f>time!A3</f>
        <v>Egito</v>
      </c>
      <c r="B7" s="268">
        <f>IF(Jogo!Copa=FIFA,SUM(D7*3)+E7,0)</f>
        <v>6</v>
      </c>
      <c r="C7" s="269">
        <f>COUNT(Tabela!G7,Tabela!I8,Tabela!I11)</f>
        <v>3</v>
      </c>
      <c r="D7" s="269">
        <f>SUM(IF(Tabela!$G$7&gt;Tabela!$I$7,COUNT(Tabela!$G$7)),IF(Tabela!$I$8&gt;Tabela!$G$8,COUNT(Tabela!$I$8)),IF(Tabela!$I$11&gt;Tabela!$G$11,COUNT(Tabela!$I$11)))</f>
        <v>2</v>
      </c>
      <c r="E7" s="269">
        <f>SUM(IF(Tabela!$G$7=Tabela!$I$7,COUNT(Tabela!$G$7)),IF(Tabela!$I$8=Tabela!$G$8,COUNT(Tabela!$I$8)),IF(Tabela!$I$11=Tabela!$G$11,COUNT(Tabela!$I$11)))</f>
        <v>0</v>
      </c>
      <c r="F7" s="269">
        <f>SUM(IF(Tabela!$G$7&lt;Tabela!$I$7,COUNT(Tabela!$G$7)),IF(Tabela!$I$8&lt;Tabela!$G$8,COUNT(Tabela!$I$8)),IF(Tabela!$I$11&lt;Tabela!$G$11,COUNT(Tabela!$I$11)))</f>
        <v>1</v>
      </c>
      <c r="G7" s="269">
        <f>SUM(Tabela!G7+Tabela!I8+Tabela!I11)</f>
        <v>5</v>
      </c>
      <c r="H7" s="269">
        <f>SUM(Tabela!I7+Tabela!G8+Tabela!G11)</f>
        <v>4</v>
      </c>
      <c r="I7" s="269">
        <f>IF(BR20I4=Tabela!C2,SUM(G7-H7),"X")</f>
        <v>1</v>
      </c>
      <c r="J7" s="270"/>
      <c r="K7" s="261" t="str">
        <f>IF(B7&gt;=B8,A7,A8)</f>
        <v>Uruguai</v>
      </c>
      <c r="L7" s="261">
        <f t="shared" si="0"/>
        <v>9</v>
      </c>
      <c r="M7" s="261"/>
      <c r="N7" s="261" t="str">
        <f t="shared" ref="N7:N8" si="22">IF(L7&lt;=L5,K7,K5)</f>
        <v>Rússia</v>
      </c>
      <c r="O7" s="261">
        <f t="shared" si="2"/>
        <v>3</v>
      </c>
      <c r="P7" s="261"/>
      <c r="Q7" s="261" t="str">
        <f>IF(O7&lt;=O6,N7,N6)</f>
        <v>Rússia</v>
      </c>
      <c r="R7" s="261">
        <f t="shared" si="3"/>
        <v>3</v>
      </c>
      <c r="S7" s="261">
        <f t="shared" si="4"/>
        <v>-1</v>
      </c>
      <c r="T7" s="261"/>
      <c r="U7" s="261" t="str">
        <f>IF(AND(R7=R8,S8&gt;S7),Q8,Q7)</f>
        <v>Rússia</v>
      </c>
      <c r="V7" s="261">
        <f t="shared" si="5"/>
        <v>3</v>
      </c>
      <c r="W7" s="261">
        <f t="shared" si="6"/>
        <v>-1</v>
      </c>
      <c r="X7" s="261" t="str">
        <f t="shared" ref="X7:X8" si="23">IF(AND(V5=V7,W7&gt;W5),U5,U7)</f>
        <v>Rússia</v>
      </c>
      <c r="Y7" s="261">
        <f t="shared" si="8"/>
        <v>3</v>
      </c>
      <c r="Z7" s="261">
        <f t="shared" si="9"/>
        <v>-1</v>
      </c>
      <c r="AA7" s="261"/>
      <c r="AB7" s="261" t="str">
        <f>IF(AND(Y7=Y6,Z7&gt;Z6),X6,X7)</f>
        <v>Rússia</v>
      </c>
      <c r="AC7" s="261">
        <f t="shared" si="10"/>
        <v>3</v>
      </c>
      <c r="AD7" s="261">
        <f t="shared" si="11"/>
        <v>-1</v>
      </c>
      <c r="AE7" s="261">
        <f t="shared" si="12"/>
        <v>4</v>
      </c>
      <c r="AF7" s="261" t="str">
        <f>IF(AND(AC7=AC8,AD7=AD8,AE8&gt;AE7),AB8,AB7)</f>
        <v>Rússia</v>
      </c>
      <c r="AG7" s="261">
        <f t="shared" si="13"/>
        <v>3</v>
      </c>
      <c r="AH7" s="261">
        <f t="shared" si="14"/>
        <v>-1</v>
      </c>
      <c r="AI7" s="261">
        <f t="shared" si="15"/>
        <v>4</v>
      </c>
      <c r="AJ7" s="261" t="str">
        <f>IF(AND(AG7=AG5,AH7=AH5,AI7&gt;AI5),AF5,AF7)</f>
        <v>Rússia</v>
      </c>
      <c r="AK7" s="261">
        <f t="shared" si="17"/>
        <v>3</v>
      </c>
      <c r="AL7" s="261">
        <f t="shared" si="18"/>
        <v>-1</v>
      </c>
      <c r="AM7" s="261">
        <f t="shared" si="19"/>
        <v>4</v>
      </c>
      <c r="AN7" s="261" t="str">
        <f>IF(AND(AK7=AK6,AL7=AL6,AM7&gt;AM6),AJ6,AJ7)</f>
        <v>Rússia</v>
      </c>
      <c r="AO7" s="266">
        <f t="shared" si="20"/>
        <v>3</v>
      </c>
      <c r="AP7" s="266">
        <f>IF(Tabela!N2="www.guiadecompra.com",VLOOKUP(AN7,$A$5:$I$8,9,FALSE),0)</f>
        <v>-1</v>
      </c>
      <c r="AQ7" s="266">
        <f t="shared" si="21"/>
        <v>4</v>
      </c>
      <c r="AR7" s="19"/>
    </row>
    <row r="8" spans="1:44" ht="14.25" customHeight="1" x14ac:dyDescent="0.2">
      <c r="A8" s="267" t="str">
        <f>time!A4</f>
        <v>Uruguai</v>
      </c>
      <c r="B8" s="268">
        <f>IF(Jogo!Copa=FIFA,SUM(D8*3)+E8,0)</f>
        <v>9</v>
      </c>
      <c r="C8" s="269">
        <f>COUNT(Tabela!I7,Tabela!G9,Tabela!G10)</f>
        <v>3</v>
      </c>
      <c r="D8" s="269">
        <f>SUM(IF(Tabela!$I$7&gt;Tabela!$G$7,COUNT(Tabela!$I$7)),IF(Tabela!$G$9&gt;Tabela!$I$9,COUNT(Tabela!$G$9)),IF(Tabela!$G$10&gt;Tabela!$I$10,COUNT(Tabela!$G$10)))</f>
        <v>3</v>
      </c>
      <c r="E8" s="269">
        <f>SUM(IF(Tabela!$I$7=Tabela!$G$7,COUNT(Tabela!$I$7)),IF(Tabela!$G$9=Tabela!$I$9,COUNT(Tabela!$G$9)),IF(Tabela!$G$10=Tabela!$I$10,COUNT(Tabela!$G$10)))</f>
        <v>0</v>
      </c>
      <c r="F8" s="269">
        <f>SUM(IF(Tabela!$I$7&lt;Tabela!$G$7,COUNT(Tabela!$I$7)),IF(Tabela!$G$9&lt;Tabela!$I$9,COUNT(Tabela!$G$9)),IF(Tabela!$G$10&lt;Tabela!$I$10,COUNT(Tabela!$G$10)))</f>
        <v>0</v>
      </c>
      <c r="G8" s="269">
        <f>SUM(Tabela!I7+Tabela!G9+Tabela!G10)</f>
        <v>6</v>
      </c>
      <c r="H8" s="269">
        <f>SUM(Tabela!G7+Tabela!I9+Tabela!I10)</f>
        <v>0</v>
      </c>
      <c r="I8" s="269">
        <f>IF(BR20I4=Tabela!C2,SUM(G8-H8),"X")</f>
        <v>6</v>
      </c>
      <c r="J8" s="270"/>
      <c r="K8" s="261" t="str">
        <f>IF(B8&lt;=B7,A8,A7)</f>
        <v>Egito</v>
      </c>
      <c r="L8" s="261">
        <f t="shared" si="0"/>
        <v>6</v>
      </c>
      <c r="M8" s="261"/>
      <c r="N8" s="261" t="str">
        <f t="shared" si="22"/>
        <v>Arábia Saudita</v>
      </c>
      <c r="O8" s="261">
        <f t="shared" si="2"/>
        <v>0</v>
      </c>
      <c r="P8" s="261"/>
      <c r="Q8" s="261" t="str">
        <f>IF(O8&lt;=O5,N8,N5)</f>
        <v>Arábia Saudita</v>
      </c>
      <c r="R8" s="261">
        <f t="shared" si="3"/>
        <v>0</v>
      </c>
      <c r="S8" s="261">
        <f t="shared" si="4"/>
        <v>-6</v>
      </c>
      <c r="T8" s="261"/>
      <c r="U8" s="261" t="str">
        <f>IF(AND(R7=R8,S8&gt;S7),Q7,Q8)</f>
        <v>Arábia Saudita</v>
      </c>
      <c r="V8" s="261">
        <f t="shared" si="5"/>
        <v>0</v>
      </c>
      <c r="W8" s="261">
        <f t="shared" si="6"/>
        <v>-6</v>
      </c>
      <c r="X8" s="261" t="str">
        <f t="shared" si="23"/>
        <v>Arábia Saudita</v>
      </c>
      <c r="Y8" s="261">
        <f t="shared" si="8"/>
        <v>0</v>
      </c>
      <c r="Z8" s="261">
        <f t="shared" si="9"/>
        <v>-6</v>
      </c>
      <c r="AA8" s="261"/>
      <c r="AB8" s="261" t="str">
        <f>IF(AND(Y8=Y5,Z8&gt;Z5),X5,X8)</f>
        <v>Arábia Saudita</v>
      </c>
      <c r="AC8" s="261">
        <f t="shared" si="10"/>
        <v>0</v>
      </c>
      <c r="AD8" s="261">
        <f t="shared" si="11"/>
        <v>-6</v>
      </c>
      <c r="AE8" s="261">
        <f t="shared" si="12"/>
        <v>1</v>
      </c>
      <c r="AF8" s="261" t="str">
        <f>IF(AND(AC8=AC7,AD8=AD7,AE8&gt;AE7),X7,X8)</f>
        <v>Arábia Saudita</v>
      </c>
      <c r="AG8" s="261">
        <f t="shared" si="13"/>
        <v>0</v>
      </c>
      <c r="AH8" s="261">
        <f t="shared" si="14"/>
        <v>-6</v>
      </c>
      <c r="AI8" s="261">
        <f t="shared" si="15"/>
        <v>1</v>
      </c>
      <c r="AJ8" s="261" t="str">
        <f>IF(AND(AG6=AG8,AH6=AH8,AI8&gt;AI6),AF6,AF8)</f>
        <v>Arábia Saudita</v>
      </c>
      <c r="AK8" s="261">
        <f t="shared" si="17"/>
        <v>0</v>
      </c>
      <c r="AL8" s="261">
        <f t="shared" si="18"/>
        <v>-6</v>
      </c>
      <c r="AM8" s="261">
        <f t="shared" si="19"/>
        <v>1</v>
      </c>
      <c r="AN8" s="261" t="str">
        <f>IF(AND(AK8=AK5,AL8=AL5,AM8&gt;AM5),AJ5,AJ8)</f>
        <v>Arábia Saudita</v>
      </c>
      <c r="AO8" s="266">
        <f t="shared" si="20"/>
        <v>0</v>
      </c>
      <c r="AP8" s="266">
        <f>IF(Tabela!N2="www.guiadecompra.com",VLOOKUP(AN8,$A$5:$I$8,9,FALSE),0)</f>
        <v>-6</v>
      </c>
      <c r="AQ8" s="266">
        <f t="shared" si="21"/>
        <v>1</v>
      </c>
      <c r="AR8" s="19"/>
    </row>
    <row r="9" spans="1:44" ht="14.25" customHeight="1" x14ac:dyDescent="0.2">
      <c r="A9" s="267"/>
      <c r="B9" s="271"/>
      <c r="C9" s="271"/>
      <c r="D9" s="271"/>
      <c r="E9" s="271"/>
      <c r="F9" s="271"/>
      <c r="G9" s="271"/>
      <c r="H9" s="271"/>
      <c r="I9" s="27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  <c r="AC9" s="261"/>
      <c r="AD9" s="261"/>
      <c r="AE9" s="261"/>
      <c r="AF9" s="261"/>
      <c r="AG9" s="261"/>
      <c r="AH9" s="261"/>
      <c r="AI9" s="261"/>
      <c r="AJ9" s="261"/>
      <c r="AK9" s="261"/>
      <c r="AL9" s="261"/>
      <c r="AM9" s="261"/>
      <c r="AN9" s="261"/>
      <c r="AO9" s="266"/>
      <c r="AP9" s="266"/>
      <c r="AQ9" s="266"/>
      <c r="AR9" s="19"/>
    </row>
    <row r="10" spans="1:44" ht="14.25" customHeight="1" x14ac:dyDescent="0.2">
      <c r="A10" s="260"/>
      <c r="B10" s="261"/>
      <c r="C10" s="261"/>
      <c r="D10" s="261"/>
      <c r="E10" s="261"/>
      <c r="F10" s="261"/>
      <c r="G10" s="261"/>
      <c r="H10" s="261"/>
      <c r="I10" s="261"/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61"/>
      <c r="AO10" s="266"/>
      <c r="AP10" s="266"/>
      <c r="AQ10" s="266"/>
      <c r="AR10" s="19"/>
    </row>
    <row r="11" spans="1:44" ht="14.25" customHeight="1" x14ac:dyDescent="0.2">
      <c r="A11" s="260"/>
      <c r="B11" s="366" t="s">
        <v>80</v>
      </c>
      <c r="C11" s="314"/>
      <c r="D11" s="314"/>
      <c r="E11" s="314"/>
      <c r="F11" s="314"/>
      <c r="G11" s="314"/>
      <c r="H11" s="314"/>
      <c r="I11" s="309"/>
      <c r="J11" s="261"/>
      <c r="K11" s="261" t="s">
        <v>75</v>
      </c>
      <c r="L11" s="261"/>
      <c r="M11" s="261"/>
      <c r="N11" s="261" t="s">
        <v>76</v>
      </c>
      <c r="O11" s="261"/>
      <c r="P11" s="261"/>
      <c r="Q11" s="261" t="s">
        <v>77</v>
      </c>
      <c r="R11" s="261"/>
      <c r="S11" s="261"/>
      <c r="T11" s="261"/>
      <c r="U11" s="261" t="s">
        <v>77</v>
      </c>
      <c r="V11" s="261"/>
      <c r="W11" s="261"/>
      <c r="X11" s="261"/>
      <c r="Y11" s="261"/>
      <c r="Z11" s="261"/>
      <c r="AA11" s="261"/>
      <c r="AB11" s="261"/>
      <c r="AC11" s="261"/>
      <c r="AD11" s="261"/>
      <c r="AE11" s="261"/>
      <c r="AF11" s="261"/>
      <c r="AG11" s="261"/>
      <c r="AH11" s="261"/>
      <c r="AI11" s="261"/>
      <c r="AJ11" s="261"/>
      <c r="AK11" s="261"/>
      <c r="AL11" s="261"/>
      <c r="AM11" s="261"/>
      <c r="AN11" s="261"/>
      <c r="AO11" s="266"/>
      <c r="AP11" s="266"/>
      <c r="AQ11" s="266"/>
      <c r="AR11" s="19"/>
    </row>
    <row r="12" spans="1:44" ht="14.25" customHeight="1" x14ac:dyDescent="0.2">
      <c r="A12" s="262" t="s">
        <v>78</v>
      </c>
      <c r="B12" s="263" t="s">
        <v>14</v>
      </c>
      <c r="C12" s="264" t="s">
        <v>15</v>
      </c>
      <c r="D12" s="264" t="s">
        <v>16</v>
      </c>
      <c r="E12" s="264" t="s">
        <v>17</v>
      </c>
      <c r="F12" s="264" t="s">
        <v>18</v>
      </c>
      <c r="G12" s="264" t="s">
        <v>19</v>
      </c>
      <c r="H12" s="264" t="s">
        <v>20</v>
      </c>
      <c r="I12" s="264" t="s">
        <v>21</v>
      </c>
      <c r="J12" s="265"/>
      <c r="K12" s="261"/>
      <c r="L12" s="261" t="s">
        <v>14</v>
      </c>
      <c r="M12" s="261"/>
      <c r="N12" s="261"/>
      <c r="O12" s="261" t="s">
        <v>79</v>
      </c>
      <c r="P12" s="261"/>
      <c r="Q12" s="261"/>
      <c r="R12" s="261" t="s">
        <v>14</v>
      </c>
      <c r="S12" s="261" t="s">
        <v>21</v>
      </c>
      <c r="T12" s="261"/>
      <c r="U12" s="261"/>
      <c r="V12" s="261" t="s">
        <v>14</v>
      </c>
      <c r="W12" s="261" t="s">
        <v>21</v>
      </c>
      <c r="X12" s="261"/>
      <c r="Y12" s="261" t="s">
        <v>14</v>
      </c>
      <c r="Z12" s="261" t="s">
        <v>21</v>
      </c>
      <c r="AA12" s="261"/>
      <c r="AB12" s="261"/>
      <c r="AC12" s="261" t="s">
        <v>14</v>
      </c>
      <c r="AD12" s="261" t="s">
        <v>21</v>
      </c>
      <c r="AE12" s="261" t="s">
        <v>19</v>
      </c>
      <c r="AF12" s="261"/>
      <c r="AG12" s="261" t="s">
        <v>14</v>
      </c>
      <c r="AH12" s="261" t="s">
        <v>21</v>
      </c>
      <c r="AI12" s="261" t="s">
        <v>19</v>
      </c>
      <c r="AJ12" s="261"/>
      <c r="AK12" s="261" t="s">
        <v>14</v>
      </c>
      <c r="AL12" s="261" t="s">
        <v>21</v>
      </c>
      <c r="AM12" s="261" t="s">
        <v>19</v>
      </c>
      <c r="AN12" s="261"/>
      <c r="AO12" s="266" t="s">
        <v>14</v>
      </c>
      <c r="AP12" s="266" t="s">
        <v>21</v>
      </c>
      <c r="AQ12" s="266" t="s">
        <v>19</v>
      </c>
      <c r="AR12" s="19"/>
    </row>
    <row r="13" spans="1:44" ht="14.25" customHeight="1" x14ac:dyDescent="0.2">
      <c r="A13" s="267" t="str">
        <f>time!B1</f>
        <v>Portugal</v>
      </c>
      <c r="B13" s="268">
        <f>IF(Jogo!Copa=FIFA,SUM(D13*3)+E13,0)</f>
        <v>7</v>
      </c>
      <c r="C13" s="269">
        <f>COUNT(Tabela!G15,Tabela!G16,Tabela!I19)</f>
        <v>3</v>
      </c>
      <c r="D13" s="269">
        <f>SUM(IF(Tabela!$G$15&gt;Tabela!$I$15,COUNT(Tabela!$G$15)),IF(Tabela!$G$16&gt;Tabela!$I$16,COUNT(Tabela!$G$16)),IF(Tabela!$I$19&gt;Tabela!$G$19,COUNT(Tabela!$I$19)))</f>
        <v>2</v>
      </c>
      <c r="E13" s="269">
        <f>SUM(IF(Tabela!$G$15=Tabela!$I$15,COUNT(Tabela!$G$15)),IF(Tabela!$G$16=Tabela!$I$16,COUNT(Tabela!$G$16)),IF(Tabela!$I$19=Tabela!$G$19,COUNT(Tabela!$I$19)))</f>
        <v>1</v>
      </c>
      <c r="F13" s="269">
        <f>SUM(IF(Tabela!$G$15&lt;Tabela!$I$15,COUNT(Tabela!$G$15)),IF(Tabela!$G$16&lt;Tabela!$I$16,COUNT(Tabela!$G$16)),IF(Tabela!$I$19&lt;Tabela!$G$19,COUNT(Tabela!$I$19)))</f>
        <v>0</v>
      </c>
      <c r="G13" s="269">
        <f>SUM(Tabela!G15+Tabela!G16+Tabela!I19)</f>
        <v>9</v>
      </c>
      <c r="H13" s="269">
        <f>SUM(Tabela!I15+Tabela!I16+Tabela!G19)</f>
        <v>2</v>
      </c>
      <c r="I13" s="269">
        <f>IF(BR20I4=Tabela!C2,SUM(G13-H13),"X")</f>
        <v>7</v>
      </c>
      <c r="J13" s="270"/>
      <c r="K13" s="261" t="str">
        <f>IF(B13&gt;=B14,A13,A14)</f>
        <v>Portugal</v>
      </c>
      <c r="L13" s="261">
        <f t="shared" ref="L13:L16" si="24">VLOOKUP(K13,$A$13:$I$16,2,FALSE)</f>
        <v>7</v>
      </c>
      <c r="M13" s="261"/>
      <c r="N13" s="261" t="str">
        <f t="shared" ref="N13:N14" si="25">IF(L13&gt;=L15,K13,K15)</f>
        <v>Portugal</v>
      </c>
      <c r="O13" s="261">
        <f t="shared" ref="O13:O16" si="26">VLOOKUP(N13,$A$13:$I$16,2,FALSE)</f>
        <v>7</v>
      </c>
      <c r="P13" s="261"/>
      <c r="Q13" s="261" t="str">
        <f>IF(O13&gt;=O16,N13,N16)</f>
        <v>Portugal</v>
      </c>
      <c r="R13" s="261">
        <f t="shared" ref="R13:R16" si="27">VLOOKUP(Q13,$A$13:$I$16,2,FALSE)</f>
        <v>7</v>
      </c>
      <c r="S13" s="261">
        <f t="shared" ref="S13:S16" si="28">VLOOKUP(Q13,$A$13:$I$16,9,FALSE)</f>
        <v>7</v>
      </c>
      <c r="T13" s="261"/>
      <c r="U13" s="261" t="str">
        <f>IF(AND(R13=R14,S14&gt;S13),Q14,Q13)</f>
        <v>Portugal</v>
      </c>
      <c r="V13" s="261">
        <f t="shared" ref="V13:V16" si="29">VLOOKUP(U13,$A$13:$I$16,2,FALSE)</f>
        <v>7</v>
      </c>
      <c r="W13" s="261">
        <f t="shared" ref="W13:W16" si="30">VLOOKUP(U13,$A$13:$I$16,9,FALSE)</f>
        <v>7</v>
      </c>
      <c r="X13" s="261" t="str">
        <f t="shared" ref="X13:X14" si="31">IF(AND(V13=V15,W15&gt;W13),U15,U13)</f>
        <v>Portugal</v>
      </c>
      <c r="Y13" s="261">
        <f t="shared" ref="Y13:Y16" si="32">VLOOKUP(X13,$A$13:$I$16,2,FALSE)</f>
        <v>7</v>
      </c>
      <c r="Z13" s="261">
        <f t="shared" ref="Z13:Z16" si="33">VLOOKUP(X13,$A$13:$I$16,9,FALSE)</f>
        <v>7</v>
      </c>
      <c r="AA13" s="261"/>
      <c r="AB13" s="261" t="str">
        <f>IF(AND(Y13=Y16,Z16&gt;Z13),X16,X13)</f>
        <v>Portugal</v>
      </c>
      <c r="AC13" s="261">
        <f t="shared" ref="AC13:AC16" si="34">VLOOKUP(AB13,$A$13:$I$16,2,FALSE)</f>
        <v>7</v>
      </c>
      <c r="AD13" s="261">
        <f t="shared" ref="AD13:AD16" si="35">VLOOKUP(AB13,$A$13:$I$16,9,FALSE)</f>
        <v>7</v>
      </c>
      <c r="AE13" s="261">
        <f t="shared" ref="AE13:AE16" si="36">VLOOKUP(AB13,$A$13:$I$16,7,FALSE)</f>
        <v>9</v>
      </c>
      <c r="AF13" s="261" t="str">
        <f>IF(AND(AC13=AC14,AD13=AD14,AE14&gt;AE13),AB14,AB13)</f>
        <v>Portugal</v>
      </c>
      <c r="AG13" s="261">
        <f t="shared" ref="AG13:AG16" si="37">VLOOKUP(AF13,$A$13:$I$16,2,FALSE)</f>
        <v>7</v>
      </c>
      <c r="AH13" s="261">
        <f t="shared" ref="AH13:AH16" si="38">VLOOKUP(AF13,$A$13:$I$16,9,FALSE)</f>
        <v>7</v>
      </c>
      <c r="AI13" s="261">
        <f t="shared" ref="AI13:AI16" si="39">VLOOKUP(AF13,$A$13:$I$16,7,FALSE)</f>
        <v>9</v>
      </c>
      <c r="AJ13" s="261" t="str">
        <f t="shared" ref="AJ13:AJ14" si="40">IF(AND(AG13=AG15,AH13=AH15,AI15&gt;AI13),AF15,AF13)</f>
        <v>Portugal</v>
      </c>
      <c r="AK13" s="261">
        <f t="shared" ref="AK13:AK16" si="41">VLOOKUP(AJ13,$A$13:$I$16,2,FALSE)</f>
        <v>7</v>
      </c>
      <c r="AL13" s="261">
        <f t="shared" ref="AL13:AL16" si="42">VLOOKUP(AJ13,$A$13:$I$16,9,FALSE)</f>
        <v>7</v>
      </c>
      <c r="AM13" s="261">
        <f t="shared" ref="AM13:AM16" si="43">VLOOKUP(AJ13,$A$13:$I$16,7,FALSE)</f>
        <v>9</v>
      </c>
      <c r="AN13" s="261" t="str">
        <f>IF(AND(AK13=AK16,AL13=AL16,AM16&gt;AM13),AJ16,AJ13)</f>
        <v>Portugal</v>
      </c>
      <c r="AO13" s="266">
        <f t="shared" ref="AO13:AO16" si="44">VLOOKUP(AN13,$A$13:$I$16,2,FALSE)</f>
        <v>7</v>
      </c>
      <c r="AP13" s="266">
        <f>IF(Tabela!N2="www.guiadecompra.com",VLOOKUP(AN13,$A$13:$I$16,9,FALSE),0)</f>
        <v>7</v>
      </c>
      <c r="AQ13" s="266">
        <f t="shared" ref="AQ13:AQ16" si="45">VLOOKUP(AN13,$A$13:$I$16,7,FALSE)</f>
        <v>9</v>
      </c>
      <c r="AR13" s="19"/>
    </row>
    <row r="14" spans="1:44" ht="14.25" customHeight="1" x14ac:dyDescent="0.2">
      <c r="A14" s="267" t="str">
        <f>time!B2</f>
        <v>Espanha</v>
      </c>
      <c r="B14" s="268">
        <f>IF(Jogo!Copa=FIFA,SUM(D14*3)+E14,0)</f>
        <v>7</v>
      </c>
      <c r="C14" s="269">
        <f>COUNT(Tabela!I15,Tabela!I17,Tabela!G18)</f>
        <v>3</v>
      </c>
      <c r="D14" s="269">
        <f>SUM(IF(Tabela!$I$15&gt;Tabela!$G$15,COUNT(Tabela!$I$15)),IF(Tabela!$I$17&gt;Tabela!$G$17,COUNT(Tabela!$I$17)),IF(Tabela!$G$18&gt;Tabela!$I$18,COUNT(Tabela!$G$18)))</f>
        <v>2</v>
      </c>
      <c r="E14" s="269">
        <f>SUM(IF(Tabela!$I$15=Tabela!$G$15,COUNT(Tabela!$I$15)),IF(Tabela!$I$17=Tabela!$G$17,COUNT(Tabela!$I$17)),IF(Tabela!$G$18=Tabela!$I$18,COUNT(Tabela!$G$18)))</f>
        <v>1</v>
      </c>
      <c r="F14" s="269">
        <f>SUM(IF(Tabela!$I$15&lt;Tabela!$G$15,COUNT(Tabela!$I$15)),IF(Tabela!$I$17&lt;Tabela!$G$17,COUNT(Tabela!$I$17)),IF(Tabela!$G$18&lt;Tabela!$I$18,COUNT(Tabela!$G$18)))</f>
        <v>0</v>
      </c>
      <c r="G14" s="269">
        <f>SUM(Tabela!I15+Tabela!I17+Tabela!G18)</f>
        <v>9</v>
      </c>
      <c r="H14" s="269">
        <f>SUM(Tabela!G15+Tabela!G17+Tabela!I18)</f>
        <v>3</v>
      </c>
      <c r="I14" s="269">
        <f>IF(BR20I4=Tabela!C2,SUM(G14-H14),"X")</f>
        <v>6</v>
      </c>
      <c r="J14" s="270"/>
      <c r="K14" s="261" t="str">
        <f>IF(B14&lt;=B13,A14,A13)</f>
        <v>Espanha</v>
      </c>
      <c r="L14" s="261">
        <f t="shared" si="24"/>
        <v>7</v>
      </c>
      <c r="M14" s="261"/>
      <c r="N14" s="261" t="str">
        <f t="shared" si="25"/>
        <v>Espanha</v>
      </c>
      <c r="O14" s="261">
        <f t="shared" si="26"/>
        <v>7</v>
      </c>
      <c r="P14" s="261"/>
      <c r="Q14" s="261" t="str">
        <f>IF(O14&gt;=O15,N14,N15)</f>
        <v>Espanha</v>
      </c>
      <c r="R14" s="261">
        <f t="shared" si="27"/>
        <v>7</v>
      </c>
      <c r="S14" s="261">
        <f t="shared" si="28"/>
        <v>6</v>
      </c>
      <c r="T14" s="261"/>
      <c r="U14" s="261" t="str">
        <f>IF(AND(R13=R14,S14&gt;S13),Q13,Q14)</f>
        <v>Espanha</v>
      </c>
      <c r="V14" s="261">
        <f t="shared" si="29"/>
        <v>7</v>
      </c>
      <c r="W14" s="261">
        <f t="shared" si="30"/>
        <v>6</v>
      </c>
      <c r="X14" s="261" t="str">
        <f t="shared" si="31"/>
        <v>Espanha</v>
      </c>
      <c r="Y14" s="261">
        <f t="shared" si="32"/>
        <v>7</v>
      </c>
      <c r="Z14" s="261">
        <f t="shared" si="33"/>
        <v>6</v>
      </c>
      <c r="AA14" s="261"/>
      <c r="AB14" s="261" t="str">
        <f>IF(AND(Y14=Y15,Z15&gt;Z14),X15,X14)</f>
        <v>Espanha</v>
      </c>
      <c r="AC14" s="261">
        <f t="shared" si="34"/>
        <v>7</v>
      </c>
      <c r="AD14" s="261">
        <f t="shared" si="35"/>
        <v>6</v>
      </c>
      <c r="AE14" s="261">
        <f t="shared" si="36"/>
        <v>9</v>
      </c>
      <c r="AF14" s="261" t="str">
        <f>IF(AND(AC14=AC13,AD14=AD13,AE14&gt;AE13),AB13,AB14)</f>
        <v>Espanha</v>
      </c>
      <c r="AG14" s="261">
        <f t="shared" si="37"/>
        <v>7</v>
      </c>
      <c r="AH14" s="261">
        <f t="shared" si="38"/>
        <v>6</v>
      </c>
      <c r="AI14" s="261">
        <f t="shared" si="39"/>
        <v>9</v>
      </c>
      <c r="AJ14" s="261" t="str">
        <f t="shared" si="40"/>
        <v>Espanha</v>
      </c>
      <c r="AK14" s="261">
        <f t="shared" si="41"/>
        <v>7</v>
      </c>
      <c r="AL14" s="261">
        <f t="shared" si="42"/>
        <v>6</v>
      </c>
      <c r="AM14" s="261">
        <f t="shared" si="43"/>
        <v>9</v>
      </c>
      <c r="AN14" s="261" t="str">
        <f>IF(AND(AK14=AK15,AL14=AL15,AM15&gt;AM14),AJ15,AJ14)</f>
        <v>Espanha</v>
      </c>
      <c r="AO14" s="266">
        <f t="shared" si="44"/>
        <v>7</v>
      </c>
      <c r="AP14" s="266">
        <f>IF(Tabela!N2="www.guiadecompra.com",VLOOKUP(AN14,$A$13:$I$16,9,FALSE),0)</f>
        <v>6</v>
      </c>
      <c r="AQ14" s="266">
        <f t="shared" si="45"/>
        <v>9</v>
      </c>
      <c r="AR14" s="19"/>
    </row>
    <row r="15" spans="1:44" ht="14.25" customHeight="1" x14ac:dyDescent="0.2">
      <c r="A15" s="267" t="str">
        <f>time!B3</f>
        <v>Marrocos</v>
      </c>
      <c r="B15" s="268">
        <f>IF(Jogo!Copa=FIFA,SUM(D15*3)+E15,0)</f>
        <v>3</v>
      </c>
      <c r="C15" s="269">
        <f>COUNT(Tabela!G14,Tabela!I16,Tabela!I18)</f>
        <v>3</v>
      </c>
      <c r="D15" s="269">
        <f>SUM(IF(Tabela!$G$14&gt;Tabela!$I$14,COUNT(Tabela!$G$14)),IF(Tabela!$I$16&gt;Tabela!$G$16,COUNT(Tabela!$I$16)),IF(Tabela!$I$18&gt;Tabela!$G$18,COUNT(Tabela!$I$18)))</f>
        <v>1</v>
      </c>
      <c r="E15" s="269">
        <f>SUM(IF(Tabela!$G$14=Tabela!$I$14,COUNT(Tabela!$G$14)),IF(Tabela!$I$16=Tabela!$G$16,COUNT(Tabela!$I$16)),IF(Tabela!$I$18=Tabela!$G$18,COUNT(Tabela!$I$18)))</f>
        <v>0</v>
      </c>
      <c r="F15" s="269">
        <f>SUM(IF(Tabela!$G$14&lt;Tabela!$I$14,COUNT(Tabela!$G$14)),IF(Tabela!$I$16&lt;Tabela!$G$16,COUNT(Tabela!$I$16)),IF(Tabela!$I$18&lt;Tabela!$G$18,COUNT(Tabela!$I$18)))</f>
        <v>2</v>
      </c>
      <c r="G15" s="269">
        <f>SUM(Tabela!G14+Tabela!I16+Tabela!I18)</f>
        <v>1</v>
      </c>
      <c r="H15" s="269">
        <f>SUM(Tabela!I14+Tabela!G16+Tabela!G18)</f>
        <v>6</v>
      </c>
      <c r="I15" s="269">
        <f>IF(BR20I4=Tabela!C2,SUM(G15-H15),"X")</f>
        <v>-5</v>
      </c>
      <c r="J15" s="270"/>
      <c r="K15" s="261" t="str">
        <f>IF(B15&gt;=B16,A15,A16)</f>
        <v>Marrocos</v>
      </c>
      <c r="L15" s="261">
        <f t="shared" si="24"/>
        <v>3</v>
      </c>
      <c r="M15" s="261"/>
      <c r="N15" s="261" t="str">
        <f t="shared" ref="N15:N16" si="46">IF(L15&lt;=L13,K15,K13)</f>
        <v>Marrocos</v>
      </c>
      <c r="O15" s="261">
        <f t="shared" si="26"/>
        <v>3</v>
      </c>
      <c r="P15" s="261"/>
      <c r="Q15" s="261" t="str">
        <f>IF(O15&lt;=O14,N15,N14)</f>
        <v>Marrocos</v>
      </c>
      <c r="R15" s="261">
        <f t="shared" si="27"/>
        <v>3</v>
      </c>
      <c r="S15" s="261">
        <f t="shared" si="28"/>
        <v>-5</v>
      </c>
      <c r="T15" s="261"/>
      <c r="U15" s="261" t="str">
        <f>IF(AND(R15=R16,S16&gt;S15),Q16,Q15)</f>
        <v>Marrocos</v>
      </c>
      <c r="V15" s="261">
        <f t="shared" si="29"/>
        <v>3</v>
      </c>
      <c r="W15" s="261">
        <f t="shared" si="30"/>
        <v>-5</v>
      </c>
      <c r="X15" s="261" t="str">
        <f t="shared" ref="X15:X16" si="47">IF(AND(V13=V15,W15&gt;W13),U13,U15)</f>
        <v>Marrocos</v>
      </c>
      <c r="Y15" s="261">
        <f t="shared" si="32"/>
        <v>3</v>
      </c>
      <c r="Z15" s="261">
        <f t="shared" si="33"/>
        <v>-5</v>
      </c>
      <c r="AA15" s="261"/>
      <c r="AB15" s="261" t="str">
        <f>IF(AND(Y15=Y14,Z15&gt;Z14),X14,X15)</f>
        <v>Marrocos</v>
      </c>
      <c r="AC15" s="261">
        <f t="shared" si="34"/>
        <v>3</v>
      </c>
      <c r="AD15" s="261">
        <f t="shared" si="35"/>
        <v>-5</v>
      </c>
      <c r="AE15" s="261">
        <f t="shared" si="36"/>
        <v>1</v>
      </c>
      <c r="AF15" s="261" t="str">
        <f>IF(AND(AC15=AC16,AD15=AD16,AE16&gt;AE15),AB16,AB15)</f>
        <v>Marrocos</v>
      </c>
      <c r="AG15" s="261">
        <f t="shared" si="37"/>
        <v>3</v>
      </c>
      <c r="AH15" s="261">
        <f t="shared" si="38"/>
        <v>-5</v>
      </c>
      <c r="AI15" s="261">
        <f t="shared" si="39"/>
        <v>1</v>
      </c>
      <c r="AJ15" s="261" t="str">
        <f>IF(AND(AG15=AG13,AH15=AH13,AI15&gt;AI13),AF13,AF15)</f>
        <v>Marrocos</v>
      </c>
      <c r="AK15" s="261">
        <f t="shared" si="41"/>
        <v>3</v>
      </c>
      <c r="AL15" s="261">
        <f t="shared" si="42"/>
        <v>-5</v>
      </c>
      <c r="AM15" s="261">
        <f t="shared" si="43"/>
        <v>1</v>
      </c>
      <c r="AN15" s="261" t="str">
        <f>IF(AND(AK15=AK14,AL15=AL14,AM15&gt;AM14),AJ14,AJ15)</f>
        <v>Marrocos</v>
      </c>
      <c r="AO15" s="266">
        <f t="shared" si="44"/>
        <v>3</v>
      </c>
      <c r="AP15" s="266">
        <f>IF(Tabela!N2="www.guiadecompra.com",VLOOKUP(AN15,$A$13:$I$16,9,FALSE),0)</f>
        <v>-5</v>
      </c>
      <c r="AQ15" s="266">
        <f t="shared" si="45"/>
        <v>1</v>
      </c>
      <c r="AR15" s="19"/>
    </row>
    <row r="16" spans="1:44" ht="14.25" customHeight="1" x14ac:dyDescent="0.2">
      <c r="A16" s="267" t="str">
        <f>time!B4</f>
        <v>Iran</v>
      </c>
      <c r="B16" s="268">
        <f>IF(Jogo!Copa=FIFA,SUM(D16*3)+E16,0)</f>
        <v>0</v>
      </c>
      <c r="C16" s="269">
        <f>COUNT(Tabela!I14,Tabela!G17,Tabela!G19)</f>
        <v>3</v>
      </c>
      <c r="D16" s="269">
        <f>SUM(IF(Tabela!$I$14&gt;Tabela!$G$14,COUNT(Tabela!$I$14)),IF(Tabela!$G$17&gt;Tabela!$I$17,COUNT(Tabela!$G$17)),IF(Tabela!$G$19&gt;Tabela!$I$19,COUNT(Tabela!$G$19)))</f>
        <v>0</v>
      </c>
      <c r="E16" s="269">
        <f>SUM(IF(Tabela!$I$14=Tabela!$G$14,COUNT(Tabela!$I$14)),IF(Tabela!$G$17=Tabela!$I$17,COUNT(Tabela!$G$17)),IF(Tabela!$G$19=Tabela!$I$19,COUNT(Tabela!$G$19)))</f>
        <v>0</v>
      </c>
      <c r="F16" s="269">
        <f>SUM(IF(Tabela!$I$14&lt;Tabela!$G$14,COUNT(Tabela!$I$14)),IF(Tabela!$G$17&lt;Tabela!$I$17,COUNT(Tabela!$G$17)),IF(Tabela!$G$19&lt;Tabela!$I$19,COUNT(Tabela!$G$19)))</f>
        <v>3</v>
      </c>
      <c r="G16" s="269">
        <f>SUM(Tabela!I14+Tabela!G17+Tabela!G19)</f>
        <v>1</v>
      </c>
      <c r="H16" s="269">
        <f>SUM(Tabela!G14+Tabela!I17+Tabela!I19)</f>
        <v>9</v>
      </c>
      <c r="I16" s="269">
        <f>IF(BR20I4=Tabela!C2,SUM(G16-H16),"X")</f>
        <v>-8</v>
      </c>
      <c r="J16" s="270"/>
      <c r="K16" s="261" t="str">
        <f>IF(B16&lt;=B15,A16,A15)</f>
        <v>Iran</v>
      </c>
      <c r="L16" s="261">
        <f t="shared" si="24"/>
        <v>0</v>
      </c>
      <c r="M16" s="261"/>
      <c r="N16" s="261" t="str">
        <f t="shared" si="46"/>
        <v>Iran</v>
      </c>
      <c r="O16" s="261">
        <f t="shared" si="26"/>
        <v>0</v>
      </c>
      <c r="P16" s="261"/>
      <c r="Q16" s="261" t="str">
        <f>IF(O16&lt;=O13,N16,N13)</f>
        <v>Iran</v>
      </c>
      <c r="R16" s="261">
        <f t="shared" si="27"/>
        <v>0</v>
      </c>
      <c r="S16" s="261">
        <f t="shared" si="28"/>
        <v>-8</v>
      </c>
      <c r="T16" s="261"/>
      <c r="U16" s="261" t="str">
        <f>IF(AND(R15=R16,S16&gt;S15),Q15,Q16)</f>
        <v>Iran</v>
      </c>
      <c r="V16" s="261">
        <f t="shared" si="29"/>
        <v>0</v>
      </c>
      <c r="W16" s="261">
        <f t="shared" si="30"/>
        <v>-8</v>
      </c>
      <c r="X16" s="261" t="str">
        <f t="shared" si="47"/>
        <v>Iran</v>
      </c>
      <c r="Y16" s="261">
        <f t="shared" si="32"/>
        <v>0</v>
      </c>
      <c r="Z16" s="261">
        <f t="shared" si="33"/>
        <v>-8</v>
      </c>
      <c r="AA16" s="261"/>
      <c r="AB16" s="261" t="str">
        <f>IF(AND(Y16=Y13,Z16&gt;Z13),X13,X16)</f>
        <v>Iran</v>
      </c>
      <c r="AC16" s="261">
        <f t="shared" si="34"/>
        <v>0</v>
      </c>
      <c r="AD16" s="261">
        <f t="shared" si="35"/>
        <v>-8</v>
      </c>
      <c r="AE16" s="261">
        <f t="shared" si="36"/>
        <v>1</v>
      </c>
      <c r="AF16" s="261" t="str">
        <f>IF(AND(AC16=AC15,AD16=AD15,AE16&gt;AE15),X15,X16)</f>
        <v>Iran</v>
      </c>
      <c r="AG16" s="261">
        <f t="shared" si="37"/>
        <v>0</v>
      </c>
      <c r="AH16" s="261">
        <f t="shared" si="38"/>
        <v>-8</v>
      </c>
      <c r="AI16" s="261">
        <f t="shared" si="39"/>
        <v>1</v>
      </c>
      <c r="AJ16" s="261" t="str">
        <f>IF(AND(AG14=AG16,AH14=AH16,AI16&gt;AI14),AF14,AF16)</f>
        <v>Iran</v>
      </c>
      <c r="AK16" s="261">
        <f t="shared" si="41"/>
        <v>0</v>
      </c>
      <c r="AL16" s="261">
        <f t="shared" si="42"/>
        <v>-8</v>
      </c>
      <c r="AM16" s="261">
        <f t="shared" si="43"/>
        <v>1</v>
      </c>
      <c r="AN16" s="261" t="str">
        <f>IF(AND(AK16=AK13,AL16=AL13,AM16&gt;AM13),AJ13,AJ16)</f>
        <v>Iran</v>
      </c>
      <c r="AO16" s="266">
        <f t="shared" si="44"/>
        <v>0</v>
      </c>
      <c r="AP16" s="266">
        <f>IF(Tabela!N2="www.guiadecompra.com",VLOOKUP(AN16,$A$13:$I$16,9,FALSE),0)</f>
        <v>-8</v>
      </c>
      <c r="AQ16" s="266">
        <f t="shared" si="45"/>
        <v>1</v>
      </c>
      <c r="AR16" s="19"/>
    </row>
    <row r="17" spans="1:44" ht="14.25" customHeight="1" x14ac:dyDescent="0.2">
      <c r="A17" s="260"/>
      <c r="B17" s="261"/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1"/>
      <c r="Z17" s="261"/>
      <c r="AA17" s="261"/>
      <c r="AB17" s="261"/>
      <c r="AC17" s="261"/>
      <c r="AD17" s="261"/>
      <c r="AE17" s="261"/>
      <c r="AF17" s="261"/>
      <c r="AG17" s="261"/>
      <c r="AH17" s="261"/>
      <c r="AI17" s="261"/>
      <c r="AJ17" s="261"/>
      <c r="AK17" s="261"/>
      <c r="AL17" s="261"/>
      <c r="AM17" s="261"/>
      <c r="AN17" s="261"/>
      <c r="AO17" s="266"/>
      <c r="AP17" s="266"/>
      <c r="AQ17" s="266"/>
      <c r="AR17" s="19"/>
    </row>
    <row r="18" spans="1:44" ht="14.25" customHeight="1" x14ac:dyDescent="0.2">
      <c r="A18" s="260"/>
      <c r="B18" s="261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1"/>
      <c r="AH18" s="261"/>
      <c r="AI18" s="261"/>
      <c r="AJ18" s="261"/>
      <c r="AK18" s="261"/>
      <c r="AL18" s="261"/>
      <c r="AM18" s="261"/>
      <c r="AN18" s="261"/>
      <c r="AO18" s="266"/>
      <c r="AP18" s="266"/>
      <c r="AQ18" s="266"/>
      <c r="AR18" s="19"/>
    </row>
    <row r="19" spans="1:44" ht="14.25" customHeight="1" x14ac:dyDescent="0.2">
      <c r="A19" s="260"/>
      <c r="B19" s="366" t="s">
        <v>81</v>
      </c>
      <c r="C19" s="314"/>
      <c r="D19" s="314"/>
      <c r="E19" s="314"/>
      <c r="F19" s="314"/>
      <c r="G19" s="314"/>
      <c r="H19" s="314"/>
      <c r="I19" s="309"/>
      <c r="J19" s="261"/>
      <c r="K19" s="261" t="s">
        <v>75</v>
      </c>
      <c r="L19" s="261"/>
      <c r="M19" s="261"/>
      <c r="N19" s="261" t="s">
        <v>76</v>
      </c>
      <c r="O19" s="261"/>
      <c r="P19" s="261"/>
      <c r="Q19" s="261" t="s">
        <v>77</v>
      </c>
      <c r="R19" s="261"/>
      <c r="S19" s="261"/>
      <c r="T19" s="261"/>
      <c r="U19" s="261" t="s">
        <v>77</v>
      </c>
      <c r="V19" s="261"/>
      <c r="W19" s="261"/>
      <c r="X19" s="261"/>
      <c r="Y19" s="261"/>
      <c r="Z19" s="261"/>
      <c r="AA19" s="261"/>
      <c r="AB19" s="261"/>
      <c r="AC19" s="261"/>
      <c r="AD19" s="261"/>
      <c r="AE19" s="261"/>
      <c r="AF19" s="261"/>
      <c r="AG19" s="261"/>
      <c r="AH19" s="261"/>
      <c r="AI19" s="261"/>
      <c r="AJ19" s="261"/>
      <c r="AK19" s="261"/>
      <c r="AL19" s="261"/>
      <c r="AM19" s="261"/>
      <c r="AN19" s="261"/>
      <c r="AO19" s="266"/>
      <c r="AP19" s="266"/>
      <c r="AQ19" s="266"/>
      <c r="AR19" s="19"/>
    </row>
    <row r="20" spans="1:44" ht="14.25" customHeight="1" x14ac:dyDescent="0.2">
      <c r="A20" s="262" t="s">
        <v>78</v>
      </c>
      <c r="B20" s="263" t="s">
        <v>14</v>
      </c>
      <c r="C20" s="264" t="s">
        <v>15</v>
      </c>
      <c r="D20" s="264" t="s">
        <v>16</v>
      </c>
      <c r="E20" s="264" t="s">
        <v>17</v>
      </c>
      <c r="F20" s="264" t="s">
        <v>18</v>
      </c>
      <c r="G20" s="264" t="s">
        <v>19</v>
      </c>
      <c r="H20" s="264" t="s">
        <v>20</v>
      </c>
      <c r="I20" s="264" t="s">
        <v>21</v>
      </c>
      <c r="J20" s="265"/>
      <c r="K20" s="261"/>
      <c r="L20" s="261" t="s">
        <v>14</v>
      </c>
      <c r="M20" s="261"/>
      <c r="N20" s="261"/>
      <c r="O20" s="261" t="s">
        <v>79</v>
      </c>
      <c r="P20" s="261"/>
      <c r="Q20" s="261"/>
      <c r="R20" s="261" t="s">
        <v>14</v>
      </c>
      <c r="S20" s="261" t="s">
        <v>21</v>
      </c>
      <c r="T20" s="261"/>
      <c r="U20" s="261"/>
      <c r="V20" s="261" t="s">
        <v>14</v>
      </c>
      <c r="W20" s="261" t="s">
        <v>21</v>
      </c>
      <c r="X20" s="261"/>
      <c r="Y20" s="261" t="s">
        <v>14</v>
      </c>
      <c r="Z20" s="261" t="s">
        <v>21</v>
      </c>
      <c r="AA20" s="261"/>
      <c r="AB20" s="261"/>
      <c r="AC20" s="261" t="s">
        <v>14</v>
      </c>
      <c r="AD20" s="261" t="s">
        <v>21</v>
      </c>
      <c r="AE20" s="261" t="s">
        <v>19</v>
      </c>
      <c r="AF20" s="261"/>
      <c r="AG20" s="261" t="s">
        <v>14</v>
      </c>
      <c r="AH20" s="261" t="s">
        <v>21</v>
      </c>
      <c r="AI20" s="261" t="s">
        <v>19</v>
      </c>
      <c r="AJ20" s="261"/>
      <c r="AK20" s="261" t="s">
        <v>14</v>
      </c>
      <c r="AL20" s="261" t="s">
        <v>21</v>
      </c>
      <c r="AM20" s="261" t="s">
        <v>19</v>
      </c>
      <c r="AN20" s="261"/>
      <c r="AO20" s="266" t="s">
        <v>14</v>
      </c>
      <c r="AP20" s="266" t="s">
        <v>21</v>
      </c>
      <c r="AQ20" s="266" t="s">
        <v>19</v>
      </c>
      <c r="AR20" s="19"/>
    </row>
    <row r="21" spans="1:44" ht="14.25" customHeight="1" x14ac:dyDescent="0.2">
      <c r="A21" s="267" t="str">
        <f>time!C1</f>
        <v>França</v>
      </c>
      <c r="B21" s="268">
        <f>IF(Jogo!Copa=FIFA,SUM(D21*3)+E21,0)</f>
        <v>7</v>
      </c>
      <c r="C21" s="269">
        <f>COUNT(Tabela!G22,Tabela!G25,Tabela!I26)</f>
        <v>3</v>
      </c>
      <c r="D21" s="269">
        <f>SUM(IF(Tabela!$G$22&gt;Tabela!$I$22,COUNT(Tabela!$G$22)),IF(Tabela!$G$25&gt;Tabela!$I$25,COUNT(Tabela!$G$25)),IF(Tabela!$I$26&gt;Tabela!$G$26,COUNT(Tabela!$I$26)))</f>
        <v>2</v>
      </c>
      <c r="E21" s="269">
        <f>SUM(IF(Tabela!$G$22=Tabela!$I$22,COUNT(Tabela!$G$22)),IF(Tabela!$G$25=Tabela!$I$25,COUNT(Tabela!$G$25)),IF(Tabela!$I$26=Tabela!$G$26,COUNT(Tabela!$I$26)))</f>
        <v>1</v>
      </c>
      <c r="F21" s="269">
        <f>SUM(IF(Tabela!$G$22&lt;Tabela!$I$22,COUNT(Tabela!$G$22)),IF(Tabela!$G$25&lt;Tabela!$I$25,COUNT(Tabela!$G$25)),IF(Tabela!$I$26&lt;Tabela!$G$26,COUNT(Tabela!$I$26)))</f>
        <v>0</v>
      </c>
      <c r="G21" s="269">
        <f>SUM(Tabela!G22+Tabela!G25+Tabela!I26)</f>
        <v>8</v>
      </c>
      <c r="H21" s="269">
        <f>SUM(Tabela!I22+Tabela!I25+Tabela!G26)</f>
        <v>6</v>
      </c>
      <c r="I21" s="269">
        <f>IF(BR20I4=Tabela!C2,SUM(G21-H21),"X")</f>
        <v>2</v>
      </c>
      <c r="J21" s="270"/>
      <c r="K21" s="261" t="str">
        <f>IF(B21&gt;=B22,A21,A22)</f>
        <v>França</v>
      </c>
      <c r="L21" s="261">
        <f t="shared" ref="L21:L24" si="48">VLOOKUP(K21,$A$21:$I$24,2,FALSE)</f>
        <v>7</v>
      </c>
      <c r="M21" s="261"/>
      <c r="N21" s="261" t="str">
        <f t="shared" ref="N21:N22" si="49">IF(L21&gt;=L23,K21,K23)</f>
        <v>França</v>
      </c>
      <c r="O21" s="261">
        <f t="shared" ref="O21:O24" si="50">VLOOKUP(N21,$A$21:$I$24,2,FALSE)</f>
        <v>7</v>
      </c>
      <c r="P21" s="261"/>
      <c r="Q21" s="261" t="str">
        <f>IF(O21&gt;=O24,N21,N24)</f>
        <v>França</v>
      </c>
      <c r="R21" s="261">
        <f t="shared" ref="R21:R24" si="51">VLOOKUP(Q21,$A$21:$I$24,2,FALSE)</f>
        <v>7</v>
      </c>
      <c r="S21" s="261">
        <f t="shared" ref="S21:S24" si="52">VLOOKUP(Q21,$A$21:$I$24,9,FALSE)</f>
        <v>2</v>
      </c>
      <c r="T21" s="261"/>
      <c r="U21" s="261" t="str">
        <f>IF(AND(R21=R22,S22&gt;S21),Q22,Q21)</f>
        <v>França</v>
      </c>
      <c r="V21" s="261">
        <f t="shared" ref="V21:V24" si="53">VLOOKUP(U21,$A$21:$I$24,2,FALSE)</f>
        <v>7</v>
      </c>
      <c r="W21" s="261">
        <f t="shared" ref="W21:W24" si="54">VLOOKUP(U21,$A$21:$I$24,9,FALSE)</f>
        <v>2</v>
      </c>
      <c r="X21" s="261" t="str">
        <f t="shared" ref="X21:X22" si="55">IF(AND(V21=V23,W23&gt;W21),U23,U21)</f>
        <v>França</v>
      </c>
      <c r="Y21" s="261">
        <f t="shared" ref="Y21:Y24" si="56">VLOOKUP(X21,$A$21:$I$24,2,FALSE)</f>
        <v>7</v>
      </c>
      <c r="Z21" s="261">
        <f t="shared" ref="Z21:Z24" si="57">VLOOKUP(X21,$A$21:$I$24,9,FALSE)</f>
        <v>2</v>
      </c>
      <c r="AA21" s="261"/>
      <c r="AB21" s="261" t="str">
        <f>IF(AND(Y21=Y24,Z24&gt;Z21),X24,X21)</f>
        <v>França</v>
      </c>
      <c r="AC21" s="261">
        <f t="shared" ref="AC21:AC24" si="58">VLOOKUP(AB21,$A$21:$I$24,2,FALSE)</f>
        <v>7</v>
      </c>
      <c r="AD21" s="261">
        <f t="shared" ref="AD21:AD24" si="59">VLOOKUP(AB21,$A$21:$I$24,9,FALSE)</f>
        <v>2</v>
      </c>
      <c r="AE21" s="261">
        <f t="shared" ref="AE21:AE24" si="60">VLOOKUP(AB21,$A$21:$I$24,7,FALSE)</f>
        <v>8</v>
      </c>
      <c r="AF21" s="261" t="str">
        <f>IF(AND(AC21=AC22,AD21=AD22,AE22&gt;AE21),AB22,AB21)</f>
        <v>França</v>
      </c>
      <c r="AG21" s="261">
        <f t="shared" ref="AG21:AG24" si="61">VLOOKUP(AF21,$A$21:$I$24,2,FALSE)</f>
        <v>7</v>
      </c>
      <c r="AH21" s="261">
        <f t="shared" ref="AH21:AH24" si="62">VLOOKUP(AF21,$A$21:$I$24,9,FALSE)</f>
        <v>2</v>
      </c>
      <c r="AI21" s="261">
        <f t="shared" ref="AI21:AI24" si="63">VLOOKUP(AF21,$A$21:$I$24,7,FALSE)</f>
        <v>8</v>
      </c>
      <c r="AJ21" s="261" t="str">
        <f t="shared" ref="AJ21:AJ22" si="64">IF(AND(AG21=AG23,AH21=AH23,AI23&gt;AI21),AF23,AF21)</f>
        <v>França</v>
      </c>
      <c r="AK21" s="261">
        <f t="shared" ref="AK21:AK24" si="65">VLOOKUP(AJ21,$A$21:$I$24,2,FALSE)</f>
        <v>7</v>
      </c>
      <c r="AL21" s="261">
        <f t="shared" ref="AL21:AL24" si="66">VLOOKUP(AJ21,$A$21:$I$24,9,FALSE)</f>
        <v>2</v>
      </c>
      <c r="AM21" s="261">
        <f t="shared" ref="AM21:AM24" si="67">VLOOKUP(AJ21,$A$21:$I$24,7,FALSE)</f>
        <v>8</v>
      </c>
      <c r="AN21" s="261" t="str">
        <f>IF(AND(AK21=AK24,AL21=AL24,AM24&gt;AM21),AJ24,AJ21)</f>
        <v>França</v>
      </c>
      <c r="AO21" s="266">
        <f t="shared" ref="AO21:AO24" si="68">VLOOKUP(AN21,$A$21:$I$24,2,FALSE)</f>
        <v>7</v>
      </c>
      <c r="AP21" s="266">
        <f>IF(Tabela!N2="www.guiadecompra.com",VLOOKUP(AN21,$A$21:$I$24,9,FALSE),0)</f>
        <v>2</v>
      </c>
      <c r="AQ21" s="266">
        <f t="shared" ref="AQ21:AQ24" si="69">VLOOKUP(AN21,$A$21:$I$24,7,FALSE)</f>
        <v>8</v>
      </c>
      <c r="AR21" s="19"/>
    </row>
    <row r="22" spans="1:44" ht="14.25" customHeight="1" x14ac:dyDescent="0.2">
      <c r="A22" s="267" t="str">
        <f>time!C2</f>
        <v>Austrália</v>
      </c>
      <c r="B22" s="268">
        <f>IF(Jogo!Copa=FIFA,SUM(D22*3)+E22,0)</f>
        <v>0</v>
      </c>
      <c r="C22" s="269">
        <f>COUNT(Tabela!I22,Tabela!I24,Tabela!G27)</f>
        <v>3</v>
      </c>
      <c r="D22" s="269">
        <f>SUM(IF(Tabela!$I$22&gt;Tabela!$G$22,COUNT(Tabela!$I$22)),IF(Tabela!$I$24&gt;Tabela!$G$24,COUNT(Tabela!$I$24)),IF(Tabela!$G$27&gt;Tabela!$I$27,COUNT(Tabela!$G$27)))</f>
        <v>0</v>
      </c>
      <c r="E22" s="269">
        <f>SUM(IF(Tabela!$I$22=Tabela!$G$22,COUNT(Tabela!$I$22)),IF(Tabela!$I$24=Tabela!$G$24,COUNT(Tabela!$I$24)),IF(Tabela!$G$27=Tabela!$I$27,COUNT(Tabela!$G$27)))</f>
        <v>0</v>
      </c>
      <c r="F22" s="269">
        <f>SUM(IF(Tabela!$I$22&lt;Tabela!$G$22,COUNT(Tabela!$I$22)),IF(Tabela!$I$24&lt;Tabela!$G$24,COUNT(Tabela!$I$24)),IF(Tabela!$G$27&lt;Tabela!$I$27,COUNT(Tabela!$G$27)))</f>
        <v>3</v>
      </c>
      <c r="G22" s="269">
        <f>SUM(Tabela!I22+Tabela!I24+Tabela!G27)</f>
        <v>3</v>
      </c>
      <c r="H22" s="269">
        <f>SUM(Tabela!G22+Tabela!G24+Tabela!I27)</f>
        <v>7</v>
      </c>
      <c r="I22" s="269">
        <f>IF(BR20I4=Tabela!C2,SUM(G22-H22),"X")</f>
        <v>-4</v>
      </c>
      <c r="J22" s="270"/>
      <c r="K22" s="261" t="str">
        <f>IF(B22&lt;=B21,A22,A21)</f>
        <v>Austrália</v>
      </c>
      <c r="L22" s="261">
        <f t="shared" si="48"/>
        <v>0</v>
      </c>
      <c r="M22" s="261"/>
      <c r="N22" s="261" t="str">
        <f t="shared" si="49"/>
        <v>Dinamarca</v>
      </c>
      <c r="O22" s="261">
        <f t="shared" si="50"/>
        <v>4</v>
      </c>
      <c r="P22" s="261"/>
      <c r="Q22" s="261" t="str">
        <f>IF(O22&gt;=O23,N22,N23)</f>
        <v>Peru</v>
      </c>
      <c r="R22" s="261">
        <f t="shared" si="51"/>
        <v>6</v>
      </c>
      <c r="S22" s="261">
        <f t="shared" si="52"/>
        <v>1</v>
      </c>
      <c r="T22" s="261"/>
      <c r="U22" s="261" t="str">
        <f>IF(AND(R21=R22,S22&gt;S21),Q21,Q22)</f>
        <v>Peru</v>
      </c>
      <c r="V22" s="261">
        <f t="shared" si="53"/>
        <v>6</v>
      </c>
      <c r="W22" s="261">
        <f t="shared" si="54"/>
        <v>1</v>
      </c>
      <c r="X22" s="261" t="str">
        <f t="shared" si="55"/>
        <v>Peru</v>
      </c>
      <c r="Y22" s="261">
        <f t="shared" si="56"/>
        <v>6</v>
      </c>
      <c r="Z22" s="261">
        <f t="shared" si="57"/>
        <v>1</v>
      </c>
      <c r="AA22" s="261"/>
      <c r="AB22" s="261" t="str">
        <f>IF(AND(Y22=Y23,Z23&gt;Z22),X23,X22)</f>
        <v>Peru</v>
      </c>
      <c r="AC22" s="261">
        <f t="shared" si="58"/>
        <v>6</v>
      </c>
      <c r="AD22" s="261">
        <f t="shared" si="59"/>
        <v>1</v>
      </c>
      <c r="AE22" s="261">
        <f t="shared" si="60"/>
        <v>6</v>
      </c>
      <c r="AF22" s="261" t="str">
        <f>IF(AND(AC22=AC21,AD22=AD21,AE22&gt;AE21),AB21,AB22)</f>
        <v>Peru</v>
      </c>
      <c r="AG22" s="261">
        <f t="shared" si="61"/>
        <v>6</v>
      </c>
      <c r="AH22" s="261">
        <f t="shared" si="62"/>
        <v>1</v>
      </c>
      <c r="AI22" s="261">
        <f t="shared" si="63"/>
        <v>6</v>
      </c>
      <c r="AJ22" s="261" t="str">
        <f t="shared" si="64"/>
        <v>Peru</v>
      </c>
      <c r="AK22" s="261">
        <f t="shared" si="65"/>
        <v>6</v>
      </c>
      <c r="AL22" s="261">
        <f t="shared" si="66"/>
        <v>1</v>
      </c>
      <c r="AM22" s="261">
        <f t="shared" si="67"/>
        <v>6</v>
      </c>
      <c r="AN22" s="261" t="str">
        <f>IF(AND(AK22=AK23,AL22=AL23,AM23&gt;AM22),AJ23,AJ22)</f>
        <v>Peru</v>
      </c>
      <c r="AO22" s="266">
        <f t="shared" si="68"/>
        <v>6</v>
      </c>
      <c r="AP22" s="266">
        <f>IF(Tabela!N2="www.guiadecompra.com",VLOOKUP(AN22,$A$21:$I$24,9,FALSE),0)</f>
        <v>1</v>
      </c>
      <c r="AQ22" s="266">
        <f t="shared" si="69"/>
        <v>6</v>
      </c>
      <c r="AR22" s="19"/>
    </row>
    <row r="23" spans="1:44" ht="14.25" customHeight="1" x14ac:dyDescent="0.2">
      <c r="A23" s="267" t="str">
        <f>time!C3</f>
        <v>Peru</v>
      </c>
      <c r="B23" s="268">
        <f>IF(Jogo!Copa=FIFA,SUM(D23*3)+E23,0)</f>
        <v>6</v>
      </c>
      <c r="C23" s="269">
        <f>COUNT(Tabela!G23,Tabela!I25,Tabela!I27)</f>
        <v>3</v>
      </c>
      <c r="D23" s="269">
        <f>SUM(IF(Tabela!$G$23&gt;Tabela!$I$23,COUNT(Tabela!$G$23)),IF(Tabela!$I$25&gt;Tabela!$G$25,COUNT(Tabela!$I$25)),IF(Tabela!$I$27&gt;Tabela!$G$27,COUNT(Tabela!$I$27)))</f>
        <v>2</v>
      </c>
      <c r="E23" s="269">
        <f>SUM(IF(Tabela!$G$23=Tabela!$I$23,COUNT(Tabela!$G$23)),IF(Tabela!$I$25=Tabela!$G$25,COUNT(Tabela!$I$25)),IF(Tabela!$I$27=Tabela!$G$27,COUNT(Tabela!$I$27)))</f>
        <v>0</v>
      </c>
      <c r="F23" s="269">
        <f>SUM(IF(Tabela!$G$23&lt;Tabela!$I$23,COUNT(Tabela!$G$23)),IF(Tabela!$I$25&lt;Tabela!$G$25,COUNT(Tabela!$I$25)),IF(Tabela!$I$27&lt;Tabela!$G$27,COUNT(Tabela!$I$27)))</f>
        <v>1</v>
      </c>
      <c r="G23" s="269">
        <f>SUM(Tabela!G23+Tabela!I25+Tabela!I27)</f>
        <v>6</v>
      </c>
      <c r="H23" s="269">
        <f>SUM(Tabela!I23+Tabela!G25+Tabela!G27)</f>
        <v>5</v>
      </c>
      <c r="I23" s="269">
        <f>IF(BR20I4=Tabela!C2,SUM(G23-H23),"X")</f>
        <v>1</v>
      </c>
      <c r="J23" s="270"/>
      <c r="K23" s="261" t="str">
        <f>IF(B23&gt;=B24,A23,A24)</f>
        <v>Peru</v>
      </c>
      <c r="L23" s="261">
        <f t="shared" si="48"/>
        <v>6</v>
      </c>
      <c r="M23" s="261"/>
      <c r="N23" s="261" t="str">
        <f t="shared" ref="N23:N24" si="70">IF(L23&lt;=L21,K23,K21)</f>
        <v>Peru</v>
      </c>
      <c r="O23" s="261">
        <f t="shared" si="50"/>
        <v>6</v>
      </c>
      <c r="P23" s="261"/>
      <c r="Q23" s="261" t="str">
        <f>IF(O23&lt;=O22,N23,N22)</f>
        <v>Dinamarca</v>
      </c>
      <c r="R23" s="261">
        <f t="shared" si="51"/>
        <v>4</v>
      </c>
      <c r="S23" s="261">
        <f t="shared" si="52"/>
        <v>1</v>
      </c>
      <c r="T23" s="261"/>
      <c r="U23" s="261" t="str">
        <f>IF(AND(R23=R24,S24&gt;S23),Q24,Q23)</f>
        <v>Dinamarca</v>
      </c>
      <c r="V23" s="261">
        <f t="shared" si="53"/>
        <v>4</v>
      </c>
      <c r="W23" s="261">
        <f t="shared" si="54"/>
        <v>1</v>
      </c>
      <c r="X23" s="261" t="str">
        <f t="shared" ref="X23:X24" si="71">IF(AND(V21=V23,W23&gt;W21),U21,U23)</f>
        <v>Dinamarca</v>
      </c>
      <c r="Y23" s="261">
        <f t="shared" si="56"/>
        <v>4</v>
      </c>
      <c r="Z23" s="261">
        <f t="shared" si="57"/>
        <v>1</v>
      </c>
      <c r="AA23" s="261"/>
      <c r="AB23" s="261" t="str">
        <f>IF(AND(Y23=Y22,Z23&gt;Z22),X22,X23)</f>
        <v>Dinamarca</v>
      </c>
      <c r="AC23" s="261">
        <f t="shared" si="58"/>
        <v>4</v>
      </c>
      <c r="AD23" s="261">
        <f t="shared" si="59"/>
        <v>1</v>
      </c>
      <c r="AE23" s="261">
        <f t="shared" si="60"/>
        <v>5</v>
      </c>
      <c r="AF23" s="261" t="str">
        <f>IF(AND(AC23=AC24,AD23=AD24,AE24&gt;AE23),AB24,AB23)</f>
        <v>Dinamarca</v>
      </c>
      <c r="AG23" s="261">
        <f t="shared" si="61"/>
        <v>4</v>
      </c>
      <c r="AH23" s="261">
        <f t="shared" si="62"/>
        <v>1</v>
      </c>
      <c r="AI23" s="261">
        <f t="shared" si="63"/>
        <v>5</v>
      </c>
      <c r="AJ23" s="261" t="str">
        <f>IF(AND(AG23=AG21,AH23=AH21,AI23&gt;AI21),AF21,AF23)</f>
        <v>Dinamarca</v>
      </c>
      <c r="AK23" s="261">
        <f t="shared" si="65"/>
        <v>4</v>
      </c>
      <c r="AL23" s="261">
        <f t="shared" si="66"/>
        <v>1</v>
      </c>
      <c r="AM23" s="261">
        <f t="shared" si="67"/>
        <v>5</v>
      </c>
      <c r="AN23" s="261" t="str">
        <f>IF(AND(AK23=AK22,AL23=AL22,AM23&gt;AM22),AJ22,AJ23)</f>
        <v>Dinamarca</v>
      </c>
      <c r="AO23" s="266">
        <f t="shared" si="68"/>
        <v>4</v>
      </c>
      <c r="AP23" s="266">
        <f>IF(Tabela!N2="www.guiadecompra.com",VLOOKUP(AN23,$A$21:$I$24,9,FALSE),0)</f>
        <v>1</v>
      </c>
      <c r="AQ23" s="266">
        <f t="shared" si="69"/>
        <v>5</v>
      </c>
      <c r="AR23" s="19"/>
    </row>
    <row r="24" spans="1:44" ht="14.25" customHeight="1" x14ac:dyDescent="0.2">
      <c r="A24" s="267" t="str">
        <f>time!C4</f>
        <v>Dinamarca</v>
      </c>
      <c r="B24" s="268">
        <f>IF(Jogo!Copa=FIFA,SUM(D24*3)+E24,0)</f>
        <v>4</v>
      </c>
      <c r="C24" s="269">
        <f>COUNT(Tabela!I23,Tabela!G24,Tabela!G26)</f>
        <v>3</v>
      </c>
      <c r="D24" s="269">
        <f>SUM(IF(Tabela!$I$23&gt;Tabela!$G$23,COUNT(Tabela!$I$23)),IF(Tabela!$G$24&gt;Tabela!$I$24,COUNT(Tabela!$G$24)),IF(Tabela!$G$26&gt;Tabela!$I$26,COUNT(Tabela!$G$26)))</f>
        <v>1</v>
      </c>
      <c r="E24" s="269">
        <f>SUM(IF(Tabela!$I$23=Tabela!$G$23,COUNT(Tabela!$I$23)),IF(Tabela!$G$24=Tabela!$I$24,COUNT(Tabela!$G$24)),IF(Tabela!$G$26=Tabela!$I$26,COUNT(Tabela!$G$26)))</f>
        <v>1</v>
      </c>
      <c r="F24" s="269">
        <f>SUM(IF(Tabela!$I$23&lt;Tabela!$G$23,COUNT(Tabela!$I$23)),IF(Tabela!$G$24&lt;Tabela!$I$24,COUNT(Tabela!$G$24)),IF(Tabela!$G$26&lt;Tabela!$I$26,COUNT(Tabela!$G$26)))</f>
        <v>1</v>
      </c>
      <c r="G24" s="269">
        <f>SUM(Tabela!I23+Tabela!G24+Tabela!G26)</f>
        <v>5</v>
      </c>
      <c r="H24" s="269">
        <f>SUM(Tabela!G23+Tabela!I24+Tabela!I26)</f>
        <v>4</v>
      </c>
      <c r="I24" s="269">
        <f>IF(BR20I4=Tabela!C2,SUM(G24-H24),"X")</f>
        <v>1</v>
      </c>
      <c r="J24" s="270"/>
      <c r="K24" s="261" t="str">
        <f>IF(B24&lt;=B23,A24,A23)</f>
        <v>Dinamarca</v>
      </c>
      <c r="L24" s="261">
        <f t="shared" si="48"/>
        <v>4</v>
      </c>
      <c r="M24" s="261"/>
      <c r="N24" s="261" t="str">
        <f t="shared" si="70"/>
        <v>Austrália</v>
      </c>
      <c r="O24" s="261">
        <f t="shared" si="50"/>
        <v>0</v>
      </c>
      <c r="P24" s="261"/>
      <c r="Q24" s="261" t="str">
        <f>IF(O24&lt;=O21,N24,N21)</f>
        <v>Austrália</v>
      </c>
      <c r="R24" s="261">
        <f t="shared" si="51"/>
        <v>0</v>
      </c>
      <c r="S24" s="261">
        <f t="shared" si="52"/>
        <v>-4</v>
      </c>
      <c r="T24" s="261"/>
      <c r="U24" s="261" t="str">
        <f>IF(AND(R23=R24,S24&gt;S23),Q23,Q24)</f>
        <v>Austrália</v>
      </c>
      <c r="V24" s="261">
        <f t="shared" si="53"/>
        <v>0</v>
      </c>
      <c r="W24" s="261">
        <f t="shared" si="54"/>
        <v>-4</v>
      </c>
      <c r="X24" s="261" t="str">
        <f t="shared" si="71"/>
        <v>Austrália</v>
      </c>
      <c r="Y24" s="261">
        <f t="shared" si="56"/>
        <v>0</v>
      </c>
      <c r="Z24" s="261">
        <f t="shared" si="57"/>
        <v>-4</v>
      </c>
      <c r="AA24" s="261"/>
      <c r="AB24" s="261" t="str">
        <f>IF(AND(Y24=Y21,Z24&gt;Z21),X21,X24)</f>
        <v>Austrália</v>
      </c>
      <c r="AC24" s="261">
        <f t="shared" si="58"/>
        <v>0</v>
      </c>
      <c r="AD24" s="261">
        <f t="shared" si="59"/>
        <v>-4</v>
      </c>
      <c r="AE24" s="261">
        <f t="shared" si="60"/>
        <v>3</v>
      </c>
      <c r="AF24" s="261" t="str">
        <f>IF(AND(AC24=AC23,AD24=AD23,AE24&gt;AE23),X23,X24)</f>
        <v>Austrália</v>
      </c>
      <c r="AG24" s="261">
        <f t="shared" si="61"/>
        <v>0</v>
      </c>
      <c r="AH24" s="261">
        <f t="shared" si="62"/>
        <v>-4</v>
      </c>
      <c r="AI24" s="261">
        <f t="shared" si="63"/>
        <v>3</v>
      </c>
      <c r="AJ24" s="261" t="str">
        <f>IF(AND(AG22=AG24,AH22=AH24,AI24&gt;AI22),AF22,AF24)</f>
        <v>Austrália</v>
      </c>
      <c r="AK24" s="261">
        <f t="shared" si="65"/>
        <v>0</v>
      </c>
      <c r="AL24" s="261">
        <f t="shared" si="66"/>
        <v>-4</v>
      </c>
      <c r="AM24" s="261">
        <f t="shared" si="67"/>
        <v>3</v>
      </c>
      <c r="AN24" s="261" t="str">
        <f>IF(AND(AK24=AK21,AL24=AL21,AM24&gt;AM21),AJ21,AJ24)</f>
        <v>Austrália</v>
      </c>
      <c r="AO24" s="266">
        <f t="shared" si="68"/>
        <v>0</v>
      </c>
      <c r="AP24" s="266">
        <f>IF(Tabela!N2="www.guiadecompra.com",VLOOKUP(AN24,$A$21:$I$24,9,FALSE),0)</f>
        <v>-4</v>
      </c>
      <c r="AQ24" s="266">
        <f t="shared" si="69"/>
        <v>3</v>
      </c>
      <c r="AR24" s="19"/>
    </row>
    <row r="25" spans="1:44" ht="14.25" customHeight="1" x14ac:dyDescent="0.2">
      <c r="A25" s="260"/>
      <c r="B25" s="261"/>
      <c r="C25" s="261"/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261"/>
      <c r="AC25" s="261"/>
      <c r="AD25" s="261"/>
      <c r="AE25" s="261"/>
      <c r="AF25" s="261"/>
      <c r="AG25" s="261"/>
      <c r="AH25" s="261"/>
      <c r="AI25" s="261"/>
      <c r="AJ25" s="261"/>
      <c r="AK25" s="261"/>
      <c r="AL25" s="261"/>
      <c r="AM25" s="261"/>
      <c r="AN25" s="261"/>
      <c r="AO25" s="266"/>
      <c r="AP25" s="266"/>
      <c r="AQ25" s="266"/>
      <c r="AR25" s="19"/>
    </row>
    <row r="26" spans="1:44" ht="14.25" customHeight="1" x14ac:dyDescent="0.2">
      <c r="A26" s="260"/>
      <c r="B26" s="261"/>
      <c r="C26" s="261"/>
      <c r="D26" s="261"/>
      <c r="E26" s="261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  <c r="Z26" s="261"/>
      <c r="AA26" s="261"/>
      <c r="AB26" s="261"/>
      <c r="AC26" s="261"/>
      <c r="AD26" s="261"/>
      <c r="AE26" s="261"/>
      <c r="AF26" s="261"/>
      <c r="AG26" s="261"/>
      <c r="AH26" s="261"/>
      <c r="AI26" s="261"/>
      <c r="AJ26" s="261"/>
      <c r="AK26" s="261"/>
      <c r="AL26" s="261"/>
      <c r="AM26" s="261"/>
      <c r="AN26" s="261"/>
      <c r="AO26" s="266"/>
      <c r="AP26" s="266"/>
      <c r="AQ26" s="266"/>
      <c r="AR26" s="19"/>
    </row>
    <row r="27" spans="1:44" ht="14.25" customHeight="1" x14ac:dyDescent="0.2">
      <c r="A27" s="260"/>
      <c r="B27" s="366" t="s">
        <v>82</v>
      </c>
      <c r="C27" s="314"/>
      <c r="D27" s="314"/>
      <c r="E27" s="314"/>
      <c r="F27" s="314"/>
      <c r="G27" s="314"/>
      <c r="H27" s="314"/>
      <c r="I27" s="309"/>
      <c r="J27" s="261"/>
      <c r="K27" s="261" t="s">
        <v>75</v>
      </c>
      <c r="L27" s="261"/>
      <c r="M27" s="261"/>
      <c r="N27" s="261" t="s">
        <v>76</v>
      </c>
      <c r="O27" s="261"/>
      <c r="P27" s="261"/>
      <c r="Q27" s="261" t="s">
        <v>77</v>
      </c>
      <c r="R27" s="261"/>
      <c r="S27" s="261"/>
      <c r="T27" s="261"/>
      <c r="U27" s="261" t="s">
        <v>77</v>
      </c>
      <c r="V27" s="261"/>
      <c r="W27" s="261"/>
      <c r="X27" s="261"/>
      <c r="Y27" s="261"/>
      <c r="Z27" s="261"/>
      <c r="AA27" s="261"/>
      <c r="AB27" s="261"/>
      <c r="AC27" s="261"/>
      <c r="AD27" s="261"/>
      <c r="AE27" s="261"/>
      <c r="AF27" s="261"/>
      <c r="AG27" s="261"/>
      <c r="AH27" s="261"/>
      <c r="AI27" s="261"/>
      <c r="AJ27" s="261"/>
      <c r="AK27" s="261"/>
      <c r="AL27" s="261"/>
      <c r="AM27" s="261"/>
      <c r="AN27" s="261"/>
      <c r="AO27" s="266"/>
      <c r="AP27" s="266"/>
      <c r="AQ27" s="266"/>
      <c r="AR27" s="19"/>
    </row>
    <row r="28" spans="1:44" ht="14.25" customHeight="1" x14ac:dyDescent="0.2">
      <c r="A28" s="262" t="s">
        <v>78</v>
      </c>
      <c r="B28" s="263" t="s">
        <v>14</v>
      </c>
      <c r="C28" s="264" t="s">
        <v>15</v>
      </c>
      <c r="D28" s="264" t="s">
        <v>16</v>
      </c>
      <c r="E28" s="264" t="s">
        <v>17</v>
      </c>
      <c r="F28" s="264" t="s">
        <v>18</v>
      </c>
      <c r="G28" s="264" t="s">
        <v>19</v>
      </c>
      <c r="H28" s="264" t="s">
        <v>20</v>
      </c>
      <c r="I28" s="264" t="s">
        <v>21</v>
      </c>
      <c r="J28" s="265"/>
      <c r="K28" s="261"/>
      <c r="L28" s="261" t="s">
        <v>14</v>
      </c>
      <c r="M28" s="261"/>
      <c r="N28" s="261"/>
      <c r="O28" s="261" t="s">
        <v>79</v>
      </c>
      <c r="P28" s="261"/>
      <c r="Q28" s="261"/>
      <c r="R28" s="261" t="s">
        <v>14</v>
      </c>
      <c r="S28" s="261" t="s">
        <v>21</v>
      </c>
      <c r="T28" s="261"/>
      <c r="U28" s="261"/>
      <c r="V28" s="261" t="s">
        <v>14</v>
      </c>
      <c r="W28" s="261" t="s">
        <v>21</v>
      </c>
      <c r="X28" s="261"/>
      <c r="Y28" s="261" t="s">
        <v>14</v>
      </c>
      <c r="Z28" s="261" t="s">
        <v>21</v>
      </c>
      <c r="AA28" s="261"/>
      <c r="AB28" s="261"/>
      <c r="AC28" s="261" t="s">
        <v>14</v>
      </c>
      <c r="AD28" s="261" t="s">
        <v>21</v>
      </c>
      <c r="AE28" s="261" t="s">
        <v>19</v>
      </c>
      <c r="AF28" s="261"/>
      <c r="AG28" s="261" t="s">
        <v>14</v>
      </c>
      <c r="AH28" s="261" t="s">
        <v>21</v>
      </c>
      <c r="AI28" s="261" t="s">
        <v>19</v>
      </c>
      <c r="AJ28" s="261"/>
      <c r="AK28" s="261" t="s">
        <v>14</v>
      </c>
      <c r="AL28" s="261" t="s">
        <v>21</v>
      </c>
      <c r="AM28" s="261" t="s">
        <v>19</v>
      </c>
      <c r="AN28" s="261"/>
      <c r="AO28" s="266" t="s">
        <v>14</v>
      </c>
      <c r="AP28" s="266" t="s">
        <v>21</v>
      </c>
      <c r="AQ28" s="266" t="s">
        <v>19</v>
      </c>
      <c r="AR28" s="19"/>
    </row>
    <row r="29" spans="1:44" ht="14.25" customHeight="1" x14ac:dyDescent="0.2">
      <c r="A29" s="267" t="str">
        <f>time!D1</f>
        <v>Argentina</v>
      </c>
      <c r="B29" s="268">
        <f>IF(Jogo!Copa=FIFA,SUM(D29*3)+E29,0)</f>
        <v>9</v>
      </c>
      <c r="C29" s="269">
        <f>COUNT(Tabela!G30,Tabela!G32,Tabela!I35)</f>
        <v>3</v>
      </c>
      <c r="D29" s="269">
        <f>SUM(IF(Tabela!$G$30&gt;Tabela!$I$30,COUNT(Tabela!$G$30)),IF(Tabela!$G$32&gt;Tabela!$I$32,COUNT(Tabela!$G$32)),IF(Tabela!$I$35&gt;Tabela!$G$35,COUNT(Tabela!$I$35)))</f>
        <v>3</v>
      </c>
      <c r="E29" s="269">
        <f>SUM(IF(Tabela!$G$30=Tabela!$I$30,COUNT(Tabela!$G$30)),IF(Tabela!$G$32=Tabela!$I$32,COUNT(Tabela!$G$32)),IF(Tabela!$I$35=Tabela!$G$35,COUNT(Tabela!$I$35)))</f>
        <v>0</v>
      </c>
      <c r="F29" s="269">
        <f>SUM(IF(Tabela!$G$30&lt;Tabela!$I$30,COUNT(Tabela!$G$30)),IF(Tabela!$G$32&lt;Tabela!$I$32,COUNT(Tabela!$G$32)),IF(Tabela!$I$35&lt;Tabela!$G$35,COUNT(Tabela!$I$35)))</f>
        <v>0</v>
      </c>
      <c r="G29" s="269">
        <f>SUM(Tabela!G30+Tabela!G32+Tabela!I35)</f>
        <v>5</v>
      </c>
      <c r="H29" s="269">
        <f>SUM(Tabela!I30+Tabela!I32+Tabela!G35)</f>
        <v>0</v>
      </c>
      <c r="I29" s="269">
        <f>IF(BR20I4=Tabela!C2,SUM(G29-H29),"X")</f>
        <v>5</v>
      </c>
      <c r="J29" s="270"/>
      <c r="K29" s="261" t="str">
        <f>IF(B29&gt;=B30,A29,A30)</f>
        <v>Argentina</v>
      </c>
      <c r="L29" s="261">
        <f t="shared" ref="L29:L32" si="72">VLOOKUP(K29,$A$29:$I$32,2,FALSE)</f>
        <v>9</v>
      </c>
      <c r="M29" s="261"/>
      <c r="N29" s="261" t="str">
        <f t="shared" ref="N29:N30" si="73">IF(L29&gt;=L31,K29,K31)</f>
        <v>Argentina</v>
      </c>
      <c r="O29" s="261">
        <f t="shared" ref="O29:O32" si="74">VLOOKUP(N29,$A$29:$I$32,2,FALSE)</f>
        <v>9</v>
      </c>
      <c r="P29" s="261"/>
      <c r="Q29" s="261" t="str">
        <f>IF(O29&gt;=O32,N29,N32)</f>
        <v>Argentina</v>
      </c>
      <c r="R29" s="261">
        <f t="shared" ref="R29:R32" si="75">VLOOKUP(Q29,$A$29:$I$32,2,FALSE)</f>
        <v>9</v>
      </c>
      <c r="S29" s="261">
        <f t="shared" ref="S29:S32" si="76">VLOOKUP(Q29,$A$29:$I$32,9,FALSE)</f>
        <v>5</v>
      </c>
      <c r="T29" s="261"/>
      <c r="U29" s="261" t="str">
        <f>IF(AND(R29=R30,S30&gt;S29),Q30,Q29)</f>
        <v>Argentina</v>
      </c>
      <c r="V29" s="261">
        <f t="shared" ref="V29:V32" si="77">VLOOKUP(U29,$A$29:$I$32,2,FALSE)</f>
        <v>9</v>
      </c>
      <c r="W29" s="261">
        <f t="shared" ref="W29:W32" si="78">VLOOKUP(U29,$A$29:$I$32,9,FALSE)</f>
        <v>5</v>
      </c>
      <c r="X29" s="261" t="str">
        <f t="shared" ref="X29:X30" si="79">IF(AND(V29=V31,W31&gt;W29),U31,U29)</f>
        <v>Argentina</v>
      </c>
      <c r="Y29" s="261">
        <f t="shared" ref="Y29:Y32" si="80">VLOOKUP(X29,$A$29:$I$32,2,FALSE)</f>
        <v>9</v>
      </c>
      <c r="Z29" s="261">
        <f t="shared" ref="Z29:Z32" si="81">VLOOKUP(X29,$A$29:$I$32,9,FALSE)</f>
        <v>5</v>
      </c>
      <c r="AA29" s="261"/>
      <c r="AB29" s="261" t="str">
        <f>IF(AND(Y29=Y32,Z32&gt;Z29),X32,X29)</f>
        <v>Argentina</v>
      </c>
      <c r="AC29" s="261">
        <f t="shared" ref="AC29:AC32" si="82">VLOOKUP(AB29,$A$29:$I$32,2,FALSE)</f>
        <v>9</v>
      </c>
      <c r="AD29" s="261">
        <f t="shared" ref="AD29:AD32" si="83">VLOOKUP(AB29,$A$29:$I$32,9,FALSE)</f>
        <v>5</v>
      </c>
      <c r="AE29" s="261">
        <f t="shared" ref="AE29:AE32" si="84">VLOOKUP(AB29,$A$29:$I$32,7,FALSE)</f>
        <v>5</v>
      </c>
      <c r="AF29" s="261" t="str">
        <f>IF(AND(AC29=AC30,AD29=AD30,AE30&gt;AE29),AB30,AB29)</f>
        <v>Argentina</v>
      </c>
      <c r="AG29" s="261">
        <f t="shared" ref="AG29:AG32" si="85">VLOOKUP(AF29,$A$29:$I$32,2,FALSE)</f>
        <v>9</v>
      </c>
      <c r="AH29" s="261">
        <f t="shared" ref="AH29:AH32" si="86">VLOOKUP(AF29,$A$29:$I$32,9,FALSE)</f>
        <v>5</v>
      </c>
      <c r="AI29" s="261">
        <f t="shared" ref="AI29:AI32" si="87">VLOOKUP(AF29,$A$29:$I$32,7,FALSE)</f>
        <v>5</v>
      </c>
      <c r="AJ29" s="261" t="str">
        <f t="shared" ref="AJ29:AJ30" si="88">IF(AND(AG29=AG31,AH29=AH31,AI31&gt;AI29),AF31,AF29)</f>
        <v>Argentina</v>
      </c>
      <c r="AK29" s="261">
        <f t="shared" ref="AK29:AK32" si="89">VLOOKUP(AJ29,$A$29:$I$32,2,FALSE)</f>
        <v>9</v>
      </c>
      <c r="AL29" s="261">
        <f t="shared" ref="AL29:AL32" si="90">VLOOKUP(AJ29,$A$29:$I$32,9,FALSE)</f>
        <v>5</v>
      </c>
      <c r="AM29" s="261">
        <f t="shared" ref="AM29:AM32" si="91">VLOOKUP(AJ29,$A$29:$I$32,7,FALSE)</f>
        <v>5</v>
      </c>
      <c r="AN29" s="261" t="str">
        <f>IF(AND(AK29=AK32,AL29=AL32,AM32&gt;AM29),AJ32,AJ29)</f>
        <v>Argentina</v>
      </c>
      <c r="AO29" s="266">
        <f t="shared" ref="AO29:AO32" si="92">VLOOKUP(AN29,$A$29:$I$32,2,FALSE)</f>
        <v>9</v>
      </c>
      <c r="AP29" s="266">
        <f>IF(Tabela!N2="www.guiadecompra.com",VLOOKUP(AN29,$A$29:$I$32,9,FALSE),0)</f>
        <v>5</v>
      </c>
      <c r="AQ29" s="266">
        <f t="shared" ref="AQ29:AQ32" si="93">VLOOKUP(AN29,$A$29:$I$32,7,FALSE)</f>
        <v>5</v>
      </c>
      <c r="AR29" s="19"/>
    </row>
    <row r="30" spans="1:44" ht="14.25" customHeight="1" x14ac:dyDescent="0.2">
      <c r="A30" s="267" t="str">
        <f>time!D2</f>
        <v>Islândia</v>
      </c>
      <c r="B30" s="268">
        <f>IF(Jogo!Copa=FIFA,SUM(D30*3)+E30,0)</f>
        <v>3</v>
      </c>
      <c r="C30" s="269">
        <f>COUNT(Tabela!I30,Tabela!I33,Tabela!G34)</f>
        <v>3</v>
      </c>
      <c r="D30" s="269">
        <f>SUM(IF(Tabela!$I$30&gt;Tabela!$G$30,COUNT(Tabela!$I$30)),IF(Tabela!$I$33&gt;Tabela!$G$33,COUNT(Tabela!$I$33)),IF(Tabela!$G$34&gt;Tabela!$I$34,COUNT(Tabela!$G$34)))</f>
        <v>1</v>
      </c>
      <c r="E30" s="269">
        <f>SUM(IF(Tabela!$I$30=Tabela!$G$30,COUNT(Tabela!$I$30)),IF(Tabela!$I$33=Tabela!$G$33,COUNT(Tabela!$I$33)),IF(Tabela!$G$34=Tabela!$I$34,COUNT(Tabela!$G$34)))</f>
        <v>0</v>
      </c>
      <c r="F30" s="269">
        <f>SUM(IF(Tabela!$I$30&lt;Tabela!$G$30,COUNT(Tabela!$I$30)),IF(Tabela!$I$33&lt;Tabela!$G$33,COUNT(Tabela!$I$33)),IF(Tabela!$G$34&lt;Tabela!$I$34,COUNT(Tabela!$G$34)))</f>
        <v>2</v>
      </c>
      <c r="G30" s="269">
        <f>SUM(Tabela!I30+Tabela!I33+Tabela!G34)</f>
        <v>2</v>
      </c>
      <c r="H30" s="269">
        <f>SUM(Tabela!G30+Tabela!G33+Tabela!I34)</f>
        <v>4</v>
      </c>
      <c r="I30" s="269">
        <f>IF(BR20I4=Tabela!C2,SUM(G30-H30),"X")</f>
        <v>-2</v>
      </c>
      <c r="J30" s="270"/>
      <c r="K30" s="261" t="str">
        <f>IF(B30&lt;=B29,A30,A29)</f>
        <v>Islândia</v>
      </c>
      <c r="L30" s="261">
        <f t="shared" si="72"/>
        <v>3</v>
      </c>
      <c r="M30" s="261"/>
      <c r="N30" s="261" t="str">
        <f t="shared" si="73"/>
        <v>Islândia</v>
      </c>
      <c r="O30" s="261">
        <f t="shared" si="74"/>
        <v>3</v>
      </c>
      <c r="P30" s="261"/>
      <c r="Q30" s="261" t="str">
        <f>IF(O30&gt;=O31,N30,N31)</f>
        <v>Croácia</v>
      </c>
      <c r="R30" s="261">
        <f t="shared" si="75"/>
        <v>6</v>
      </c>
      <c r="S30" s="261">
        <f t="shared" si="76"/>
        <v>1</v>
      </c>
      <c r="T30" s="261"/>
      <c r="U30" s="261" t="str">
        <f>IF(AND(R29=R30,S30&gt;S29),Q29,Q30)</f>
        <v>Croácia</v>
      </c>
      <c r="V30" s="261">
        <f t="shared" si="77"/>
        <v>6</v>
      </c>
      <c r="W30" s="261">
        <f t="shared" si="78"/>
        <v>1</v>
      </c>
      <c r="X30" s="261" t="str">
        <f t="shared" si="79"/>
        <v>Croácia</v>
      </c>
      <c r="Y30" s="261">
        <f t="shared" si="80"/>
        <v>6</v>
      </c>
      <c r="Z30" s="261">
        <f t="shared" si="81"/>
        <v>1</v>
      </c>
      <c r="AA30" s="261"/>
      <c r="AB30" s="261" t="str">
        <f>IF(AND(Y30=Y31,Z31&gt;Z30),X31,X30)</f>
        <v>Croácia</v>
      </c>
      <c r="AC30" s="261">
        <f t="shared" si="82"/>
        <v>6</v>
      </c>
      <c r="AD30" s="261">
        <f t="shared" si="83"/>
        <v>1</v>
      </c>
      <c r="AE30" s="261">
        <f t="shared" si="84"/>
        <v>3</v>
      </c>
      <c r="AF30" s="261" t="str">
        <f>IF(AND(AC30=AC29,AD30=AD29,AE30&gt;AE29),AB29,AB30)</f>
        <v>Croácia</v>
      </c>
      <c r="AG30" s="261">
        <f t="shared" si="85"/>
        <v>6</v>
      </c>
      <c r="AH30" s="261">
        <f t="shared" si="86"/>
        <v>1</v>
      </c>
      <c r="AI30" s="261">
        <f t="shared" si="87"/>
        <v>3</v>
      </c>
      <c r="AJ30" s="261" t="str">
        <f t="shared" si="88"/>
        <v>Croácia</v>
      </c>
      <c r="AK30" s="261">
        <f t="shared" si="89"/>
        <v>6</v>
      </c>
      <c r="AL30" s="261">
        <f t="shared" si="90"/>
        <v>1</v>
      </c>
      <c r="AM30" s="261">
        <f t="shared" si="91"/>
        <v>3</v>
      </c>
      <c r="AN30" s="261" t="str">
        <f>IF(AND(AK30=AK31,AL30=AL31,AM31&gt;AM30),AJ31,AJ30)</f>
        <v>Croácia</v>
      </c>
      <c r="AO30" s="266">
        <f t="shared" si="92"/>
        <v>6</v>
      </c>
      <c r="AP30" s="266">
        <f>IF(Tabela!N2="www.guiadecompra.com",VLOOKUP(AN30,$A$29:$I$32,9,FALSE),0)</f>
        <v>1</v>
      </c>
      <c r="AQ30" s="266">
        <f t="shared" si="93"/>
        <v>3</v>
      </c>
      <c r="AR30" s="19"/>
    </row>
    <row r="31" spans="1:44" ht="14.25" customHeight="1" x14ac:dyDescent="0.2">
      <c r="A31" s="267" t="str">
        <f>time!D3</f>
        <v>Croácia</v>
      </c>
      <c r="B31" s="268">
        <f>IF(Jogo!Copa=FIFA,SUM(D31*3)+E31,0)</f>
        <v>6</v>
      </c>
      <c r="C31" s="269">
        <f>COUNT(Tabela!G31,Tabela!I32,Tabela!I34)</f>
        <v>3</v>
      </c>
      <c r="D31" s="269">
        <f>SUM(IF(Tabela!$G$31&gt;Tabela!$I$31,COUNT(Tabela!$G$31)),IF(Tabela!$I$32&gt;Tabela!$G$32,COUNT(Tabela!$I$32)),IF(Tabela!$I$34&gt;Tabela!$G$34,COUNT(Tabela!$I$34)))</f>
        <v>2</v>
      </c>
      <c r="E31" s="269">
        <f>SUM(IF(Tabela!$G$31=Tabela!$I$31,COUNT(Tabela!$G$31)),IF(Tabela!$I$32=Tabela!$G$32,COUNT(Tabela!$I$32)),IF(Tabela!$I$34=Tabela!$G$34,COUNT(Tabela!$I$34)))</f>
        <v>0</v>
      </c>
      <c r="F31" s="269">
        <f>SUM(IF(Tabela!$G$31&lt;Tabela!$I$31,COUNT(Tabela!$G$31)),IF(Tabela!$I$32&lt;Tabela!$G$32,COUNT(Tabela!$I$32)),IF(Tabela!$I$34&lt;Tabela!$G$34,COUNT(Tabela!$I$34)))</f>
        <v>1</v>
      </c>
      <c r="G31" s="269">
        <f>SUM(Tabela!G31+Tabela!I32+Tabela!I34)</f>
        <v>3</v>
      </c>
      <c r="H31" s="269">
        <f>SUM(Tabela!I31+Tabela!G32+Tabela!G34)</f>
        <v>2</v>
      </c>
      <c r="I31" s="269">
        <f>IF(BR20I4=Tabela!C2,SUM(G31-H31),"X")</f>
        <v>1</v>
      </c>
      <c r="J31" s="270"/>
      <c r="K31" s="261" t="str">
        <f>IF(B31&gt;=B32,A31,A32)</f>
        <v>Croácia</v>
      </c>
      <c r="L31" s="261">
        <f t="shared" si="72"/>
        <v>6</v>
      </c>
      <c r="M31" s="261"/>
      <c r="N31" s="261" t="str">
        <f t="shared" ref="N31:N32" si="94">IF(L31&lt;=L29,K31,K29)</f>
        <v>Croácia</v>
      </c>
      <c r="O31" s="261">
        <f t="shared" si="74"/>
        <v>6</v>
      </c>
      <c r="P31" s="261"/>
      <c r="Q31" s="261" t="str">
        <f>IF(O31&lt;=O30,N31,N30)</f>
        <v>Islândia</v>
      </c>
      <c r="R31" s="261">
        <f t="shared" si="75"/>
        <v>3</v>
      </c>
      <c r="S31" s="261">
        <f t="shared" si="76"/>
        <v>-2</v>
      </c>
      <c r="T31" s="261"/>
      <c r="U31" s="261" t="str">
        <f>IF(AND(R31=R32,S32&gt;S31),Q32,Q31)</f>
        <v>Islândia</v>
      </c>
      <c r="V31" s="261">
        <f t="shared" si="77"/>
        <v>3</v>
      </c>
      <c r="W31" s="261">
        <f t="shared" si="78"/>
        <v>-2</v>
      </c>
      <c r="X31" s="261" t="str">
        <f t="shared" ref="X31:X32" si="95">IF(AND(V29=V31,W31&gt;W29),U29,U31)</f>
        <v>Islândia</v>
      </c>
      <c r="Y31" s="261">
        <f t="shared" si="80"/>
        <v>3</v>
      </c>
      <c r="Z31" s="261">
        <f t="shared" si="81"/>
        <v>-2</v>
      </c>
      <c r="AA31" s="261"/>
      <c r="AB31" s="261" t="str">
        <f>IF(AND(Y31=Y30,Z31&gt;Z30),X30,X31)</f>
        <v>Islândia</v>
      </c>
      <c r="AC31" s="261">
        <f t="shared" si="82"/>
        <v>3</v>
      </c>
      <c r="AD31" s="261">
        <f t="shared" si="83"/>
        <v>-2</v>
      </c>
      <c r="AE31" s="261">
        <f t="shared" si="84"/>
        <v>2</v>
      </c>
      <c r="AF31" s="261" t="str">
        <f>IF(AND(AC31=AC32,AD31=AD32,AE32&gt;AE31),AB32,AB31)</f>
        <v>Islândia</v>
      </c>
      <c r="AG31" s="261">
        <f t="shared" si="85"/>
        <v>3</v>
      </c>
      <c r="AH31" s="261">
        <f t="shared" si="86"/>
        <v>-2</v>
      </c>
      <c r="AI31" s="261">
        <f t="shared" si="87"/>
        <v>2</v>
      </c>
      <c r="AJ31" s="261" t="str">
        <f>IF(AND(AG31=AG29,AH31=AH29,AI31&gt;AI29),AF29,AF31)</f>
        <v>Islândia</v>
      </c>
      <c r="AK31" s="261">
        <f t="shared" si="89"/>
        <v>3</v>
      </c>
      <c r="AL31" s="261">
        <f t="shared" si="90"/>
        <v>-2</v>
      </c>
      <c r="AM31" s="261">
        <f t="shared" si="91"/>
        <v>2</v>
      </c>
      <c r="AN31" s="261" t="str">
        <f>IF(AND(AK31=AK30,AL31=AL30,AM31&gt;AM30),AJ30,AJ31)</f>
        <v>Islândia</v>
      </c>
      <c r="AO31" s="266">
        <f t="shared" si="92"/>
        <v>3</v>
      </c>
      <c r="AP31" s="266">
        <f>IF(Tabela!N2="www.guiadecompra.com",VLOOKUP(AN31,$A$29:$I$32,9,FALSE),0)</f>
        <v>-2</v>
      </c>
      <c r="AQ31" s="266">
        <f t="shared" si="93"/>
        <v>2</v>
      </c>
      <c r="AR31" s="19"/>
    </row>
    <row r="32" spans="1:44" ht="14.25" customHeight="1" x14ac:dyDescent="0.2">
      <c r="A32" s="267" t="str">
        <f>time!D4</f>
        <v>Nigéria</v>
      </c>
      <c r="B32" s="268">
        <f>IF(Jogo!Copa=FIFA,SUM(D32*3)+E32,0)</f>
        <v>0</v>
      </c>
      <c r="C32" s="269">
        <f>COUNT(Tabela!I31,Tabela!G33,Tabela!G35)</f>
        <v>3</v>
      </c>
      <c r="D32" s="269">
        <f>SUM(IF(Tabela!$I$31&gt;Tabela!$G$31,COUNT(Tabela!$I$31)),IF(Tabela!$G$33&gt;Tabela!$I$33,COUNT(Tabela!$G$33)),IF(Tabela!$G$35&gt;Tabela!$I$35,COUNT(Tabela!$G$35)))</f>
        <v>0</v>
      </c>
      <c r="E32" s="269">
        <f>SUM(IF(Tabela!$I$31=Tabela!$G$31,COUNT(Tabela!$I$31)),IF(Tabela!$G$33=Tabela!$I$33,COUNT(Tabela!$G$33)),IF(Tabela!$G$35=Tabela!$I$35,COUNT(Tabela!$G$35)))</f>
        <v>0</v>
      </c>
      <c r="F32" s="269">
        <f>SUM(IF(Tabela!$I$31&lt;Tabela!$G$31,COUNT(Tabela!$I$31)),IF(Tabela!$G$33&lt;Tabela!$I$33,COUNT(Tabela!$G$33)),IF(Tabela!$G$35&lt;Tabela!$I$35,COUNT(Tabela!$G$35)))</f>
        <v>3</v>
      </c>
      <c r="G32" s="269">
        <f>SUM(Tabela!I31+Tabela!G33+Tabela!G35)</f>
        <v>2</v>
      </c>
      <c r="H32" s="269">
        <f>SUM(Tabela!G31+Tabela!I33+Tabela!I35)</f>
        <v>6</v>
      </c>
      <c r="I32" s="269">
        <f>IF(BR20I4=Tabela!C2,SUM(G32-H32),"X")</f>
        <v>-4</v>
      </c>
      <c r="J32" s="270"/>
      <c r="K32" s="261" t="str">
        <f>IF(B32&lt;=B31,A32,A31)</f>
        <v>Nigéria</v>
      </c>
      <c r="L32" s="261">
        <f t="shared" si="72"/>
        <v>0</v>
      </c>
      <c r="M32" s="261"/>
      <c r="N32" s="261" t="str">
        <f t="shared" si="94"/>
        <v>Nigéria</v>
      </c>
      <c r="O32" s="261">
        <f t="shared" si="74"/>
        <v>0</v>
      </c>
      <c r="P32" s="261"/>
      <c r="Q32" s="261" t="str">
        <f>IF(O32&lt;=O29,N32,N29)</f>
        <v>Nigéria</v>
      </c>
      <c r="R32" s="261">
        <f t="shared" si="75"/>
        <v>0</v>
      </c>
      <c r="S32" s="261">
        <f t="shared" si="76"/>
        <v>-4</v>
      </c>
      <c r="T32" s="261"/>
      <c r="U32" s="261" t="str">
        <f>IF(AND(R31=R32,S32&gt;S31),Q31,Q32)</f>
        <v>Nigéria</v>
      </c>
      <c r="V32" s="261">
        <f t="shared" si="77"/>
        <v>0</v>
      </c>
      <c r="W32" s="261">
        <f t="shared" si="78"/>
        <v>-4</v>
      </c>
      <c r="X32" s="261" t="str">
        <f t="shared" si="95"/>
        <v>Nigéria</v>
      </c>
      <c r="Y32" s="261">
        <f t="shared" si="80"/>
        <v>0</v>
      </c>
      <c r="Z32" s="261">
        <f t="shared" si="81"/>
        <v>-4</v>
      </c>
      <c r="AA32" s="261"/>
      <c r="AB32" s="261" t="str">
        <f>IF(AND(Y32=Y29,Z32&gt;Z29),X29,X32)</f>
        <v>Nigéria</v>
      </c>
      <c r="AC32" s="261">
        <f t="shared" si="82"/>
        <v>0</v>
      </c>
      <c r="AD32" s="261">
        <f t="shared" si="83"/>
        <v>-4</v>
      </c>
      <c r="AE32" s="261">
        <f t="shared" si="84"/>
        <v>2</v>
      </c>
      <c r="AF32" s="261" t="str">
        <f>IF(AND(AC32=AC31,AD32=AD31,AE32&gt;AE31),X31,X32)</f>
        <v>Nigéria</v>
      </c>
      <c r="AG32" s="261">
        <f t="shared" si="85"/>
        <v>0</v>
      </c>
      <c r="AH32" s="261">
        <f t="shared" si="86"/>
        <v>-4</v>
      </c>
      <c r="AI32" s="261">
        <f t="shared" si="87"/>
        <v>2</v>
      </c>
      <c r="AJ32" s="261" t="str">
        <f>IF(AND(AG30=AG32,AH30=AH32,AI32&gt;AI30),AF30,AF32)</f>
        <v>Nigéria</v>
      </c>
      <c r="AK32" s="261">
        <f t="shared" si="89"/>
        <v>0</v>
      </c>
      <c r="AL32" s="261">
        <f t="shared" si="90"/>
        <v>-4</v>
      </c>
      <c r="AM32" s="261">
        <f t="shared" si="91"/>
        <v>2</v>
      </c>
      <c r="AN32" s="261" t="str">
        <f>IF(AND(AK32=AK29,AL32=AL29,AM32&gt;AM29),AJ29,AJ32)</f>
        <v>Nigéria</v>
      </c>
      <c r="AO32" s="266">
        <f t="shared" si="92"/>
        <v>0</v>
      </c>
      <c r="AP32" s="266">
        <f>IF(Tabela!N2="www.guiadecompra.com",VLOOKUP(AN32,$A$29:$I$32,9,FALSE),0)</f>
        <v>-4</v>
      </c>
      <c r="AQ32" s="266">
        <f t="shared" si="93"/>
        <v>2</v>
      </c>
      <c r="AR32" s="19"/>
    </row>
    <row r="33" spans="1:44" ht="14.25" customHeight="1" x14ac:dyDescent="0.2">
      <c r="A33" s="260"/>
      <c r="B33" s="261"/>
      <c r="C33" s="261"/>
      <c r="D33" s="261"/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1"/>
      <c r="R33" s="261"/>
      <c r="S33" s="261"/>
      <c r="T33" s="261"/>
      <c r="U33" s="261"/>
      <c r="V33" s="261"/>
      <c r="W33" s="261"/>
      <c r="X33" s="261"/>
      <c r="Y33" s="261"/>
      <c r="Z33" s="261"/>
      <c r="AA33" s="261"/>
      <c r="AB33" s="261"/>
      <c r="AC33" s="261"/>
      <c r="AD33" s="261"/>
      <c r="AE33" s="261"/>
      <c r="AF33" s="261"/>
      <c r="AG33" s="261"/>
      <c r="AH33" s="261"/>
      <c r="AI33" s="261"/>
      <c r="AJ33" s="261"/>
      <c r="AK33" s="261"/>
      <c r="AL33" s="261"/>
      <c r="AM33" s="261"/>
      <c r="AN33" s="261"/>
      <c r="AO33" s="266"/>
      <c r="AP33" s="266"/>
      <c r="AQ33" s="266"/>
      <c r="AR33" s="19"/>
    </row>
    <row r="34" spans="1:44" ht="14.25" customHeight="1" x14ac:dyDescent="0.2">
      <c r="A34" s="260"/>
      <c r="B34" s="261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1"/>
      <c r="AH34" s="261"/>
      <c r="AI34" s="261"/>
      <c r="AJ34" s="261"/>
      <c r="AK34" s="261"/>
      <c r="AL34" s="261"/>
      <c r="AM34" s="261"/>
      <c r="AN34" s="261"/>
      <c r="AO34" s="266"/>
      <c r="AP34" s="266"/>
      <c r="AQ34" s="266"/>
      <c r="AR34" s="19"/>
    </row>
    <row r="35" spans="1:44" ht="14.25" customHeight="1" x14ac:dyDescent="0.2">
      <c r="A35" s="260"/>
      <c r="B35" s="366" t="s">
        <v>83</v>
      </c>
      <c r="C35" s="314"/>
      <c r="D35" s="314"/>
      <c r="E35" s="314"/>
      <c r="F35" s="314"/>
      <c r="G35" s="314"/>
      <c r="H35" s="314"/>
      <c r="I35" s="309"/>
      <c r="J35" s="261"/>
      <c r="K35" s="261" t="s">
        <v>75</v>
      </c>
      <c r="L35" s="261"/>
      <c r="M35" s="261"/>
      <c r="N35" s="261" t="s">
        <v>76</v>
      </c>
      <c r="O35" s="261"/>
      <c r="P35" s="261"/>
      <c r="Q35" s="261" t="s">
        <v>77</v>
      </c>
      <c r="R35" s="261"/>
      <c r="S35" s="261"/>
      <c r="T35" s="261"/>
      <c r="U35" s="261" t="s">
        <v>77</v>
      </c>
      <c r="V35" s="261"/>
      <c r="W35" s="261"/>
      <c r="X35" s="261"/>
      <c r="Y35" s="261"/>
      <c r="Z35" s="261"/>
      <c r="AA35" s="261"/>
      <c r="AB35" s="261"/>
      <c r="AC35" s="261"/>
      <c r="AD35" s="261"/>
      <c r="AE35" s="261"/>
      <c r="AF35" s="261"/>
      <c r="AG35" s="261"/>
      <c r="AH35" s="261"/>
      <c r="AI35" s="261"/>
      <c r="AJ35" s="261"/>
      <c r="AK35" s="261"/>
      <c r="AL35" s="261"/>
      <c r="AM35" s="261"/>
      <c r="AN35" s="261"/>
      <c r="AO35" s="266"/>
      <c r="AP35" s="266"/>
      <c r="AQ35" s="266"/>
      <c r="AR35" s="19"/>
    </row>
    <row r="36" spans="1:44" ht="14.25" customHeight="1" x14ac:dyDescent="0.2">
      <c r="A36" s="262" t="s">
        <v>78</v>
      </c>
      <c r="B36" s="263" t="s">
        <v>14</v>
      </c>
      <c r="C36" s="264" t="s">
        <v>15</v>
      </c>
      <c r="D36" s="264" t="s">
        <v>16</v>
      </c>
      <c r="E36" s="264" t="s">
        <v>17</v>
      </c>
      <c r="F36" s="264" t="s">
        <v>18</v>
      </c>
      <c r="G36" s="264" t="s">
        <v>19</v>
      </c>
      <c r="H36" s="264" t="s">
        <v>20</v>
      </c>
      <c r="I36" s="264" t="s">
        <v>21</v>
      </c>
      <c r="J36" s="265"/>
      <c r="K36" s="261"/>
      <c r="L36" s="261" t="s">
        <v>14</v>
      </c>
      <c r="M36" s="261"/>
      <c r="N36" s="261"/>
      <c r="O36" s="261" t="s">
        <v>79</v>
      </c>
      <c r="P36" s="261"/>
      <c r="Q36" s="261"/>
      <c r="R36" s="261" t="s">
        <v>14</v>
      </c>
      <c r="S36" s="261" t="s">
        <v>21</v>
      </c>
      <c r="T36" s="261"/>
      <c r="U36" s="261"/>
      <c r="V36" s="261" t="s">
        <v>14</v>
      </c>
      <c r="W36" s="261" t="s">
        <v>21</v>
      </c>
      <c r="X36" s="261"/>
      <c r="Y36" s="261" t="s">
        <v>14</v>
      </c>
      <c r="Z36" s="261" t="s">
        <v>21</v>
      </c>
      <c r="AA36" s="261"/>
      <c r="AB36" s="261"/>
      <c r="AC36" s="261" t="s">
        <v>14</v>
      </c>
      <c r="AD36" s="261" t="s">
        <v>21</v>
      </c>
      <c r="AE36" s="261" t="s">
        <v>19</v>
      </c>
      <c r="AF36" s="261"/>
      <c r="AG36" s="261" t="s">
        <v>14</v>
      </c>
      <c r="AH36" s="261" t="s">
        <v>21</v>
      </c>
      <c r="AI36" s="261" t="s">
        <v>19</v>
      </c>
      <c r="AJ36" s="261"/>
      <c r="AK36" s="261" t="s">
        <v>14</v>
      </c>
      <c r="AL36" s="261" t="s">
        <v>21</v>
      </c>
      <c r="AM36" s="261" t="s">
        <v>19</v>
      </c>
      <c r="AN36" s="261"/>
      <c r="AO36" s="266" t="s">
        <v>14</v>
      </c>
      <c r="AP36" s="266" t="s">
        <v>21</v>
      </c>
      <c r="AQ36" s="266" t="s">
        <v>19</v>
      </c>
      <c r="AR36" s="19"/>
    </row>
    <row r="37" spans="1:44" ht="14.25" customHeight="1" x14ac:dyDescent="0.2">
      <c r="A37" s="267" t="str">
        <f>time!E1</f>
        <v>Brasil</v>
      </c>
      <c r="B37" s="268">
        <f>IF(Jogo!Copa=FIFA,SUM(D37*3)+E37,0)</f>
        <v>9</v>
      </c>
      <c r="C37" s="269">
        <f>COUNT(Tabela!G39,Tabela!G40,Tabela!I42)</f>
        <v>3</v>
      </c>
      <c r="D37" s="269">
        <f>SUM(IF(Tabela!$G$39&gt;Tabela!$I$39,COUNT(Tabela!$G$39)),IF(Tabela!$G$40&gt;Tabela!$I$40,COUNT(Tabela!$G$40)),IF(Tabela!$I$42&gt;Tabela!$G$42,COUNT(Tabela!$I$42)))</f>
        <v>3</v>
      </c>
      <c r="E37" s="269">
        <f>SUM(IF(Tabela!$G$39=Tabela!$I$39,COUNT(Tabela!$G$39)),IF(Tabela!$G$40=Tabela!$I$40,COUNT(Tabela!$G$40)),IF(Tabela!$I$42=Tabela!$G$42,COUNT(Tabela!$I$42)))</f>
        <v>0</v>
      </c>
      <c r="F37" s="269">
        <f>SUM(IF(Tabela!$G$39&lt;Tabela!$I$39,COUNT(Tabela!$G$39)),IF(Tabela!$G$40&lt;Tabela!$I$40,COUNT(Tabela!$G$40)),IF(Tabela!$I$42&lt;Tabela!$G$42,COUNT(Tabela!$I$42)))</f>
        <v>0</v>
      </c>
      <c r="G37" s="269">
        <f>SUM(Tabela!G39+Tabela!G40+Tabela!I42)</f>
        <v>9</v>
      </c>
      <c r="H37" s="269">
        <f>SUM(Tabela!I39+Tabela!I40+Tabela!G42)</f>
        <v>2</v>
      </c>
      <c r="I37" s="269">
        <f>IF(BR20I4=Tabela!C2,SUM(G37-H37),"X")</f>
        <v>7</v>
      </c>
      <c r="J37" s="270"/>
      <c r="K37" s="261" t="str">
        <f>IF(B37&gt;=B38,A37,A38)</f>
        <v>Brasil</v>
      </c>
      <c r="L37" s="261">
        <f t="shared" ref="L37:L40" si="96">VLOOKUP(K37,$A$37:$I$40,2,FALSE)</f>
        <v>9</v>
      </c>
      <c r="M37" s="261"/>
      <c r="N37" s="261" t="str">
        <f t="shared" ref="N37:N38" si="97">IF(L37&gt;=L39,K37,K39)</f>
        <v>Brasil</v>
      </c>
      <c r="O37" s="261">
        <f t="shared" ref="O37:O40" si="98">VLOOKUP(N37,$A$37:$I$40,2,FALSE)</f>
        <v>9</v>
      </c>
      <c r="P37" s="261"/>
      <c r="Q37" s="261" t="str">
        <f>IF(O37&gt;=O40,N37,N40)</f>
        <v>Brasil</v>
      </c>
      <c r="R37" s="261">
        <f t="shared" ref="R37:R40" si="99">VLOOKUP(Q37,$A$37:$I$40,2,FALSE)</f>
        <v>9</v>
      </c>
      <c r="S37" s="261">
        <f t="shared" ref="S37:S40" si="100">VLOOKUP(Q37,$A$37:$I$40,9,FALSE)</f>
        <v>7</v>
      </c>
      <c r="T37" s="261"/>
      <c r="U37" s="261" t="str">
        <f>IF(AND(R37=R38,S38&gt;S37),Q38,Q37)</f>
        <v>Brasil</v>
      </c>
      <c r="V37" s="261">
        <f t="shared" ref="V37:V40" si="101">VLOOKUP(U37,$A$37:$I$40,2,FALSE)</f>
        <v>9</v>
      </c>
      <c r="W37" s="261">
        <f t="shared" ref="W37:W40" si="102">VLOOKUP(U37,$A$37:$I$40,9,FALSE)</f>
        <v>7</v>
      </c>
      <c r="X37" s="261" t="str">
        <f t="shared" ref="X37:X38" si="103">IF(AND(V37=V39,W39&gt;W37),U39,U37)</f>
        <v>Brasil</v>
      </c>
      <c r="Y37" s="261">
        <f t="shared" ref="Y37:Y40" si="104">VLOOKUP(X37,$A$37:$I$40,2,FALSE)</f>
        <v>9</v>
      </c>
      <c r="Z37" s="261">
        <f t="shared" ref="Z37:Z40" si="105">VLOOKUP(X37,$A$37:$I$40,9,FALSE)</f>
        <v>7</v>
      </c>
      <c r="AA37" s="261"/>
      <c r="AB37" s="261" t="str">
        <f>IF(AND(Y37=Y40,Z40&gt;Z37),X40,X37)</f>
        <v>Brasil</v>
      </c>
      <c r="AC37" s="261">
        <f t="shared" ref="AC37:AC40" si="106">VLOOKUP(AB37,$A$37:$I$40,2,FALSE)</f>
        <v>9</v>
      </c>
      <c r="AD37" s="261">
        <f t="shared" ref="AD37:AD40" si="107">VLOOKUP(AB37,$A$37:$I$40,9,FALSE)</f>
        <v>7</v>
      </c>
      <c r="AE37" s="261">
        <f t="shared" ref="AE37:AE40" si="108">VLOOKUP(AB37,$A$37:$I$40,7,FALSE)</f>
        <v>9</v>
      </c>
      <c r="AF37" s="261" t="str">
        <f>IF(AND(AC37=AC38,AD37=AD38,AE38&gt;AE37),AB38,AB37)</f>
        <v>Brasil</v>
      </c>
      <c r="AG37" s="261">
        <f t="shared" ref="AG37:AG40" si="109">VLOOKUP(AF37,$A$37:$I$40,2,FALSE)</f>
        <v>9</v>
      </c>
      <c r="AH37" s="261">
        <f t="shared" ref="AH37:AH40" si="110">VLOOKUP(AF37,$A$37:$I$40,9,FALSE)</f>
        <v>7</v>
      </c>
      <c r="AI37" s="261">
        <f t="shared" ref="AI37:AI40" si="111">VLOOKUP(AF37,$A$37:$I$40,7,FALSE)</f>
        <v>9</v>
      </c>
      <c r="AJ37" s="261" t="str">
        <f t="shared" ref="AJ37:AJ38" si="112">IF(AND(AG37=AG39,AH37=AH39,AI39&gt;AI37),AF39,AF37)</f>
        <v>Brasil</v>
      </c>
      <c r="AK37" s="261">
        <f t="shared" ref="AK37:AK40" si="113">VLOOKUP(AJ37,$A$37:$I$40,2,FALSE)</f>
        <v>9</v>
      </c>
      <c r="AL37" s="261">
        <f t="shared" ref="AL37:AL40" si="114">VLOOKUP(AJ37,$A$37:$I$40,9,FALSE)</f>
        <v>7</v>
      </c>
      <c r="AM37" s="261">
        <f t="shared" ref="AM37:AM40" si="115">VLOOKUP(AJ37,$A$37:$I$40,7,FALSE)</f>
        <v>9</v>
      </c>
      <c r="AN37" s="261" t="str">
        <f>IF(AND(AK37=AK40,AL37=AL40,AM40&gt;AM37),AJ40,AJ37)</f>
        <v>Brasil</v>
      </c>
      <c r="AO37" s="266">
        <f t="shared" ref="AO37:AO40" si="116">VLOOKUP(AN37,$A$37:$I$40,2,FALSE)</f>
        <v>9</v>
      </c>
      <c r="AP37" s="266">
        <f>IF(Tabela!N2="www.guiadecompra.com",VLOOKUP(AN37,$A$37:$I$40,9,FALSE),0)</f>
        <v>7</v>
      </c>
      <c r="AQ37" s="266">
        <f t="shared" ref="AQ37:AQ40" si="117">VLOOKUP(AN37,$A$37:$I$40,7,FALSE)</f>
        <v>9</v>
      </c>
      <c r="AR37" s="19"/>
    </row>
    <row r="38" spans="1:44" ht="14.25" customHeight="1" x14ac:dyDescent="0.2">
      <c r="A38" s="267" t="str">
        <f>time!E2</f>
        <v>Suiça</v>
      </c>
      <c r="B38" s="268">
        <f>IF(Jogo!Copa=FIFA,SUM(D38*3)+E38,0)</f>
        <v>4</v>
      </c>
      <c r="C38" s="269">
        <f>COUNT(Tabela!I39,Tabela!I41,Tabela!G43)</f>
        <v>3</v>
      </c>
      <c r="D38" s="269">
        <f>SUM(IF(Tabela!$I$39&gt;Tabela!$G$39,COUNT(Tabela!$I$39)),IF(Tabela!$I$41&gt;Tabela!$G$41,COUNT(Tabela!$I$41)),IF(Tabela!$G$43&gt;Tabela!$I$43,COUNT(Tabela!$G$43)))</f>
        <v>1</v>
      </c>
      <c r="E38" s="269">
        <f>SUM(IF(Tabela!$I$39=Tabela!$G$39,COUNT(Tabela!$I$39)),IF(Tabela!$I$41=Tabela!$G$41,COUNT(Tabela!$I$41)),IF(Tabela!$G$43=Tabela!$I$43,COUNT(Tabela!$G$43)))</f>
        <v>1</v>
      </c>
      <c r="F38" s="269">
        <f>SUM(IF(Tabela!$I$39&lt;Tabela!$G$39,COUNT(Tabela!$I$39)),IF(Tabela!$I$41&lt;Tabela!$G$41,COUNT(Tabela!$I$41)),IF(Tabela!$G$43&lt;Tabela!$I$43,COUNT(Tabela!$G$43)))</f>
        <v>1</v>
      </c>
      <c r="G38" s="269">
        <f>SUM(Tabela!I39+Tabela!I41+Tabela!G43)</f>
        <v>4</v>
      </c>
      <c r="H38" s="269">
        <f>SUM(Tabela!G39+Tabela!G41+Tabela!I43)</f>
        <v>5</v>
      </c>
      <c r="I38" s="269">
        <f>IF(BR20I4=Tabela!C2,SUM(G38-H38),"X")</f>
        <v>-1</v>
      </c>
      <c r="J38" s="270"/>
      <c r="K38" s="261" t="str">
        <f>IF(B38&lt;=B37,A38,A37)</f>
        <v>Suiça</v>
      </c>
      <c r="L38" s="261">
        <f t="shared" si="96"/>
        <v>4</v>
      </c>
      <c r="M38" s="261"/>
      <c r="N38" s="261" t="str">
        <f t="shared" si="97"/>
        <v>Suiça</v>
      </c>
      <c r="O38" s="261">
        <f t="shared" si="98"/>
        <v>4</v>
      </c>
      <c r="P38" s="261"/>
      <c r="Q38" s="261" t="str">
        <f>IF(O38&gt;=O39,N38,N39)</f>
        <v>Suiça</v>
      </c>
      <c r="R38" s="261">
        <f t="shared" si="99"/>
        <v>4</v>
      </c>
      <c r="S38" s="261">
        <f t="shared" si="100"/>
        <v>-1</v>
      </c>
      <c r="T38" s="261"/>
      <c r="U38" s="261" t="str">
        <f>IF(AND(R37=R38,S38&gt;S37),Q37,Q38)</f>
        <v>Suiça</v>
      </c>
      <c r="V38" s="261">
        <f t="shared" si="101"/>
        <v>4</v>
      </c>
      <c r="W38" s="261">
        <f t="shared" si="102"/>
        <v>-1</v>
      </c>
      <c r="X38" s="261" t="str">
        <f t="shared" si="103"/>
        <v>Suiça</v>
      </c>
      <c r="Y38" s="261">
        <f t="shared" si="104"/>
        <v>4</v>
      </c>
      <c r="Z38" s="261">
        <f t="shared" si="105"/>
        <v>-1</v>
      </c>
      <c r="AA38" s="261"/>
      <c r="AB38" s="261" t="str">
        <f>IF(AND(Y38=Y39,Z39&gt;Z38),X39,X38)</f>
        <v>Sérvia</v>
      </c>
      <c r="AC38" s="261">
        <f t="shared" si="106"/>
        <v>4</v>
      </c>
      <c r="AD38" s="261">
        <f t="shared" si="107"/>
        <v>0</v>
      </c>
      <c r="AE38" s="261">
        <f t="shared" si="108"/>
        <v>5</v>
      </c>
      <c r="AF38" s="261" t="str">
        <f>IF(AND(AC38=AC37,AD38=AD37,AE38&gt;AE37),AB37,AB38)</f>
        <v>Sérvia</v>
      </c>
      <c r="AG38" s="261">
        <f t="shared" si="109"/>
        <v>4</v>
      </c>
      <c r="AH38" s="261">
        <f t="shared" si="110"/>
        <v>0</v>
      </c>
      <c r="AI38" s="261">
        <f t="shared" si="111"/>
        <v>5</v>
      </c>
      <c r="AJ38" s="261" t="str">
        <f t="shared" si="112"/>
        <v>Sérvia</v>
      </c>
      <c r="AK38" s="261">
        <f t="shared" si="113"/>
        <v>4</v>
      </c>
      <c r="AL38" s="261">
        <f t="shared" si="114"/>
        <v>0</v>
      </c>
      <c r="AM38" s="261">
        <f t="shared" si="115"/>
        <v>5</v>
      </c>
      <c r="AN38" s="261" t="str">
        <f>IF(AND(AK38=AK39,AL38=AL39,AM39&gt;AM38),AJ39,AJ38)</f>
        <v>Sérvia</v>
      </c>
      <c r="AO38" s="266">
        <f t="shared" si="116"/>
        <v>4</v>
      </c>
      <c r="AP38" s="266">
        <f>IF(Tabela!N2="www.guiadecompra.com",VLOOKUP(AN38,$A$37:$I$40,9,FALSE),0)</f>
        <v>0</v>
      </c>
      <c r="AQ38" s="266">
        <f t="shared" si="117"/>
        <v>5</v>
      </c>
      <c r="AR38" s="19"/>
    </row>
    <row r="39" spans="1:44" ht="14.25" customHeight="1" x14ac:dyDescent="0.2">
      <c r="A39" s="267" t="str">
        <f>time!E3</f>
        <v>Costa Rica</v>
      </c>
      <c r="B39" s="268">
        <f>IF(Jogo!Copa=FIFA,SUM(D39*3)+E39,0)</f>
        <v>0</v>
      </c>
      <c r="C39" s="269">
        <f>COUNT(Tabela!G38,Tabela!I40,Tabela!I43)</f>
        <v>3</v>
      </c>
      <c r="D39" s="269">
        <f>SUM(IF(Tabela!$G$38&gt;Tabela!$I$38,COUNT(Tabela!$G$38)),IF(Tabela!$I$40&gt;Tabela!$G$40,COUNT(Tabela!$I$40)),IF(Tabela!$I$43&gt;Tabela!$G$43,COUNT(Tabela!$I$43)))</f>
        <v>0</v>
      </c>
      <c r="E39" s="269">
        <f>SUM(IF(Tabela!$G$38=Tabela!$I$38,COUNT(Tabela!$G$38)),IF(Tabela!$I$40=Tabela!$G$40,COUNT(Tabela!$I$40)),IF(Tabela!$I$43=Tabela!$G$43,COUNT(Tabela!$I$43)))</f>
        <v>0</v>
      </c>
      <c r="F39" s="269">
        <f>SUM(IF(Tabela!$G$38&lt;Tabela!$I$38,COUNT(Tabela!$G$38)),IF(Tabela!$I$40&lt;Tabela!$G$40,COUNT(Tabela!$I$40)),IF(Tabela!$I$43&lt;Tabela!$G$43,COUNT(Tabela!$I$43)))</f>
        <v>3</v>
      </c>
      <c r="G39" s="269">
        <f>SUM(Tabela!G38+Tabela!I40+Tabela!I43)</f>
        <v>2</v>
      </c>
      <c r="H39" s="269">
        <f>SUM(Tabela!I38+Tabela!G40+Tabela!G43)</f>
        <v>8</v>
      </c>
      <c r="I39" s="269">
        <f>IF(BR20I4=Tabela!C2,SUM(G39-H39),"X")</f>
        <v>-6</v>
      </c>
      <c r="J39" s="270"/>
      <c r="K39" s="261" t="str">
        <f>IF(B39&gt;=B40,A39,A40)</f>
        <v>Sérvia</v>
      </c>
      <c r="L39" s="261">
        <f t="shared" si="96"/>
        <v>4</v>
      </c>
      <c r="M39" s="261"/>
      <c r="N39" s="261" t="str">
        <f t="shared" ref="N39:N40" si="118">IF(L39&lt;=L37,K39,K37)</f>
        <v>Sérvia</v>
      </c>
      <c r="O39" s="261">
        <f t="shared" si="98"/>
        <v>4</v>
      </c>
      <c r="P39" s="261"/>
      <c r="Q39" s="261" t="str">
        <f>IF(O39&lt;=O38,N39,N38)</f>
        <v>Sérvia</v>
      </c>
      <c r="R39" s="261">
        <f t="shared" si="99"/>
        <v>4</v>
      </c>
      <c r="S39" s="261">
        <f t="shared" si="100"/>
        <v>0</v>
      </c>
      <c r="T39" s="261"/>
      <c r="U39" s="261" t="str">
        <f>IF(AND(R39=R40,S40&gt;S39),Q40,Q39)</f>
        <v>Sérvia</v>
      </c>
      <c r="V39" s="261">
        <f t="shared" si="101"/>
        <v>4</v>
      </c>
      <c r="W39" s="261">
        <f t="shared" si="102"/>
        <v>0</v>
      </c>
      <c r="X39" s="261" t="str">
        <f t="shared" ref="X39:X40" si="119">IF(AND(V37=V39,W39&gt;W37),U37,U39)</f>
        <v>Sérvia</v>
      </c>
      <c r="Y39" s="261">
        <f t="shared" si="104"/>
        <v>4</v>
      </c>
      <c r="Z39" s="261">
        <f t="shared" si="105"/>
        <v>0</v>
      </c>
      <c r="AA39" s="261"/>
      <c r="AB39" s="261" t="str">
        <f>IF(AND(Y39=Y38,Z39&gt;Z38),X38,X39)</f>
        <v>Suiça</v>
      </c>
      <c r="AC39" s="261">
        <f t="shared" si="106"/>
        <v>4</v>
      </c>
      <c r="AD39" s="261">
        <f t="shared" si="107"/>
        <v>-1</v>
      </c>
      <c r="AE39" s="261">
        <f t="shared" si="108"/>
        <v>4</v>
      </c>
      <c r="AF39" s="261" t="str">
        <f>IF(AND(AC39=AC40,AD39=AD40,AE40&gt;AE39),AB40,AB39)</f>
        <v>Suiça</v>
      </c>
      <c r="AG39" s="261">
        <f t="shared" si="109"/>
        <v>4</v>
      </c>
      <c r="AH39" s="261">
        <f t="shared" si="110"/>
        <v>-1</v>
      </c>
      <c r="AI39" s="261">
        <f t="shared" si="111"/>
        <v>4</v>
      </c>
      <c r="AJ39" s="261" t="str">
        <f>IF(AND(AG39=AG37,AH39=AH37,AI39&gt;AI37),AF37,AF39)</f>
        <v>Suiça</v>
      </c>
      <c r="AK39" s="261">
        <f t="shared" si="113"/>
        <v>4</v>
      </c>
      <c r="AL39" s="261">
        <f t="shared" si="114"/>
        <v>-1</v>
      </c>
      <c r="AM39" s="261">
        <f t="shared" si="115"/>
        <v>4</v>
      </c>
      <c r="AN39" s="261" t="str">
        <f>IF(AND(AK39=AK38,AL39=AL38,AM39&gt;AM38),AJ38,AJ39)</f>
        <v>Suiça</v>
      </c>
      <c r="AO39" s="266">
        <f t="shared" si="116"/>
        <v>4</v>
      </c>
      <c r="AP39" s="266">
        <f>IF(Tabela!N2="www.guiadecompra.com",VLOOKUP(AN39,$A$37:$I$40,9,FALSE),0)</f>
        <v>-1</v>
      </c>
      <c r="AQ39" s="266">
        <f t="shared" si="117"/>
        <v>4</v>
      </c>
      <c r="AR39" s="19"/>
    </row>
    <row r="40" spans="1:44" ht="14.25" customHeight="1" x14ac:dyDescent="0.2">
      <c r="A40" s="267" t="str">
        <f>time!E4</f>
        <v>Sérvia</v>
      </c>
      <c r="B40" s="268">
        <f>IF(Jogo!Copa=FIFA,SUM(D40*3)+E40,0)</f>
        <v>4</v>
      </c>
      <c r="C40" s="269">
        <f>COUNT(Tabela!I38,Tabela!G41,Tabela!G42)</f>
        <v>3</v>
      </c>
      <c r="D40" s="269">
        <f>SUM(IF(Tabela!$I$38&gt;Tabela!$G$38,COUNT(Tabela!$I$38)),IF(Tabela!$G$41&gt;Tabela!$I$41,COUNT(Tabela!$G$41)),IF(Tabela!$G$42&gt;Tabela!$I$42,COUNT(Tabela!$G$42)))</f>
        <v>1</v>
      </c>
      <c r="E40" s="269">
        <f>SUM(IF(Tabela!$I$38=Tabela!$G$38,COUNT(Tabela!$I$38)),IF(Tabela!$G$41=Tabela!$I$41,COUNT(Tabela!$G$41)),IF(Tabela!$G$42=Tabela!$I$42,COUNT(Tabela!$G$42)))</f>
        <v>1</v>
      </c>
      <c r="F40" s="269">
        <f>SUM(IF(Tabela!$I$38&lt;Tabela!$G$38,COUNT(Tabela!$I$38)),IF(Tabela!$G$41&lt;Tabela!$I$41,COUNT(Tabela!$G$41)),IF(Tabela!$G$42&lt;Tabela!$I$42,COUNT(Tabela!$G$42)))</f>
        <v>1</v>
      </c>
      <c r="G40" s="269">
        <f>SUM(Tabela!I38+Tabela!G41+Tabela!G42)</f>
        <v>5</v>
      </c>
      <c r="H40" s="269">
        <f>SUM(Tabela!G38+Tabela!I41+Tabela!I42)</f>
        <v>5</v>
      </c>
      <c r="I40" s="269">
        <f>IF(BR20I4=Tabela!C2,SUM(G40-H40),"X")</f>
        <v>0</v>
      </c>
      <c r="J40" s="270"/>
      <c r="K40" s="261" t="str">
        <f>IF(B40&lt;=B39,A40,A39)</f>
        <v>Costa Rica</v>
      </c>
      <c r="L40" s="261">
        <f t="shared" si="96"/>
        <v>0</v>
      </c>
      <c r="M40" s="261"/>
      <c r="N40" s="261" t="str">
        <f t="shared" si="118"/>
        <v>Costa Rica</v>
      </c>
      <c r="O40" s="261">
        <f t="shared" si="98"/>
        <v>0</v>
      </c>
      <c r="P40" s="261"/>
      <c r="Q40" s="261" t="str">
        <f>IF(O40&lt;=O37,N40,N37)</f>
        <v>Costa Rica</v>
      </c>
      <c r="R40" s="261">
        <f t="shared" si="99"/>
        <v>0</v>
      </c>
      <c r="S40" s="261">
        <f t="shared" si="100"/>
        <v>-6</v>
      </c>
      <c r="T40" s="261"/>
      <c r="U40" s="261" t="str">
        <f>IF(AND(R39=R40,S40&gt;S39),Q39,Q40)</f>
        <v>Costa Rica</v>
      </c>
      <c r="V40" s="261">
        <f t="shared" si="101"/>
        <v>0</v>
      </c>
      <c r="W40" s="261">
        <f t="shared" si="102"/>
        <v>-6</v>
      </c>
      <c r="X40" s="261" t="str">
        <f t="shared" si="119"/>
        <v>Costa Rica</v>
      </c>
      <c r="Y40" s="261">
        <f t="shared" si="104"/>
        <v>0</v>
      </c>
      <c r="Z40" s="261">
        <f t="shared" si="105"/>
        <v>-6</v>
      </c>
      <c r="AA40" s="261"/>
      <c r="AB40" s="261" t="str">
        <f>IF(AND(Y40=Y37,Z40&gt;Z37),X37,X40)</f>
        <v>Costa Rica</v>
      </c>
      <c r="AC40" s="261">
        <f t="shared" si="106"/>
        <v>0</v>
      </c>
      <c r="AD40" s="261">
        <f t="shared" si="107"/>
        <v>-6</v>
      </c>
      <c r="AE40" s="261">
        <f t="shared" si="108"/>
        <v>2</v>
      </c>
      <c r="AF40" s="261" t="str">
        <f>IF(AND(AC40=AC39,AD40=AD39,AE40&gt;AE39),X39,X40)</f>
        <v>Costa Rica</v>
      </c>
      <c r="AG40" s="261">
        <f t="shared" si="109"/>
        <v>0</v>
      </c>
      <c r="AH40" s="261">
        <f t="shared" si="110"/>
        <v>-6</v>
      </c>
      <c r="AI40" s="261">
        <f t="shared" si="111"/>
        <v>2</v>
      </c>
      <c r="AJ40" s="261" t="str">
        <f>IF(AND(AG38=AG40,AH38=AH40,AI40&gt;AI38),AF38,AF40)</f>
        <v>Costa Rica</v>
      </c>
      <c r="AK40" s="261">
        <f t="shared" si="113"/>
        <v>0</v>
      </c>
      <c r="AL40" s="261">
        <f t="shared" si="114"/>
        <v>-6</v>
      </c>
      <c r="AM40" s="261">
        <f t="shared" si="115"/>
        <v>2</v>
      </c>
      <c r="AN40" s="261" t="str">
        <f>IF(AND(AK40=AK37,AL40=AL37,AM40&gt;AM37),AJ37,AJ40)</f>
        <v>Costa Rica</v>
      </c>
      <c r="AO40" s="266">
        <f t="shared" si="116"/>
        <v>0</v>
      </c>
      <c r="AP40" s="266">
        <f>IF(Tabela!N2="www.guiadecompra.com",VLOOKUP(AN40,$A$37:$I$40,9,FALSE),0)</f>
        <v>-6</v>
      </c>
      <c r="AQ40" s="266">
        <f t="shared" si="117"/>
        <v>2</v>
      </c>
      <c r="AR40" s="19"/>
    </row>
    <row r="41" spans="1:44" ht="14.25" customHeight="1" x14ac:dyDescent="0.2">
      <c r="A41" s="260"/>
      <c r="B41" s="261"/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261"/>
      <c r="AB41" s="261"/>
      <c r="AC41" s="261"/>
      <c r="AD41" s="261"/>
      <c r="AE41" s="261"/>
      <c r="AF41" s="261"/>
      <c r="AG41" s="261"/>
      <c r="AH41" s="261"/>
      <c r="AI41" s="261"/>
      <c r="AJ41" s="261"/>
      <c r="AK41" s="261"/>
      <c r="AL41" s="261"/>
      <c r="AM41" s="261"/>
      <c r="AN41" s="261"/>
      <c r="AO41" s="266"/>
      <c r="AP41" s="266"/>
      <c r="AQ41" s="266"/>
      <c r="AR41" s="19"/>
    </row>
    <row r="42" spans="1:44" ht="14.25" customHeight="1" x14ac:dyDescent="0.2">
      <c r="A42" s="260"/>
      <c r="B42" s="261"/>
      <c r="C42" s="261"/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  <c r="AC42" s="261"/>
      <c r="AD42" s="261"/>
      <c r="AE42" s="261"/>
      <c r="AF42" s="261"/>
      <c r="AG42" s="261"/>
      <c r="AH42" s="261"/>
      <c r="AI42" s="261"/>
      <c r="AJ42" s="261"/>
      <c r="AK42" s="261"/>
      <c r="AL42" s="261"/>
      <c r="AM42" s="261"/>
      <c r="AN42" s="261"/>
      <c r="AO42" s="266"/>
      <c r="AP42" s="266"/>
      <c r="AQ42" s="266"/>
      <c r="AR42" s="19"/>
    </row>
    <row r="43" spans="1:44" ht="14.25" customHeight="1" x14ac:dyDescent="0.2">
      <c r="A43" s="260"/>
      <c r="B43" s="366" t="s">
        <v>84</v>
      </c>
      <c r="C43" s="314"/>
      <c r="D43" s="314"/>
      <c r="E43" s="314"/>
      <c r="F43" s="314"/>
      <c r="G43" s="314"/>
      <c r="H43" s="314"/>
      <c r="I43" s="309"/>
      <c r="J43" s="261"/>
      <c r="K43" s="261" t="s">
        <v>75</v>
      </c>
      <c r="L43" s="261"/>
      <c r="M43" s="261"/>
      <c r="N43" s="261" t="s">
        <v>76</v>
      </c>
      <c r="O43" s="261"/>
      <c r="P43" s="261"/>
      <c r="Q43" s="261" t="s">
        <v>77</v>
      </c>
      <c r="R43" s="261"/>
      <c r="S43" s="261"/>
      <c r="T43" s="261"/>
      <c r="U43" s="261" t="s">
        <v>77</v>
      </c>
      <c r="V43" s="261"/>
      <c r="W43" s="261"/>
      <c r="X43" s="261"/>
      <c r="Y43" s="261"/>
      <c r="Z43" s="261"/>
      <c r="AA43" s="261"/>
      <c r="AB43" s="261"/>
      <c r="AC43" s="261"/>
      <c r="AD43" s="261"/>
      <c r="AE43" s="261"/>
      <c r="AF43" s="261"/>
      <c r="AG43" s="261"/>
      <c r="AH43" s="261"/>
      <c r="AI43" s="261"/>
      <c r="AJ43" s="261"/>
      <c r="AK43" s="261"/>
      <c r="AL43" s="261"/>
      <c r="AM43" s="261"/>
      <c r="AN43" s="261"/>
      <c r="AO43" s="266"/>
      <c r="AP43" s="266"/>
      <c r="AQ43" s="266"/>
      <c r="AR43" s="19"/>
    </row>
    <row r="44" spans="1:44" ht="14.25" customHeight="1" x14ac:dyDescent="0.2">
      <c r="A44" s="262" t="s">
        <v>78</v>
      </c>
      <c r="B44" s="263" t="s">
        <v>14</v>
      </c>
      <c r="C44" s="264" t="s">
        <v>15</v>
      </c>
      <c r="D44" s="264" t="s">
        <v>16</v>
      </c>
      <c r="E44" s="264" t="s">
        <v>17</v>
      </c>
      <c r="F44" s="264" t="s">
        <v>18</v>
      </c>
      <c r="G44" s="264" t="s">
        <v>19</v>
      </c>
      <c r="H44" s="264" t="s">
        <v>20</v>
      </c>
      <c r="I44" s="264" t="s">
        <v>21</v>
      </c>
      <c r="J44" s="265"/>
      <c r="K44" s="261"/>
      <c r="L44" s="261" t="s">
        <v>14</v>
      </c>
      <c r="M44" s="261"/>
      <c r="N44" s="261"/>
      <c r="O44" s="261" t="s">
        <v>79</v>
      </c>
      <c r="P44" s="261"/>
      <c r="Q44" s="261"/>
      <c r="R44" s="261" t="s">
        <v>14</v>
      </c>
      <c r="S44" s="261" t="s">
        <v>21</v>
      </c>
      <c r="T44" s="261"/>
      <c r="U44" s="261"/>
      <c r="V44" s="261" t="s">
        <v>14</v>
      </c>
      <c r="W44" s="261" t="s">
        <v>21</v>
      </c>
      <c r="X44" s="261"/>
      <c r="Y44" s="261" t="s">
        <v>14</v>
      </c>
      <c r="Z44" s="261" t="s">
        <v>21</v>
      </c>
      <c r="AA44" s="261"/>
      <c r="AB44" s="261"/>
      <c r="AC44" s="261" t="s">
        <v>14</v>
      </c>
      <c r="AD44" s="261" t="s">
        <v>21</v>
      </c>
      <c r="AE44" s="261" t="s">
        <v>19</v>
      </c>
      <c r="AF44" s="261"/>
      <c r="AG44" s="261" t="s">
        <v>14</v>
      </c>
      <c r="AH44" s="261" t="s">
        <v>21</v>
      </c>
      <c r="AI44" s="261" t="s">
        <v>19</v>
      </c>
      <c r="AJ44" s="261"/>
      <c r="AK44" s="261" t="s">
        <v>14</v>
      </c>
      <c r="AL44" s="261" t="s">
        <v>21</v>
      </c>
      <c r="AM44" s="261" t="s">
        <v>19</v>
      </c>
      <c r="AN44" s="261"/>
      <c r="AO44" s="266" t="s">
        <v>14</v>
      </c>
      <c r="AP44" s="266" t="s">
        <v>21</v>
      </c>
      <c r="AQ44" s="266" t="s">
        <v>19</v>
      </c>
      <c r="AR44" s="19"/>
    </row>
    <row r="45" spans="1:44" ht="14.25" customHeight="1" x14ac:dyDescent="0.2">
      <c r="A45" s="267" t="str">
        <f>time!F1</f>
        <v>Alemanha</v>
      </c>
      <c r="B45" s="268">
        <f>IF(Jogo!Copa=FIFA,SUM(D45*3)+E45,0)</f>
        <v>9</v>
      </c>
      <c r="C45" s="269">
        <f>COUNT(Tabela!G46,Tabela!G49,Tabela!I50)</f>
        <v>3</v>
      </c>
      <c r="D45" s="269">
        <f>SUM(IF(Tabela!$G$46&gt;Tabela!$I$46,COUNT(Tabela!$G$46)),IF(Tabela!$G$49&gt;Tabela!$I$49,COUNT(Tabela!$G$49)),IF(Tabela!$I$50&gt;Tabela!$G$50,COUNT(Tabela!$I$50)))</f>
        <v>3</v>
      </c>
      <c r="E45" s="269">
        <f>SUM(IF(Tabela!$G$46=Tabela!$I$46,COUNT(Tabela!$G$46)),IF(Tabela!$G$49=Tabela!$I$49,COUNT(Tabela!$G$49)),IF(Tabela!$I$50=Tabela!$G$50,COUNT(Tabela!$I$50)))</f>
        <v>0</v>
      </c>
      <c r="F45" s="269">
        <f>SUM(IF(Tabela!$G$46&lt;Tabela!$I$46,COUNT(Tabela!$G$46)),IF(Tabela!$G$49&lt;Tabela!$I$49,COUNT(Tabela!$G$49)),IF(Tabela!$I$50&lt;Tabela!$G$50,COUNT(Tabela!$I$50)))</f>
        <v>0</v>
      </c>
      <c r="G45" s="269">
        <f>SUM(Tabela!G46+Tabela!G49+Tabela!I50)</f>
        <v>8</v>
      </c>
      <c r="H45" s="269">
        <f>SUM(Tabela!I46+Tabela!I49+Tabela!G50)</f>
        <v>2</v>
      </c>
      <c r="I45" s="269">
        <f>IF(BR20I4=Tabela!C2,SUM(G45-H45),"X")</f>
        <v>6</v>
      </c>
      <c r="J45" s="270"/>
      <c r="K45" s="261" t="str">
        <f>IF(B45&gt;=B46,A45,A46)</f>
        <v>Alemanha</v>
      </c>
      <c r="L45" s="261">
        <f t="shared" ref="L45:L48" si="120">VLOOKUP(K45,$A$45:$I$48,2,FALSE)</f>
        <v>9</v>
      </c>
      <c r="M45" s="261"/>
      <c r="N45" s="261" t="str">
        <f t="shared" ref="N45:N46" si="121">IF(L45&gt;=L47,K45,K47)</f>
        <v>Alemanha</v>
      </c>
      <c r="O45" s="261">
        <f t="shared" ref="O45:O48" si="122">VLOOKUP(N45,$A$45:$I$48,2,FALSE)</f>
        <v>9</v>
      </c>
      <c r="P45" s="261"/>
      <c r="Q45" s="261" t="str">
        <f>IF(O45&gt;=O48,N45,N48)</f>
        <v>Alemanha</v>
      </c>
      <c r="R45" s="261">
        <f t="shared" ref="R45:R48" si="123">VLOOKUP(Q45,$A$45:$I$48,2,FALSE)</f>
        <v>9</v>
      </c>
      <c r="S45" s="261">
        <f t="shared" ref="S45:S48" si="124">VLOOKUP(Q45,$A$45:$I$48,9,FALSE)</f>
        <v>6</v>
      </c>
      <c r="T45" s="261"/>
      <c r="U45" s="261" t="str">
        <f>IF(AND(R45=R46,S46&gt;S45),Q46,Q45)</f>
        <v>Alemanha</v>
      </c>
      <c r="V45" s="261">
        <f t="shared" ref="V45:V48" si="125">VLOOKUP(U45,$A$45:$I$48,2,FALSE)</f>
        <v>9</v>
      </c>
      <c r="W45" s="261">
        <f t="shared" ref="W45:W48" si="126">VLOOKUP(U45,$A$45:$I$48,9,FALSE)</f>
        <v>6</v>
      </c>
      <c r="X45" s="261" t="str">
        <f t="shared" ref="X45:X46" si="127">IF(AND(V45=V47,W47&gt;W45),U47,U45)</f>
        <v>Alemanha</v>
      </c>
      <c r="Y45" s="261">
        <f t="shared" ref="Y45:Y48" si="128">VLOOKUP(X45,$A$45:$I$48,2,FALSE)</f>
        <v>9</v>
      </c>
      <c r="Z45" s="261">
        <f t="shared" ref="Z45:Z48" si="129">VLOOKUP(X45,$A$45:$I$48,9,FALSE)</f>
        <v>6</v>
      </c>
      <c r="AA45" s="261"/>
      <c r="AB45" s="261" t="str">
        <f>IF(AND(Y45=Y48,Z48&gt;Z45),X48,X45)</f>
        <v>Alemanha</v>
      </c>
      <c r="AC45" s="261">
        <f t="shared" ref="AC45:AC48" si="130">VLOOKUP(AB45,$A$45:$I$48,2,FALSE)</f>
        <v>9</v>
      </c>
      <c r="AD45" s="261">
        <f t="shared" ref="AD45:AD48" si="131">VLOOKUP(AB45,$A$45:$I$48,9,FALSE)</f>
        <v>6</v>
      </c>
      <c r="AE45" s="261">
        <f t="shared" ref="AE45:AE48" si="132">VLOOKUP(AB45,$A$45:$I$48,7,FALSE)</f>
        <v>8</v>
      </c>
      <c r="AF45" s="261" t="str">
        <f>IF(AND(AC45=AC46,AD45=AD46,AE46&gt;AE45),AB46,AB45)</f>
        <v>Alemanha</v>
      </c>
      <c r="AG45" s="261">
        <f t="shared" ref="AG45:AG48" si="133">VLOOKUP(AF45,$A$45:$I$48,2,FALSE)</f>
        <v>9</v>
      </c>
      <c r="AH45" s="261">
        <f t="shared" ref="AH45:AH48" si="134">VLOOKUP(AF45,$A$45:$I$48,9,FALSE)</f>
        <v>6</v>
      </c>
      <c r="AI45" s="261">
        <f t="shared" ref="AI45:AI48" si="135">VLOOKUP(AF45,$A$45:$I$48,7,FALSE)</f>
        <v>8</v>
      </c>
      <c r="AJ45" s="261" t="str">
        <f t="shared" ref="AJ45:AJ46" si="136">IF(AND(AG45=AG47,AH45=AH47,AI47&gt;AI45),AF47,AF45)</f>
        <v>Alemanha</v>
      </c>
      <c r="AK45" s="261">
        <f t="shared" ref="AK45:AK48" si="137">VLOOKUP(AJ45,$A$45:$I$48,2,FALSE)</f>
        <v>9</v>
      </c>
      <c r="AL45" s="261">
        <f t="shared" ref="AL45:AL48" si="138">VLOOKUP(AJ45,$A$45:$I$48,9,FALSE)</f>
        <v>6</v>
      </c>
      <c r="AM45" s="261">
        <f t="shared" ref="AM45:AM48" si="139">VLOOKUP(AJ45,$A$45:$I$48,7,FALSE)</f>
        <v>8</v>
      </c>
      <c r="AN45" s="261" t="str">
        <f>IF(AND(AK45=AK48,AL45=AL48,AM48&gt;AM45),AJ48,AJ45)</f>
        <v>Alemanha</v>
      </c>
      <c r="AO45" s="266">
        <f t="shared" ref="AO45:AO48" si="140">VLOOKUP(AN45,$A$45:$I$48,2,FALSE)</f>
        <v>9</v>
      </c>
      <c r="AP45" s="266">
        <f>IF(Tabela!N2="www.guiadecompra.com",VLOOKUP(AN45,$A$45:$I$48,9,FALSE),0)</f>
        <v>6</v>
      </c>
      <c r="AQ45" s="266">
        <f t="shared" ref="AQ45:AQ48" si="141">VLOOKUP(AN45,$A$45:$I$48,7,FALSE)</f>
        <v>8</v>
      </c>
      <c r="AR45" s="19"/>
    </row>
    <row r="46" spans="1:44" ht="14.25" customHeight="1" x14ac:dyDescent="0.2">
      <c r="A46" s="267" t="str">
        <f>time!F2</f>
        <v>México</v>
      </c>
      <c r="B46" s="268">
        <f>IF(Jogo!Copa=FIFA,SUM(D46*3)+E46,0)</f>
        <v>4</v>
      </c>
      <c r="C46" s="269">
        <f>COUNT(Tabela!I46,Tabela!I48,Tabela!G51)</f>
        <v>3</v>
      </c>
      <c r="D46" s="269">
        <f>SUM(IF(Tabela!$I$46&gt;Tabela!$G$46,COUNT(Tabela!$I$46)),IF(Tabela!$I$48&gt;Tabela!$G$48,COUNT(Tabela!$I$48)),IF(Tabela!$G$51&gt;Tabela!$I$51,COUNT(Tabela!$G$51)))</f>
        <v>1</v>
      </c>
      <c r="E46" s="269">
        <f>SUM(IF(Tabela!$I$46=Tabela!$G$46,COUNT(Tabela!$I$46)),IF(Tabela!$I$48=Tabela!$G$48,COUNT(Tabela!$I$48)),IF(Tabela!$G$51=Tabela!$I$51,COUNT(Tabela!$G$51)))</f>
        <v>1</v>
      </c>
      <c r="F46" s="269">
        <f>SUM(IF(Tabela!$I$46&lt;Tabela!$G$46,COUNT(Tabela!$I$46)),IF(Tabela!$I$48&lt;Tabela!$G$48,COUNT(Tabela!$I$48)),IF(Tabela!$G$51&lt;Tabela!$I$51,COUNT(Tabela!$G$51)))</f>
        <v>1</v>
      </c>
      <c r="G46" s="269">
        <f>SUM(Tabela!I46+Tabela!I48+Tabela!G51)</f>
        <v>4</v>
      </c>
      <c r="H46" s="269">
        <f>SUM(Tabela!G46+Tabela!G48+Tabela!I51)</f>
        <v>5</v>
      </c>
      <c r="I46" s="269">
        <f>IF(BR20I4=Tabela!C2,SUM(G46-H46),"X")</f>
        <v>-1</v>
      </c>
      <c r="J46" s="270"/>
      <c r="K46" s="261" t="str">
        <f>IF(B46&lt;=B45,A46,A45)</f>
        <v>México</v>
      </c>
      <c r="L46" s="261">
        <f t="shared" si="120"/>
        <v>4</v>
      </c>
      <c r="M46" s="261"/>
      <c r="N46" s="261" t="str">
        <f t="shared" si="121"/>
        <v>México</v>
      </c>
      <c r="O46" s="261">
        <f t="shared" si="122"/>
        <v>4</v>
      </c>
      <c r="P46" s="261"/>
      <c r="Q46" s="261" t="str">
        <f>IF(O46&gt;=O47,N46,N47)</f>
        <v>México</v>
      </c>
      <c r="R46" s="261">
        <f t="shared" si="123"/>
        <v>4</v>
      </c>
      <c r="S46" s="261">
        <f t="shared" si="124"/>
        <v>-1</v>
      </c>
      <c r="T46" s="261"/>
      <c r="U46" s="261" t="str">
        <f>IF(AND(R45=R46,S46&gt;S45),Q45,Q46)</f>
        <v>México</v>
      </c>
      <c r="V46" s="261">
        <f t="shared" si="125"/>
        <v>4</v>
      </c>
      <c r="W46" s="261">
        <f t="shared" si="126"/>
        <v>-1</v>
      </c>
      <c r="X46" s="261" t="str">
        <f t="shared" si="127"/>
        <v>México</v>
      </c>
      <c r="Y46" s="261">
        <f t="shared" si="128"/>
        <v>4</v>
      </c>
      <c r="Z46" s="261">
        <f t="shared" si="129"/>
        <v>-1</v>
      </c>
      <c r="AA46" s="261"/>
      <c r="AB46" s="261" t="str">
        <f>IF(AND(Y46=Y47,Z47&gt;Z46),X47,X46)</f>
        <v>México</v>
      </c>
      <c r="AC46" s="261">
        <f t="shared" si="130"/>
        <v>4</v>
      </c>
      <c r="AD46" s="261">
        <f t="shared" si="131"/>
        <v>-1</v>
      </c>
      <c r="AE46" s="261">
        <f t="shared" si="132"/>
        <v>4</v>
      </c>
      <c r="AF46" s="261" t="str">
        <f>IF(AND(AC46=AC45,AD46=AD45,AE46&gt;AE45),AB45,AB46)</f>
        <v>México</v>
      </c>
      <c r="AG46" s="261">
        <f t="shared" si="133"/>
        <v>4</v>
      </c>
      <c r="AH46" s="261">
        <f t="shared" si="134"/>
        <v>-1</v>
      </c>
      <c r="AI46" s="261">
        <f t="shared" si="135"/>
        <v>4</v>
      </c>
      <c r="AJ46" s="261" t="str">
        <f t="shared" si="136"/>
        <v>México</v>
      </c>
      <c r="AK46" s="261">
        <f t="shared" si="137"/>
        <v>4</v>
      </c>
      <c r="AL46" s="261">
        <f t="shared" si="138"/>
        <v>-1</v>
      </c>
      <c r="AM46" s="261">
        <f t="shared" si="139"/>
        <v>4</v>
      </c>
      <c r="AN46" s="261" t="str">
        <f>IF(AND(AK46=AK47,AL46=AL47,AM47&gt;AM46),AJ47,AJ46)</f>
        <v>México</v>
      </c>
      <c r="AO46" s="266">
        <f t="shared" si="140"/>
        <v>4</v>
      </c>
      <c r="AP46" s="266">
        <f>IF(Tabela!N2="www.guiadecompra.com",VLOOKUP(AN46,$A$45:$I$48,9,FALSE),0)</f>
        <v>-1</v>
      </c>
      <c r="AQ46" s="266">
        <f t="shared" si="141"/>
        <v>4</v>
      </c>
      <c r="AR46" s="19"/>
    </row>
    <row r="47" spans="1:44" ht="14.25" customHeight="1" x14ac:dyDescent="0.2">
      <c r="A47" s="267" t="str">
        <f>time!F3</f>
        <v>Suécia</v>
      </c>
      <c r="B47" s="268">
        <f>IF(Jogo!Copa=FIFA,SUM(D47*3)+E47,0)</f>
        <v>1</v>
      </c>
      <c r="C47" s="269">
        <f>COUNT(Tabela!G47,Tabela!I49,Tabela!I51)</f>
        <v>3</v>
      </c>
      <c r="D47" s="269">
        <f>SUM(IF(Tabela!$G$47&gt;Tabela!$I$47,COUNT(Tabela!$G$47)),IF(Tabela!$I$49&gt;Tabela!$G$49,COUNT(Tabela!$I$49)),IF(Tabela!$I$51&gt;Tabela!$G$51,COUNT(Tabela!$I$51)))</f>
        <v>0</v>
      </c>
      <c r="E47" s="269">
        <f>SUM(IF(Tabela!$G$47=Tabela!$I$47,COUNT(Tabela!$G$47)),IF(Tabela!$I$49=Tabela!$G$49,COUNT(Tabela!$I$49)),IF(Tabela!$I$51=Tabela!$G$51,COUNT(Tabela!$I$51)))</f>
        <v>1</v>
      </c>
      <c r="F47" s="269">
        <f>SUM(IF(Tabela!$G$47&lt;Tabela!$I$47,COUNT(Tabela!$G$47)),IF(Tabela!$I$49&lt;Tabela!$G$49,COUNT(Tabela!$I$49)),IF(Tabela!$I$51&lt;Tabela!$G$51,COUNT(Tabela!$I$51)))</f>
        <v>2</v>
      </c>
      <c r="G47" s="269">
        <f>SUM(Tabela!G47+Tabela!I49+Tabela!I51)</f>
        <v>3</v>
      </c>
      <c r="H47" s="269">
        <f>SUM(Tabela!I47+Tabela!G49+Tabela!G51)</f>
        <v>6</v>
      </c>
      <c r="I47" s="269">
        <f>IF(BR20I4=Tabela!C2,SUM(G47-H47),"X")</f>
        <v>-3</v>
      </c>
      <c r="J47" s="270"/>
      <c r="K47" s="261" t="str">
        <f>IF(B47&gt;=B48,A47,A48)</f>
        <v>Coréia do Sul</v>
      </c>
      <c r="L47" s="261">
        <f t="shared" si="120"/>
        <v>3</v>
      </c>
      <c r="M47" s="261"/>
      <c r="N47" s="261" t="str">
        <f t="shared" ref="N47:N48" si="142">IF(L47&lt;=L45,K47,K45)</f>
        <v>Coréia do Sul</v>
      </c>
      <c r="O47" s="261">
        <f t="shared" si="122"/>
        <v>3</v>
      </c>
      <c r="P47" s="261"/>
      <c r="Q47" s="261" t="str">
        <f>IF(O47&lt;=O46,N47,N46)</f>
        <v>Coréia do Sul</v>
      </c>
      <c r="R47" s="261">
        <f t="shared" si="123"/>
        <v>3</v>
      </c>
      <c r="S47" s="261">
        <f t="shared" si="124"/>
        <v>-2</v>
      </c>
      <c r="T47" s="261"/>
      <c r="U47" s="261" t="str">
        <f>IF(AND(R47=R48,S48&gt;S47),Q48,Q47)</f>
        <v>Coréia do Sul</v>
      </c>
      <c r="V47" s="261">
        <f t="shared" si="125"/>
        <v>3</v>
      </c>
      <c r="W47" s="261">
        <f t="shared" si="126"/>
        <v>-2</v>
      </c>
      <c r="X47" s="261" t="str">
        <f t="shared" ref="X47:X48" si="143">IF(AND(V45=V47,W47&gt;W45),U45,U47)</f>
        <v>Coréia do Sul</v>
      </c>
      <c r="Y47" s="261">
        <f t="shared" si="128"/>
        <v>3</v>
      </c>
      <c r="Z47" s="261">
        <f t="shared" si="129"/>
        <v>-2</v>
      </c>
      <c r="AA47" s="261"/>
      <c r="AB47" s="261" t="str">
        <f>IF(AND(Y47=Y46,Z47&gt;Z46),X46,X47)</f>
        <v>Coréia do Sul</v>
      </c>
      <c r="AC47" s="261">
        <f t="shared" si="130"/>
        <v>3</v>
      </c>
      <c r="AD47" s="261">
        <f t="shared" si="131"/>
        <v>-2</v>
      </c>
      <c r="AE47" s="261">
        <f t="shared" si="132"/>
        <v>3</v>
      </c>
      <c r="AF47" s="261" t="str">
        <f>IF(AND(AC47=AC48,AD47=AD48,AE48&gt;AE47),AB48,AB47)</f>
        <v>Coréia do Sul</v>
      </c>
      <c r="AG47" s="261">
        <f t="shared" si="133"/>
        <v>3</v>
      </c>
      <c r="AH47" s="261">
        <f t="shared" si="134"/>
        <v>-2</v>
      </c>
      <c r="AI47" s="261">
        <f t="shared" si="135"/>
        <v>3</v>
      </c>
      <c r="AJ47" s="261" t="str">
        <f>IF(AND(AG47=AG45,AH47=AH45,AI47&gt;AI45),AF45,AF47)</f>
        <v>Coréia do Sul</v>
      </c>
      <c r="AK47" s="261">
        <f t="shared" si="137"/>
        <v>3</v>
      </c>
      <c r="AL47" s="261">
        <f t="shared" si="138"/>
        <v>-2</v>
      </c>
      <c r="AM47" s="261">
        <f t="shared" si="139"/>
        <v>3</v>
      </c>
      <c r="AN47" s="261" t="str">
        <f>IF(AND(AK47=AK46,AL47=AL46,AM47&gt;AM46),AJ46,AJ47)</f>
        <v>Coréia do Sul</v>
      </c>
      <c r="AO47" s="266">
        <f t="shared" si="140"/>
        <v>3</v>
      </c>
      <c r="AP47" s="266">
        <f>IF(Tabela!N2="www.guiadecompra.com",VLOOKUP(AN47,$A$45:$I$48,9,FALSE),0)</f>
        <v>-2</v>
      </c>
      <c r="AQ47" s="266">
        <f t="shared" si="141"/>
        <v>3</v>
      </c>
      <c r="AR47" s="19"/>
    </row>
    <row r="48" spans="1:44" ht="14.25" customHeight="1" x14ac:dyDescent="0.2">
      <c r="A48" s="267" t="str">
        <f>time!F4</f>
        <v>Coréia do Sul</v>
      </c>
      <c r="B48" s="268">
        <f>IF(Jogo!Copa=FIFA,SUM(D48*3)+E48,0)</f>
        <v>3</v>
      </c>
      <c r="C48" s="269">
        <f>COUNT(Tabela!I47,Tabela!I48,Tabela!G50)</f>
        <v>3</v>
      </c>
      <c r="D48" s="269">
        <f>SUM(IF(Tabela!$I$47&gt;Tabela!$G$47,COUNT(Tabela!$I$47)),IF(Tabela!$G$48&gt;Tabela!$I$48,COUNT(Tabela!$G$48)),IF(Tabela!$G$50&gt;Tabela!$I$50,COUNT(Tabela!$G$50)))</f>
        <v>1</v>
      </c>
      <c r="E48" s="269">
        <f>SUM(IF(Tabela!$I$47=Tabela!$G$47,COUNT(Tabela!$I$47)),IF(Tabela!$G$48=Tabela!$I$48,COUNT(Tabela!$G$48)),IF(Tabela!$G$50=Tabela!$I$50,COUNT(Tabela!$G$50)))</f>
        <v>0</v>
      </c>
      <c r="F48" s="269">
        <f>SUM(IF(Tabela!$I$47&lt;Tabela!$G$47,COUNT(Tabela!$I$47)),IF(Tabela!$G$48&lt;Tabela!$I$48,COUNT(Tabela!$G$48)),IF(Tabela!$G$50&lt;Tabela!$I$50,COUNT(Tabela!$G$50)))</f>
        <v>2</v>
      </c>
      <c r="G48" s="269">
        <f>SUM(Tabela!I47+Tabela!G48+Tabela!G50)</f>
        <v>3</v>
      </c>
      <c r="H48" s="269">
        <f>SUM(Tabela!G47+Tabela!I48+Tabela!I50)</f>
        <v>5</v>
      </c>
      <c r="I48" s="269">
        <f>IF(BR20I4=Tabela!C2,SUM(G48-H48),"X")</f>
        <v>-2</v>
      </c>
      <c r="J48" s="270"/>
      <c r="K48" s="261" t="str">
        <f>IF(B48&lt;=B47,A48,A47)</f>
        <v>Suécia</v>
      </c>
      <c r="L48" s="261">
        <f t="shared" si="120"/>
        <v>1</v>
      </c>
      <c r="M48" s="261"/>
      <c r="N48" s="261" t="str">
        <f t="shared" si="142"/>
        <v>Suécia</v>
      </c>
      <c r="O48" s="261">
        <f t="shared" si="122"/>
        <v>1</v>
      </c>
      <c r="P48" s="261"/>
      <c r="Q48" s="261" t="str">
        <f>IF(O48&lt;=O45,N48,N45)</f>
        <v>Suécia</v>
      </c>
      <c r="R48" s="261">
        <f t="shared" si="123"/>
        <v>1</v>
      </c>
      <c r="S48" s="261">
        <f t="shared" si="124"/>
        <v>-3</v>
      </c>
      <c r="T48" s="261"/>
      <c r="U48" s="261" t="str">
        <f>IF(AND(R47=R48,S48&gt;S47),Q47,Q48)</f>
        <v>Suécia</v>
      </c>
      <c r="V48" s="261">
        <f t="shared" si="125"/>
        <v>1</v>
      </c>
      <c r="W48" s="261">
        <f t="shared" si="126"/>
        <v>-3</v>
      </c>
      <c r="X48" s="261" t="str">
        <f t="shared" si="143"/>
        <v>Suécia</v>
      </c>
      <c r="Y48" s="261">
        <f t="shared" si="128"/>
        <v>1</v>
      </c>
      <c r="Z48" s="261">
        <f t="shared" si="129"/>
        <v>-3</v>
      </c>
      <c r="AA48" s="261"/>
      <c r="AB48" s="261" t="str">
        <f>IF(AND(Y48=Y45,Z48&gt;Z45),X45,X48)</f>
        <v>Suécia</v>
      </c>
      <c r="AC48" s="261">
        <f t="shared" si="130"/>
        <v>1</v>
      </c>
      <c r="AD48" s="261">
        <f t="shared" si="131"/>
        <v>-3</v>
      </c>
      <c r="AE48" s="261">
        <f t="shared" si="132"/>
        <v>3</v>
      </c>
      <c r="AF48" s="261" t="str">
        <f>IF(AND(AC48=AC47,AD48=AD47,AE48&gt;AE47),X47,X48)</f>
        <v>Suécia</v>
      </c>
      <c r="AG48" s="261">
        <f t="shared" si="133"/>
        <v>1</v>
      </c>
      <c r="AH48" s="261">
        <f t="shared" si="134"/>
        <v>-3</v>
      </c>
      <c r="AI48" s="261">
        <f t="shared" si="135"/>
        <v>3</v>
      </c>
      <c r="AJ48" s="261" t="str">
        <f>IF(AND(AG46=AG48,AH46=AH48,AI48&gt;AI46),AF46,AF48)</f>
        <v>Suécia</v>
      </c>
      <c r="AK48" s="261">
        <f t="shared" si="137"/>
        <v>1</v>
      </c>
      <c r="AL48" s="261">
        <f t="shared" si="138"/>
        <v>-3</v>
      </c>
      <c r="AM48" s="261">
        <f t="shared" si="139"/>
        <v>3</v>
      </c>
      <c r="AN48" s="261" t="str">
        <f>IF(AND(AK48=AK45,AL48=AL45,AM48&gt;AM45),AJ45,AJ48)</f>
        <v>Suécia</v>
      </c>
      <c r="AO48" s="266">
        <f t="shared" si="140"/>
        <v>1</v>
      </c>
      <c r="AP48" s="266">
        <f>IF(Tabela!N2="www.guiadecompra.com",VLOOKUP(AN48,$A$45:$I$48,9,FALSE),0)</f>
        <v>-3</v>
      </c>
      <c r="AQ48" s="266">
        <f t="shared" si="141"/>
        <v>3</v>
      </c>
      <c r="AR48" s="19"/>
    </row>
    <row r="49" spans="1:44" ht="14.25" customHeight="1" x14ac:dyDescent="0.2">
      <c r="A49" s="260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1"/>
      <c r="AD49" s="261"/>
      <c r="AE49" s="261"/>
      <c r="AF49" s="261"/>
      <c r="AG49" s="261"/>
      <c r="AH49" s="261"/>
      <c r="AI49" s="261"/>
      <c r="AJ49" s="261"/>
      <c r="AK49" s="261"/>
      <c r="AL49" s="261"/>
      <c r="AM49" s="261"/>
      <c r="AN49" s="261"/>
      <c r="AO49" s="266"/>
      <c r="AP49" s="266"/>
      <c r="AQ49" s="266"/>
      <c r="AR49" s="19"/>
    </row>
    <row r="50" spans="1:44" ht="14.25" customHeight="1" x14ac:dyDescent="0.2">
      <c r="A50" s="260"/>
      <c r="B50" s="261"/>
      <c r="C50" s="261"/>
      <c r="D50" s="261"/>
      <c r="E50" s="261"/>
      <c r="F50" s="261"/>
      <c r="G50" s="261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  <c r="AD50" s="261"/>
      <c r="AE50" s="261"/>
      <c r="AF50" s="261"/>
      <c r="AG50" s="261"/>
      <c r="AH50" s="261"/>
      <c r="AI50" s="261"/>
      <c r="AJ50" s="261"/>
      <c r="AK50" s="261"/>
      <c r="AL50" s="261"/>
      <c r="AM50" s="261"/>
      <c r="AN50" s="261"/>
      <c r="AO50" s="266"/>
      <c r="AP50" s="266"/>
      <c r="AQ50" s="266"/>
      <c r="AR50" s="19"/>
    </row>
    <row r="51" spans="1:44" ht="14.25" customHeight="1" x14ac:dyDescent="0.2">
      <c r="A51" s="260"/>
      <c r="B51" s="365" t="s">
        <v>85</v>
      </c>
      <c r="C51" s="314"/>
      <c r="D51" s="314"/>
      <c r="E51" s="314"/>
      <c r="F51" s="314"/>
      <c r="G51" s="314"/>
      <c r="H51" s="314"/>
      <c r="I51" s="309"/>
      <c r="J51" s="261"/>
      <c r="K51" s="261" t="s">
        <v>75</v>
      </c>
      <c r="L51" s="261"/>
      <c r="M51" s="261"/>
      <c r="N51" s="261" t="s">
        <v>76</v>
      </c>
      <c r="O51" s="261"/>
      <c r="P51" s="261"/>
      <c r="Q51" s="261" t="s">
        <v>77</v>
      </c>
      <c r="R51" s="261"/>
      <c r="S51" s="261"/>
      <c r="T51" s="261"/>
      <c r="U51" s="261" t="s">
        <v>77</v>
      </c>
      <c r="V51" s="261"/>
      <c r="W51" s="261"/>
      <c r="X51" s="261"/>
      <c r="Y51" s="261"/>
      <c r="Z51" s="261"/>
      <c r="AA51" s="261"/>
      <c r="AB51" s="261"/>
      <c r="AC51" s="261"/>
      <c r="AD51" s="261"/>
      <c r="AE51" s="261"/>
      <c r="AF51" s="261"/>
      <c r="AG51" s="261"/>
      <c r="AH51" s="261"/>
      <c r="AI51" s="261"/>
      <c r="AJ51" s="261"/>
      <c r="AK51" s="261"/>
      <c r="AL51" s="261"/>
      <c r="AM51" s="261"/>
      <c r="AN51" s="261"/>
      <c r="AO51" s="266"/>
      <c r="AP51" s="266"/>
      <c r="AQ51" s="266"/>
      <c r="AR51" s="19"/>
    </row>
    <row r="52" spans="1:44" ht="14.25" customHeight="1" x14ac:dyDescent="0.2">
      <c r="A52" s="262" t="s">
        <v>78</v>
      </c>
      <c r="B52" s="263" t="s">
        <v>14</v>
      </c>
      <c r="C52" s="264" t="s">
        <v>15</v>
      </c>
      <c r="D52" s="264" t="s">
        <v>16</v>
      </c>
      <c r="E52" s="264" t="s">
        <v>17</v>
      </c>
      <c r="F52" s="264" t="s">
        <v>18</v>
      </c>
      <c r="G52" s="264" t="s">
        <v>19</v>
      </c>
      <c r="H52" s="264" t="s">
        <v>20</v>
      </c>
      <c r="I52" s="264" t="s">
        <v>21</v>
      </c>
      <c r="J52" s="265"/>
      <c r="K52" s="261"/>
      <c r="L52" s="261" t="s">
        <v>14</v>
      </c>
      <c r="M52" s="261"/>
      <c r="N52" s="261"/>
      <c r="O52" s="261" t="s">
        <v>79</v>
      </c>
      <c r="P52" s="261"/>
      <c r="Q52" s="261"/>
      <c r="R52" s="261" t="s">
        <v>14</v>
      </c>
      <c r="S52" s="261" t="s">
        <v>21</v>
      </c>
      <c r="T52" s="261"/>
      <c r="U52" s="261"/>
      <c r="V52" s="261" t="s">
        <v>14</v>
      </c>
      <c r="W52" s="261" t="s">
        <v>21</v>
      </c>
      <c r="X52" s="261"/>
      <c r="Y52" s="261" t="s">
        <v>14</v>
      </c>
      <c r="Z52" s="261" t="s">
        <v>21</v>
      </c>
      <c r="AA52" s="261"/>
      <c r="AB52" s="261"/>
      <c r="AC52" s="261" t="s">
        <v>14</v>
      </c>
      <c r="AD52" s="261" t="s">
        <v>21</v>
      </c>
      <c r="AE52" s="261" t="s">
        <v>19</v>
      </c>
      <c r="AF52" s="261"/>
      <c r="AG52" s="261" t="s">
        <v>14</v>
      </c>
      <c r="AH52" s="261" t="s">
        <v>21</v>
      </c>
      <c r="AI52" s="261" t="s">
        <v>19</v>
      </c>
      <c r="AJ52" s="261"/>
      <c r="AK52" s="261" t="s">
        <v>14</v>
      </c>
      <c r="AL52" s="261" t="s">
        <v>21</v>
      </c>
      <c r="AM52" s="261" t="s">
        <v>19</v>
      </c>
      <c r="AN52" s="261"/>
      <c r="AO52" s="266" t="s">
        <v>14</v>
      </c>
      <c r="AP52" s="266" t="s">
        <v>21</v>
      </c>
      <c r="AQ52" s="266" t="s">
        <v>19</v>
      </c>
      <c r="AR52" s="19"/>
    </row>
    <row r="53" spans="1:44" ht="14.25" customHeight="1" x14ac:dyDescent="0.2">
      <c r="A53" s="267" t="str">
        <f>time!G1</f>
        <v>Bélgica</v>
      </c>
      <c r="B53" s="268">
        <f>IF(Jogo!Copa=FIFA,SUM(D53*3)+E53,0)</f>
        <v>9</v>
      </c>
      <c r="C53" s="269">
        <f>COUNT(Tabela!G54,Tabela!G56,Tabela!I58)</f>
        <v>3</v>
      </c>
      <c r="D53" s="269">
        <f>SUM(IF(Tabela!$G$54&gt;Tabela!$I$54,COUNT(Tabela!$G$54)),IF(Tabela!$G$56&gt;Tabela!$I$56,COUNT(Tabela!$G$56)),IF(Tabela!$I$58&gt;Tabela!$G$58,COUNT(Tabela!$I$58)))</f>
        <v>3</v>
      </c>
      <c r="E53" s="269">
        <f>SUM(IF(Tabela!$G$54=Tabela!$I$54,COUNT(Tabela!$G$54)),IF(Tabela!$G$56=Tabela!$I$56,COUNT(Tabela!$G$56)),IF(Tabela!$I$58=Tabela!$G$58,COUNT(Tabela!$I$58)))</f>
        <v>0</v>
      </c>
      <c r="F53" s="269">
        <f>SUM(IF(Tabela!$G$54&lt;Tabela!$I$54,COUNT(Tabela!$G$54)),IF(Tabela!$G$56&lt;Tabela!$I$56,COUNT(Tabela!$G$56)),IF(Tabela!$I$58&lt;Tabela!$G$58,COUNT(Tabela!$I$58)))</f>
        <v>0</v>
      </c>
      <c r="G53" s="269">
        <f>SUM(Tabela!G54+Tabela!G56+Tabela!I58)</f>
        <v>7</v>
      </c>
      <c r="H53" s="269">
        <f>SUM(Tabela!I54+Tabela!I56+Tabela!G58)</f>
        <v>2</v>
      </c>
      <c r="I53" s="269">
        <f>IF(BR20I4=Tabela!C2,SUM(G53-H53),"X")</f>
        <v>5</v>
      </c>
      <c r="J53" s="270"/>
      <c r="K53" s="261" t="str">
        <f>IF(B53&gt;=B54,A53,A54)</f>
        <v>Bélgica</v>
      </c>
      <c r="L53" s="261">
        <f t="shared" ref="L53:L56" si="144">VLOOKUP(K53,$A$53:$I$56,2,FALSE)</f>
        <v>9</v>
      </c>
      <c r="M53" s="261"/>
      <c r="N53" s="261" t="str">
        <f t="shared" ref="N53:N54" si="145">IF(L53&gt;=L55,K53,K55)</f>
        <v>Bélgica</v>
      </c>
      <c r="O53" s="261">
        <f t="shared" ref="O53:O56" si="146">VLOOKUP(N53,$A$53:$I$56,2,FALSE)</f>
        <v>9</v>
      </c>
      <c r="P53" s="261"/>
      <c r="Q53" s="261" t="str">
        <f>IF(O53&gt;=O56,N53,N56)</f>
        <v>Bélgica</v>
      </c>
      <c r="R53" s="261">
        <f t="shared" ref="R53:R56" si="147">VLOOKUP(Q53,$A$53:$I$56,2,FALSE)</f>
        <v>9</v>
      </c>
      <c r="S53" s="261">
        <f t="shared" ref="S53:S56" si="148">VLOOKUP(Q53,$A$53:$I$56,9,FALSE)</f>
        <v>5</v>
      </c>
      <c r="T53" s="261"/>
      <c r="U53" s="261" t="str">
        <f>IF(AND(R53=R54,S54&gt;S53),Q54,Q53)</f>
        <v>Bélgica</v>
      </c>
      <c r="V53" s="261">
        <f t="shared" ref="V53:V56" si="149">VLOOKUP(U53,$A$53:$I$56,2,FALSE)</f>
        <v>9</v>
      </c>
      <c r="W53" s="261">
        <f t="shared" ref="W53:W56" si="150">VLOOKUP(U53,$A$53:$I$56,9,FALSE)</f>
        <v>5</v>
      </c>
      <c r="X53" s="261" t="str">
        <f t="shared" ref="X53:X54" si="151">IF(AND(V53=V55,W55&gt;W53),U55,U53)</f>
        <v>Bélgica</v>
      </c>
      <c r="Y53" s="261">
        <f t="shared" ref="Y53:Y56" si="152">VLOOKUP(X53,$A$53:$I$56,2,FALSE)</f>
        <v>9</v>
      </c>
      <c r="Z53" s="261">
        <f t="shared" ref="Z53:Z56" si="153">VLOOKUP(X53,$A$53:$I$56,9,FALSE)</f>
        <v>5</v>
      </c>
      <c r="AA53" s="261"/>
      <c r="AB53" s="261" t="str">
        <f>IF(AND(Y53=Y56,Z56&gt;Z53),X56,X53)</f>
        <v>Bélgica</v>
      </c>
      <c r="AC53" s="261">
        <f t="shared" ref="AC53:AC56" si="154">VLOOKUP(AB53,$A$53:$I$56,2,FALSE)</f>
        <v>9</v>
      </c>
      <c r="AD53" s="261">
        <f t="shared" ref="AD53:AD56" si="155">VLOOKUP(AB53,$A$53:$I$56,9,FALSE)</f>
        <v>5</v>
      </c>
      <c r="AE53" s="261">
        <f t="shared" ref="AE53:AE56" si="156">VLOOKUP(AB53,$A$53:$I$56,7,FALSE)</f>
        <v>7</v>
      </c>
      <c r="AF53" s="261" t="str">
        <f>IF(AND(AC53=AC54,AD53=AD54,AE54&gt;AE53),AB54,AB53)</f>
        <v>Bélgica</v>
      </c>
      <c r="AG53" s="261">
        <f t="shared" ref="AG53:AG56" si="157">VLOOKUP(AF53,$A$53:$I$56,2,FALSE)</f>
        <v>9</v>
      </c>
      <c r="AH53" s="261">
        <f t="shared" ref="AH53:AH56" si="158">VLOOKUP(AF53,$A$53:$I$56,9,FALSE)</f>
        <v>5</v>
      </c>
      <c r="AI53" s="261">
        <f t="shared" ref="AI53:AI56" si="159">VLOOKUP(AF53,$A$53:$I$56,7,FALSE)</f>
        <v>7</v>
      </c>
      <c r="AJ53" s="261" t="str">
        <f t="shared" ref="AJ53:AJ54" si="160">IF(AND(AG53=AG55,AH53=AH55,AI55&gt;AI53),AF55,AF53)</f>
        <v>Bélgica</v>
      </c>
      <c r="AK53" s="261">
        <f t="shared" ref="AK53:AK56" si="161">VLOOKUP(AJ53,$A$53:$I$56,2,FALSE)</f>
        <v>9</v>
      </c>
      <c r="AL53" s="261">
        <f t="shared" ref="AL53:AL56" si="162">VLOOKUP(AJ53,$A$53:$I$56,9,FALSE)</f>
        <v>5</v>
      </c>
      <c r="AM53" s="261">
        <f t="shared" ref="AM53:AM56" si="163">VLOOKUP(AJ53,$A$53:$I$56,7,FALSE)</f>
        <v>7</v>
      </c>
      <c r="AN53" s="261" t="str">
        <f>IF(AND(AK53=AK56,AL53=AL56,AM56&gt;AM53),AJ56,AJ53)</f>
        <v>Bélgica</v>
      </c>
      <c r="AO53" s="266">
        <f t="shared" ref="AO53:AO56" si="164">VLOOKUP(AN53,$A$53:$I$56,2,FALSE)</f>
        <v>9</v>
      </c>
      <c r="AP53" s="266">
        <f>IF(Tabela!N2="www.guiadecompra.com",VLOOKUP(AN53,$A$53:$I$56,9,FALSE),0)</f>
        <v>5</v>
      </c>
      <c r="AQ53" s="266">
        <f t="shared" ref="AQ53:AQ56" si="165">VLOOKUP(AN53,$A$53:$I$56,7,FALSE)</f>
        <v>7</v>
      </c>
      <c r="AR53" s="19"/>
    </row>
    <row r="54" spans="1:44" ht="14.25" customHeight="1" x14ac:dyDescent="0.2">
      <c r="A54" s="267" t="str">
        <f>time!G2</f>
        <v>Panamá</v>
      </c>
      <c r="B54" s="268">
        <f>IF(Jogo!Copa=FIFA,SUM(D54*3)+E54,0)</f>
        <v>1</v>
      </c>
      <c r="C54" s="269">
        <f>COUNT(Tabela!I54,Tabela!I57,Tabela!G59)</f>
        <v>3</v>
      </c>
      <c r="D54" s="269">
        <f>SUM(IF(Tabela!$I$54&gt;Tabela!$G$54,COUNT(Tabela!$I$54)),IF(Tabela!$I$57&gt;Tabela!$G$57,COUNT(Tabela!$I$57)),IF(Tabela!$G$59&gt;Tabela!$I$59,COUNT(Tabela!$G$59)))</f>
        <v>0</v>
      </c>
      <c r="E54" s="269">
        <f>SUM(IF(Tabela!$I$54=Tabela!$G$54,COUNT(Tabela!$I$54)),IF(Tabela!$I$57=Tabela!$G$57,COUNT(Tabela!$I$57)),IF(Tabela!$G$59=Tabela!$I$59,COUNT(Tabela!$G$59)))</f>
        <v>1</v>
      </c>
      <c r="F54" s="269">
        <f>SUM(IF(Tabela!$I$54&lt;Tabela!$G$54,COUNT(Tabela!$I$54)),IF(Tabela!$I$57&lt;Tabela!$G$57,COUNT(Tabela!$I$57)),IF(Tabela!$G$59&lt;Tabela!$I$59,COUNT(Tabela!$G$59)))</f>
        <v>2</v>
      </c>
      <c r="G54" s="269">
        <f>SUM(Tabela!I54+Tabela!I57+Tabela!G59)</f>
        <v>1</v>
      </c>
      <c r="H54" s="269">
        <f>SUM(Tabela!G54+Tabela!G57+Tabela!I59)</f>
        <v>6</v>
      </c>
      <c r="I54" s="269">
        <f>IF(BR20I4=Tabela!C2,SUM(G54-H54),"X")</f>
        <v>-5</v>
      </c>
      <c r="J54" s="270"/>
      <c r="K54" s="261" t="str">
        <f>IF(B54&lt;=B53,A54,A53)</f>
        <v>Panamá</v>
      </c>
      <c r="L54" s="261">
        <f t="shared" si="144"/>
        <v>1</v>
      </c>
      <c r="M54" s="261"/>
      <c r="N54" s="261" t="str">
        <f t="shared" si="145"/>
        <v>Panamá</v>
      </c>
      <c r="O54" s="261">
        <f t="shared" si="146"/>
        <v>1</v>
      </c>
      <c r="P54" s="261"/>
      <c r="Q54" s="261" t="str">
        <f>IF(O54&gt;=O55,N54,N55)</f>
        <v>Inglaterra</v>
      </c>
      <c r="R54" s="261">
        <f t="shared" si="147"/>
        <v>6</v>
      </c>
      <c r="S54" s="261">
        <f t="shared" si="148"/>
        <v>4</v>
      </c>
      <c r="T54" s="261"/>
      <c r="U54" s="261" t="str">
        <f>IF(AND(R53=R54,S54&gt;S53),Q53,Q54)</f>
        <v>Inglaterra</v>
      </c>
      <c r="V54" s="261">
        <f t="shared" si="149"/>
        <v>6</v>
      </c>
      <c r="W54" s="261">
        <f t="shared" si="150"/>
        <v>4</v>
      </c>
      <c r="X54" s="261" t="str">
        <f t="shared" si="151"/>
        <v>Inglaterra</v>
      </c>
      <c r="Y54" s="261">
        <f t="shared" si="152"/>
        <v>6</v>
      </c>
      <c r="Z54" s="261">
        <f t="shared" si="153"/>
        <v>4</v>
      </c>
      <c r="AA54" s="261"/>
      <c r="AB54" s="261" t="str">
        <f>IF(AND(Y54=Y55,Z55&gt;Z54),X55,X54)</f>
        <v>Inglaterra</v>
      </c>
      <c r="AC54" s="261">
        <f t="shared" si="154"/>
        <v>6</v>
      </c>
      <c r="AD54" s="261">
        <f t="shared" si="155"/>
        <v>4</v>
      </c>
      <c r="AE54" s="261">
        <f t="shared" si="156"/>
        <v>6</v>
      </c>
      <c r="AF54" s="261" t="str">
        <f>IF(AND(AC54=AC53,AD54=AD53,AE54&gt;AE53),AB53,AB54)</f>
        <v>Inglaterra</v>
      </c>
      <c r="AG54" s="261">
        <f t="shared" si="157"/>
        <v>6</v>
      </c>
      <c r="AH54" s="261">
        <f t="shared" si="158"/>
        <v>4</v>
      </c>
      <c r="AI54" s="261">
        <f t="shared" si="159"/>
        <v>6</v>
      </c>
      <c r="AJ54" s="261" t="str">
        <f t="shared" si="160"/>
        <v>Inglaterra</v>
      </c>
      <c r="AK54" s="261">
        <f t="shared" si="161"/>
        <v>6</v>
      </c>
      <c r="AL54" s="261">
        <f t="shared" si="162"/>
        <v>4</v>
      </c>
      <c r="AM54" s="261">
        <f t="shared" si="163"/>
        <v>6</v>
      </c>
      <c r="AN54" s="261" t="str">
        <f>IF(AND(AK54=AK55,AL54=AL55,AM55&gt;AM54),AJ55,AJ54)</f>
        <v>Inglaterra</v>
      </c>
      <c r="AO54" s="266">
        <f t="shared" si="164"/>
        <v>6</v>
      </c>
      <c r="AP54" s="266">
        <f>IF(Tabela!N2="www.guiadecompra.com",VLOOKUP(AN54,$A$53:$I$56,9,FALSE),0)</f>
        <v>4</v>
      </c>
      <c r="AQ54" s="266">
        <f t="shared" si="165"/>
        <v>6</v>
      </c>
      <c r="AR54" s="19"/>
    </row>
    <row r="55" spans="1:44" ht="14.25" customHeight="1" x14ac:dyDescent="0.2">
      <c r="A55" s="267" t="str">
        <f>time!G3</f>
        <v>Tunísia</v>
      </c>
      <c r="B55" s="268">
        <f>IF(Jogo!Copa=FIFA,SUM(D55*3)+E55,0)</f>
        <v>1</v>
      </c>
      <c r="C55" s="269">
        <f>COUNT(Tabela!G55,Tabela!I56,Tabela!I59)</f>
        <v>3</v>
      </c>
      <c r="D55" s="269">
        <f>SUM(IF(Tabela!$G$55&gt;Tabela!$I$55,COUNT(Tabela!$G$55)),IF(Tabela!$I$56&gt;Tabela!$G$56,COUNT(Tabela!$I$56)),IF(Tabela!$I$59&gt;Tabela!$G$59,COUNT(Tabela!$I$59)))</f>
        <v>0</v>
      </c>
      <c r="E55" s="269">
        <f>SUM(IF(Tabela!$G$55=Tabela!$I$55,COUNT(Tabela!$G$55)),IF(Tabela!$I$56=Tabela!$G$56,COUNT(Tabela!$I$56)),IF(Tabela!$I$59=Tabela!$G$59,COUNT(Tabela!$I$59)))</f>
        <v>1</v>
      </c>
      <c r="F55" s="269">
        <f>SUM(IF(Tabela!$G$55&lt;Tabela!$I$55,COUNT(Tabela!$G$55)),IF(Tabela!$I$56&lt;Tabela!$G$56,COUNT(Tabela!$I$56)),IF(Tabela!$I$59&lt;Tabela!$G$59,COUNT(Tabela!$I$59)))</f>
        <v>2</v>
      </c>
      <c r="G55" s="269">
        <f>SUM(Tabela!G55+Tabela!I56+Tabela!I59)</f>
        <v>2</v>
      </c>
      <c r="H55" s="269">
        <f>SUM(Tabela!I55+Tabela!G56+Tabela!G59)</f>
        <v>6</v>
      </c>
      <c r="I55" s="269">
        <f>IF(BR20I4=Tabela!C2,SUM(G55-H55),"X")</f>
        <v>-4</v>
      </c>
      <c r="J55" s="270"/>
      <c r="K55" s="261" t="str">
        <f>IF(B55&gt;=B56,A55,A56)</f>
        <v>Inglaterra</v>
      </c>
      <c r="L55" s="261">
        <f t="shared" si="144"/>
        <v>6</v>
      </c>
      <c r="M55" s="261"/>
      <c r="N55" s="261" t="str">
        <f t="shared" ref="N55:N56" si="166">IF(L55&lt;=L53,K55,K53)</f>
        <v>Inglaterra</v>
      </c>
      <c r="O55" s="261">
        <f t="shared" si="146"/>
        <v>6</v>
      </c>
      <c r="P55" s="261"/>
      <c r="Q55" s="261" t="str">
        <f>IF(O55&lt;=O54,N55,N54)</f>
        <v>Panamá</v>
      </c>
      <c r="R55" s="261">
        <f t="shared" si="147"/>
        <v>1</v>
      </c>
      <c r="S55" s="261">
        <f t="shared" si="148"/>
        <v>-5</v>
      </c>
      <c r="T55" s="261"/>
      <c r="U55" s="261" t="str">
        <f>IF(AND(R55=R56,S56&gt;S55),Q56,Q55)</f>
        <v>Tunísia</v>
      </c>
      <c r="V55" s="261">
        <f t="shared" si="149"/>
        <v>1</v>
      </c>
      <c r="W55" s="261">
        <f t="shared" si="150"/>
        <v>-4</v>
      </c>
      <c r="X55" s="261" t="str">
        <f t="shared" ref="X55:X56" si="167">IF(AND(V53=V55,W55&gt;W53),U53,U55)</f>
        <v>Tunísia</v>
      </c>
      <c r="Y55" s="261">
        <f t="shared" si="152"/>
        <v>1</v>
      </c>
      <c r="Z55" s="261">
        <f t="shared" si="153"/>
        <v>-4</v>
      </c>
      <c r="AA55" s="261"/>
      <c r="AB55" s="261" t="str">
        <f>IF(AND(Y55=Y54,Z55&gt;Z54),X54,X55)</f>
        <v>Tunísia</v>
      </c>
      <c r="AC55" s="261">
        <f t="shared" si="154"/>
        <v>1</v>
      </c>
      <c r="AD55" s="261">
        <f t="shared" si="155"/>
        <v>-4</v>
      </c>
      <c r="AE55" s="261">
        <f t="shared" si="156"/>
        <v>2</v>
      </c>
      <c r="AF55" s="261" t="str">
        <f>IF(AND(AC55=AC56,AD55=AD56,AE56&gt;AE55),AB56,AB55)</f>
        <v>Tunísia</v>
      </c>
      <c r="AG55" s="261">
        <f t="shared" si="157"/>
        <v>1</v>
      </c>
      <c r="AH55" s="261">
        <f t="shared" si="158"/>
        <v>-4</v>
      </c>
      <c r="AI55" s="261">
        <f t="shared" si="159"/>
        <v>2</v>
      </c>
      <c r="AJ55" s="261" t="str">
        <f>IF(AND(AG55=AG53,AH55=AH53,AI55&gt;AI53),AF53,AF55)</f>
        <v>Tunísia</v>
      </c>
      <c r="AK55" s="261">
        <f t="shared" si="161"/>
        <v>1</v>
      </c>
      <c r="AL55" s="261">
        <f t="shared" si="162"/>
        <v>-4</v>
      </c>
      <c r="AM55" s="261">
        <f t="shared" si="163"/>
        <v>2</v>
      </c>
      <c r="AN55" s="261" t="str">
        <f>IF(AND(AK55=AK54,AL55=AL54,AM55&gt;AM54),AJ54,AJ55)</f>
        <v>Tunísia</v>
      </c>
      <c r="AO55" s="266">
        <f t="shared" si="164"/>
        <v>1</v>
      </c>
      <c r="AP55" s="266">
        <f>IF(Tabela!N2="www.guiadecompra.com",VLOOKUP(AN55,$A$53:$I$56,9,FALSE),0)</f>
        <v>-4</v>
      </c>
      <c r="AQ55" s="266">
        <f t="shared" si="165"/>
        <v>2</v>
      </c>
      <c r="AR55" s="19"/>
    </row>
    <row r="56" spans="1:44" ht="14.25" customHeight="1" x14ac:dyDescent="0.2">
      <c r="A56" s="267" t="str">
        <f>time!G4</f>
        <v>Inglaterra</v>
      </c>
      <c r="B56" s="268">
        <f>IF(Jogo!Copa=FIFA,SUM(D56*3)+E56,0)</f>
        <v>6</v>
      </c>
      <c r="C56" s="269">
        <f>COUNT(Tabela!I55,Tabela!G57,Tabela!G58)</f>
        <v>3</v>
      </c>
      <c r="D56" s="269">
        <f>SUM(IF(Tabela!$I$55&gt;Tabela!$G$55,COUNT(Tabela!$I$55)),IF(Tabela!$G$57&gt;Tabela!$I$57,COUNT(Tabela!$G$57)),IF(Tabela!$G$58&gt;Tabela!$I$58,COUNT(Tabela!$G$58)))</f>
        <v>2</v>
      </c>
      <c r="E56" s="269">
        <f>SUM(IF(Tabela!$I$55=Tabela!$G$55,COUNT(Tabela!$I$55)),IF(Tabela!$G$57=Tabela!$I$57,COUNT(Tabela!$G$57)),IF(Tabela!$G$58=Tabela!$I$58,COUNT(Tabela!$G$58)))</f>
        <v>0</v>
      </c>
      <c r="F56" s="269">
        <f>SUM(IF(Tabela!$I$55&lt;Tabela!$G$55,COUNT(Tabela!$I$55)),IF(Tabela!$G$57&lt;Tabela!$I$57,COUNT(Tabela!$G$57)),IF(Tabela!$G$58&lt;Tabela!$I$58,COUNT(Tabela!$G$58)))</f>
        <v>1</v>
      </c>
      <c r="G56" s="269">
        <f>SUM(Tabela!I55+Tabela!G57+Tabela!G58)</f>
        <v>6</v>
      </c>
      <c r="H56" s="269">
        <f>SUM(Tabela!G55+Tabela!I57+Tabela!I58)</f>
        <v>2</v>
      </c>
      <c r="I56" s="269">
        <f>IF(BR20I4=Tabela!C2,SUM(G56-H56),"X")</f>
        <v>4</v>
      </c>
      <c r="J56" s="270"/>
      <c r="K56" s="261" t="str">
        <f>IF(B56&lt;=B55,A56,A55)</f>
        <v>Tunísia</v>
      </c>
      <c r="L56" s="261">
        <f t="shared" si="144"/>
        <v>1</v>
      </c>
      <c r="M56" s="261"/>
      <c r="N56" s="261" t="str">
        <f t="shared" si="166"/>
        <v>Tunísia</v>
      </c>
      <c r="O56" s="261">
        <f t="shared" si="146"/>
        <v>1</v>
      </c>
      <c r="P56" s="261"/>
      <c r="Q56" s="261" t="str">
        <f>IF(O56&lt;=O53,N56,N53)</f>
        <v>Tunísia</v>
      </c>
      <c r="R56" s="261">
        <f t="shared" si="147"/>
        <v>1</v>
      </c>
      <c r="S56" s="261">
        <f t="shared" si="148"/>
        <v>-4</v>
      </c>
      <c r="T56" s="261"/>
      <c r="U56" s="261" t="str">
        <f>IF(AND(R55=R56,S56&gt;S55),Q55,Q56)</f>
        <v>Panamá</v>
      </c>
      <c r="V56" s="261">
        <f t="shared" si="149"/>
        <v>1</v>
      </c>
      <c r="W56" s="261">
        <f t="shared" si="150"/>
        <v>-5</v>
      </c>
      <c r="X56" s="261" t="str">
        <f t="shared" si="167"/>
        <v>Panamá</v>
      </c>
      <c r="Y56" s="261">
        <f t="shared" si="152"/>
        <v>1</v>
      </c>
      <c r="Z56" s="261">
        <f t="shared" si="153"/>
        <v>-5</v>
      </c>
      <c r="AA56" s="261"/>
      <c r="AB56" s="261" t="str">
        <f>IF(AND(Y56=Y53,Z56&gt;Z53),X53,X56)</f>
        <v>Panamá</v>
      </c>
      <c r="AC56" s="261">
        <f t="shared" si="154"/>
        <v>1</v>
      </c>
      <c r="AD56" s="261">
        <f t="shared" si="155"/>
        <v>-5</v>
      </c>
      <c r="AE56" s="261">
        <f t="shared" si="156"/>
        <v>1</v>
      </c>
      <c r="AF56" s="261" t="str">
        <f>IF(AND(AC56=AC55,AD56=AD55,AE56&gt;AE55),X55,X56)</f>
        <v>Panamá</v>
      </c>
      <c r="AG56" s="261">
        <f t="shared" si="157"/>
        <v>1</v>
      </c>
      <c r="AH56" s="261">
        <f t="shared" si="158"/>
        <v>-5</v>
      </c>
      <c r="AI56" s="261">
        <f t="shared" si="159"/>
        <v>1</v>
      </c>
      <c r="AJ56" s="261" t="str">
        <f>IF(AND(AG54=AG56,AH54=AH56,AI56&gt;AI54),AF54,AF56)</f>
        <v>Panamá</v>
      </c>
      <c r="AK56" s="261">
        <f t="shared" si="161"/>
        <v>1</v>
      </c>
      <c r="AL56" s="261">
        <f t="shared" si="162"/>
        <v>-5</v>
      </c>
      <c r="AM56" s="261">
        <f t="shared" si="163"/>
        <v>1</v>
      </c>
      <c r="AN56" s="261" t="str">
        <f>IF(AND(AK56=AK53,AL56=AL53,AM56&gt;AM53),AJ53,AJ56)</f>
        <v>Panamá</v>
      </c>
      <c r="AO56" s="266">
        <f t="shared" si="164"/>
        <v>1</v>
      </c>
      <c r="AP56" s="266">
        <f>IF(Tabela!N2="www.guiadecompra.com",VLOOKUP(AN56,$A$53:$I$56,9,FALSE),0)</f>
        <v>-5</v>
      </c>
      <c r="AQ56" s="266">
        <f t="shared" si="165"/>
        <v>1</v>
      </c>
      <c r="AR56" s="19"/>
    </row>
    <row r="57" spans="1:44" ht="14.25" customHeight="1" x14ac:dyDescent="0.2">
      <c r="A57" s="260"/>
      <c r="B57" s="261"/>
      <c r="C57" s="261"/>
      <c r="D57" s="261"/>
      <c r="E57" s="261"/>
      <c r="F57" s="261"/>
      <c r="G57" s="261"/>
      <c r="H57" s="261"/>
      <c r="I57" s="261"/>
      <c r="J57" s="261"/>
      <c r="K57" s="261"/>
      <c r="L57" s="261"/>
      <c r="M57" s="261"/>
      <c r="N57" s="261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261"/>
      <c r="Z57" s="261"/>
      <c r="AA57" s="261"/>
      <c r="AB57" s="261"/>
      <c r="AC57" s="261"/>
      <c r="AD57" s="261"/>
      <c r="AE57" s="261"/>
      <c r="AF57" s="261"/>
      <c r="AG57" s="261"/>
      <c r="AH57" s="261"/>
      <c r="AI57" s="261"/>
      <c r="AJ57" s="261"/>
      <c r="AK57" s="261"/>
      <c r="AL57" s="261"/>
      <c r="AM57" s="261"/>
      <c r="AN57" s="261"/>
      <c r="AO57" s="266"/>
      <c r="AP57" s="266"/>
      <c r="AQ57" s="266"/>
      <c r="AR57" s="19"/>
    </row>
    <row r="58" spans="1:44" ht="14.25" customHeight="1" x14ac:dyDescent="0.2">
      <c r="A58" s="260"/>
      <c r="B58" s="261"/>
      <c r="C58" s="261"/>
      <c r="D58" s="261"/>
      <c r="E58" s="261"/>
      <c r="F58" s="261"/>
      <c r="G58" s="261"/>
      <c r="H58" s="261"/>
      <c r="I58" s="261"/>
      <c r="J58" s="261"/>
      <c r="K58" s="272" t="s">
        <v>1</v>
      </c>
      <c r="L58" s="261"/>
      <c r="M58" s="261"/>
      <c r="N58" s="272" t="s">
        <v>5</v>
      </c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261"/>
      <c r="AD58" s="261"/>
      <c r="AE58" s="261"/>
      <c r="AF58" s="261"/>
      <c r="AG58" s="261"/>
      <c r="AH58" s="261"/>
      <c r="AI58" s="261"/>
      <c r="AJ58" s="261"/>
      <c r="AK58" s="261"/>
      <c r="AL58" s="261"/>
      <c r="AM58" s="261"/>
      <c r="AN58" s="261"/>
      <c r="AO58" s="266"/>
      <c r="AP58" s="266"/>
      <c r="AQ58" s="266"/>
      <c r="AR58" s="19"/>
    </row>
    <row r="59" spans="1:44" ht="14.25" customHeight="1" x14ac:dyDescent="0.2">
      <c r="A59" s="260"/>
      <c r="B59" s="365" t="s">
        <v>86</v>
      </c>
      <c r="C59" s="314"/>
      <c r="D59" s="314"/>
      <c r="E59" s="314"/>
      <c r="F59" s="314"/>
      <c r="G59" s="314"/>
      <c r="H59" s="314"/>
      <c r="I59" s="309"/>
      <c r="J59" s="261"/>
      <c r="K59" s="261" t="s">
        <v>75</v>
      </c>
      <c r="L59" s="261"/>
      <c r="M59" s="261"/>
      <c r="N59" s="261" t="s">
        <v>76</v>
      </c>
      <c r="O59" s="261"/>
      <c r="P59" s="261"/>
      <c r="Q59" s="261" t="s">
        <v>77</v>
      </c>
      <c r="R59" s="261"/>
      <c r="S59" s="261"/>
      <c r="T59" s="261"/>
      <c r="U59" s="261" t="s">
        <v>77</v>
      </c>
      <c r="V59" s="261"/>
      <c r="W59" s="261"/>
      <c r="X59" s="261"/>
      <c r="Y59" s="261"/>
      <c r="Z59" s="261"/>
      <c r="AA59" s="261"/>
      <c r="AB59" s="261"/>
      <c r="AC59" s="261"/>
      <c r="AD59" s="261"/>
      <c r="AE59" s="261"/>
      <c r="AF59" s="261"/>
      <c r="AG59" s="261"/>
      <c r="AH59" s="261"/>
      <c r="AI59" s="261"/>
      <c r="AJ59" s="261"/>
      <c r="AK59" s="261"/>
      <c r="AL59" s="261"/>
      <c r="AM59" s="261"/>
      <c r="AN59" s="261"/>
      <c r="AO59" s="266"/>
      <c r="AP59" s="266"/>
      <c r="AQ59" s="266"/>
      <c r="AR59" s="19"/>
    </row>
    <row r="60" spans="1:44" ht="14.25" customHeight="1" x14ac:dyDescent="0.2">
      <c r="A60" s="262" t="s">
        <v>78</v>
      </c>
      <c r="B60" s="263" t="s">
        <v>14</v>
      </c>
      <c r="C60" s="264" t="s">
        <v>15</v>
      </c>
      <c r="D60" s="264" t="s">
        <v>16</v>
      </c>
      <c r="E60" s="264" t="s">
        <v>17</v>
      </c>
      <c r="F60" s="264" t="s">
        <v>18</v>
      </c>
      <c r="G60" s="264" t="s">
        <v>19</v>
      </c>
      <c r="H60" s="264" t="s">
        <v>20</v>
      </c>
      <c r="I60" s="264" t="s">
        <v>21</v>
      </c>
      <c r="J60" s="265"/>
      <c r="K60" s="261"/>
      <c r="L60" s="261" t="s">
        <v>14</v>
      </c>
      <c r="M60" s="261"/>
      <c r="N60" s="261"/>
      <c r="O60" s="261" t="s">
        <v>79</v>
      </c>
      <c r="P60" s="261"/>
      <c r="Q60" s="261"/>
      <c r="R60" s="261" t="s">
        <v>14</v>
      </c>
      <c r="S60" s="261" t="s">
        <v>21</v>
      </c>
      <c r="T60" s="261"/>
      <c r="U60" s="261"/>
      <c r="V60" s="261" t="s">
        <v>14</v>
      </c>
      <c r="W60" s="261" t="s">
        <v>21</v>
      </c>
      <c r="X60" s="261"/>
      <c r="Y60" s="261" t="s">
        <v>14</v>
      </c>
      <c r="Z60" s="261" t="s">
        <v>21</v>
      </c>
      <c r="AA60" s="261"/>
      <c r="AB60" s="261"/>
      <c r="AC60" s="261" t="s">
        <v>14</v>
      </c>
      <c r="AD60" s="261" t="s">
        <v>21</v>
      </c>
      <c r="AE60" s="261" t="s">
        <v>19</v>
      </c>
      <c r="AF60" s="261"/>
      <c r="AG60" s="261" t="s">
        <v>14</v>
      </c>
      <c r="AH60" s="261" t="s">
        <v>21</v>
      </c>
      <c r="AI60" s="261" t="s">
        <v>19</v>
      </c>
      <c r="AJ60" s="261"/>
      <c r="AK60" s="261" t="s">
        <v>14</v>
      </c>
      <c r="AL60" s="261" t="s">
        <v>21</v>
      </c>
      <c r="AM60" s="261" t="s">
        <v>19</v>
      </c>
      <c r="AN60" s="261"/>
      <c r="AO60" s="266" t="s">
        <v>14</v>
      </c>
      <c r="AP60" s="266" t="s">
        <v>21</v>
      </c>
      <c r="AQ60" s="266" t="s">
        <v>19</v>
      </c>
      <c r="AR60" s="19"/>
    </row>
    <row r="61" spans="1:44" ht="14.25" customHeight="1" x14ac:dyDescent="0.2">
      <c r="A61" s="267" t="str">
        <f>time!H1</f>
        <v>Polônia</v>
      </c>
      <c r="B61" s="268">
        <f>IF(Jogo!Copa=FIFA,SUM(D61*3)+E61,0)</f>
        <v>7</v>
      </c>
      <c r="C61" s="269">
        <f>COUNT(Tabela!G63,Tabela!G65,Tabela!I66)</f>
        <v>3</v>
      </c>
      <c r="D61" s="269">
        <f>SUM(IF(Tabela!$G$63&gt;Tabela!$I$63,COUNT(Tabela!$G$63)),IF(Tabela!$G$65&gt;Tabela!$I$65,COUNT(Tabela!$G$65)),IF(Tabela!$I$66&gt;Tabela!$G$66,COUNT(Tabela!$I$66)))</f>
        <v>2</v>
      </c>
      <c r="E61" s="269">
        <f>SUM(IF(Tabela!$G$63=Tabela!$I$63,COUNT(Tabela!$G$63)),IF(Tabela!$G$65=Tabela!$I$65,COUNT(Tabela!$G$65)),IF(Tabela!$I$66=Tabela!$G$66,COUNT(Tabela!$I$66)))</f>
        <v>1</v>
      </c>
      <c r="F61" s="269">
        <f>SUM(IF(Tabela!$G$63&lt;Tabela!$I$63,COUNT(Tabela!$G$63)),IF(Tabela!$G$65&lt;Tabela!$I$65,COUNT(Tabela!$G$65)),IF(Tabela!$I$66&lt;Tabela!$G$66,COUNT(Tabela!$I$66)))</f>
        <v>0</v>
      </c>
      <c r="G61" s="269">
        <f>SUM(Tabela!G63+Tabela!G65+Tabela!I66)</f>
        <v>5</v>
      </c>
      <c r="H61" s="269">
        <f>SUM(Tabela!I63+Tabela!I65+Tabela!G66)</f>
        <v>3</v>
      </c>
      <c r="I61" s="269">
        <f>IF(BR20I4=Tabela!C2,SUM(G61-H61),"X")</f>
        <v>2</v>
      </c>
      <c r="J61" s="270"/>
      <c r="K61" s="261" t="str">
        <f>IF(B61&gt;=B62,A61,A62)</f>
        <v>Polônia</v>
      </c>
      <c r="L61" s="261">
        <f t="shared" ref="L61:L64" si="168">VLOOKUP(K61,$A$61:$I$64,2,FALSE)</f>
        <v>7</v>
      </c>
      <c r="M61" s="261"/>
      <c r="N61" s="261" t="str">
        <f t="shared" ref="N61:N62" si="169">IF(L61&gt;=L63,K61,K63)</f>
        <v>Polônia</v>
      </c>
      <c r="O61" s="261">
        <f t="shared" ref="O61:O64" si="170">VLOOKUP(N61,$A$61:$I$64,2,FALSE)</f>
        <v>7</v>
      </c>
      <c r="P61" s="261"/>
      <c r="Q61" s="261" t="str">
        <f>IF(O61&gt;=O64,N61,N64)</f>
        <v>Polônia</v>
      </c>
      <c r="R61" s="261">
        <f t="shared" ref="R61:R64" si="171">VLOOKUP(Q61,$A$61:$I$64,2,FALSE)</f>
        <v>7</v>
      </c>
      <c r="S61" s="261">
        <f t="shared" ref="S61:S64" si="172">VLOOKUP(Q61,$A$61:$I$64,9,FALSE)</f>
        <v>2</v>
      </c>
      <c r="T61" s="261"/>
      <c r="U61" s="261" t="str">
        <f>IF(AND(R61=R62,S62&gt;S61),Q62,Q61)</f>
        <v>Polônia</v>
      </c>
      <c r="V61" s="261">
        <f t="shared" ref="V61:V64" si="173">VLOOKUP(U61,$A$61:$I$64,2,FALSE)</f>
        <v>7</v>
      </c>
      <c r="W61" s="261">
        <f t="shared" ref="W61:W64" si="174">VLOOKUP(U61,$A$61:$I$64,9,FALSE)</f>
        <v>2</v>
      </c>
      <c r="X61" s="261" t="str">
        <f t="shared" ref="X61:X62" si="175">IF(AND(V61=V63,W63&gt;W61),U63,U61)</f>
        <v>Polônia</v>
      </c>
      <c r="Y61" s="261">
        <f t="shared" ref="Y61:Y64" si="176">VLOOKUP(X61,$A$61:$I$64,2,FALSE)</f>
        <v>7</v>
      </c>
      <c r="Z61" s="261">
        <f t="shared" ref="Z61:Z64" si="177">VLOOKUP(X61,$A$61:$I$64,9,FALSE)</f>
        <v>2</v>
      </c>
      <c r="AA61" s="261"/>
      <c r="AB61" s="261" t="str">
        <f>IF(AND(Y61=Y64,Z64&gt;Z61),X64,X61)</f>
        <v>Polônia</v>
      </c>
      <c r="AC61" s="261">
        <f t="shared" ref="AC61:AC64" si="178">VLOOKUP(AB61,$A$61:$I$64,2,FALSE)</f>
        <v>7</v>
      </c>
      <c r="AD61" s="261">
        <f t="shared" ref="AD61:AD64" si="179">VLOOKUP(AB61,$A$61:$I$64,9,FALSE)</f>
        <v>2</v>
      </c>
      <c r="AE61" s="261">
        <f t="shared" ref="AE61:AE64" si="180">VLOOKUP(AB61,$A$61:$I$64,7,FALSE)</f>
        <v>5</v>
      </c>
      <c r="AF61" s="261" t="str">
        <f>IF(AND(AC61=AC62,AD61=AD62,AE62&gt;AE61),AB62,AB61)</f>
        <v>Polônia</v>
      </c>
      <c r="AG61" s="261">
        <f t="shared" ref="AG61:AG64" si="181">VLOOKUP(AF61,$A$61:$I$64,2,FALSE)</f>
        <v>7</v>
      </c>
      <c r="AH61" s="261">
        <f t="shared" ref="AH61:AH64" si="182">VLOOKUP(AF61,$A$61:$I$64,9,FALSE)</f>
        <v>2</v>
      </c>
      <c r="AI61" s="261">
        <f t="shared" ref="AI61:AI64" si="183">VLOOKUP(AF61,$A$61:$I$64,7,FALSE)</f>
        <v>5</v>
      </c>
      <c r="AJ61" s="261" t="str">
        <f t="shared" ref="AJ61:AJ62" si="184">IF(AND(AG61=AG63,AH61=AH63,AI63&gt;AI61),AF63,AF61)</f>
        <v>Polônia</v>
      </c>
      <c r="AK61" s="261">
        <f t="shared" ref="AK61:AK64" si="185">VLOOKUP(AJ61,$A$61:$I$64,2,FALSE)</f>
        <v>7</v>
      </c>
      <c r="AL61" s="261">
        <f t="shared" ref="AL61:AL64" si="186">VLOOKUP(AJ61,$A$61:$I$64,9,FALSE)</f>
        <v>2</v>
      </c>
      <c r="AM61" s="261">
        <f t="shared" ref="AM61:AM64" si="187">VLOOKUP(AJ61,$A$61:$I$64,7,FALSE)</f>
        <v>5</v>
      </c>
      <c r="AN61" s="261" t="str">
        <f>IF(AND(AK61=AK64,AL61=AL64,AM64&gt;AM61),AJ64,AJ61)</f>
        <v>Polônia</v>
      </c>
      <c r="AO61" s="266">
        <f t="shared" ref="AO61:AO64" si="188">VLOOKUP(AN61,$A$61:$I$64,2,FALSE)</f>
        <v>7</v>
      </c>
      <c r="AP61" s="266">
        <f>IF(Tabela!N2="www.guiadecompra.com",VLOOKUP(AN61,$A$61:$I$64,9,FALSE),0)</f>
        <v>2</v>
      </c>
      <c r="AQ61" s="266">
        <f t="shared" ref="AQ61:AQ64" si="189">VLOOKUP(AN61,$A$61:$I$64,7,FALSE)</f>
        <v>5</v>
      </c>
      <c r="AR61" s="19"/>
    </row>
    <row r="62" spans="1:44" ht="14.25" customHeight="1" x14ac:dyDescent="0.2">
      <c r="A62" s="267" t="str">
        <f>time!H2</f>
        <v>Senegal</v>
      </c>
      <c r="B62" s="268">
        <f>IF(Jogo!Copa=FIFA,SUM(D62*3)+E62,0)</f>
        <v>1</v>
      </c>
      <c r="C62" s="269">
        <f>COUNT(Tabela!I63,Tabela!I64,Tabela!G67)</f>
        <v>3</v>
      </c>
      <c r="D62" s="269">
        <f>SUM(IF(Tabela!$I$63&gt;Tabela!$G$63,COUNT(Tabela!$I$63)),IF(Tabela!$I$64&gt;Tabela!$G$64,COUNT(Tabela!$I$64)),IF(Tabela!$G$67&gt;Tabela!$I$67,COUNT(Tabela!$G$67)))</f>
        <v>0</v>
      </c>
      <c r="E62" s="269">
        <f>SUM(IF(Tabela!$I$63=Tabela!$G$63,COUNT(Tabela!$I$63)),IF(Tabela!$I$64=Tabela!$G$64,COUNT(Tabela!$I$64)),IF(Tabela!$G$67=Tabela!$I$67,COUNT(Tabela!$G$67)))</f>
        <v>1</v>
      </c>
      <c r="F62" s="269">
        <f>SUM(IF(Tabela!$I$63&lt;Tabela!$G$63,COUNT(Tabela!$I$63)),IF(Tabela!$I$64&lt;Tabela!$G$64,COUNT(Tabela!$I$64)),IF(Tabela!$G$67&lt;Tabela!$I$67,COUNT(Tabela!$G$67)))</f>
        <v>2</v>
      </c>
      <c r="G62" s="269">
        <f>SUM(Tabela!I63+Tabela!I64+Tabela!G67)</f>
        <v>3</v>
      </c>
      <c r="H62" s="269">
        <f>SUM(Tabela!G63+Tabela!G64+Tabela!I67)</f>
        <v>5</v>
      </c>
      <c r="I62" s="269">
        <f>IF(BR20I4=Tabela!C2,SUM(G62-H62),"X")</f>
        <v>-2</v>
      </c>
      <c r="J62" s="270"/>
      <c r="K62" s="261" t="str">
        <f>IF(B62&lt;=B61,A62,A61)</f>
        <v>Senegal</v>
      </c>
      <c r="L62" s="261">
        <f t="shared" si="168"/>
        <v>1</v>
      </c>
      <c r="M62" s="261"/>
      <c r="N62" s="261" t="str">
        <f t="shared" si="169"/>
        <v>Japão</v>
      </c>
      <c r="O62" s="261">
        <f t="shared" si="170"/>
        <v>2</v>
      </c>
      <c r="P62" s="261"/>
      <c r="Q62" s="261" t="str">
        <f>IF(O62&gt;=O63,N62,N63)</f>
        <v>Colômbia</v>
      </c>
      <c r="R62" s="261">
        <f t="shared" si="171"/>
        <v>6</v>
      </c>
      <c r="S62" s="261">
        <f t="shared" si="172"/>
        <v>2</v>
      </c>
      <c r="T62" s="261"/>
      <c r="U62" s="261" t="str">
        <f>IF(AND(R61=R62,S62&gt;S61),Q61,Q62)</f>
        <v>Colômbia</v>
      </c>
      <c r="V62" s="261">
        <f t="shared" si="173"/>
        <v>6</v>
      </c>
      <c r="W62" s="261">
        <f t="shared" si="174"/>
        <v>2</v>
      </c>
      <c r="X62" s="261" t="str">
        <f t="shared" si="175"/>
        <v>Colômbia</v>
      </c>
      <c r="Y62" s="261">
        <f t="shared" si="176"/>
        <v>6</v>
      </c>
      <c r="Z62" s="261">
        <f t="shared" si="177"/>
        <v>2</v>
      </c>
      <c r="AA62" s="261"/>
      <c r="AB62" s="261" t="str">
        <f>IF(AND(Y62=Y63,Z63&gt;Z62),X63,X62)</f>
        <v>Colômbia</v>
      </c>
      <c r="AC62" s="261">
        <f t="shared" si="178"/>
        <v>6</v>
      </c>
      <c r="AD62" s="261">
        <f t="shared" si="179"/>
        <v>2</v>
      </c>
      <c r="AE62" s="261">
        <f t="shared" si="180"/>
        <v>5</v>
      </c>
      <c r="AF62" s="261" t="str">
        <f>IF(AND(AC62=AC61,AD62=AD61,AE62&gt;AE61),AB61,AB62)</f>
        <v>Colômbia</v>
      </c>
      <c r="AG62" s="261">
        <f t="shared" si="181"/>
        <v>6</v>
      </c>
      <c r="AH62" s="261">
        <f t="shared" si="182"/>
        <v>2</v>
      </c>
      <c r="AI62" s="261">
        <f t="shared" si="183"/>
        <v>5</v>
      </c>
      <c r="AJ62" s="261" t="str">
        <f t="shared" si="184"/>
        <v>Colômbia</v>
      </c>
      <c r="AK62" s="261">
        <f t="shared" si="185"/>
        <v>6</v>
      </c>
      <c r="AL62" s="261">
        <f t="shared" si="186"/>
        <v>2</v>
      </c>
      <c r="AM62" s="261">
        <f t="shared" si="187"/>
        <v>5</v>
      </c>
      <c r="AN62" s="261" t="str">
        <f>IF(AND(AK62=AK63,AL62=AL63,AM63&gt;AM62),AJ63,AJ62)</f>
        <v>Colômbia</v>
      </c>
      <c r="AO62" s="266">
        <f t="shared" si="188"/>
        <v>6</v>
      </c>
      <c r="AP62" s="266">
        <f>IF(Tabela!N2="www.guiadecompra.com",VLOOKUP(AN62,$A$61:$I$64,9,FALSE),0)</f>
        <v>2</v>
      </c>
      <c r="AQ62" s="266">
        <f t="shared" si="189"/>
        <v>5</v>
      </c>
      <c r="AR62" s="19"/>
    </row>
    <row r="63" spans="1:44" ht="14.25" customHeight="1" x14ac:dyDescent="0.2">
      <c r="A63" s="267" t="str">
        <f>time!H3</f>
        <v>Colômbia</v>
      </c>
      <c r="B63" s="268">
        <f>IF(Jogo!Copa=FIFA,SUM(D63*3)+E63,0)</f>
        <v>6</v>
      </c>
      <c r="C63" s="269">
        <f>COUNT(Tabela!G62,Tabela!I65,Tabela!I67)</f>
        <v>3</v>
      </c>
      <c r="D63" s="269">
        <f>SUM(IF(Tabela!$G$62&gt;Tabela!$I$62,COUNT(Tabela!$G$62)),IF(Tabela!$I$65&gt;Tabela!$G$65,COUNT(Tabela!$I$65)),IF(Tabela!$I$67&gt;Tabela!$G$67,COUNT(Tabela!$I$67)))</f>
        <v>2</v>
      </c>
      <c r="E63" s="269">
        <f>SUM(IF(Tabela!$G$62=Tabela!$I$62,COUNT(Tabela!$G$62)),IF(Tabela!$I$65=Tabela!$G$65,COUNT(Tabela!$I$65)),IF(Tabela!$I$67=Tabela!$G$67,COUNT(Tabela!$I$67)))</f>
        <v>0</v>
      </c>
      <c r="F63" s="269">
        <f>SUM(IF(Tabela!$G$62&lt;Tabela!$I$62,COUNT(Tabela!$G$62)),IF(Tabela!$I$65&lt;Tabela!$G$65,COUNT(Tabela!$I$65)),IF(Tabela!$I$67&lt;Tabela!$G$67,COUNT(Tabela!$I$67)))</f>
        <v>1</v>
      </c>
      <c r="G63" s="269">
        <f>SUM(Tabela!G62+Tabela!I65+Tabela!I67)</f>
        <v>5</v>
      </c>
      <c r="H63" s="269">
        <f>SUM(Tabela!I62+Tabela!G65+Tabela!G67)</f>
        <v>3</v>
      </c>
      <c r="I63" s="269">
        <f>IF(BR20I4=Tabela!C2,SUM(G63-H63),"X")</f>
        <v>2</v>
      </c>
      <c r="J63" s="270"/>
      <c r="K63" s="261" t="str">
        <f>IF(B63&gt;=B64,A63,A64)</f>
        <v>Colômbia</v>
      </c>
      <c r="L63" s="261">
        <f t="shared" si="168"/>
        <v>6</v>
      </c>
      <c r="M63" s="261"/>
      <c r="N63" s="261" t="str">
        <f t="shared" ref="N63:N64" si="190">IF(L63&lt;=L61,K63,K61)</f>
        <v>Colômbia</v>
      </c>
      <c r="O63" s="261">
        <f t="shared" si="170"/>
        <v>6</v>
      </c>
      <c r="P63" s="261"/>
      <c r="Q63" s="261" t="str">
        <f>IF(O63&lt;=O62,N63,N62)</f>
        <v>Japão</v>
      </c>
      <c r="R63" s="261">
        <f t="shared" si="171"/>
        <v>2</v>
      </c>
      <c r="S63" s="261">
        <f t="shared" si="172"/>
        <v>-2</v>
      </c>
      <c r="T63" s="261"/>
      <c r="U63" s="261" t="str">
        <f>IF(AND(R63=R64,S64&gt;S63),Q64,Q63)</f>
        <v>Japão</v>
      </c>
      <c r="V63" s="261">
        <f t="shared" si="173"/>
        <v>2</v>
      </c>
      <c r="W63" s="261">
        <f t="shared" si="174"/>
        <v>-2</v>
      </c>
      <c r="X63" s="261" t="str">
        <f t="shared" ref="X63:X64" si="191">IF(AND(V61=V63,W63&gt;W61),U61,U63)</f>
        <v>Japão</v>
      </c>
      <c r="Y63" s="261">
        <f t="shared" si="176"/>
        <v>2</v>
      </c>
      <c r="Z63" s="261">
        <f t="shared" si="177"/>
        <v>-2</v>
      </c>
      <c r="AA63" s="261"/>
      <c r="AB63" s="261" t="str">
        <f>IF(AND(Y63=Y62,Z63&gt;Z62),X62,X63)</f>
        <v>Japão</v>
      </c>
      <c r="AC63" s="261">
        <f t="shared" si="178"/>
        <v>2</v>
      </c>
      <c r="AD63" s="261">
        <f t="shared" si="179"/>
        <v>-2</v>
      </c>
      <c r="AE63" s="261">
        <f t="shared" si="180"/>
        <v>2</v>
      </c>
      <c r="AF63" s="261" t="str">
        <f>IF(AND(AC63=AC64,AD63=AD64,AE64&gt;AE63),AB64,AB63)</f>
        <v>Japão</v>
      </c>
      <c r="AG63" s="261">
        <f t="shared" si="181"/>
        <v>2</v>
      </c>
      <c r="AH63" s="261">
        <f t="shared" si="182"/>
        <v>-2</v>
      </c>
      <c r="AI63" s="261">
        <f t="shared" si="183"/>
        <v>2</v>
      </c>
      <c r="AJ63" s="261" t="str">
        <f>IF(AND(AG63=AG61,AH63=AH61,AI63&gt;AI61),AF61,AF63)</f>
        <v>Japão</v>
      </c>
      <c r="AK63" s="261">
        <f t="shared" si="185"/>
        <v>2</v>
      </c>
      <c r="AL63" s="261">
        <f t="shared" si="186"/>
        <v>-2</v>
      </c>
      <c r="AM63" s="261">
        <f t="shared" si="187"/>
        <v>2</v>
      </c>
      <c r="AN63" s="261" t="str">
        <f>IF(AND(AK63=AK62,AL63=AL62,AM63&gt;AM62),AJ62,AJ63)</f>
        <v>Japão</v>
      </c>
      <c r="AO63" s="266">
        <f t="shared" si="188"/>
        <v>2</v>
      </c>
      <c r="AP63" s="266">
        <f>IF(Tabela!N2="www.guiadecompra.com",VLOOKUP(AN63,$A$61:$I$64,9,FALSE),0)</f>
        <v>-2</v>
      </c>
      <c r="AQ63" s="266">
        <f t="shared" si="189"/>
        <v>2</v>
      </c>
      <c r="AR63" s="19"/>
    </row>
    <row r="64" spans="1:44" ht="14.25" customHeight="1" x14ac:dyDescent="0.2">
      <c r="A64" s="267" t="str">
        <f>time!H4</f>
        <v>Japão</v>
      </c>
      <c r="B64" s="268">
        <f>IF(Jogo!Copa=FIFA,SUM(D64*3)+E64,0)</f>
        <v>2</v>
      </c>
      <c r="C64" s="269">
        <f>COUNT(Tabela!I62,Tabela!G64,Tabela!G66)</f>
        <v>3</v>
      </c>
      <c r="D64" s="269">
        <f>SUM(IF(Tabela!$I$62&gt;Tabela!$G$62,COUNT(Tabela!$I$62)),IF(Tabela!$G$64&gt;Tabela!$I$64,COUNT(Tabela!$G$64)),IF(Tabela!$G$66&gt;Tabela!$I$66,COUNT(Tabela!$G$66)))</f>
        <v>0</v>
      </c>
      <c r="E64" s="269">
        <f>SUM(IF(Tabela!$I$62=Tabela!$G$62,COUNT(Tabela!$I$62)),IF(Tabela!$G$64=Tabela!$I$64,COUNT(Tabela!$G$64)),IF(Tabela!$G$66=Tabela!$I$66,COUNT(Tabela!$G$66)))</f>
        <v>2</v>
      </c>
      <c r="F64" s="269">
        <f>SUM(IF(Tabela!$I$62&lt;Tabela!$G$62,COUNT(Tabela!$I$62)),IF(Tabela!$G$64&lt;Tabela!$I$64,COUNT(Tabela!$G$64)),IF(Tabela!$G$66&lt;Tabela!$I$66,COUNT(Tabela!$G$66)))</f>
        <v>1</v>
      </c>
      <c r="G64" s="269">
        <f>SUM(Tabela!I62+Tabela!G64+Tabela!G66)</f>
        <v>2</v>
      </c>
      <c r="H64" s="269">
        <f>SUM(Tabela!G62+Tabela!I64+Tabela!I66)</f>
        <v>4</v>
      </c>
      <c r="I64" s="269">
        <f>IF(BR20I4=Tabela!C2,SUM(G64-H64),"X")</f>
        <v>-2</v>
      </c>
      <c r="J64" s="270"/>
      <c r="K64" s="261" t="str">
        <f>IF(B64&lt;=B63,A64,A63)</f>
        <v>Japão</v>
      </c>
      <c r="L64" s="261">
        <f t="shared" si="168"/>
        <v>2</v>
      </c>
      <c r="M64" s="261"/>
      <c r="N64" s="261" t="str">
        <f t="shared" si="190"/>
        <v>Senegal</v>
      </c>
      <c r="O64" s="261">
        <f t="shared" si="170"/>
        <v>1</v>
      </c>
      <c r="P64" s="261"/>
      <c r="Q64" s="261" t="str">
        <f>IF(O64&lt;=O61,N64,N61)</f>
        <v>Senegal</v>
      </c>
      <c r="R64" s="261">
        <f t="shared" si="171"/>
        <v>1</v>
      </c>
      <c r="S64" s="261">
        <f t="shared" si="172"/>
        <v>-2</v>
      </c>
      <c r="T64" s="261"/>
      <c r="U64" s="261" t="str">
        <f>IF(AND(R63=R64,S64&gt;S63),Q63,Q64)</f>
        <v>Senegal</v>
      </c>
      <c r="V64" s="261">
        <f t="shared" si="173"/>
        <v>1</v>
      </c>
      <c r="W64" s="261">
        <f t="shared" si="174"/>
        <v>-2</v>
      </c>
      <c r="X64" s="261" t="str">
        <f t="shared" si="191"/>
        <v>Senegal</v>
      </c>
      <c r="Y64" s="261">
        <f t="shared" si="176"/>
        <v>1</v>
      </c>
      <c r="Z64" s="261">
        <f t="shared" si="177"/>
        <v>-2</v>
      </c>
      <c r="AA64" s="261"/>
      <c r="AB64" s="261" t="str">
        <f>IF(AND(Y64=Y61,Z64&gt;Z61),X61,X64)</f>
        <v>Senegal</v>
      </c>
      <c r="AC64" s="261">
        <f t="shared" si="178"/>
        <v>1</v>
      </c>
      <c r="AD64" s="261">
        <f t="shared" si="179"/>
        <v>-2</v>
      </c>
      <c r="AE64" s="261">
        <f t="shared" si="180"/>
        <v>3</v>
      </c>
      <c r="AF64" s="261" t="str">
        <f>IF(AND(AC64=AC63,AD64=AD63,AE64&gt;AE63),X63,X64)</f>
        <v>Senegal</v>
      </c>
      <c r="AG64" s="261">
        <f t="shared" si="181"/>
        <v>1</v>
      </c>
      <c r="AH64" s="261">
        <f t="shared" si="182"/>
        <v>-2</v>
      </c>
      <c r="AI64" s="261">
        <f t="shared" si="183"/>
        <v>3</v>
      </c>
      <c r="AJ64" s="261" t="str">
        <f>IF(AND(AG62=AG64,AH62=AH64,AI64&gt;AI62),AF62,AF64)</f>
        <v>Senegal</v>
      </c>
      <c r="AK64" s="261">
        <f t="shared" si="185"/>
        <v>1</v>
      </c>
      <c r="AL64" s="261">
        <f t="shared" si="186"/>
        <v>-2</v>
      </c>
      <c r="AM64" s="261">
        <f t="shared" si="187"/>
        <v>3</v>
      </c>
      <c r="AN64" s="261" t="str">
        <f>IF(AND(AK64=AK61,AL64=AL61,AM64&gt;AM61),AJ61,AJ64)</f>
        <v>Senegal</v>
      </c>
      <c r="AO64" s="266">
        <f t="shared" si="188"/>
        <v>1</v>
      </c>
      <c r="AP64" s="266">
        <f>IF(Tabela!N2="www.guiadecompra.com",VLOOKUP(AN64,$A$61:$I$64,9,FALSE),0)</f>
        <v>-2</v>
      </c>
      <c r="AQ64" s="266">
        <f t="shared" si="189"/>
        <v>3</v>
      </c>
      <c r="AR64" s="19"/>
    </row>
    <row r="65" spans="1:44" ht="14.25" customHeight="1" x14ac:dyDescent="0.2">
      <c r="A65" s="260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</row>
    <row r="66" spans="1:44" ht="14.25" customHeight="1" x14ac:dyDescent="0.2">
      <c r="A66" s="273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</row>
    <row r="67" spans="1:44" ht="14.25" customHeight="1" x14ac:dyDescent="0.2">
      <c r="A67" s="27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ht="14.25" customHeight="1" x14ac:dyDescent="0.2">
      <c r="A68" s="273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</row>
    <row r="69" spans="1:44" ht="14.25" customHeight="1" x14ac:dyDescent="0.2">
      <c r="A69" s="273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</row>
    <row r="70" spans="1:44" ht="14.25" customHeight="1" x14ac:dyDescent="0.2">
      <c r="A70" s="27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</row>
    <row r="71" spans="1:44" ht="14.25" customHeight="1" x14ac:dyDescent="0.2">
      <c r="A71" s="27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</row>
    <row r="72" spans="1:44" ht="14.25" customHeight="1" x14ac:dyDescent="0.2">
      <c r="A72" s="273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</row>
    <row r="73" spans="1:44" ht="14.25" customHeight="1" x14ac:dyDescent="0.2">
      <c r="A73" s="27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</row>
    <row r="74" spans="1:44" ht="14.25" customHeight="1" x14ac:dyDescent="0.2">
      <c r="A74" s="27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</row>
    <row r="75" spans="1:44" ht="14.25" customHeight="1" x14ac:dyDescent="0.2">
      <c r="A75" s="27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</row>
    <row r="76" spans="1:44" ht="14.25" customHeight="1" x14ac:dyDescent="0.2">
      <c r="A76" s="27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</row>
    <row r="77" spans="1:44" ht="14.25" customHeight="1" x14ac:dyDescent="0.2">
      <c r="A77" s="27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</row>
    <row r="78" spans="1:44" ht="14.25" customHeight="1" x14ac:dyDescent="0.2">
      <c r="A78" s="27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</row>
    <row r="79" spans="1:44" ht="14.25" customHeight="1" x14ac:dyDescent="0.2">
      <c r="A79" s="27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</row>
    <row r="80" spans="1:44" ht="14.25" customHeight="1" x14ac:dyDescent="0.2">
      <c r="A80" s="27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</row>
    <row r="81" spans="1:44" ht="14.25" customHeight="1" x14ac:dyDescent="0.2">
      <c r="A81" s="27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</row>
    <row r="82" spans="1:44" ht="14.25" customHeight="1" x14ac:dyDescent="0.2">
      <c r="A82" s="27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</row>
    <row r="83" spans="1:44" ht="14.25" customHeight="1" x14ac:dyDescent="0.2">
      <c r="A83" s="27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</row>
    <row r="84" spans="1:44" ht="14.25" customHeight="1" x14ac:dyDescent="0.2">
      <c r="A84" s="27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</row>
    <row r="85" spans="1:44" ht="14.25" customHeight="1" x14ac:dyDescent="0.2">
      <c r="A85" s="27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</row>
    <row r="86" spans="1:44" ht="14.25" customHeight="1" x14ac:dyDescent="0.2">
      <c r="A86" s="27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</row>
    <row r="87" spans="1:44" ht="14.25" customHeight="1" x14ac:dyDescent="0.2">
      <c r="A87" s="27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</row>
    <row r="88" spans="1:44" ht="14.25" customHeight="1" x14ac:dyDescent="0.2">
      <c r="A88" s="27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</row>
    <row r="89" spans="1:44" ht="14.25" customHeight="1" x14ac:dyDescent="0.2">
      <c r="A89" s="27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</row>
    <row r="90" spans="1:44" ht="14.25" customHeight="1" x14ac:dyDescent="0.2">
      <c r="A90" s="27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</row>
    <row r="91" spans="1:44" ht="14.25" customHeight="1" x14ac:dyDescent="0.2">
      <c r="A91" s="27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</row>
    <row r="92" spans="1:44" ht="14.25" customHeight="1" x14ac:dyDescent="0.2">
      <c r="A92" s="27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</row>
    <row r="93" spans="1:44" ht="14.25" customHeight="1" x14ac:dyDescent="0.2">
      <c r="A93" s="27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</row>
    <row r="94" spans="1:44" ht="14.25" customHeight="1" x14ac:dyDescent="0.2">
      <c r="A94" s="27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</row>
    <row r="95" spans="1:44" ht="14.25" customHeight="1" x14ac:dyDescent="0.2">
      <c r="A95" s="27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</row>
    <row r="96" spans="1:44" ht="14.25" customHeight="1" x14ac:dyDescent="0.2">
      <c r="A96" s="27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</row>
    <row r="97" spans="1:44" ht="14.25" customHeight="1" x14ac:dyDescent="0.2">
      <c r="A97" s="27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</row>
    <row r="98" spans="1:44" ht="14.25" customHeight="1" x14ac:dyDescent="0.2">
      <c r="A98" s="27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</row>
    <row r="99" spans="1:44" ht="14.25" customHeight="1" x14ac:dyDescent="0.2">
      <c r="A99" s="27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</row>
    <row r="100" spans="1:44" ht="14.25" customHeight="1" x14ac:dyDescent="0.2">
      <c r="A100" s="27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</row>
  </sheetData>
  <mergeCells count="8">
    <mergeCell ref="B51:I51"/>
    <mergeCell ref="B59:I59"/>
    <mergeCell ref="B3:I3"/>
    <mergeCell ref="B11:I11"/>
    <mergeCell ref="B19:I19"/>
    <mergeCell ref="B27:I27"/>
    <mergeCell ref="B35:I35"/>
    <mergeCell ref="B43:I43"/>
  </mergeCells>
  <hyperlinks>
    <hyperlink ref="A1" r:id="rId1"/>
  </hyperlinks>
  <pageMargins left="0.78749999999999998" right="0.78749999999999998" top="0.98402777777777772" bottom="0.98402777777777772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GridLines="0" topLeftCell="A7" workbookViewId="0">
      <selection activeCell="E19" sqref="E19"/>
    </sheetView>
  </sheetViews>
  <sheetFormatPr defaultColWidth="14.42578125" defaultRowHeight="15" customHeight="1" x14ac:dyDescent="0.2"/>
  <cols>
    <col min="1" max="1" width="16" customWidth="1"/>
    <col min="2" max="2" width="18.42578125" customWidth="1"/>
    <col min="3" max="3" width="16.28515625" customWidth="1"/>
    <col min="4" max="4" width="18.5703125" customWidth="1"/>
    <col min="5" max="5" width="17" customWidth="1"/>
    <col min="6" max="6" width="20.5703125" customWidth="1"/>
    <col min="7" max="7" width="19.140625" customWidth="1"/>
    <col min="8" max="8" width="21.140625" customWidth="1"/>
    <col min="9" max="11" width="9.140625" customWidth="1"/>
  </cols>
  <sheetData>
    <row r="1" spans="1:11" ht="19.5" customHeight="1" x14ac:dyDescent="0.2">
      <c r="A1" s="274" t="s">
        <v>87</v>
      </c>
      <c r="B1" s="275" t="s">
        <v>88</v>
      </c>
      <c r="C1" s="275" t="s">
        <v>89</v>
      </c>
      <c r="D1" s="275" t="s">
        <v>90</v>
      </c>
      <c r="E1" s="275" t="s">
        <v>91</v>
      </c>
      <c r="F1" s="275" t="s">
        <v>92</v>
      </c>
      <c r="G1" s="275" t="s">
        <v>93</v>
      </c>
      <c r="H1" s="275" t="s">
        <v>94</v>
      </c>
      <c r="I1" s="18"/>
      <c r="J1" s="18"/>
      <c r="K1" s="18"/>
    </row>
    <row r="2" spans="1:11" ht="19.5" customHeight="1" x14ac:dyDescent="0.2">
      <c r="A2" s="276" t="s">
        <v>95</v>
      </c>
      <c r="B2" s="277" t="s">
        <v>96</v>
      </c>
      <c r="C2" s="277" t="s">
        <v>97</v>
      </c>
      <c r="D2" s="277" t="s">
        <v>98</v>
      </c>
      <c r="E2" s="277" t="s">
        <v>99</v>
      </c>
      <c r="F2" s="277" t="s">
        <v>100</v>
      </c>
      <c r="G2" s="277" t="s">
        <v>101</v>
      </c>
      <c r="H2" s="277" t="s">
        <v>102</v>
      </c>
      <c r="I2" s="18"/>
      <c r="J2" s="18"/>
      <c r="K2" s="18"/>
    </row>
    <row r="3" spans="1:11" ht="19.5" customHeight="1" x14ac:dyDescent="0.2">
      <c r="A3" s="276" t="s">
        <v>103</v>
      </c>
      <c r="B3" s="277" t="s">
        <v>104</v>
      </c>
      <c r="C3" s="277" t="s">
        <v>105</v>
      </c>
      <c r="D3" s="277" t="s">
        <v>106</v>
      </c>
      <c r="E3" s="277" t="s">
        <v>107</v>
      </c>
      <c r="F3" s="277" t="s">
        <v>108</v>
      </c>
      <c r="G3" s="277" t="s">
        <v>109</v>
      </c>
      <c r="H3" s="277" t="s">
        <v>110</v>
      </c>
      <c r="I3" s="18"/>
      <c r="J3" s="18"/>
      <c r="K3" s="18"/>
    </row>
    <row r="4" spans="1:11" ht="19.5" customHeight="1" x14ac:dyDescent="0.2">
      <c r="A4" s="278" t="s">
        <v>111</v>
      </c>
      <c r="B4" s="279" t="s">
        <v>112</v>
      </c>
      <c r="C4" s="279" t="s">
        <v>113</v>
      </c>
      <c r="D4" s="279" t="s">
        <v>114</v>
      </c>
      <c r="E4" s="279" t="s">
        <v>115</v>
      </c>
      <c r="F4" s="279" t="s">
        <v>116</v>
      </c>
      <c r="G4" s="279" t="s">
        <v>117</v>
      </c>
      <c r="H4" s="279" t="s">
        <v>118</v>
      </c>
      <c r="I4" s="18"/>
      <c r="J4" s="18"/>
      <c r="K4" s="18"/>
    </row>
    <row r="5" spans="1:11" ht="20.25" customHeight="1" x14ac:dyDescent="0.2">
      <c r="A5" s="280" t="s">
        <v>119</v>
      </c>
      <c r="B5" s="281" t="s">
        <v>120</v>
      </c>
      <c r="C5" s="282" t="s">
        <v>121</v>
      </c>
      <c r="D5" s="283" t="s">
        <v>122</v>
      </c>
      <c r="E5" s="284" t="s">
        <v>123</v>
      </c>
      <c r="F5" s="285" t="s">
        <v>124</v>
      </c>
      <c r="G5" s="286" t="s">
        <v>125</v>
      </c>
      <c r="H5" s="287" t="s">
        <v>126</v>
      </c>
      <c r="I5" s="18"/>
      <c r="J5" s="18"/>
      <c r="K5" s="18"/>
    </row>
    <row r="6" spans="1:11" ht="12.75" customHeight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 ht="12.75" customHeight="1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</row>
    <row r="8" spans="1:11" ht="15.75" customHeight="1" x14ac:dyDescent="0.2">
      <c r="A8" s="379" t="s">
        <v>127</v>
      </c>
      <c r="B8" s="368"/>
      <c r="C8" s="367" t="str">
        <f>Tabela!K99</f>
        <v>www.guiadecompra.com</v>
      </c>
      <c r="D8" s="368"/>
      <c r="E8" s="381" t="s">
        <v>128</v>
      </c>
      <c r="F8" s="382"/>
      <c r="G8" s="373" t="s">
        <v>129</v>
      </c>
      <c r="H8" s="374"/>
      <c r="I8" s="18"/>
      <c r="J8" s="18"/>
      <c r="K8" s="18"/>
    </row>
    <row r="9" spans="1:11" ht="17.25" customHeight="1" x14ac:dyDescent="0.2">
      <c r="A9" s="288"/>
      <c r="B9" s="289"/>
      <c r="C9" s="289"/>
      <c r="D9" s="289"/>
      <c r="E9" s="383"/>
      <c r="F9" s="376"/>
      <c r="G9" s="375"/>
      <c r="H9" s="376"/>
      <c r="I9" s="18"/>
      <c r="J9" s="18"/>
      <c r="K9" s="18"/>
    </row>
    <row r="10" spans="1:11" ht="16.5" customHeight="1" x14ac:dyDescent="0.2">
      <c r="A10" s="380" t="s">
        <v>130</v>
      </c>
      <c r="B10" s="336"/>
      <c r="C10" s="336"/>
      <c r="D10" s="336"/>
      <c r="E10" s="383"/>
      <c r="F10" s="376"/>
      <c r="G10" s="375"/>
      <c r="H10" s="376"/>
      <c r="I10" s="18"/>
      <c r="J10" s="18"/>
      <c r="K10" s="18"/>
    </row>
    <row r="11" spans="1:11" ht="18" customHeight="1" x14ac:dyDescent="0.2">
      <c r="A11" s="290"/>
      <c r="B11" s="291"/>
      <c r="C11" s="291"/>
      <c r="D11" s="291"/>
      <c r="E11" s="384"/>
      <c r="F11" s="385"/>
      <c r="G11" s="377"/>
      <c r="H11" s="378"/>
      <c r="I11" s="18"/>
      <c r="J11" s="18"/>
      <c r="K11" s="18"/>
    </row>
    <row r="12" spans="1:11" ht="20.25" customHeight="1" x14ac:dyDescent="0.2">
      <c r="A12" s="292"/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spans="1:11" ht="21" customHeight="1" x14ac:dyDescent="0.2">
      <c r="A13" s="371" t="s">
        <v>131</v>
      </c>
      <c r="B13" s="372"/>
      <c r="C13" s="372"/>
      <c r="D13" s="293"/>
      <c r="E13" s="18"/>
      <c r="F13" s="18"/>
      <c r="G13" s="18"/>
      <c r="H13" s="18"/>
      <c r="I13" s="18"/>
      <c r="J13" s="18"/>
      <c r="K13" s="18"/>
    </row>
    <row r="14" spans="1:11" ht="21.75" customHeight="1" x14ac:dyDescent="0.2">
      <c r="A14" s="369" t="s">
        <v>132</v>
      </c>
      <c r="B14" s="370"/>
      <c r="C14" s="370"/>
      <c r="D14" s="294"/>
      <c r="E14" s="295"/>
      <c r="F14" s="296"/>
      <c r="G14" s="242"/>
      <c r="H14" s="297"/>
      <c r="I14" s="18"/>
      <c r="J14" s="18"/>
      <c r="K14" s="18"/>
    </row>
    <row r="15" spans="1:11" ht="12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pans="1:11" ht="12.7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</row>
    <row r="17" spans="1:11" ht="12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spans="1:11" ht="12.7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spans="1:11" ht="12.7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11" ht="12.7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11" ht="12.7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spans="1:11" ht="12.7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ht="12.75" customHeight="1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spans="1:11" ht="12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spans="1:11" ht="12.75" customHeight="1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</row>
    <row r="26" spans="1:11" ht="12.75" customHeight="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</row>
    <row r="27" spans="1:11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1" ht="12.75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</row>
    <row r="29" spans="1:11" ht="12.75" customHeight="1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spans="1:11" ht="12.75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spans="1:11" ht="12.75" customHeight="1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spans="1:11" ht="12.75" customHeight="1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</row>
    <row r="33" spans="1:11" ht="12.75" customHeight="1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</row>
    <row r="34" spans="1:11" ht="12.75" customHeight="1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</row>
    <row r="35" spans="1:11" ht="12.75" customHeight="1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</row>
    <row r="36" spans="1:11" ht="12.75" customHeight="1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</row>
    <row r="37" spans="1:11" ht="12.75" customHeight="1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</row>
    <row r="38" spans="1:11" ht="12.75" customHeight="1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</row>
    <row r="39" spans="1:11" ht="12.75" customHeight="1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</row>
    <row r="40" spans="1:11" ht="12.75" customHeight="1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</row>
    <row r="41" spans="1:11" ht="12.75" customHeight="1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</row>
    <row r="42" spans="1:11" ht="12.75" customHeight="1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</row>
    <row r="43" spans="1:11" ht="12.75" customHeight="1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</row>
    <row r="44" spans="1:11" ht="12.75" customHeight="1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</row>
    <row r="45" spans="1:11" ht="12.75" customHeight="1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</row>
    <row r="46" spans="1:11" ht="12.75" customHeight="1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</row>
    <row r="47" spans="1:11" ht="12.75" customHeight="1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</row>
    <row r="48" spans="1:11" ht="12.75" customHeight="1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</row>
    <row r="49" spans="1:11" ht="12.75" customHeight="1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</row>
    <row r="50" spans="1:11" ht="12.75" customHeight="1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</row>
    <row r="51" spans="1:11" ht="12.75" customHeight="1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</row>
    <row r="52" spans="1:11" ht="12.75" customHeight="1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</row>
    <row r="53" spans="1:11" ht="12.75" customHeight="1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</row>
    <row r="54" spans="1:11" ht="12.75" customHeight="1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</row>
    <row r="55" spans="1:11" ht="12.75" customHeight="1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</row>
    <row r="56" spans="1:11" ht="12.75" customHeight="1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</row>
    <row r="57" spans="1:11" ht="12.75" customHeight="1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</row>
    <row r="58" spans="1:11" ht="12.75" customHeight="1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</row>
    <row r="59" spans="1:11" ht="12.75" customHeight="1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</row>
    <row r="60" spans="1:11" ht="12.75" customHeight="1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</row>
    <row r="61" spans="1:11" ht="12.75" customHeight="1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</row>
    <row r="62" spans="1:11" ht="12.75" customHeight="1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</row>
    <row r="63" spans="1:11" ht="12.75" customHeight="1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</row>
    <row r="64" spans="1:11" ht="12.75" customHeight="1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</row>
    <row r="65" spans="1:11" ht="12.75" customHeight="1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</row>
    <row r="66" spans="1:11" ht="12.75" customHeight="1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</row>
    <row r="67" spans="1:11" ht="12.75" customHeight="1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</row>
    <row r="68" spans="1:11" ht="12.75" customHeight="1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</row>
    <row r="69" spans="1:11" ht="12.75" customHeight="1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</row>
    <row r="70" spans="1:11" ht="12.75" customHeight="1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</row>
    <row r="71" spans="1:11" ht="12.75" customHeight="1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</row>
    <row r="72" spans="1:11" ht="12.75" customHeight="1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</row>
    <row r="73" spans="1:11" ht="12.75" customHeight="1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</row>
    <row r="74" spans="1:11" ht="12.75" customHeight="1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</row>
    <row r="75" spans="1:11" ht="12.75" customHeight="1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</row>
    <row r="76" spans="1:11" ht="12.75" customHeight="1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 spans="1:11" ht="12.75" customHeight="1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</row>
    <row r="78" spans="1:11" ht="12.75" customHeight="1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</row>
    <row r="79" spans="1:11" ht="12.75" customHeight="1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spans="1:11" ht="12.75" customHeight="1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</row>
    <row r="81" spans="1:11" ht="12.75" customHeight="1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</row>
    <row r="82" spans="1:11" ht="12.75" customHeight="1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</row>
    <row r="83" spans="1:11" ht="12.75" customHeight="1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spans="1:11" ht="12.75" customHeight="1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</row>
    <row r="85" spans="1:11" ht="12.75" customHeight="1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</row>
    <row r="86" spans="1:11" ht="12.75" customHeight="1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spans="1:11" ht="12.75" customHeight="1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</row>
    <row r="88" spans="1:11" ht="12.75" customHeight="1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</row>
    <row r="89" spans="1:11" ht="12.75" customHeight="1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 ht="12.75" customHeight="1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 ht="12.75" customHeight="1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 ht="12.75" customHeight="1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</row>
    <row r="93" spans="1:11" ht="12.75" customHeight="1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 spans="1:11" ht="12.75" customHeight="1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 spans="1:11" ht="12.75" customHeight="1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 spans="1:11" ht="12.75" customHeight="1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 ht="12.75" customHeight="1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</row>
    <row r="98" spans="1:11" ht="12.75" customHeight="1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</row>
    <row r="99" spans="1:11" ht="12.75" customHeight="1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 spans="1:11" ht="12.75" customHeight="1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</sheetData>
  <mergeCells count="7">
    <mergeCell ref="C8:D8"/>
    <mergeCell ref="A14:C14"/>
    <mergeCell ref="A13:C13"/>
    <mergeCell ref="G8:H11"/>
    <mergeCell ref="A8:B8"/>
    <mergeCell ref="A10:D10"/>
    <mergeCell ref="E8:F11"/>
  </mergeCells>
  <hyperlinks>
    <hyperlink ref="A14" r:id="rId1"/>
  </hyperlink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00"/>
  <sheetViews>
    <sheetView showGridLines="0" workbookViewId="0"/>
  </sheetViews>
  <sheetFormatPr defaultColWidth="14.42578125" defaultRowHeight="15" customHeight="1" x14ac:dyDescent="0.2"/>
  <cols>
    <col min="1" max="1" width="4.140625" customWidth="1"/>
    <col min="2" max="2" width="46.85546875" customWidth="1"/>
    <col min="3" max="3" width="6.140625" customWidth="1"/>
    <col min="4" max="4" width="53" customWidth="1"/>
    <col min="5" max="5" width="8.7109375" customWidth="1"/>
    <col min="6" max="6" width="50.7109375" customWidth="1"/>
    <col min="7" max="11" width="8.7109375" customWidth="1"/>
  </cols>
  <sheetData>
    <row r="1" spans="1:6" ht="3" customHeight="1" x14ac:dyDescent="0.2"/>
    <row r="2" spans="1:6" ht="12.75" customHeight="1" x14ac:dyDescent="0.2">
      <c r="B2" s="391" t="s">
        <v>133</v>
      </c>
      <c r="C2" s="392"/>
      <c r="D2" s="393" t="str">
        <f>Tabela!N2</f>
        <v>www.guiadecompra.com</v>
      </c>
    </row>
    <row r="3" spans="1:6" ht="12.75" customHeight="1" x14ac:dyDescent="0.2">
      <c r="B3" s="388"/>
      <c r="C3" s="388"/>
      <c r="D3" s="388"/>
    </row>
    <row r="4" spans="1:6" ht="12.75" customHeight="1" x14ac:dyDescent="0.2">
      <c r="A4" s="298"/>
      <c r="B4" s="390" t="s">
        <v>134</v>
      </c>
      <c r="C4" s="299"/>
      <c r="D4" s="390" t="s">
        <v>135</v>
      </c>
    </row>
    <row r="5" spans="1:6" ht="12.75" customHeight="1" x14ac:dyDescent="0.2">
      <c r="A5" s="298"/>
      <c r="B5" s="387"/>
      <c r="C5" s="299"/>
      <c r="D5" s="387"/>
      <c r="F5" s="386"/>
    </row>
    <row r="6" spans="1:6" ht="12.75" customHeight="1" x14ac:dyDescent="0.2">
      <c r="A6" s="298"/>
      <c r="B6" s="388"/>
      <c r="C6" s="299"/>
      <c r="D6" s="388"/>
      <c r="F6" s="387"/>
    </row>
    <row r="7" spans="1:6" ht="12.75" customHeight="1" x14ac:dyDescent="0.25">
      <c r="A7" s="298"/>
      <c r="B7" s="300"/>
      <c r="C7" s="299"/>
      <c r="D7" s="301"/>
      <c r="F7" s="388"/>
    </row>
    <row r="8" spans="1:6" ht="12.75" customHeight="1" x14ac:dyDescent="0.2">
      <c r="A8" s="298"/>
      <c r="B8" s="390" t="s">
        <v>136</v>
      </c>
      <c r="C8" s="299"/>
      <c r="D8" s="390" t="s">
        <v>137</v>
      </c>
      <c r="F8" s="386"/>
    </row>
    <row r="9" spans="1:6" ht="12.75" customHeight="1" x14ac:dyDescent="0.2">
      <c r="A9" s="298"/>
      <c r="B9" s="387"/>
      <c r="C9" s="299"/>
      <c r="D9" s="387"/>
      <c r="F9" s="387"/>
    </row>
    <row r="10" spans="1:6" ht="12.75" customHeight="1" x14ac:dyDescent="0.2">
      <c r="A10" s="298"/>
      <c r="B10" s="388"/>
      <c r="C10" s="299"/>
      <c r="D10" s="388"/>
      <c r="F10" s="388"/>
    </row>
    <row r="11" spans="1:6" ht="12.75" customHeight="1" x14ac:dyDescent="0.25">
      <c r="A11" s="298"/>
      <c r="B11" s="300"/>
      <c r="C11" s="299"/>
      <c r="D11" s="302"/>
    </row>
    <row r="12" spans="1:6" ht="12.75" customHeight="1" x14ac:dyDescent="0.2">
      <c r="A12" s="298"/>
      <c r="B12" s="390" t="s">
        <v>138</v>
      </c>
      <c r="C12" s="299"/>
      <c r="D12" s="390" t="s">
        <v>139</v>
      </c>
    </row>
    <row r="13" spans="1:6" ht="12.75" customHeight="1" x14ac:dyDescent="0.2">
      <c r="A13" s="298"/>
      <c r="B13" s="387"/>
      <c r="C13" s="299"/>
      <c r="D13" s="387"/>
    </row>
    <row r="14" spans="1:6" ht="12.75" customHeight="1" x14ac:dyDescent="0.2">
      <c r="A14" s="298"/>
      <c r="B14" s="388"/>
      <c r="C14" s="299"/>
      <c r="D14" s="388"/>
    </row>
    <row r="15" spans="1:6" ht="12.75" customHeight="1" x14ac:dyDescent="0.2">
      <c r="A15" s="298"/>
      <c r="B15" s="300"/>
      <c r="C15" s="299"/>
      <c r="D15" s="300"/>
    </row>
    <row r="16" spans="1:6" ht="12.75" customHeight="1" x14ac:dyDescent="0.2">
      <c r="A16" s="298"/>
      <c r="B16" s="390" t="s">
        <v>140</v>
      </c>
      <c r="C16" s="299"/>
      <c r="D16" s="390" t="s">
        <v>141</v>
      </c>
    </row>
    <row r="17" spans="1:4" ht="12.75" customHeight="1" x14ac:dyDescent="0.2">
      <c r="A17" s="298"/>
      <c r="B17" s="387"/>
      <c r="C17" s="299"/>
      <c r="D17" s="387"/>
    </row>
    <row r="18" spans="1:4" ht="12.75" customHeight="1" x14ac:dyDescent="0.2">
      <c r="A18" s="298"/>
      <c r="B18" s="388"/>
      <c r="C18" s="299"/>
      <c r="D18" s="388"/>
    </row>
    <row r="19" spans="1:4" ht="12.75" customHeight="1" x14ac:dyDescent="0.2">
      <c r="A19" s="298"/>
      <c r="B19" s="303"/>
      <c r="C19" s="299"/>
      <c r="D19" s="300"/>
    </row>
    <row r="20" spans="1:4" ht="12.75" customHeight="1" x14ac:dyDescent="0.2">
      <c r="A20" s="298"/>
      <c r="B20" s="390" t="s">
        <v>142</v>
      </c>
      <c r="C20" s="299"/>
      <c r="D20" s="390" t="s">
        <v>143</v>
      </c>
    </row>
    <row r="21" spans="1:4" ht="12.75" customHeight="1" x14ac:dyDescent="0.2">
      <c r="A21" s="298"/>
      <c r="B21" s="387"/>
      <c r="C21" s="299"/>
      <c r="D21" s="387"/>
    </row>
    <row r="22" spans="1:4" ht="12.75" customHeight="1" x14ac:dyDescent="0.2">
      <c r="A22" s="298"/>
      <c r="B22" s="388"/>
      <c r="C22" s="299"/>
      <c r="D22" s="388"/>
    </row>
    <row r="23" spans="1:4" ht="12.75" customHeight="1" x14ac:dyDescent="0.2">
      <c r="B23" s="304"/>
      <c r="C23" s="305"/>
      <c r="D23" s="304"/>
    </row>
    <row r="24" spans="1:4" ht="12.75" customHeight="1" x14ac:dyDescent="0.25">
      <c r="B24" s="389" t="s">
        <v>144</v>
      </c>
      <c r="C24" s="314"/>
      <c r="D24" s="309"/>
    </row>
    <row r="25" spans="1:4" ht="12.75" customHeight="1" x14ac:dyDescent="0.25">
      <c r="B25" s="305"/>
      <c r="C25" s="306"/>
      <c r="D25" s="305"/>
    </row>
    <row r="26" spans="1:4" ht="12.75" customHeight="1" x14ac:dyDescent="0.2"/>
    <row r="27" spans="1:4" ht="12.75" customHeight="1" x14ac:dyDescent="0.25">
      <c r="B27" s="307"/>
    </row>
    <row r="28" spans="1:4" ht="12.75" customHeight="1" x14ac:dyDescent="0.2"/>
    <row r="29" spans="1:4" ht="12.75" customHeight="1" x14ac:dyDescent="0.2"/>
    <row r="30" spans="1:4" ht="12.75" customHeight="1" x14ac:dyDescent="0.2"/>
    <row r="31" spans="1:4" ht="12.75" customHeight="1" x14ac:dyDescent="0.2"/>
    <row r="32" spans="1: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16">
    <mergeCell ref="B2:B3"/>
    <mergeCell ref="C2:C3"/>
    <mergeCell ref="D2:D3"/>
    <mergeCell ref="D4:D6"/>
    <mergeCell ref="B4:B6"/>
    <mergeCell ref="F5:F7"/>
    <mergeCell ref="F8:F10"/>
    <mergeCell ref="B24:D24"/>
    <mergeCell ref="B20:B22"/>
    <mergeCell ref="D20:D22"/>
    <mergeCell ref="D12:D14"/>
    <mergeCell ref="D8:D10"/>
    <mergeCell ref="B12:B14"/>
    <mergeCell ref="B8:B10"/>
    <mergeCell ref="B16:B18"/>
    <mergeCell ref="D16:D18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6</vt:i4>
      </vt:variant>
    </vt:vector>
  </HeadingPairs>
  <TitlesOfParts>
    <vt:vector size="11" baseType="lpstr">
      <vt:lpstr>Tabela</vt:lpstr>
      <vt:lpstr>   </vt:lpstr>
      <vt:lpstr>Jogo</vt:lpstr>
      <vt:lpstr>time</vt:lpstr>
      <vt:lpstr>Mais Tabelas</vt:lpstr>
      <vt:lpstr>B5I</vt:lpstr>
      <vt:lpstr>BR20I4</vt:lpstr>
      <vt:lpstr>Brasil</vt:lpstr>
      <vt:lpstr>Jogo!Copa</vt:lpstr>
      <vt:lpstr>D5I</vt:lpstr>
      <vt:lpstr>FIFA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edivaldo</dc:creator>
  <cp:lastModifiedBy>Matheus Chassot Genz</cp:lastModifiedBy>
  <dcterms:created xsi:type="dcterms:W3CDTF">2010-06-12T16:58:33Z</dcterms:created>
  <dcterms:modified xsi:type="dcterms:W3CDTF">2018-06-13T17:27:26Z</dcterms:modified>
</cp:coreProperties>
</file>