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7.xml" ContentType="application/vnd.openxmlformats-officedocument.spreadsheetml.comments+xml"/>
  <Override PartName="/xl/comments6.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comments11.xml" ContentType="application/vnd.openxmlformats-officedocument.spreadsheetml.comments+xml"/>
  <Override PartName="/xl/worksheets/_rels/sheet7.xml.rels" ContentType="application/vnd.openxmlformats-package.relationships+xml"/>
  <Override PartName="/xl/worksheets/_rels/sheet1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3"/>
  </bookViews>
  <sheets>
    <sheet name="Summary" sheetId="1" state="visible" r:id="rId2"/>
    <sheet name="Transactions" sheetId="2" state="visible" r:id="rId3"/>
    <sheet name="Sheet1" sheetId="3" state="visible" r:id="rId4"/>
    <sheet name="Sim Cumulative" sheetId="4" state="visible" r:id="rId5"/>
    <sheet name="Sim Period" sheetId="5" state="visible" r:id="rId6"/>
    <sheet name="s_p" sheetId="6" state="visible" r:id="rId7"/>
    <sheet name="Treasuries" sheetId="7" state="visible" r:id="rId8"/>
    <sheet name="holiday" sheetId="8" state="visible" r:id="rId9"/>
    <sheet name="changes" sheetId="9" state="visible" r:id="rId10"/>
    <sheet name="map" sheetId="10" state="visible" r:id="rId11"/>
    <sheet name="s_p 2008" sheetId="11" state="visible" r:id="rId12"/>
    <sheet name="Downside Diff 3 &amp; 6 month" sheetId="12" state="visible" r:id="rId13"/>
    <sheet name="Specification" sheetId="13" state="visible" r:id="rId14"/>
  </sheets>
  <definedNames>
    <definedName function="false" hidden="false" name="IndexRet_Apr" vbProcedure="false">s_p!$H$66:$H$84</definedName>
    <definedName function="false" hidden="false" name="IndexRet_Aug" vbProcedure="false">s_p!$H$149:$H$171</definedName>
    <definedName function="false" hidden="false" name="IndexRet_Dec" vbProcedure="false">s_p!$H$235:$H$254</definedName>
    <definedName function="false" hidden="false" name="IndexRet_Feb" vbProcedure="false">s_p!$H$24:$H$42</definedName>
    <definedName function="false" hidden="false" name="IndexRet_Jan" vbProcedure="false">s_p!$H$4:$H$23</definedName>
    <definedName function="false" hidden="false" name="IndexRet_Jul" vbProcedure="false">s_p!$H$129:$H$148</definedName>
    <definedName function="false" hidden="false" name="IndexRet_Jun" vbProcedure="false">s_p!$H$107:$H$128</definedName>
    <definedName function="false" hidden="false" name="IndexRet_Mar" vbProcedure="false">s_p!$H$43:$H$65</definedName>
    <definedName function="false" hidden="false" name="IndexRet_May" vbProcedure="false">s_p!$H$85:$H$106</definedName>
    <definedName function="false" hidden="false" name="IndexRet_Nov" vbProcedure="false">s_p!$H$214:$H$234</definedName>
    <definedName function="false" hidden="false" name="IndexRet_Oct" vbProcedure="false">s_p!$H$192:$H$213</definedName>
    <definedName function="false" hidden="false" name="IndexRet_Sep" vbProcedure="false">s_p!$H$172:$H$191</definedName>
    <definedName function="false" hidden="false" name="Ret_Apr" vbProcedure="false">'Sim Period'!$D$66:$D$84</definedName>
    <definedName function="false" hidden="false" name="Ret_Aug" vbProcedure="false">'Sim Period'!$D$149:$D$171</definedName>
    <definedName function="false" hidden="false" name="Ret_Dec" vbProcedure="false">'Sim Period'!$D$235:$D$254</definedName>
    <definedName function="false" hidden="false" name="Ret_Feb" vbProcedure="false">'Sim Period'!$D$24:$D$42</definedName>
    <definedName function="false" hidden="false" name="Ret_Jan" vbProcedure="false">'Sim Period'!$D$4:$D$23</definedName>
    <definedName function="false" hidden="false" name="Ret_Jul" vbProcedure="false">'Sim Period'!$D$129:$D$148</definedName>
    <definedName function="false" hidden="false" name="Ret_Jun" vbProcedure="false">'Sim Period'!$D$107:$D$128</definedName>
    <definedName function="false" hidden="false" name="Ret_Mar" vbProcedure="false">'Sim Period'!$D$43:$D$65</definedName>
    <definedName function="false" hidden="false" name="Ret_May" vbProcedure="false">'Sim Period'!$D$85:$D$106</definedName>
    <definedName function="false" hidden="false" name="Ret_Nov" vbProcedure="false">'Sim Period'!$D$214:$D$234</definedName>
    <definedName function="false" hidden="false" name="Ret_Oct" vbProcedure="false">'Sim Period'!$D$192:$D$213</definedName>
    <definedName function="false" hidden="false" name="Ret_Sep" vbProcedure="false">'Sim Period'!$D$172:$D$191</definedName>
    <definedName function="false" hidden="false" localSheetId="10" name="IndexRet_Apr" vbProcedure="false">'s_p 2008'!$H$66:$H$87</definedName>
    <definedName function="false" hidden="false" localSheetId="10" name="IndexRet_Aug" vbProcedure="false">'s_p 2008'!$H$152:$H$172</definedName>
    <definedName function="false" hidden="false" localSheetId="10" name="IndexRet_Dec" vbProcedure="false">'s_p 2008'!$H$236:$H$257</definedName>
    <definedName function="false" hidden="false" localSheetId="10" name="IndexRet_Feb" vbProcedure="false">'s_p 2008'!$H$26:$H$45</definedName>
    <definedName function="false" hidden="false" localSheetId="10" name="IndexRet_Jan" vbProcedure="false">'s_p 2008'!$H$5:$H$25</definedName>
    <definedName function="false" hidden="false" localSheetId="10" name="IndexRet_Jul" vbProcedure="false">'s_p 2008'!$H$130:$H$151</definedName>
    <definedName function="false" hidden="false" localSheetId="10" name="IndexRet_Jun" vbProcedure="false">'s_p 2008'!$H$109:$H$129</definedName>
    <definedName function="false" hidden="false" localSheetId="10" name="IndexRet_Mar" vbProcedure="false">'s_p 2008'!$H$46:$H$65</definedName>
    <definedName function="false" hidden="false" localSheetId="10" name="IndexRet_May" vbProcedure="false">'s_p 2008'!$H$88:$H$108</definedName>
    <definedName function="false" hidden="false" localSheetId="10" name="IndexRet_Nov" vbProcedure="false">'s_p 2008'!$H$217:$H$235</definedName>
    <definedName function="false" hidden="false" localSheetId="10" name="IndexRet_Oct" vbProcedure="false">'s_p 2008'!$H$194:$H$216</definedName>
    <definedName function="false" hidden="false" localSheetId="10" name="IndexRet_Sep" vbProcedure="false">'s_p 2008'!$H$173:$H$193</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s>
  <commentList>
    <comment ref="T19" authorId="0">
      <text>
        <r>
          <rPr>
            <b val="true"/>
            <sz val="9"/>
            <color rgb="FF000000"/>
            <rFont val="Tahoma"/>
            <family val="2"/>
            <charset val="1"/>
          </rPr>
          <t>Kunj:
</t>
        </r>
        <r>
          <rPr>
            <sz val="9"/>
            <color rgb="FF000000"/>
            <rFont val="Tahoma"/>
            <family val="2"/>
            <charset val="1"/>
          </rPr>
          <t>min(b19:b23)</t>
        </r>
      </text>
    </comment>
    <comment ref="T21" authorId="0">
      <text>
        <r>
          <rPr>
            <b val="true"/>
            <sz val="9"/>
            <color rgb="FF000000"/>
            <rFont val="Tahoma"/>
            <family val="2"/>
            <charset val="1"/>
          </rPr>
          <t>Kunj:
</t>
        </r>
        <r>
          <rPr>
            <sz val="9"/>
            <color rgb="FF000000"/>
            <rFont val="Tahoma"/>
            <family val="2"/>
            <charset val="1"/>
          </rPr>
          <t>max(b4:b4)</t>
        </r>
      </text>
    </comment>
    <comment ref="AI21" authorId="0">
      <text>
        <r>
          <rPr>
            <b val="true"/>
            <sz val="9"/>
            <color rgb="FF000000"/>
            <rFont val="Tahoma"/>
            <family val="2"/>
            <charset val="1"/>
          </rPr>
          <t>Kunj:
</t>
        </r>
        <r>
          <rPr>
            <sz val="9"/>
            <color rgb="FF000000"/>
            <rFont val="Tahoma"/>
            <family val="2"/>
            <charset val="1"/>
          </rPr>
          <t>standard is to multiply daily by sqrt(20)</t>
        </r>
      </text>
    </comment>
    <comment ref="AJ21" authorId="0">
      <text>
        <r>
          <rPr>
            <b val="true"/>
            <sz val="9"/>
            <color rgb="FF000000"/>
            <rFont val="Tahoma"/>
            <family val="2"/>
            <charset val="1"/>
          </rPr>
          <t>Kunj:
</t>
        </r>
        <r>
          <rPr>
            <sz val="9"/>
            <color rgb="FF000000"/>
            <rFont val="Tahoma"/>
            <family val="2"/>
            <charset val="1"/>
          </rPr>
          <t>standard is to multiply daily by sqrt(60)</t>
        </r>
      </text>
    </comment>
    <comment ref="AK21" authorId="0">
      <text>
        <r>
          <rPr>
            <b val="true"/>
            <sz val="9"/>
            <color rgb="FF000000"/>
            <rFont val="Tahoma"/>
            <family val="2"/>
            <charset val="1"/>
          </rPr>
          <t>Kunj:
</t>
        </r>
        <r>
          <rPr>
            <sz val="9"/>
            <color rgb="FF000000"/>
            <rFont val="Tahoma"/>
            <family val="2"/>
            <charset val="1"/>
          </rPr>
          <t>standard is to multiply daily by sqrt(125)</t>
        </r>
      </text>
    </comment>
    <comment ref="AL21" authorId="0">
      <text>
        <r>
          <rPr>
            <b val="true"/>
            <sz val="9"/>
            <color rgb="FF000000"/>
            <rFont val="Tahoma"/>
            <family val="2"/>
            <charset val="1"/>
          </rPr>
          <t>Kunj:
</t>
        </r>
        <r>
          <rPr>
            <sz val="9"/>
            <color rgb="FF000000"/>
            <rFont val="Tahoma"/>
            <family val="2"/>
            <charset val="1"/>
          </rPr>
          <t>standard is to multiply daily by sqrt(250)</t>
        </r>
      </text>
    </comment>
  </commentList>
</comments>
</file>

<file path=xl/comments6.xml><?xml version="1.0" encoding="utf-8"?>
<comments xmlns="http://schemas.openxmlformats.org/spreadsheetml/2006/main" xmlns:xdr="http://schemas.openxmlformats.org/drawingml/2006/spreadsheetDrawing">
  <authors>
    <author/>
  </authors>
  <commentList>
    <comment ref="V6" authorId="0">
      <text>
        <r>
          <rPr>
            <b val="true"/>
            <sz val="9"/>
            <color rgb="FF000000"/>
            <rFont val="Tahoma"/>
            <family val="2"/>
            <charset val="1"/>
          </rPr>
          <t>Kunj:
</t>
        </r>
        <r>
          <rPr>
            <sz val="9"/>
            <color rgb="FF000000"/>
            <rFont val="Tahoma"/>
            <family val="2"/>
            <charset val="1"/>
          </rPr>
          <t>standard is to multiply daily by sqrt(20)</t>
        </r>
      </text>
    </comment>
    <comment ref="W6" authorId="0">
      <text>
        <r>
          <rPr>
            <b val="true"/>
            <sz val="9"/>
            <color rgb="FF000000"/>
            <rFont val="Tahoma"/>
            <family val="2"/>
            <charset val="1"/>
          </rPr>
          <t>Kunj:
</t>
        </r>
        <r>
          <rPr>
            <sz val="9"/>
            <color rgb="FF000000"/>
            <rFont val="Tahoma"/>
            <family val="2"/>
            <charset val="1"/>
          </rPr>
          <t>standard is to multiply daily by sqrt(60)</t>
        </r>
      </text>
    </comment>
    <comment ref="X6" authorId="0">
      <text>
        <r>
          <rPr>
            <b val="true"/>
            <sz val="9"/>
            <color rgb="FF000000"/>
            <rFont val="Tahoma"/>
            <family val="2"/>
            <charset val="1"/>
          </rPr>
          <t>Kunj:
</t>
        </r>
        <r>
          <rPr>
            <sz val="9"/>
            <color rgb="FF000000"/>
            <rFont val="Tahoma"/>
            <family val="2"/>
            <charset val="1"/>
          </rPr>
          <t>standard is to multiply daily by sqrt(125)</t>
        </r>
      </text>
    </comment>
    <comment ref="Y6" authorId="0">
      <text>
        <r>
          <rPr>
            <b val="true"/>
            <sz val="9"/>
            <color rgb="FF000000"/>
            <rFont val="Tahoma"/>
            <family val="2"/>
            <charset val="1"/>
          </rPr>
          <t>Kunj:
</t>
        </r>
        <r>
          <rPr>
            <sz val="9"/>
            <color rgb="FF000000"/>
            <rFont val="Tahoma"/>
            <family val="2"/>
            <charset val="1"/>
          </rPr>
          <t>standard is to multiply daily by sqrt(250)</t>
        </r>
      </text>
    </comment>
    <comment ref="Z6" authorId="0">
      <text>
        <r>
          <rPr>
            <b val="true"/>
            <sz val="9"/>
            <color rgb="FF000000"/>
            <rFont val="Tahoma"/>
            <family val="2"/>
            <charset val="1"/>
          </rPr>
          <t>Kunj:
</t>
        </r>
        <r>
          <rPr>
            <sz val="9"/>
            <color rgb="FF000000"/>
            <rFont val="Tahoma"/>
            <family val="2"/>
            <charset val="1"/>
          </rPr>
          <t>standard is to multiply daily by sqrt(20)</t>
        </r>
      </text>
    </comment>
    <comment ref="AA6" authorId="0">
      <text>
        <r>
          <rPr>
            <b val="true"/>
            <sz val="9"/>
            <color rgb="FF000000"/>
            <rFont val="Tahoma"/>
            <family val="2"/>
            <charset val="1"/>
          </rPr>
          <t>Kunj:
</t>
        </r>
        <r>
          <rPr>
            <sz val="9"/>
            <color rgb="FF000000"/>
            <rFont val="Tahoma"/>
            <family val="2"/>
            <charset val="1"/>
          </rPr>
          <t>standard is to multiply daily by sqrt(60)</t>
        </r>
      </text>
    </comment>
    <comment ref="AB6" authorId="0">
      <text>
        <r>
          <rPr>
            <b val="true"/>
            <sz val="9"/>
            <color rgb="FF000000"/>
            <rFont val="Tahoma"/>
            <family val="2"/>
            <charset val="1"/>
          </rPr>
          <t>Kunj:
</t>
        </r>
        <r>
          <rPr>
            <sz val="9"/>
            <color rgb="FF000000"/>
            <rFont val="Tahoma"/>
            <family val="2"/>
            <charset val="1"/>
          </rPr>
          <t>standard is to multiply daily by sqrt(125)</t>
        </r>
      </text>
    </comment>
    <comment ref="AC6" authorId="0">
      <text>
        <r>
          <rPr>
            <b val="true"/>
            <sz val="9"/>
            <color rgb="FF000000"/>
            <rFont val="Tahoma"/>
            <family val="2"/>
            <charset val="1"/>
          </rPr>
          <t>Kunj:
</t>
        </r>
        <r>
          <rPr>
            <sz val="9"/>
            <color rgb="FF000000"/>
            <rFont val="Tahoma"/>
            <family val="2"/>
            <charset val="1"/>
          </rPr>
          <t>standard is to multiply daily by sqrt(250)</t>
        </r>
      </text>
    </comment>
  </commentList>
</comments>
</file>

<file path=xl/comments7.xml><?xml version="1.0" encoding="utf-8"?>
<comments xmlns="http://schemas.openxmlformats.org/spreadsheetml/2006/main" xmlns:xdr="http://schemas.openxmlformats.org/drawingml/2006/spreadsheetDrawing">
  <authors>
    <author/>
  </authors>
  <commentList>
    <comment ref="A195" authorId="0">
      <text>
        <r>
          <rPr>
            <b val="true"/>
            <sz val="9"/>
            <color rgb="FF000000"/>
            <rFont val="Tahoma"/>
            <family val="2"/>
            <charset val="1"/>
          </rPr>
          <t>Kunj:
</t>
        </r>
        <r>
          <rPr>
            <sz val="9"/>
            <color rgb="FF000000"/>
            <rFont val="Tahoma"/>
            <family val="2"/>
            <charset val="1"/>
          </rPr>
          <t>row added to match equity</t>
        </r>
      </text>
    </comment>
  </commentList>
</comments>
</file>

<file path=xl/comments11.xml><?xml version="1.0" encoding="utf-8"?>
<comments xmlns="http://schemas.openxmlformats.org/spreadsheetml/2006/main" xmlns:xdr="http://schemas.openxmlformats.org/drawingml/2006/spreadsheetDrawing">
  <authors>
    <author/>
  </authors>
  <commentList>
    <comment ref="V6" authorId="0">
      <text>
        <r>
          <rPr>
            <b val="true"/>
            <sz val="9"/>
            <color rgb="FF000000"/>
            <rFont val="Tahoma"/>
            <family val="2"/>
            <charset val="1"/>
          </rPr>
          <t>Kunj:
</t>
        </r>
        <r>
          <rPr>
            <sz val="9"/>
            <color rgb="FF000000"/>
            <rFont val="Tahoma"/>
            <family val="2"/>
            <charset val="1"/>
          </rPr>
          <t>standard is to multiply daily by sqrt(20)</t>
        </r>
      </text>
    </comment>
    <comment ref="W6" authorId="0">
      <text>
        <r>
          <rPr>
            <b val="true"/>
            <sz val="9"/>
            <color rgb="FF000000"/>
            <rFont val="Tahoma"/>
            <family val="2"/>
            <charset val="1"/>
          </rPr>
          <t>Kunj:
</t>
        </r>
        <r>
          <rPr>
            <sz val="9"/>
            <color rgb="FF000000"/>
            <rFont val="Tahoma"/>
            <family val="2"/>
            <charset val="1"/>
          </rPr>
          <t>standard is to multiply daily by sqrt(60)</t>
        </r>
      </text>
    </comment>
    <comment ref="X6" authorId="0">
      <text>
        <r>
          <rPr>
            <b val="true"/>
            <sz val="9"/>
            <color rgb="FF000000"/>
            <rFont val="Tahoma"/>
            <family val="2"/>
            <charset val="1"/>
          </rPr>
          <t>Kunj:
</t>
        </r>
        <r>
          <rPr>
            <sz val="9"/>
            <color rgb="FF000000"/>
            <rFont val="Tahoma"/>
            <family val="2"/>
            <charset val="1"/>
          </rPr>
          <t>standard is to multiply daily by sqrt(125)</t>
        </r>
      </text>
    </comment>
    <comment ref="Y6" authorId="0">
      <text>
        <r>
          <rPr>
            <b val="true"/>
            <sz val="9"/>
            <color rgb="FF000000"/>
            <rFont val="Tahoma"/>
            <family val="2"/>
            <charset val="1"/>
          </rPr>
          <t>Kunj:
</t>
        </r>
        <r>
          <rPr>
            <sz val="9"/>
            <color rgb="FF000000"/>
            <rFont val="Tahoma"/>
            <family val="2"/>
            <charset val="1"/>
          </rPr>
          <t>standard is to multiply daily by sqrt(250)</t>
        </r>
      </text>
    </comment>
  </commentList>
</comments>
</file>

<file path=xl/sharedStrings.xml><?xml version="1.0" encoding="utf-8"?>
<sst xmlns="http://schemas.openxmlformats.org/spreadsheetml/2006/main" count="759" uniqueCount="537">
  <si>
    <t xml:space="preserve">Date</t>
  </si>
  <si>
    <t xml:space="preserve">Value</t>
  </si>
  <si>
    <t xml:space="preserve">P/L</t>
  </si>
  <si>
    <t xml:space="preserve">%</t>
  </si>
  <si>
    <t xml:space="preserve">Total Return</t>
  </si>
  <si>
    <t xml:space="preserve">Positions</t>
  </si>
  <si>
    <t xml:space="preserve">Price</t>
  </si>
  <si>
    <t xml:space="preserve">Sid</t>
  </si>
  <si>
    <t xml:space="preserve">Amount</t>
  </si>
  <si>
    <t xml:space="preserve">Txndatetime</t>
  </si>
  <si>
    <t xml:space="preserve">Txn Cost</t>
  </si>
  <si>
    <t xml:space="preserve">Capital Used</t>
  </si>
  <si>
    <t xml:space="preserve">Daily</t>
  </si>
  <si>
    <t xml:space="preserve">2006-01-03 14:29:58 +0000</t>
  </si>
  <si>
    <t xml:space="preserve">2006-01-03 14:34:56 +0000</t>
  </si>
  <si>
    <t xml:space="preserve">2006-01-03 14:35:49 +0000</t>
  </si>
  <si>
    <t xml:space="preserve">2006-01-03 14:36:27 +0000</t>
  </si>
  <si>
    <t xml:space="preserve">2006-01-03 14:36:28 +0000</t>
  </si>
  <si>
    <t xml:space="preserve">2006-01-03 14:37:30 +0000</t>
  </si>
  <si>
    <t xml:space="preserve">2006-01-03 14:38:23 +0000</t>
  </si>
  <si>
    <t xml:space="preserve">2006-01-03 14:42:45 +0000</t>
  </si>
  <si>
    <t xml:space="preserve">2006-01-03 14:45:54 +0000</t>
  </si>
  <si>
    <t xml:space="preserve">2006-01-03 14:46:35 +0000</t>
  </si>
  <si>
    <t xml:space="preserve">2006-01-03 14:58:07 +0000</t>
  </si>
  <si>
    <t xml:space="preserve">2006-01-03 15:05:37 +0000</t>
  </si>
  <si>
    <t xml:space="preserve">2006-01-03 15:09:08 +0000</t>
  </si>
  <si>
    <t xml:space="preserve">2006-01-03 15:12:41 +0000</t>
  </si>
  <si>
    <t xml:space="preserve">2006-01-03 15:18:11 +0000</t>
  </si>
  <si>
    <t xml:space="preserve">2006-01-03 15:27:01 +0000</t>
  </si>
  <si>
    <t xml:space="preserve">2006-01-03 15:28:47 +0000</t>
  </si>
  <si>
    <t xml:space="preserve">2006-01-03 15:34:28 +0000</t>
  </si>
  <si>
    <t xml:space="preserve">2006-01-03 15:35:01 +0000</t>
  </si>
  <si>
    <t xml:space="preserve">2006-01-03 15:37:19 +0000</t>
  </si>
  <si>
    <t xml:space="preserve">2006-01-03 15:40:01 +0000</t>
  </si>
  <si>
    <t xml:space="preserve">2006-01-03 15:40:03 +0000</t>
  </si>
  <si>
    <t xml:space="preserve">2006-01-03 15:40:37 +0000</t>
  </si>
  <si>
    <t xml:space="preserve">2006-01-03 15:43:30 +0000</t>
  </si>
  <si>
    <t xml:space="preserve">2006-01-03 15:49:12 +0000</t>
  </si>
  <si>
    <t xml:space="preserve">2006-01-03 15:49:43 +0000</t>
  </si>
  <si>
    <t xml:space="preserve">2006-01-03 15:55:41 +0000</t>
  </si>
  <si>
    <t xml:space="preserve">2006-01-03 15:57:10 +0000</t>
  </si>
  <si>
    <t xml:space="preserve">2006-01-03 16:01:05 +0000</t>
  </si>
  <si>
    <t xml:space="preserve">2006-01-03 16:03:19 +0000</t>
  </si>
  <si>
    <t xml:space="preserve">2006-01-03 16:04:28 +0000</t>
  </si>
  <si>
    <t xml:space="preserve">2006-01-03 16:06:35 +0000</t>
  </si>
  <si>
    <t xml:space="preserve">2006-01-03 16:11:53 +0000</t>
  </si>
  <si>
    <t xml:space="preserve">2006-01-03 16:12:23 +0000</t>
  </si>
  <si>
    <t xml:space="preserve">2006-01-03 16:14:51 +0000</t>
  </si>
  <si>
    <t xml:space="preserve">2006-01-03 16:14:52 +0000</t>
  </si>
  <si>
    <t xml:space="preserve">2006-01-03 16:15:55 +0000</t>
  </si>
  <si>
    <t xml:space="preserve">2006-01-03 16:16:21 +0000</t>
  </si>
  <si>
    <t xml:space="preserve">2006-01-03 16:18:09 +0000</t>
  </si>
  <si>
    <t xml:space="preserve">2006-01-03 16:18:29 +0000</t>
  </si>
  <si>
    <t xml:space="preserve">2006-01-03 16:20:01 +0000</t>
  </si>
  <si>
    <t xml:space="preserve">2006-01-03 16:20:03 +0000</t>
  </si>
  <si>
    <t xml:space="preserve">2006-01-03 16:21:04 +0000</t>
  </si>
  <si>
    <t xml:space="preserve">2006-01-03 16:24:25 +0000</t>
  </si>
  <si>
    <t xml:space="preserve">2006-01-03 16:27:02 +0000</t>
  </si>
  <si>
    <t xml:space="preserve">2006-01-03 16:35:10 +0000</t>
  </si>
  <si>
    <t xml:space="preserve">2006-01-03 16:40:02 +0000</t>
  </si>
  <si>
    <t xml:space="preserve">2006-01-03 16:50:02 +0000</t>
  </si>
  <si>
    <t xml:space="preserve">2006-01-03 16:51:01 +0000</t>
  </si>
  <si>
    <t xml:space="preserve">2006-01-03 16:58:09 +0000</t>
  </si>
  <si>
    <t xml:space="preserve">2006-01-03 17:00:03 +0000</t>
  </si>
  <si>
    <t xml:space="preserve">2006-01-03 17:05:01 +0000</t>
  </si>
  <si>
    <t xml:space="preserve">2006-01-03 17:05:06 +0000</t>
  </si>
  <si>
    <t xml:space="preserve">2006-01-03 17:05:32 +0000</t>
  </si>
  <si>
    <t xml:space="preserve">2006-01-03 17:18:00 +0000</t>
  </si>
  <si>
    <t xml:space="preserve">2006-01-03 17:27:17 +0000</t>
  </si>
  <si>
    <t xml:space="preserve">2006-01-03 17:34:42 +0000</t>
  </si>
  <si>
    <t xml:space="preserve">2006-01-03 17:37:12 +0000</t>
  </si>
  <si>
    <t xml:space="preserve">2006-01-03 17:51:32 +0000</t>
  </si>
  <si>
    <t xml:space="preserve">2006-01-03 17:53:34 +0000</t>
  </si>
  <si>
    <t xml:space="preserve">2006-01-03 17:55:01 +0000</t>
  </si>
  <si>
    <t xml:space="preserve">2006-01-03 17:57:00 +0000</t>
  </si>
  <si>
    <t xml:space="preserve">2006-01-03 17:58:39 +0000</t>
  </si>
  <si>
    <t xml:space="preserve">2006-01-03 18:11:06 +0000</t>
  </si>
  <si>
    <t xml:space="preserve">2006-01-03 18:38:10 +0000</t>
  </si>
  <si>
    <t xml:space="preserve">2006-01-03 18:42:34 +0000</t>
  </si>
  <si>
    <t xml:space="preserve">2006-01-03 18:50:38 +0000</t>
  </si>
  <si>
    <t xml:space="preserve">2006-01-03 18:57:14 +0000</t>
  </si>
  <si>
    <t xml:space="preserve">2006-01-03 18:58:42 +0000</t>
  </si>
  <si>
    <t xml:space="preserve">2006-01-03 19:06:47 +0000</t>
  </si>
  <si>
    <t xml:space="preserve">2006-01-03 19:08:10 +0000</t>
  </si>
  <si>
    <t xml:space="preserve">2006-01-03 19:09:05 +0000</t>
  </si>
  <si>
    <t xml:space="preserve">2006-01-03 19:13:54 +0000</t>
  </si>
  <si>
    <t xml:space="preserve">2006-01-03 19:15:32 +0000</t>
  </si>
  <si>
    <t xml:space="preserve">2006-01-03 19:16:17 +0000</t>
  </si>
  <si>
    <t xml:space="preserve">2006-01-03 19:18:12 +0000</t>
  </si>
  <si>
    <t xml:space="preserve">2006-01-03 19:20:01 +0000</t>
  </si>
  <si>
    <t xml:space="preserve">2006-01-03 19:20:03 +0000</t>
  </si>
  <si>
    <t xml:space="preserve">2006-01-03 19:20:04 +0000</t>
  </si>
  <si>
    <t xml:space="preserve">2006-01-03 19:20:10 +0000</t>
  </si>
  <si>
    <t xml:space="preserve">2006-01-03 19:20:52 +0000</t>
  </si>
  <si>
    <t xml:space="preserve">2006-01-03 19:22:37 +0000</t>
  </si>
  <si>
    <t xml:space="preserve">2006-01-03 19:26:58 +0000</t>
  </si>
  <si>
    <t xml:space="preserve">2006-01-03 19:30:03 +0000</t>
  </si>
  <si>
    <t xml:space="preserve">2006-01-03 19:32:28 +0000</t>
  </si>
  <si>
    <t xml:space="preserve">2006-01-03 19:32:30 +0000</t>
  </si>
  <si>
    <t xml:space="preserve">2006-01-03 19:34:23 +0000</t>
  </si>
  <si>
    <t xml:space="preserve">2006-01-03 19:42:52 +0000</t>
  </si>
  <si>
    <t xml:space="preserve">2006-01-03 19:44:25 +0000</t>
  </si>
  <si>
    <t xml:space="preserve">2006-01-03 19:45:14 +0000</t>
  </si>
  <si>
    <t xml:space="preserve">2006-01-03 19:46:04 +0000</t>
  </si>
  <si>
    <t xml:space="preserve">2006-01-03 19:46:36 +0000</t>
  </si>
  <si>
    <t xml:space="preserve">2006-01-03 19:47:56 +0000</t>
  </si>
  <si>
    <t xml:space="preserve">2006-01-03 19:50:01 +0000</t>
  </si>
  <si>
    <t xml:space="preserve">2006-01-03 19:50:03 +0000</t>
  </si>
  <si>
    <t xml:space="preserve">2006-01-03 19:50:04 +0000</t>
  </si>
  <si>
    <t xml:space="preserve">2006-01-03 19:51:09 +0000</t>
  </si>
  <si>
    <t xml:space="preserve">2006-01-03 20:00:08 +0000</t>
  </si>
  <si>
    <t xml:space="preserve">2006-01-03 20:07:16 +0000</t>
  </si>
  <si>
    <t xml:space="preserve">2006-01-03 20:07:56 +0000</t>
  </si>
  <si>
    <t xml:space="preserve">2006-01-03 20:23:55 +0000</t>
  </si>
  <si>
    <t xml:space="preserve">2006-01-03 20:24:36 +0000</t>
  </si>
  <si>
    <t xml:space="preserve">2006-01-03 20:25:05 +0000</t>
  </si>
  <si>
    <t xml:space="preserve">2006-01-03 20:27:15 +0000</t>
  </si>
  <si>
    <t xml:space="preserve">2006-01-03 20:29:07 +0000</t>
  </si>
  <si>
    <t xml:space="preserve">2006-01-03 20:29:54 +0000</t>
  </si>
  <si>
    <t xml:space="preserve">2006-01-03 20:35:44 +0000</t>
  </si>
  <si>
    <t xml:space="preserve">2006-01-03 20:37:21 +0000</t>
  </si>
  <si>
    <t xml:space="preserve">2006-01-03 20:41:11 +0000</t>
  </si>
  <si>
    <t xml:space="preserve">2006-01-03 20:47:24 +0000</t>
  </si>
  <si>
    <t xml:space="preserve">2006-01-03 20:54:03 +0000</t>
  </si>
  <si>
    <t xml:space="preserve">2006-01-03 20:55:10 +0000</t>
  </si>
  <si>
    <t xml:space="preserve">2006-01-04 21:00:07 +0000</t>
  </si>
  <si>
    <t xml:space="preserve">2006-01-04 21:16:02 +0000</t>
  </si>
  <si>
    <t xml:space="preserve">2006-01-04 22:24:57 +0000</t>
  </si>
  <si>
    <t xml:space="preserve">2006-01-04 14:41:42 +0000</t>
  </si>
  <si>
    <t xml:space="preserve">2006-01-04 14:48:44 +0000</t>
  </si>
  <si>
    <t xml:space="preserve">2006-01-04 14:49:18 +0000</t>
  </si>
  <si>
    <t xml:space="preserve">2006-01-04 14:51:12 +0000</t>
  </si>
  <si>
    <t xml:space="preserve">2006-01-04 14:51:22 +0000</t>
  </si>
  <si>
    <t xml:space="preserve">2006-01-04 14:55:02 +0000</t>
  </si>
  <si>
    <t xml:space="preserve">2006-01-04 14:59:18 +0000</t>
  </si>
  <si>
    <t xml:space="preserve">2006-01-04 15:08:59 +0000</t>
  </si>
  <si>
    <t xml:space="preserve">2006-01-04 15:12:11 +0000</t>
  </si>
  <si>
    <t xml:space="preserve">2006-01-04 15:20:39 +0000</t>
  </si>
  <si>
    <t xml:space="preserve">2006-01-04 15:29:08 +0000</t>
  </si>
  <si>
    <t xml:space="preserve">2006-01-04 15:46:39 +0000</t>
  </si>
  <si>
    <t xml:space="preserve">2006-01-04 15:48:24 +0000</t>
  </si>
  <si>
    <t xml:space="preserve">2006-01-04 15:56:21 +0000</t>
  </si>
  <si>
    <t xml:space="preserve">2006-01-04 15:58:59 +0000</t>
  </si>
  <si>
    <t xml:space="preserve">2006-01-04 15:59:02 +0000</t>
  </si>
  <si>
    <t xml:space="preserve">2006-01-04 16:00:49 +0000</t>
  </si>
  <si>
    <t xml:space="preserve">2006-01-04 16:01:03 +0000</t>
  </si>
  <si>
    <t xml:space="preserve">2006-01-04 16:02:00 +0000</t>
  </si>
  <si>
    <t xml:space="preserve">2006-01-04 16:03:02 +0000</t>
  </si>
  <si>
    <t xml:space="preserve">2006-01-04 16:06:04 +0000</t>
  </si>
  <si>
    <t xml:space="preserve">2006-01-04 16:06:35 +0000</t>
  </si>
  <si>
    <t xml:space="preserve">2006-01-04 16:12:24 +0000</t>
  </si>
  <si>
    <t xml:space="preserve">2006-01-04 16:12:42 +0000</t>
  </si>
  <si>
    <t xml:space="preserve">2006-01-04 16:14:03 +0000</t>
  </si>
  <si>
    <t xml:space="preserve">2006-01-04 16:14:20 +0000</t>
  </si>
  <si>
    <t xml:space="preserve">2006-01-04 16:18:23 +0000</t>
  </si>
  <si>
    <t xml:space="preserve">2006-01-04 16:19:25 +0000</t>
  </si>
  <si>
    <t xml:space="preserve">2006-01-04 16:20:23 +0000</t>
  </si>
  <si>
    <t xml:space="preserve">2006-01-04 16:25:51 +0000</t>
  </si>
  <si>
    <t xml:space="preserve">2006-01-04 16:30:05 +0000</t>
  </si>
  <si>
    <t xml:space="preserve">2006-01-04 16:30:44 +0000</t>
  </si>
  <si>
    <t xml:space="preserve">2006-01-04 16:35:35 +0000</t>
  </si>
  <si>
    <t xml:space="preserve">2006-01-04 16:39:17 +0000</t>
  </si>
  <si>
    <t xml:space="preserve">2006-01-04 16:44:59 +0000</t>
  </si>
  <si>
    <t xml:space="preserve">2006-01-04 16:56:07 +0000</t>
  </si>
  <si>
    <t xml:space="preserve">2006-01-04 16:56:37 +0000</t>
  </si>
  <si>
    <t xml:space="preserve">2006-01-04 16:57:22 +0000</t>
  </si>
  <si>
    <t xml:space="preserve">2006-01-04 16:57:41 +0000</t>
  </si>
  <si>
    <t xml:space="preserve">2006-01-04 16:59:11 +0000</t>
  </si>
  <si>
    <t xml:space="preserve">2006-01-04 16:59:50 +0000</t>
  </si>
  <si>
    <t xml:space="preserve">2006-01-04 17:01:44 +0000</t>
  </si>
  <si>
    <t xml:space="preserve">2006-01-04 17:05:12 +0000</t>
  </si>
  <si>
    <t xml:space="preserve">2006-01-04 17:09:50 +0000</t>
  </si>
  <si>
    <t xml:space="preserve">2006-01-04 17:27:19 +0000</t>
  </si>
  <si>
    <t xml:space="preserve">2006-01-04 17:34:43 +0000</t>
  </si>
  <si>
    <t xml:space="preserve">2006-01-04 17:35:45 +0000</t>
  </si>
  <si>
    <t xml:space="preserve">2006-01-04 17:36:49 +0000</t>
  </si>
  <si>
    <t xml:space="preserve">2006-01-04 17:37:35 +0000</t>
  </si>
  <si>
    <t xml:space="preserve">2006-01-04 17:38:09 +0000</t>
  </si>
  <si>
    <t xml:space="preserve">2006-01-04 17:39:20 +0000</t>
  </si>
  <si>
    <t xml:space="preserve">2006-01-04 17:40:30 +0000</t>
  </si>
  <si>
    <t xml:space="preserve">2006-01-04 17:42:39 +0000</t>
  </si>
  <si>
    <t xml:space="preserve">2006-01-04 17:45:20 +0000</t>
  </si>
  <si>
    <t xml:space="preserve">2006-01-04 17:56:28 +0000</t>
  </si>
  <si>
    <t xml:space="preserve">2006-01-04 18:06:23 +0000</t>
  </si>
  <si>
    <t xml:space="preserve">2006-01-04 18:09:44 +0000</t>
  </si>
  <si>
    <t xml:space="preserve">2006-01-04 18:11:11 +0000</t>
  </si>
  <si>
    <t xml:space="preserve">2006-01-04 18:15:05 +0000</t>
  </si>
  <si>
    <t xml:space="preserve">2006-01-04 18:15:43 +0000</t>
  </si>
  <si>
    <t xml:space="preserve">2006-01-04 18:20:56 +0000</t>
  </si>
  <si>
    <t xml:space="preserve">2006-01-04 18:23:39 +0000</t>
  </si>
  <si>
    <t xml:space="preserve">2006-01-04 18:24:53 +0000</t>
  </si>
  <si>
    <t xml:space="preserve">2006-01-04 18:25:29 +0000</t>
  </si>
  <si>
    <t xml:space="preserve">2006-01-04 18:25:45 +0000</t>
  </si>
  <si>
    <t xml:space="preserve">2006-01-04 18:39:04 +0000</t>
  </si>
  <si>
    <t xml:space="preserve">2006-01-04 18:40:39 +0000</t>
  </si>
  <si>
    <t xml:space="preserve">2006-01-04 18:43:54 +0000</t>
  </si>
  <si>
    <t xml:space="preserve">2006-01-04 18:46:01 +0000</t>
  </si>
  <si>
    <t xml:space="preserve">2006-01-04 18:46:10 +0000</t>
  </si>
  <si>
    <t xml:space="preserve">2006-01-04 18:46:20 +0000</t>
  </si>
  <si>
    <t xml:space="preserve">2006-01-04 18:47:49 +0000</t>
  </si>
  <si>
    <t xml:space="preserve">2006-01-04 18:49:20 +0000</t>
  </si>
  <si>
    <t xml:space="preserve">2006-01-04 18:50:43 +0000</t>
  </si>
  <si>
    <t xml:space="preserve">2006-01-04 18:51:38 +0000</t>
  </si>
  <si>
    <t xml:space="preserve">2006-01-04 18:54:38 +0000</t>
  </si>
  <si>
    <t xml:space="preserve">2006-01-04 18:59:11 +0000</t>
  </si>
  <si>
    <t xml:space="preserve">2006-01-04 19:00:14 +0000</t>
  </si>
  <si>
    <t xml:space="preserve">2006-01-04 19:05:04 +0000</t>
  </si>
  <si>
    <t xml:space="preserve">2006-01-04 19:17:51 +0000</t>
  </si>
  <si>
    <t xml:space="preserve">2006-01-04 19:19:29 +0000</t>
  </si>
  <si>
    <t xml:space="preserve">2006-01-04 19:20:30 +0000</t>
  </si>
  <si>
    <t xml:space="preserve">2006-01-04 19:20:58 +0000</t>
  </si>
  <si>
    <t xml:space="preserve">2006-01-04 19:22:23 +0000</t>
  </si>
  <si>
    <t xml:space="preserve">2006-01-04 19:26:35 +0000</t>
  </si>
  <si>
    <t xml:space="preserve">2006-01-04 19:29:39 +0000</t>
  </si>
  <si>
    <t xml:space="preserve">2006-01-04 19:32:23 +0000</t>
  </si>
  <si>
    <t xml:space="preserve">2006-01-04 19:33:38 +0000</t>
  </si>
  <si>
    <t xml:space="preserve">2006-01-04 19:35:20 +0000</t>
  </si>
  <si>
    <t xml:space="preserve">2006-01-04 19:37:45 +0000</t>
  </si>
  <si>
    <t xml:space="preserve">2006-01-04 19:40:27 +0000</t>
  </si>
  <si>
    <t xml:space="preserve">2006-01-04 19:41:25 +0000</t>
  </si>
  <si>
    <t xml:space="preserve">2006-01-04 20:01:43 +0000</t>
  </si>
  <si>
    <t xml:space="preserve">2006-01-04 20:06:50 +0000</t>
  </si>
  <si>
    <t xml:space="preserve">2006-01-04 20:07:34 +0000</t>
  </si>
  <si>
    <t xml:space="preserve">2006-01-04 20:10:50 +0000</t>
  </si>
  <si>
    <t xml:space="preserve">2006-01-04 20:11:19 +0000</t>
  </si>
  <si>
    <t xml:space="preserve">2006-01-04 20:15:15 +0000</t>
  </si>
  <si>
    <t xml:space="preserve">2006-01-04 20:16:08 +0000</t>
  </si>
  <si>
    <t xml:space="preserve">2006-01-04 20:17:59 +0000</t>
  </si>
  <si>
    <t xml:space="preserve">2006-01-04 20:25:24 +0000</t>
  </si>
  <si>
    <t xml:space="preserve">2006-01-04 20:32:46 +0000</t>
  </si>
  <si>
    <t xml:space="preserve">2006-01-04 20:32:51 +0000</t>
  </si>
  <si>
    <t xml:space="preserve">2006-01-04 20:33:09 +0000</t>
  </si>
  <si>
    <t xml:space="preserve">2006-01-04 20:48:15 +0000</t>
  </si>
  <si>
    <t xml:space="preserve">2006-01-04 20:49:03 +0000</t>
  </si>
  <si>
    <t xml:space="preserve">2006-01-04 20:53:23 +0000</t>
  </si>
  <si>
    <t xml:space="preserve">2006-01-04 20:54:18 +0000</t>
  </si>
  <si>
    <t xml:space="preserve">2006-01-04 20:55:30 +0000</t>
  </si>
  <si>
    <t xml:space="preserve">2006-01-04 20:56:03 +0000</t>
  </si>
  <si>
    <t xml:space="preserve">2006-01-04 20:56:05 +0000</t>
  </si>
  <si>
    <t xml:space="preserve">2006-01-04 20:58:09 +0000</t>
  </si>
  <si>
    <t xml:space="preserve">2006-01-05 21:08:23 +0000</t>
  </si>
  <si>
    <t xml:space="preserve">2006-01-05 21:29:48 +0000</t>
  </si>
  <si>
    <t xml:space="preserve">2006-01-05 14:34:07 +0000</t>
  </si>
  <si>
    <t xml:space="preserve">2006-01-05 14:37:02 +0000</t>
  </si>
  <si>
    <t xml:space="preserve">2006-01-05 14:38:16 +0000</t>
  </si>
  <si>
    <t xml:space="preserve">2006-01-05 14:40:04 +0000</t>
  </si>
  <si>
    <t xml:space="preserve">2006-01-05 14:46:23 +0000</t>
  </si>
  <si>
    <t xml:space="preserve">2006-01-05 15:10:05 +0000</t>
  </si>
  <si>
    <t xml:space="preserve">2006-01-05 15:10:41 +0000</t>
  </si>
  <si>
    <t xml:space="preserve">2006-01-05 15:15:49 +0000</t>
  </si>
  <si>
    <t xml:space="preserve">2006-01-05 15:17:32 +0000</t>
  </si>
  <si>
    <t xml:space="preserve">2006-01-05 15:18:36 +0000</t>
  </si>
  <si>
    <t xml:space="preserve">2006-01-05 15:22:17 +0000</t>
  </si>
  <si>
    <t xml:space="preserve">2006-01-05 15:24:03 +0000</t>
  </si>
  <si>
    <t xml:space="preserve">2006-01-05 15:32:18 +0000</t>
  </si>
  <si>
    <t xml:space="preserve">2006-01-05 15:40:49 +0000</t>
  </si>
  <si>
    <t xml:space="preserve">2006-01-05 15:42:39 +0000</t>
  </si>
  <si>
    <t xml:space="preserve">2006-01-05 15:43:55 +0000</t>
  </si>
  <si>
    <t xml:space="preserve">2006-01-05 15:46:16 +0000</t>
  </si>
  <si>
    <t xml:space="preserve">2006-01-05 15:46:17 +0000</t>
  </si>
  <si>
    <t xml:space="preserve">2006-01-05 15:55:49 +0000</t>
  </si>
  <si>
    <t xml:space="preserve">2006-01-05 15:58:36 +0000</t>
  </si>
  <si>
    <t xml:space="preserve">2006-01-05 16:15:20 +0000</t>
  </si>
  <si>
    <t xml:space="preserve">2006-01-05 16:20:03 +0000</t>
  </si>
  <si>
    <t xml:space="preserve">2006-01-05 16:23:36 +0000</t>
  </si>
  <si>
    <t xml:space="preserve">2006-01-05 16:28:24 +0000</t>
  </si>
  <si>
    <t xml:space="preserve">2006-01-05 16:28:38 +0000</t>
  </si>
  <si>
    <t xml:space="preserve">2006-01-05 16:36:01 +0000</t>
  </si>
  <si>
    <t xml:space="preserve">2006-01-05 16:36:47 +0000</t>
  </si>
  <si>
    <t xml:space="preserve">2006-01-05 16:39:09 +0000</t>
  </si>
  <si>
    <t xml:space="preserve">2006-01-05 16:48:13 +0000</t>
  </si>
  <si>
    <t xml:space="preserve">2006-01-05 16:48:22 +0000</t>
  </si>
  <si>
    <t xml:space="preserve">2006-01-05 16:50:47 +0000</t>
  </si>
  <si>
    <t xml:space="preserve">2006-01-05 16:57:08 +0000</t>
  </si>
  <si>
    <t xml:space="preserve">2006-01-05 16:57:55 +0000</t>
  </si>
  <si>
    <t xml:space="preserve">2006-01-05 17:12:30 +0000</t>
  </si>
  <si>
    <t xml:space="preserve">2006-01-05 17:15:13 +0000</t>
  </si>
  <si>
    <t xml:space="preserve">2006-01-05 17:15:45 +0000</t>
  </si>
  <si>
    <t xml:space="preserve">2006-01-05 17:19:10 +0000</t>
  </si>
  <si>
    <t xml:space="preserve">2006-01-05 17:22:10 +0000</t>
  </si>
  <si>
    <t xml:space="preserve">2006-01-05 17:25:44 +0000</t>
  </si>
  <si>
    <t xml:space="preserve">2006-01-05 17:34:52 +0000</t>
  </si>
  <si>
    <t xml:space="preserve">2006-01-05 17:35:13 +0000</t>
  </si>
  <si>
    <t xml:space="preserve">2006-01-05 17:35:29 +0000</t>
  </si>
  <si>
    <t xml:space="preserve">2006-01-05 17:39:37 +0000</t>
  </si>
  <si>
    <t xml:space="preserve">2006-01-05 17:45:21 +0000</t>
  </si>
  <si>
    <t xml:space="preserve">2006-01-05 18:13:17 +0000</t>
  </si>
  <si>
    <t xml:space="preserve">2006-01-05 18:13:33 +0000</t>
  </si>
  <si>
    <t xml:space="preserve">2006-01-05 18:16:38 +0000</t>
  </si>
  <si>
    <t xml:space="preserve">2006-01-05 18:17:30 +0000</t>
  </si>
  <si>
    <t xml:space="preserve">2006-01-05 19:00:02 +0000</t>
  </si>
  <si>
    <t xml:space="preserve">2006-01-05 19:05:25 +0000</t>
  </si>
  <si>
    <t xml:space="preserve">2006-01-05 19:06:25 +0000</t>
  </si>
  <si>
    <t xml:space="preserve">2006-01-05 19:08:45 +0000</t>
  </si>
  <si>
    <t xml:space="preserve">2006-01-05 19:26:25 +0000</t>
  </si>
  <si>
    <t xml:space="preserve">2006-01-05 19:27:23 +0000</t>
  </si>
  <si>
    <t xml:space="preserve">2006-01-05 19:43:32 +0000</t>
  </si>
  <si>
    <t xml:space="preserve">2006-01-05 19:51:12 +0000</t>
  </si>
  <si>
    <t xml:space="preserve">2006-01-05 19:52:57 +0000</t>
  </si>
  <si>
    <t xml:space="preserve">2006-01-05 19:56:33 +0000</t>
  </si>
  <si>
    <t xml:space="preserve">2006-01-05 20:02:46 +0000</t>
  </si>
  <si>
    <t xml:space="preserve">2006-01-05 20:16:27 +0000</t>
  </si>
  <si>
    <t xml:space="preserve">2006-01-05 20:19:51 +0000</t>
  </si>
  <si>
    <t xml:space="preserve">2006-01-05 20:20:04 +0000</t>
  </si>
  <si>
    <t xml:space="preserve">2006-01-05 20:24:43 +0000</t>
  </si>
  <si>
    <t xml:space="preserve">2006-01-05 20:26:12 +0000</t>
  </si>
  <si>
    <t xml:space="preserve">2006-01-05 20:26:17 +0000</t>
  </si>
  <si>
    <t xml:space="preserve">2006-01-05 20:29:09 +0000</t>
  </si>
  <si>
    <t xml:space="preserve">2006-01-05 20:30:07 +0000</t>
  </si>
  <si>
    <t xml:space="preserve">2006-01-05 20:32:12 +0000</t>
  </si>
  <si>
    <t xml:space="preserve">2006-01-05 20:33:30 +0000</t>
  </si>
  <si>
    <t xml:space="preserve">2006-01-05 20:35:58 +0000</t>
  </si>
  <si>
    <t xml:space="preserve">2006-01-05 20:45:12 +0000</t>
  </si>
  <si>
    <t xml:space="preserve">2006-01-05 20:50:18 +0000</t>
  </si>
  <si>
    <t xml:space="preserve">2006-01-05 20:59:01 +0000</t>
  </si>
  <si>
    <t xml:space="preserve">2006-01-05 20:59:04 +0000</t>
  </si>
  <si>
    <t xml:space="preserve">2006-01-05 21:06:18 +0000</t>
  </si>
  <si>
    <t xml:space="preserve">2006-01-05 21:17:42 +0000</t>
  </si>
  <si>
    <t xml:space="preserve">2006-01-05 21:24:26 +0000</t>
  </si>
  <si>
    <t xml:space="preserve">2006-01-05 22:55:09 +0000</t>
  </si>
  <si>
    <t xml:space="preserve"> </t>
  </si>
  <si>
    <t xml:space="preserve">1 Month</t>
  </si>
  <si>
    <t xml:space="preserve">3 Months</t>
  </si>
  <si>
    <t xml:space="preserve">6 Months</t>
  </si>
  <si>
    <t xml:space="preserve">9 Months</t>
  </si>
  <si>
    <t xml:space="preserve">1 Year</t>
  </si>
  <si>
    <t xml:space="preserve">Account Return</t>
  </si>
  <si>
    <t xml:space="preserve">Benchmark Return</t>
  </si>
  <si>
    <t xml:space="preserve">Account Volatility</t>
  </si>
  <si>
    <t xml:space="preserve">N/A</t>
  </si>
  <si>
    <t xml:space="preserve">Benchmark Volatility</t>
  </si>
  <si>
    <t xml:space="preserve">Tracking Error</t>
  </si>
  <si>
    <t xml:space="preserve">Account Sharpe Ratio</t>
  </si>
  <si>
    <t xml:space="preserve">Beta</t>
  </si>
  <si>
    <t xml:space="preserve">Alpha</t>
  </si>
  <si>
    <t xml:space="preserve">Maximum Loss</t>
  </si>
  <si>
    <t xml:space="preserve"> End of Quarter</t>
  </si>
  <si>
    <t xml:space="preserve">Return</t>
  </si>
  <si>
    <t xml:space="preserve">Return Since Inception</t>
  </si>
  <si>
    <t xml:space="preserve">Return 1 Year</t>
  </si>
  <si>
    <t xml:space="preserve">Volatility 1 Year</t>
  </si>
  <si>
    <t xml:space="preserve">Sharpe Ratio 1 Year</t>
  </si>
  <si>
    <t xml:space="preserve">Q4 02</t>
  </si>
  <si>
    <t xml:space="preserve">   Account</t>
  </si>
  <si>
    <t xml:space="preserve">   Benchmark</t>
  </si>
  <si>
    <t xml:space="preserve">   Relative</t>
  </si>
  <si>
    <t xml:space="preserve">Q3 02</t>
  </si>
  <si>
    <t xml:space="preserve">Q2 02</t>
  </si>
  <si>
    <t xml:space="preserve">Weight</t>
  </si>
  <si>
    <t xml:space="preserve">Contribution to Return</t>
  </si>
  <si>
    <t xml:space="preserve">Attribution</t>
  </si>
  <si>
    <t xml:space="preserve">Segment</t>
  </si>
  <si>
    <t xml:space="preserve">Account</t>
  </si>
  <si>
    <t xml:space="preserve">Benchmark</t>
  </si>
  <si>
    <t xml:space="preserve">Relative</t>
  </si>
  <si>
    <t xml:space="preserve">Allocation</t>
  </si>
  <si>
    <t xml:space="preserve">Selection + Interaction</t>
  </si>
  <si>
    <t xml:space="preserve">Finland</t>
  </si>
  <si>
    <t xml:space="preserve">   Others</t>
  </si>
  <si>
    <t xml:space="preserve">      Nokia A</t>
  </si>
  <si>
    <t xml:space="preserve">France</t>
  </si>
  <si>
    <t xml:space="preserve">      Electrocomponents</t>
  </si>
  <si>
    <t xml:space="preserve">      L'OREAL</t>
  </si>
  <si>
    <t xml:space="preserve">      PERNOD-RICARD</t>
  </si>
  <si>
    <t xml:space="preserve">      TotalFinaElf</t>
  </si>
  <si>
    <t xml:space="preserve">      France Telecom</t>
  </si>
  <si>
    <t xml:space="preserve">      Sanofi-Synthelabo</t>
  </si>
  <si>
    <t xml:space="preserve">      Orange</t>
  </si>
  <si>
    <t xml:space="preserve">      Essilor International</t>
  </si>
  <si>
    <t xml:space="preserve">Germany</t>
  </si>
  <si>
    <t xml:space="preserve">      SAP</t>
  </si>
  <si>
    <t xml:space="preserve">      Gehe</t>
  </si>
  <si>
    <t xml:space="preserve">      Deutsche Borse</t>
  </si>
  <si>
    <t xml:space="preserve">      PORCHE NON V.PRF</t>
  </si>
  <si>
    <t xml:space="preserve">Ireland</t>
  </si>
  <si>
    <t xml:space="preserve">      Ryanair ADR</t>
  </si>
  <si>
    <t xml:space="preserve">      Ryanair Holdings</t>
  </si>
  <si>
    <t xml:space="preserve">      CRH</t>
  </si>
  <si>
    <t xml:space="preserve">Spain</t>
  </si>
  <si>
    <t xml:space="preserve">   Tobacco</t>
  </si>
  <si>
    <t xml:space="preserve">      Altadis</t>
  </si>
  <si>
    <t xml:space="preserve">      Banco Popular</t>
  </si>
  <si>
    <t xml:space="preserve">Drawdown Calculations</t>
  </si>
  <si>
    <t xml:space="preserve">Daily Ret</t>
  </si>
  <si>
    <t xml:space="preserve">Cum Ret</t>
  </si>
  <si>
    <t xml:space="preserve">EOM</t>
  </si>
  <si>
    <t xml:space="preserve">prev max</t>
  </si>
  <si>
    <t xml:space="preserve">Average Daily Return</t>
  </si>
  <si>
    <t xml:space="preserve">Annualized Return</t>
  </si>
  <si>
    <t xml:space="preserve">Standard Dev of Daily Returns</t>
  </si>
  <si>
    <t xml:space="preserve">Annualized St Dev of Returns</t>
  </si>
  <si>
    <t xml:space="preserve">Risk Free</t>
  </si>
  <si>
    <t xml:space="preserve">Sharpe</t>
  </si>
  <si>
    <t xml:space="preserve">Downside Diff</t>
  </si>
  <si>
    <t xml:space="preserve">Square of Downside Diff</t>
  </si>
  <si>
    <t xml:space="preserve">Annualized Downside Risk</t>
  </si>
  <si>
    <t xml:space="preserve">Sortino</t>
  </si>
  <si>
    <t xml:space="preserve">Mean Benchmark Returns</t>
  </si>
  <si>
    <t xml:space="preserve">Annualized Benchmark</t>
  </si>
  <si>
    <t xml:space="preserve">Standard Dev of Bench returns</t>
  </si>
  <si>
    <t xml:space="preserve">Annualized St Dev of Bench</t>
  </si>
  <si>
    <t xml:space="preserve">Information</t>
  </si>
  <si>
    <t xml:space="preserve">Algorithm Covariance</t>
  </si>
  <si>
    <t xml:space="preserve">Benchmark Variance</t>
  </si>
  <si>
    <t xml:space="preserve">Peak</t>
  </si>
  <si>
    <t xml:space="preserve">Drawdown</t>
  </si>
  <si>
    <t xml:space="preserve">Max Drawdown</t>
  </si>
  <si>
    <t xml:space="preserve">Adjusted Returns</t>
  </si>
  <si>
    <t xml:space="preserve">Mean Adj. Returns</t>
  </si>
  <si>
    <t xml:space="preserve">Stdev Adj. Returns</t>
  </si>
  <si>
    <t xml:space="preserve">F</t>
  </si>
  <si>
    <t xml:space="preserve">G</t>
  </si>
  <si>
    <t xml:space="preserve">H</t>
  </si>
  <si>
    <t xml:space="preserve">I</t>
  </si>
  <si>
    <t xml:space="preserve">Q</t>
  </si>
  <si>
    <t xml:space="preserve">portfolio value</t>
  </si>
  <si>
    <t xml:space="preserve">pnl</t>
  </si>
  <si>
    <t xml:space="preserve">Annualized Mean Ret</t>
  </si>
  <si>
    <t xml:space="preserve">Downside diff (running annual)</t>
  </si>
  <si>
    <t xml:space="preserve">Downside diff (monthly reset)</t>
  </si>
  <si>
    <t xml:space="preserve">Returns – Market</t>
  </si>
  <si>
    <t xml:space="preserve">Square 
Downside Diff</t>
  </si>
  <si>
    <t xml:space="preserve">max drawdown:</t>
  </si>
  <si>
    <t xml:space="preserve">high point to low point successively</t>
  </si>
  <si>
    <t xml:space="preserve">volatility</t>
  </si>
  <si>
    <t xml:space="preserve">Best</t>
  </si>
  <si>
    <t xml:space="preserve">Worst</t>
  </si>
  <si>
    <t xml:space="preserve">max-min or max-end</t>
  </si>
  <si>
    <t xml:space="preserve">1 month</t>
  </si>
  <si>
    <t xml:space="preserve">3 month</t>
  </si>
  <si>
    <t xml:space="preserve">6 month</t>
  </si>
  <si>
    <t xml:space="preserve">1 year</t>
  </si>
  <si>
    <t xml:space="preserve">3 year</t>
  </si>
  <si>
    <t xml:space="preserve">5 year</t>
  </si>
  <si>
    <t xml:space="preserve">Maximum Drawdown</t>
  </si>
  <si>
    <t xml:space="preserve">Returns</t>
  </si>
  <si>
    <t xml:space="preserve">Average Daily Rets</t>
  </si>
  <si>
    <t xml:space="preserve">Volatility</t>
  </si>
  <si>
    <t xml:space="preserve">Drawdown %</t>
  </si>
  <si>
    <t xml:space="preserve">Downside Risk</t>
  </si>
  <si>
    <t xml:space="preserve">Mean of (Returns – Benchmark)</t>
  </si>
  <si>
    <t xml:space="preserve">Stddev of (Returns – Benchmark)</t>
  </si>
  <si>
    <t xml:space="preserve">Monthly</t>
  </si>
  <si>
    <t xml:space="preserve">3-Month</t>
  </si>
  <si>
    <t xml:space="preserve">6-month</t>
  </si>
  <si>
    <t xml:space="preserve">year</t>
  </si>
  <si>
    <t xml:space="preserve">Information Ratio</t>
  </si>
  <si>
    <t xml:space="preserve">attribution</t>
  </si>
  <si>
    <t xml:space="preserve">contribution to return</t>
  </si>
  <si>
    <t xml:space="preserve">Portfolio Value</t>
  </si>
  <si>
    <t xml:space="preserve">Open</t>
  </si>
  <si>
    <t xml:space="preserve">High</t>
  </si>
  <si>
    <t xml:space="preserve">Low</t>
  </si>
  <si>
    <t xml:space="preserve">Close</t>
  </si>
  <si>
    <t xml:space="preserve">Volume</t>
  </si>
  <si>
    <t xml:space="preserve">Adj Close</t>
  </si>
  <si>
    <t xml:space="preserve">daily vol</t>
  </si>
  <si>
    <t xml:space="preserve">Change</t>
  </si>
  <si>
    <t xml:space="preserve">New Year's Day</t>
  </si>
  <si>
    <t xml:space="preserve">01/01/2008</t>
  </si>
  <si>
    <t xml:space="preserve">Martin Luther King Jr. Day</t>
  </si>
  <si>
    <t xml:space="preserve">01/21/2008</t>
  </si>
  <si>
    <t xml:space="preserve">President's Day</t>
  </si>
  <si>
    <t xml:space="preserve">02/18/2008</t>
  </si>
  <si>
    <t xml:space="preserve">Good Friday</t>
  </si>
  <si>
    <t xml:space="preserve">03/21/2008</t>
  </si>
  <si>
    <t xml:space="preserve">Memorial Day</t>
  </si>
  <si>
    <t xml:space="preserve">05/26/2008</t>
  </si>
  <si>
    <t xml:space="preserve">Independence Day</t>
  </si>
  <si>
    <t xml:space="preserve">07/04/2008</t>
  </si>
  <si>
    <t xml:space="preserve">Labor Day</t>
  </si>
  <si>
    <t xml:space="preserve">09/01/2008</t>
  </si>
  <si>
    <t xml:space="preserve">Thanksgiving Day</t>
  </si>
  <si>
    <t xml:space="preserve">11/27/2008</t>
  </si>
  <si>
    <t xml:space="preserve">Christmas</t>
  </si>
  <si>
    <t xml:space="preserve">12/25/2008</t>
  </si>
  <si>
    <t xml:space="preserve">added holiday</t>
  </si>
  <si>
    <t xml:space="preserve">A</t>
  </si>
  <si>
    <t xml:space="preserve">B</t>
  </si>
  <si>
    <t xml:space="preserve">C</t>
  </si>
  <si>
    <t xml:space="preserve">D</t>
  </si>
  <si>
    <t xml:space="preserve">E</t>
  </si>
  <si>
    <t xml:space="preserve">J</t>
  </si>
  <si>
    <t xml:space="preserve">K</t>
  </si>
  <si>
    <t xml:space="preserve">L</t>
  </si>
  <si>
    <t xml:space="preserve">M</t>
  </si>
  <si>
    <t xml:space="preserve">N</t>
  </si>
  <si>
    <t xml:space="preserve">O</t>
  </si>
  <si>
    <t xml:space="preserve">P</t>
  </si>
  <si>
    <t xml:space="preserve">R</t>
  </si>
  <si>
    <t xml:space="preserve">S</t>
  </si>
  <si>
    <t xml:space="preserve">T</t>
  </si>
  <si>
    <t xml:space="preserve">U</t>
  </si>
  <si>
    <t xml:space="preserve">V</t>
  </si>
  <si>
    <t xml:space="preserve">W</t>
  </si>
  <si>
    <t xml:space="preserve">X</t>
  </si>
  <si>
    <t xml:space="preserve">Y</t>
  </si>
  <si>
    <t xml:space="preserve">Z</t>
  </si>
  <si>
    <t xml:space="preserve">Downside diff (trailing 3mo 1)</t>
  </si>
  <si>
    <t xml:space="preserve">Downside diff (trailing 3mo 2)</t>
  </si>
  <si>
    <t xml:space="preserve">Downside diff (trailing 3mo 3)</t>
  </si>
  <si>
    <t xml:space="preserve">Downside diff (trailing 3mo 4)</t>
  </si>
  <si>
    <t xml:space="preserve">Downside diff (trailing 3mo 5)</t>
  </si>
  <si>
    <t xml:space="preserve">Downside diff (trailing 3mo 6)</t>
  </si>
  <si>
    <t xml:space="preserve">Downside diff (trailing 3mo 7)</t>
  </si>
  <si>
    <t xml:space="preserve">Downside diff (trailing 3mo 8)</t>
  </si>
  <si>
    <t xml:space="preserve">Downside diff (trailing 3mo 9)</t>
  </si>
  <si>
    <t xml:space="preserve">Downside diff (trailing 3mo 10)</t>
  </si>
  <si>
    <t xml:space="preserve">Downside diff (trailing 6mo 1)</t>
  </si>
  <si>
    <t xml:space="preserve">Downside diff (trailing 6mo 2)</t>
  </si>
  <si>
    <t xml:space="preserve">Downside diff (trailing 6mo 3)</t>
  </si>
  <si>
    <t xml:space="preserve">Downside diff (trailing 6mo 4)</t>
  </si>
  <si>
    <t xml:space="preserve">Downside diff (trailing 6mo 5)</t>
  </si>
  <si>
    <t xml:space="preserve">Downside diff (trailing 6mo 6)</t>
  </si>
  <si>
    <t xml:space="preserve">Downside diff (trailing 6mo 7)</t>
  </si>
  <si>
    <t xml:space="preserve">Std Dev:</t>
  </si>
  <si>
    <t xml:space="preserve">Count days:</t>
  </si>
  <si>
    <t xml:space="preserve">Downside diff</t>
  </si>
  <si>
    <t xml:space="preserve">The risk metrics volatility, variance and covariance for the algorithm returns and the benchmark returns are computed and displayed in two ways in the backtester, (1) cumulative stats are displayed in the 'Overall Results' Section, (2) Period results for rolling 1,3,6 and 12 month periods are displayed in the detail section. Because our pricing data is always a sample (taken at minutely or daily intervals) we will use the 'sample' versions of standard deviation, variance and co-variance in both the cumulative and the period calculations in the backtester.</t>
  </si>
  <si>
    <t xml:space="preserve">AS OF</t>
  </si>
  <si>
    <t xml:space="preserve">Cumulative</t>
  </si>
  <si>
    <t xml:space="preserve">Period</t>
  </si>
  <si>
    <t xml:space="preserve">benchmark_volatility</t>
  </si>
  <si>
    <t xml:space="preserve">Correct usage</t>
  </si>
  <si>
    <t xml:space="preserve">Sample</t>
  </si>
  <si>
    <t xml:space="preserve">Python</t>
  </si>
  <si>
    <t xml:space="preserve">Population</t>
  </si>
  <si>
    <t xml:space="preserve">This spreadsheet</t>
  </si>
  <si>
    <t xml:space="preserve">STDEV()</t>
  </si>
  <si>
    <t xml:space="preserve">Estimates standard deviation based on a sample. The standard deviation is a measure of how widely values are dispersed from the average value (the mean).</t>
  </si>
  <si>
    <t xml:space="preserve">algo_volatility</t>
  </si>
  <si>
    <t xml:space="preserve">algorithm_covariance</t>
  </si>
  <si>
    <t xml:space="preserve">COVARIANCE.S()</t>
  </si>
  <si>
    <t xml:space="preserve">Returns the sample covariance the average of the products of deviations for each data point pair in two data sets.</t>
  </si>
  <si>
    <t xml:space="preserve">benchmark_variance</t>
  </si>
  <si>
    <t xml:space="preserve">VAR.S()</t>
  </si>
  <si>
    <t xml:space="preserve">Estimates variance based on a sample (ignores logical values and text in the sample).</t>
  </si>
</sst>
</file>

<file path=xl/styles.xml><?xml version="1.0" encoding="utf-8"?>
<styleSheet xmlns="http://schemas.openxmlformats.org/spreadsheetml/2006/main">
  <numFmts count="26">
    <numFmt numFmtId="164" formatCode="General"/>
    <numFmt numFmtId="165" formatCode="0.00%;\-0.00%;&quot;&quot;"/>
    <numFmt numFmtId="166" formatCode="0.00%"/>
    <numFmt numFmtId="167" formatCode="M/D/YYYY"/>
    <numFmt numFmtId="168" formatCode="* #,##0.00\ ;* \(#,##0.00\);* \-#\ ;@\ "/>
    <numFmt numFmtId="169" formatCode="* #,##0\ ;* \(#,##0\);* \-#\ ;@\ "/>
    <numFmt numFmtId="170" formatCode="MM/DD/YYYY\ HH:MM:SS;&quot;&quot;;&quot;&quot;"/>
    <numFmt numFmtId="171" formatCode="#,##0.00"/>
    <numFmt numFmtId="172" formatCode="0.000"/>
    <numFmt numFmtId="173" formatCode="0.00000"/>
    <numFmt numFmtId="174" formatCode="0.000%"/>
    <numFmt numFmtId="175" formatCode="#,##0\ ;[RED]\(#,##0\)"/>
    <numFmt numFmtId="176" formatCode="0.00000000"/>
    <numFmt numFmtId="177" formatCode="0.0000000000"/>
    <numFmt numFmtId="178" formatCode="0.000000000"/>
    <numFmt numFmtId="179" formatCode="0.00000%"/>
    <numFmt numFmtId="180" formatCode="0.000000"/>
    <numFmt numFmtId="181" formatCode="M/D/YYYY\ H:MM"/>
    <numFmt numFmtId="182" formatCode="MMMM"/>
    <numFmt numFmtId="183" formatCode="0.0%"/>
    <numFmt numFmtId="184" formatCode="0.00E+00"/>
    <numFmt numFmtId="185" formatCode="0.0000"/>
    <numFmt numFmtId="186" formatCode="#,##0"/>
    <numFmt numFmtId="187" formatCode="0.00"/>
    <numFmt numFmtId="188" formatCode="0.0000000000000000%"/>
    <numFmt numFmtId="189" formatCode="0.0000000000000000000"/>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Tahoma"/>
      <family val="2"/>
      <charset val="1"/>
    </font>
    <font>
      <sz val="9"/>
      <color rgb="FF000000"/>
      <name val="Tahoma"/>
      <family val="2"/>
      <charset val="1"/>
    </font>
    <font>
      <sz val="10"/>
      <color rgb="FF000000"/>
      <name val="Calibri"/>
      <family val="2"/>
      <charset val="1"/>
    </font>
    <font>
      <sz val="10"/>
      <color rgb="FF000000"/>
      <name val="Arial"/>
      <family val="2"/>
      <charset val="1"/>
    </font>
    <font>
      <sz val="14"/>
      <color rgb="FF000000"/>
      <name val="Calibri"/>
      <family val="2"/>
      <charset val="1"/>
    </font>
    <font>
      <b val="true"/>
      <sz val="15"/>
      <color rgb="FF333333"/>
      <name val="Arial"/>
      <family val="2"/>
      <charset val="1"/>
    </font>
    <font>
      <sz val="15"/>
      <color rgb="FF333333"/>
      <name val="Arial"/>
      <family val="2"/>
      <charset val="1"/>
    </font>
  </fonts>
  <fills count="4">
    <fill>
      <patternFill patternType="none"/>
    </fill>
    <fill>
      <patternFill patternType="gray125"/>
    </fill>
    <fill>
      <patternFill patternType="solid">
        <fgColor rgb="FFF6F7ED"/>
        <bgColor rgb="FFFFFFFF"/>
      </patternFill>
    </fill>
    <fill>
      <patternFill patternType="solid">
        <fgColor rgb="FFFFFFFF"/>
        <bgColor rgb="FFF6F7ED"/>
      </patternFill>
    </fill>
  </fills>
  <borders count="27">
    <border diagonalUp="false" diagonalDown="false">
      <left/>
      <right/>
      <top/>
      <bottom/>
      <diagonal/>
    </border>
    <border diagonalUp="false" diagonalDown="false">
      <left/>
      <right/>
      <top style="thin"/>
      <bottom style="medium"/>
      <diagonal/>
    </border>
    <border diagonalUp="false" diagonalDown="false">
      <left/>
      <right/>
      <top/>
      <bottom style="thin"/>
      <diagonal/>
    </border>
    <border diagonalUp="false" diagonalDown="false">
      <left style="thin"/>
      <right style="thin"/>
      <top style="thin"/>
      <bottom/>
      <diagonal/>
    </border>
    <border diagonalUp="false" diagonalDown="false">
      <left/>
      <right style="medium"/>
      <top style="thin"/>
      <bottom style="dashed"/>
      <diagonal/>
    </border>
    <border diagonalUp="false" diagonalDown="false">
      <left/>
      <right style="thin"/>
      <top style="thin"/>
      <bottom style="dashed"/>
      <diagonal/>
    </border>
    <border diagonalUp="false" diagonalDown="false">
      <left style="thin"/>
      <right style="thin"/>
      <top/>
      <bottom style="medium"/>
      <diagonal/>
    </border>
    <border diagonalUp="false" diagonalDown="false">
      <left/>
      <right/>
      <top style="dashed"/>
      <bottom style="medium"/>
      <diagonal/>
    </border>
    <border diagonalUp="false" diagonalDown="false">
      <left/>
      <right style="medium"/>
      <top style="dashed"/>
      <bottom style="medium"/>
      <diagonal/>
    </border>
    <border diagonalUp="false" diagonalDown="false">
      <left/>
      <right style="thin"/>
      <top style="dashed"/>
      <bottom style="medium"/>
      <diagonal/>
    </border>
    <border diagonalUp="false" diagonalDown="false">
      <left style="thin"/>
      <right style="thin"/>
      <top/>
      <bottom/>
      <diagonal/>
    </border>
    <border diagonalUp="false" diagonalDown="false">
      <left/>
      <right style="medium"/>
      <top/>
      <bottom/>
      <diagonal/>
    </border>
    <border diagonalUp="false" diagonalDown="false">
      <left/>
      <right style="thin"/>
      <top/>
      <bottom/>
      <diagonal/>
    </border>
    <border diagonalUp="false" diagonalDown="false">
      <left style="thin"/>
      <right style="thin"/>
      <top/>
      <bottom style="thin"/>
      <diagonal/>
    </border>
    <border diagonalUp="false" diagonalDown="false">
      <left/>
      <right style="medium"/>
      <top/>
      <bottom style="thin"/>
      <diagonal/>
    </border>
    <border diagonalUp="false" diagonalDown="false">
      <left/>
      <right style="thin"/>
      <top/>
      <bottom style="thin"/>
      <diagonal/>
    </border>
    <border diagonalUp="false" diagonalDown="false">
      <left/>
      <right style="dashed"/>
      <top/>
      <bottom/>
      <diagonal/>
    </border>
    <border diagonalUp="false" diagonalDown="false">
      <left/>
      <right style="dashed"/>
      <top/>
      <bottom style="thin"/>
      <diagonal/>
    </border>
    <border diagonalUp="false" diagonalDown="false">
      <left style="hair"/>
      <right style="thin">
        <color rgb="FF9A9A9A"/>
      </right>
      <top style="hair">
        <color rgb="FF9A9A9A"/>
      </top>
      <bottom style="hair">
        <color rgb="FF9A9A9A"/>
      </bottom>
      <diagonal/>
    </border>
    <border diagonalUp="false" diagonalDown="false">
      <left style="hair">
        <color rgb="FF9A9A9A"/>
      </left>
      <right style="thin">
        <color rgb="FF9A9A9A"/>
      </right>
      <top style="hair">
        <color rgb="FF9A9A9A"/>
      </top>
      <bottom style="hair">
        <color rgb="FF9A9A9A"/>
      </bottom>
      <diagonal/>
    </border>
    <border diagonalUp="false" diagonalDown="false">
      <left style="hair">
        <color rgb="FF9A9A9A"/>
      </left>
      <right style="thin"/>
      <top style="hair">
        <color rgb="FF9A9A9A"/>
      </top>
      <bottom style="hair">
        <color rgb="FF9A9A9A"/>
      </bottom>
      <diagonal/>
    </border>
    <border diagonalUp="false" diagonalDown="false">
      <left/>
      <right style="medium">
        <color rgb="FF99CCFF"/>
      </right>
      <top/>
      <bottom style="medium">
        <color rgb="FF99CCFF"/>
      </bottom>
      <diagonal/>
    </border>
    <border diagonalUp="false" diagonalDown="false">
      <left style="medium">
        <color rgb="FF99CCFF"/>
      </left>
      <right/>
      <top/>
      <bottom style="medium">
        <color rgb="FF99CCFF"/>
      </bottom>
      <diagonal/>
    </border>
    <border diagonalUp="false" diagonalDown="false">
      <left/>
      <right style="medium">
        <color rgb="FF99CCFF"/>
      </right>
      <top style="medium">
        <color rgb="FF99CCFF"/>
      </top>
      <bottom style="medium">
        <color rgb="FF99CCFF"/>
      </bottom>
      <diagonal/>
    </border>
    <border diagonalUp="false" diagonalDown="false">
      <left style="medium">
        <color rgb="FF99CCFF"/>
      </left>
      <right/>
      <top style="medium">
        <color rgb="FF99CCFF"/>
      </top>
      <bottom style="medium">
        <color rgb="FF99CCFF"/>
      </bottom>
      <diagonal/>
    </border>
    <border diagonalUp="false" diagonalDown="false">
      <left/>
      <right style="medium">
        <color rgb="FF99CCFF"/>
      </right>
      <top style="medium">
        <color rgb="FF99CCFF"/>
      </top>
      <bottom/>
      <diagonal/>
    </border>
    <border diagonalUp="false" diagonalDown="false">
      <left style="medium">
        <color rgb="FF99CCFF"/>
      </left>
      <right/>
      <top style="medium">
        <color rgb="FF99CCF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15" applyFont="true" applyBorder="true" applyAlignment="true" applyProtection="tru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6" fontId="0" fillId="0" borderId="0" xfId="0" applyFont="false" applyBorder="true" applyAlignment="true" applyProtection="false">
      <alignment horizontal="center" vertical="bottom" textRotation="0" wrapText="false" indent="0" shrinkToFit="false"/>
      <protection locked="true" hidden="false"/>
    </xf>
    <xf numFmtId="175"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3" fontId="0" fillId="0" borderId="0" xfId="0" applyFont="tru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79" fontId="0" fillId="0" borderId="0" xfId="0" applyFont="false" applyBorder="false" applyAlignment="false" applyProtection="false">
      <alignment horizontal="general" vertical="bottom" textRotation="0" wrapText="false" indent="0" shrinkToFit="false"/>
      <protection locked="true" hidden="false"/>
    </xf>
    <xf numFmtId="180" fontId="0" fillId="0" borderId="0" xfId="0" applyFont="false" applyBorder="false" applyAlignment="false" applyProtection="false">
      <alignment horizontal="general" vertical="bottom" textRotation="0" wrapText="false" indent="0" shrinkToFit="false"/>
      <protection locked="true" hidden="false"/>
    </xf>
    <xf numFmtId="179" fontId="0" fillId="0" borderId="0" xfId="0" applyFont="true" applyBorder="false" applyAlignment="true" applyProtection="false">
      <alignment horizontal="center" vertical="bottom" textRotation="0" wrapText="false" indent="0" shrinkToFit="false"/>
      <protection locked="true" hidden="false"/>
    </xf>
    <xf numFmtId="180" fontId="0" fillId="0" borderId="0" xfId="0" applyFont="true" applyBorder="false" applyAlignment="true" applyProtection="false">
      <alignment horizontal="center" vertical="bottom" textRotation="0" wrapText="false" indent="0" shrinkToFit="false"/>
      <protection locked="true" hidden="false"/>
    </xf>
    <xf numFmtId="179"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80" fontId="0" fillId="0" borderId="0" xfId="0" applyFont="true" applyBorder="false" applyAlignment="true" applyProtection="false">
      <alignment horizontal="general" vertical="bottom" textRotation="0" wrapText="true" indent="0" shrinkToFit="false"/>
      <protection locked="true" hidden="false"/>
    </xf>
    <xf numFmtId="179" fontId="0" fillId="0" borderId="0" xfId="0" applyFont="true" applyBorder="false" applyAlignment="false" applyProtection="false">
      <alignment horizontal="general" vertical="bottom" textRotation="0" wrapText="false" indent="0" shrinkToFit="false"/>
      <protection locked="true" hidden="false"/>
    </xf>
    <xf numFmtId="180"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72" fontId="0" fillId="0" borderId="0" xfId="0" applyFont="fals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81" fontId="0" fillId="0" borderId="0" xfId="0" applyFont="true" applyBorder="false" applyAlignment="false" applyProtection="false">
      <alignment horizontal="general" vertical="bottom" textRotation="0" wrapText="false" indent="0" shrinkToFit="false"/>
      <protection locked="true" hidden="false"/>
    </xf>
    <xf numFmtId="175" fontId="0" fillId="0" borderId="0"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4" fillId="0" borderId="17"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7" fontId="0" fillId="0" borderId="12" xfId="0" applyFont="false" applyBorder="true" applyAlignment="false" applyProtection="false">
      <alignment horizontal="general" vertical="bottom" textRotation="0" wrapText="false" indent="0" shrinkToFit="false"/>
      <protection locked="true" hidden="false"/>
    </xf>
    <xf numFmtId="182" fontId="0" fillId="0" borderId="12" xfId="0" applyFont="false" applyBorder="true" applyAlignment="true" applyProtection="false">
      <alignment horizontal="left" vertical="bottom" textRotation="0" wrapText="false" indent="0" shrinkToFit="false"/>
      <protection locked="true" hidden="false"/>
    </xf>
    <xf numFmtId="175" fontId="0" fillId="0" borderId="16" xfId="0" applyFont="false" applyBorder="true" applyAlignment="false" applyProtection="false">
      <alignment horizontal="general" vertical="bottom" textRotation="0" wrapText="false" indent="0" shrinkToFit="false"/>
      <protection locked="true" hidden="false"/>
    </xf>
    <xf numFmtId="164" fontId="0" fillId="3" borderId="18" xfId="0" applyFont="true" applyBorder="true" applyAlignment="true" applyProtection="false">
      <alignment horizontal="right" vertical="bottom" textRotation="0" wrapText="false" indent="0" shrinkToFit="false"/>
      <protection locked="true" hidden="false"/>
    </xf>
    <xf numFmtId="164" fontId="0" fillId="3" borderId="19" xfId="0" applyFont="true" applyBorder="true" applyAlignment="false" applyProtection="false">
      <alignment horizontal="general" vertical="bottom" textRotation="0" wrapText="false" indent="0" shrinkToFit="false"/>
      <protection locked="true" hidden="false"/>
    </xf>
    <xf numFmtId="164" fontId="0" fillId="3" borderId="20" xfId="0" applyFont="true" applyBorder="true" applyAlignment="false" applyProtection="false">
      <alignment horizontal="general" vertical="bottom" textRotation="0" wrapText="false" indent="0" shrinkToFit="false"/>
      <protection locked="true" hidden="false"/>
    </xf>
    <xf numFmtId="166" fontId="0" fillId="0" borderId="16" xfId="0" applyFont="false" applyBorder="true" applyAlignment="false" applyProtection="false">
      <alignment horizontal="general" vertical="bottom" textRotation="0" wrapText="false" indent="0" shrinkToFit="false"/>
      <protection locked="true" hidden="false"/>
    </xf>
    <xf numFmtId="183" fontId="0" fillId="0" borderId="0" xfId="0" applyFont="true" applyBorder="false" applyAlignment="false" applyProtection="false">
      <alignment horizontal="general" vertical="bottom" textRotation="0" wrapText="false" indent="0" shrinkToFit="false"/>
      <protection locked="true" hidden="false"/>
    </xf>
    <xf numFmtId="184" fontId="0" fillId="0" borderId="0" xfId="0" applyFont="false" applyBorder="false" applyAlignment="false" applyProtection="false">
      <alignment horizontal="general" vertical="bottom" textRotation="0" wrapText="false" indent="0" shrinkToFit="false"/>
      <protection locked="true" hidden="false"/>
    </xf>
    <xf numFmtId="185" fontId="0" fillId="0" borderId="0" xfId="0" applyFont="false" applyBorder="false" applyAlignment="false" applyProtection="false">
      <alignment horizontal="general" vertical="bottom" textRotation="0" wrapText="false" indent="0" shrinkToFit="false"/>
      <protection locked="true" hidden="false"/>
    </xf>
    <xf numFmtId="185" fontId="0" fillId="0" borderId="16" xfId="0" applyFont="false" applyBorder="true" applyAlignment="false" applyProtection="false">
      <alignment horizontal="general" vertical="bottom" textRotation="0" wrapText="false" indent="0" shrinkToFit="false"/>
      <protection locked="true" hidden="false"/>
    </xf>
    <xf numFmtId="184" fontId="0" fillId="0" borderId="16" xfId="0" applyFont="false" applyBorder="true" applyAlignment="false" applyProtection="false">
      <alignment horizontal="general" vertical="bottom" textRotation="0" wrapText="false" indent="0" shrinkToFit="false"/>
      <protection locked="true" hidden="false"/>
    </xf>
    <xf numFmtId="172" fontId="0" fillId="0" borderId="16" xfId="0" applyFont="false" applyBorder="true" applyAlignment="false" applyProtection="false">
      <alignment horizontal="general" vertical="bottom" textRotation="0" wrapText="false" indent="0" shrinkToFit="false"/>
      <protection locked="true" hidden="false"/>
    </xf>
    <xf numFmtId="166" fontId="0" fillId="0" borderId="16"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true" applyProtection="false">
      <alignment horizontal="right" vertical="bottom" textRotation="0" wrapText="false" indent="0" shrinkToFit="false"/>
      <protection locked="true" hidden="false"/>
    </xf>
    <xf numFmtId="164" fontId="0" fillId="3" borderId="19" xfId="0" applyFont="true" applyBorder="true" applyAlignment="true" applyProtection="false">
      <alignment horizontal="right" vertical="bottom" textRotation="0" wrapText="false" indent="0" shrinkToFit="false"/>
      <protection locked="true" hidden="false"/>
    </xf>
    <xf numFmtId="164" fontId="0" fillId="3" borderId="20" xfId="0" applyFont="true" applyBorder="true" applyAlignment="true" applyProtection="false">
      <alignment horizontal="right" vertical="bottom" textRotation="0" wrapText="false" indent="0" shrinkToFit="false"/>
      <protection locked="true" hidden="false"/>
    </xf>
    <xf numFmtId="186" fontId="0" fillId="2" borderId="0" xfId="0" applyFont="false" applyBorder="false" applyAlignment="false" applyProtection="false">
      <alignment horizontal="general" vertical="bottom" textRotation="0" wrapText="false" indent="0" shrinkToFit="false"/>
      <protection locked="true" hidden="false"/>
    </xf>
    <xf numFmtId="187" fontId="0" fillId="2" borderId="0" xfId="0" applyFont="true" applyBorder="false" applyAlignment="false" applyProtection="false">
      <alignment horizontal="general" vertical="bottom" textRotation="0" wrapText="false" indent="0" shrinkToFit="false"/>
      <protection locked="true" hidden="false"/>
    </xf>
    <xf numFmtId="182" fontId="0" fillId="0" borderId="0" xfId="0" applyFont="fals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1" xfId="0" applyFont="true" applyBorder="true" applyAlignment="true" applyProtection="false">
      <alignment horizontal="left" vertical="bottom" textRotation="0" wrapText="true" indent="0" shrinkToFit="false"/>
      <protection locked="true" hidden="false"/>
    </xf>
    <xf numFmtId="167" fontId="8" fillId="0" borderId="22" xfId="0" applyFont="true" applyBorder="true" applyAlignment="true" applyProtection="false">
      <alignment horizontal="right" vertical="bottom" textRotation="0" wrapText="true" indent="0" shrinkToFit="false"/>
      <protection locked="true" hidden="false"/>
    </xf>
    <xf numFmtId="164" fontId="8" fillId="0" borderId="23" xfId="0" applyFont="true" applyBorder="true" applyAlignment="true" applyProtection="false">
      <alignment horizontal="left" vertical="bottom" textRotation="0" wrapText="true" indent="0" shrinkToFit="false"/>
      <protection locked="true" hidden="false"/>
    </xf>
    <xf numFmtId="167" fontId="8" fillId="0" borderId="24" xfId="0" applyFont="true" applyBorder="true" applyAlignment="true" applyProtection="false">
      <alignment horizontal="right" vertical="bottom" textRotation="0" wrapText="true" indent="0" shrinkToFit="false"/>
      <protection locked="true" hidden="false"/>
    </xf>
    <xf numFmtId="164" fontId="8" fillId="0" borderId="25" xfId="0" applyFont="true" applyBorder="true" applyAlignment="true" applyProtection="false">
      <alignment horizontal="left" vertical="bottom" textRotation="0" wrapText="true" indent="0" shrinkToFit="false"/>
      <protection locked="true" hidden="false"/>
    </xf>
    <xf numFmtId="167" fontId="8" fillId="0" borderId="26" xfId="0" applyFont="true" applyBorder="true" applyAlignment="true" applyProtection="false">
      <alignment horizontal="right" vertical="bottom" textRotation="0" wrapText="tru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88" fontId="0" fillId="0" borderId="0" xfId="0" applyFont="false" applyBorder="false" applyAlignment="false" applyProtection="false">
      <alignment horizontal="general" vertical="bottom" textRotation="0" wrapText="false" indent="0" shrinkToFit="false"/>
      <protection locked="true" hidden="false"/>
    </xf>
    <xf numFmtId="189" fontId="0" fillId="0" borderId="0" xfId="0" applyFont="false" applyBorder="false" applyAlignment="false" applyProtection="false">
      <alignment horizontal="general" vertical="bottom" textRotation="0" wrapText="false" indent="0" shrinkToFit="false"/>
      <protection locked="true" hidden="false"/>
    </xf>
    <xf numFmtId="180"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7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A9A9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3.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53"/>
  <sheetViews>
    <sheetView windowProtection="false"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F10" activeCellId="0" sqref="F10"/>
    </sheetView>
  </sheetViews>
  <sheetFormatPr defaultRowHeight="14.1"/>
  <cols>
    <col collapsed="false" hidden="true" max="1" min="1" style="0" width="0"/>
    <col collapsed="false" hidden="false" max="2" min="2" style="0" width="8.82142857142857"/>
    <col collapsed="false" hidden="false" max="3" min="3" style="0" width="11.4489795918367"/>
    <col collapsed="false" hidden="false" max="4" min="4" style="0" width="10.4744897959184"/>
    <col collapsed="false" hidden="false" max="5" min="5" style="1" width="8.82142857142857"/>
    <col collapsed="false" hidden="false" max="6" min="6" style="0" width="8.82142857142857"/>
    <col collapsed="false" hidden="false" max="7" min="7" style="0" width="11.8622448979592"/>
    <col collapsed="false" hidden="false" max="1025" min="8" style="0" width="8.82142857142857"/>
  </cols>
  <sheetData>
    <row r="1" customFormat="false" ht="14.1" hidden="false" customHeight="false" outlineLevel="0" collapsed="false">
      <c r="B1" s="2" t="str">
        <f aca="false">"Returns on initial investment of $"&amp;TEXT(Transactions!M1,"#,###")</f>
        <v>Returns on initial investment of $60,000</v>
      </c>
      <c r="E1" s="0"/>
    </row>
    <row r="2" customFormat="false" ht="14.1" hidden="false" customHeight="false" outlineLevel="0" collapsed="false">
      <c r="B2" s="2"/>
      <c r="E2" s="0"/>
    </row>
    <row r="3" customFormat="false" ht="15" hidden="false" customHeight="false" outlineLevel="0" collapsed="false">
      <c r="B3" s="3" t="s">
        <v>0</v>
      </c>
      <c r="C3" s="3" t="s">
        <v>1</v>
      </c>
      <c r="D3" s="3" t="s">
        <v>2</v>
      </c>
      <c r="E3" s="3" t="s">
        <v>3</v>
      </c>
      <c r="G3" s="4" t="s">
        <v>4</v>
      </c>
      <c r="H3" s="5" t="n">
        <f aca="false" t="array" ref="H3:H3">PRODUCT(1+E4:E253)-1</f>
        <v>0.0279063790743566</v>
      </c>
    </row>
    <row r="4" customFormat="false" ht="14.1" hidden="false" customHeight="false" outlineLevel="0" collapsed="false">
      <c r="A4" s="0" t="n">
        <v>1</v>
      </c>
      <c r="B4" s="6" t="n">
        <f aca="false">IF(ISERROR(INDEX(Transactions!$H$3:$H$5000,MATCH(A4,Transactions!$N$3:$N$5000,0))),"",INDEX(Transactions!$H$3:$H$5000,MATCH(A4,Transactions!$N$3:$N$5000,0)))</f>
        <v>38720.8716435185</v>
      </c>
      <c r="C4" s="7" t="n">
        <f aca="false">IF(B4="","",Transactions!$M$1+INDEX(Transactions!$K$3:$K$5000,MATCH(A4,Transactions!$N$3:$N$5000,0)))</f>
        <v>60411.0996212121</v>
      </c>
      <c r="D4" s="7" t="n">
        <f aca="false">C4-Transactions!M1</f>
        <v>411.09962121211</v>
      </c>
      <c r="E4" s="1" t="n">
        <f aca="false">C4/Transactions!M1-1</f>
        <v>0.00685166035353513</v>
      </c>
    </row>
    <row r="5" customFormat="false" ht="14.1" hidden="false" customHeight="false" outlineLevel="0" collapsed="false">
      <c r="A5" s="0" t="n">
        <v>2</v>
      </c>
      <c r="B5" s="6" t="n">
        <f aca="false">IF(ISERROR(INDEX(Transactions!$H$3:$H$5000,MATCH(A5,Transactions!$N$3:$N$5000,0))),"",INDEX(Transactions!$H$3:$H$5000,MATCH(A5,Transactions!$N$3:$N$5000,0)))</f>
        <v>38721.8737152778</v>
      </c>
      <c r="C5" s="7" t="n">
        <f aca="false">IF(B5="","",Transactions!$M$1+INDEX(Transactions!$K$3:$K$5000,MATCH(A5,Transactions!$N$3:$N$5000,0)))</f>
        <v>61898.7570441813</v>
      </c>
      <c r="D5" s="7" t="n">
        <f aca="false">IF(B5="","",C5-C4)</f>
        <v>1487.65742296918</v>
      </c>
      <c r="E5" s="1" t="n">
        <f aca="false">IF(B5="",0,C5/C4-1)</f>
        <v>0.024625564379676</v>
      </c>
    </row>
    <row r="6" customFormat="false" ht="14.1" hidden="false" customHeight="false" outlineLevel="0" collapsed="false">
      <c r="A6" s="0" t="n">
        <v>3</v>
      </c>
      <c r="B6" s="6" t="n">
        <f aca="false">IF(ISERROR(INDEX(Transactions!$H$3:$H$5000,MATCH(A6,Transactions!$N$3:$N$5000,0))),"",INDEX(Transactions!$H$3:$H$5000,MATCH(A6,Transactions!$N$3:$N$5000,0)))</f>
        <v>38722.9549652778</v>
      </c>
      <c r="C6" s="7" t="n">
        <f aca="false">IF(B6="","",Transactions!$M$1+INDEX(Transactions!$K$3:$K$5000,MATCH(A6,Transactions!$N$3:$N$5000,0)))</f>
        <v>61674.3827444614</v>
      </c>
      <c r="D6" s="7" t="n">
        <f aca="false">IF(B6="","",C6-C5)</f>
        <v>-224.374299719886</v>
      </c>
      <c r="E6" s="1" t="n">
        <f aca="false">IF(B6="",0,C6/C5-1)</f>
        <v>-0.00362485953570502</v>
      </c>
    </row>
    <row r="7" customFormat="false" ht="14.1" hidden="false" customHeight="false" outlineLevel="0" collapsed="false">
      <c r="A7" s="0" t="n">
        <v>4</v>
      </c>
      <c r="B7" s="6" t="str">
        <f aca="false">IF(ISERROR(INDEX(Transactions!$H$3:$H$5000,MATCH(A7,Transactions!$N$3:$N$5000,0))),"",INDEX(Transactions!$H$3:$H$5000,MATCH(A7,Transactions!$N$3:$N$5000,0)))</f>
        <v/>
      </c>
      <c r="C7" s="7" t="str">
        <f aca="false">IF(B7="","",Transactions!$M$1+INDEX(Transactions!$K$3:$K$5000,MATCH(A7,Transactions!$N$3:$N$5000,0)))</f>
        <v/>
      </c>
      <c r="D7" s="7" t="str">
        <f aca="false">IF(B7="","",C7-C6)</f>
        <v/>
      </c>
      <c r="E7" s="1" t="n">
        <f aca="false">IF(B7="",0,C7/C6-1)</f>
        <v>0</v>
      </c>
    </row>
    <row r="8" customFormat="false" ht="14.1" hidden="false" customHeight="false" outlineLevel="0" collapsed="false">
      <c r="A8" s="0" t="n">
        <v>5</v>
      </c>
      <c r="B8" s="6" t="str">
        <f aca="false">IF(ISERROR(INDEX(Transactions!$H$3:$H$5000,MATCH(A8,Transactions!$N$3:$N$5000,0))),"",INDEX(Transactions!$H$3:$H$5000,MATCH(A8,Transactions!$N$3:$N$5000,0)))</f>
        <v/>
      </c>
      <c r="C8" s="7" t="str">
        <f aca="false">IF(B8="","",Transactions!$M$1+INDEX(Transactions!$K$3:$K$5000,MATCH(A8,Transactions!$N$3:$N$5000,0)))</f>
        <v/>
      </c>
      <c r="D8" s="7" t="str">
        <f aca="false">IF(B8="","",C8-C7)</f>
        <v/>
      </c>
      <c r="E8" s="1" t="n">
        <f aca="false">IF(B8="",0,C8/C7-1)</f>
        <v>0</v>
      </c>
    </row>
    <row r="9" customFormat="false" ht="14.1" hidden="false" customHeight="false" outlineLevel="0" collapsed="false">
      <c r="A9" s="0" t="n">
        <v>6</v>
      </c>
      <c r="B9" s="6" t="str">
        <f aca="false">IF(ISERROR(INDEX(Transactions!$H$3:$H$5000,MATCH(A9,Transactions!$N$3:$N$5000,0))),"",INDEX(Transactions!$H$3:$H$5000,MATCH(A9,Transactions!$N$3:$N$5000,0)))</f>
        <v/>
      </c>
      <c r="C9" s="7" t="str">
        <f aca="false">IF(B9="","",Transactions!$M$1+INDEX(Transactions!$K$3:$K$5000,MATCH(A9,Transactions!$N$3:$N$5000,0)))</f>
        <v/>
      </c>
      <c r="D9" s="7" t="str">
        <f aca="false">IF(B9="","",C9-C8)</f>
        <v/>
      </c>
      <c r="E9" s="1" t="n">
        <f aca="false">IF(B9="",0,C9/C8-1)</f>
        <v>0</v>
      </c>
    </row>
    <row r="10" customFormat="false" ht="14.1" hidden="false" customHeight="false" outlineLevel="0" collapsed="false">
      <c r="A10" s="0" t="n">
        <v>7</v>
      </c>
      <c r="B10" s="6" t="str">
        <f aca="false">IF(ISERROR(INDEX(Transactions!$H$3:$H$5000,MATCH(A10,Transactions!$N$3:$N$5000,0))),"",INDEX(Transactions!$H$3:$H$5000,MATCH(A10,Transactions!$N$3:$N$5000,0)))</f>
        <v/>
      </c>
      <c r="C10" s="7" t="str">
        <f aca="false">IF(B10="","",Transactions!$M$1+INDEX(Transactions!$K$3:$K$5000,MATCH(A10,Transactions!$N$3:$N$5000,0)))</f>
        <v/>
      </c>
      <c r="D10" s="7" t="str">
        <f aca="false">IF(B10="","",C10-C9)</f>
        <v/>
      </c>
      <c r="E10" s="1" t="n">
        <f aca="false">IF(B10="",0,C10/C9-1)</f>
        <v>0</v>
      </c>
    </row>
    <row r="11" customFormat="false" ht="14.1" hidden="false" customHeight="false" outlineLevel="0" collapsed="false">
      <c r="A11" s="0" t="n">
        <v>8</v>
      </c>
      <c r="B11" s="6" t="str">
        <f aca="false">IF(ISERROR(INDEX(Transactions!$H$3:$H$5000,MATCH(A11,Transactions!$N$3:$N$5000,0))),"",INDEX(Transactions!$H$3:$H$5000,MATCH(A11,Transactions!$N$3:$N$5000,0)))</f>
        <v/>
      </c>
      <c r="C11" s="7" t="str">
        <f aca="false">IF(B11="","",Transactions!$M$1+INDEX(Transactions!$K$3:$K$5000,MATCH(A11,Transactions!$N$3:$N$5000,0)))</f>
        <v/>
      </c>
      <c r="D11" s="7" t="str">
        <f aca="false">IF(B11="","",C11-C10)</f>
        <v/>
      </c>
      <c r="E11" s="1" t="n">
        <f aca="false">IF(B11="",0,C11/C10-1)</f>
        <v>0</v>
      </c>
    </row>
    <row r="12" customFormat="false" ht="14.1" hidden="false" customHeight="false" outlineLevel="0" collapsed="false">
      <c r="A12" s="0" t="n">
        <v>9</v>
      </c>
      <c r="B12" s="6" t="str">
        <f aca="false">IF(ISERROR(INDEX(Transactions!$H$3:$H$5000,MATCH(A12,Transactions!$N$3:$N$5000,0))),"",INDEX(Transactions!$H$3:$H$5000,MATCH(A12,Transactions!$N$3:$N$5000,0)))</f>
        <v/>
      </c>
      <c r="C12" s="7" t="str">
        <f aca="false">IF(B12="","",Transactions!$M$1+INDEX(Transactions!$K$3:$K$5000,MATCH(A12,Transactions!$N$3:$N$5000,0)))</f>
        <v/>
      </c>
      <c r="D12" s="7" t="str">
        <f aca="false">IF(B12="","",C12-C11)</f>
        <v/>
      </c>
      <c r="E12" s="1" t="n">
        <f aca="false">IF(B12="",0,C12/C11-1)</f>
        <v>0</v>
      </c>
    </row>
    <row r="13" customFormat="false" ht="14.1" hidden="false" customHeight="false" outlineLevel="0" collapsed="false">
      <c r="A13" s="0" t="n">
        <v>10</v>
      </c>
      <c r="B13" s="6" t="str">
        <f aca="false">IF(ISERROR(INDEX(Transactions!$H$3:$H$5000,MATCH(A13,Transactions!$N$3:$N$5000,0))),"",INDEX(Transactions!$H$3:$H$5000,MATCH(A13,Transactions!$N$3:$N$5000,0)))</f>
        <v/>
      </c>
      <c r="C13" s="7" t="str">
        <f aca="false">IF(B13="","",Transactions!$M$1+INDEX(Transactions!$K$3:$K$5000,MATCH(A13,Transactions!$N$3:$N$5000,0)))</f>
        <v/>
      </c>
      <c r="D13" s="7" t="str">
        <f aca="false">IF(B13="","",C13-C12)</f>
        <v/>
      </c>
      <c r="E13" s="1" t="n">
        <f aca="false">IF(B13="",0,C13/C12-1)</f>
        <v>0</v>
      </c>
    </row>
    <row r="14" customFormat="false" ht="14.1" hidden="false" customHeight="false" outlineLevel="0" collapsed="false">
      <c r="A14" s="0" t="n">
        <v>11</v>
      </c>
      <c r="B14" s="6" t="str">
        <f aca="false">IF(ISERROR(INDEX(Transactions!$H$3:$H$5000,MATCH(A14,Transactions!$N$3:$N$5000,0))),"",INDEX(Transactions!$H$3:$H$5000,MATCH(A14,Transactions!$N$3:$N$5000,0)))</f>
        <v/>
      </c>
      <c r="C14" s="7" t="str">
        <f aca="false">IF(B14="","",Transactions!$M$1+INDEX(Transactions!$K$3:$K$5000,MATCH(A14,Transactions!$N$3:$N$5000,0)))</f>
        <v/>
      </c>
      <c r="D14" s="7" t="str">
        <f aca="false">IF(B14="","",C14-C13)</f>
        <v/>
      </c>
      <c r="E14" s="1" t="n">
        <f aca="false">IF(B14="",0,C14/C13-1)</f>
        <v>0</v>
      </c>
    </row>
    <row r="15" customFormat="false" ht="14.1" hidden="false" customHeight="false" outlineLevel="0" collapsed="false">
      <c r="A15" s="0" t="n">
        <v>12</v>
      </c>
      <c r="B15" s="6" t="str">
        <f aca="false">IF(ISERROR(INDEX(Transactions!$H$3:$H$5000,MATCH(A15,Transactions!$N$3:$N$5000,0))),"",INDEX(Transactions!$H$3:$H$5000,MATCH(A15,Transactions!$N$3:$N$5000,0)))</f>
        <v/>
      </c>
      <c r="C15" s="7" t="str">
        <f aca="false">IF(B15="","",Transactions!$M$1+INDEX(Transactions!$K$3:$K$5000,MATCH(A15,Transactions!$N$3:$N$5000,0)))</f>
        <v/>
      </c>
      <c r="D15" s="7" t="str">
        <f aca="false">IF(B15="","",C15-C14)</f>
        <v/>
      </c>
      <c r="E15" s="1" t="n">
        <f aca="false">IF(B15="",0,C15/C14-1)</f>
        <v>0</v>
      </c>
    </row>
    <row r="16" customFormat="false" ht="14.1" hidden="false" customHeight="false" outlineLevel="0" collapsed="false">
      <c r="A16" s="0" t="n">
        <v>13</v>
      </c>
      <c r="B16" s="6" t="str">
        <f aca="false">IF(ISERROR(INDEX(Transactions!$H$3:$H$5000,MATCH(A16,Transactions!$N$3:$N$5000,0))),"",INDEX(Transactions!$H$3:$H$5000,MATCH(A16,Transactions!$N$3:$N$5000,0)))</f>
        <v/>
      </c>
      <c r="C16" s="7" t="str">
        <f aca="false">IF(B16="","",Transactions!$M$1+INDEX(Transactions!$K$3:$K$5000,MATCH(A16,Transactions!$N$3:$N$5000,0)))</f>
        <v/>
      </c>
      <c r="D16" s="7" t="str">
        <f aca="false">IF(B16="","",C16-C15)</f>
        <v/>
      </c>
      <c r="E16" s="1" t="n">
        <f aca="false">IF(B16="",0,C16/C15-1)</f>
        <v>0</v>
      </c>
    </row>
    <row r="17" customFormat="false" ht="14.1" hidden="false" customHeight="false" outlineLevel="0" collapsed="false">
      <c r="A17" s="0" t="n">
        <v>14</v>
      </c>
      <c r="B17" s="6" t="str">
        <f aca="false">IF(ISERROR(INDEX(Transactions!$H$3:$H$5000,MATCH(A17,Transactions!$N$3:$N$5000,0))),"",INDEX(Transactions!$H$3:$H$5000,MATCH(A17,Transactions!$N$3:$N$5000,0)))</f>
        <v/>
      </c>
      <c r="C17" s="7" t="str">
        <f aca="false">IF(B17="","",Transactions!$M$1+INDEX(Transactions!$K$3:$K$5000,MATCH(A17,Transactions!$N$3:$N$5000,0)))</f>
        <v/>
      </c>
      <c r="D17" s="7" t="str">
        <f aca="false">IF(B17="","",C17-C16)</f>
        <v/>
      </c>
      <c r="E17" s="1" t="n">
        <f aca="false">IF(B17="",0,C17/C16-1)</f>
        <v>0</v>
      </c>
    </row>
    <row r="18" customFormat="false" ht="14.1" hidden="false" customHeight="false" outlineLevel="0" collapsed="false">
      <c r="A18" s="0" t="n">
        <v>15</v>
      </c>
      <c r="B18" s="6" t="str">
        <f aca="false">IF(ISERROR(INDEX(Transactions!$H$3:$H$5000,MATCH(A18,Transactions!$N$3:$N$5000,0))),"",INDEX(Transactions!$H$3:$H$5000,MATCH(A18,Transactions!$N$3:$N$5000,0)))</f>
        <v/>
      </c>
      <c r="C18" s="7" t="str">
        <f aca="false">IF(B18="","",Transactions!$M$1+INDEX(Transactions!$K$3:$K$5000,MATCH(A18,Transactions!$N$3:$N$5000,0)))</f>
        <v/>
      </c>
      <c r="D18" s="7" t="str">
        <f aca="false">IF(B18="","",C18-C17)</f>
        <v/>
      </c>
      <c r="E18" s="1" t="n">
        <f aca="false">IF(B18="",0,C18/C17-1)</f>
        <v>0</v>
      </c>
    </row>
    <row r="19" customFormat="false" ht="14.1" hidden="false" customHeight="false" outlineLevel="0" collapsed="false">
      <c r="A19" s="0" t="n">
        <v>16</v>
      </c>
      <c r="B19" s="6" t="str">
        <f aca="false">IF(ISERROR(INDEX(Transactions!$H$3:$H$5000,MATCH(A19,Transactions!$N$3:$N$5000,0))),"",INDEX(Transactions!$H$3:$H$5000,MATCH(A19,Transactions!$N$3:$N$5000,0)))</f>
        <v/>
      </c>
      <c r="C19" s="7" t="str">
        <f aca="false">IF(B19="","",Transactions!$M$1+INDEX(Transactions!$K$3:$K$5000,MATCH(A19,Transactions!$N$3:$N$5000,0)))</f>
        <v/>
      </c>
      <c r="D19" s="7" t="str">
        <f aca="false">IF(B19="","",C19-C18)</f>
        <v/>
      </c>
      <c r="E19" s="1" t="n">
        <f aca="false">IF(B19="",0,C19/C18-1)</f>
        <v>0</v>
      </c>
    </row>
    <row r="20" customFormat="false" ht="14.1" hidden="false" customHeight="false" outlineLevel="0" collapsed="false">
      <c r="A20" s="0" t="n">
        <v>17</v>
      </c>
      <c r="B20" s="6" t="str">
        <f aca="false">IF(ISERROR(INDEX(Transactions!$H$3:$H$5000,MATCH(A20,Transactions!$N$3:$N$5000,0))),"",INDEX(Transactions!$H$3:$H$5000,MATCH(A20,Transactions!$N$3:$N$5000,0)))</f>
        <v/>
      </c>
      <c r="C20" s="7" t="str">
        <f aca="false">IF(B20="","",Transactions!$M$1+INDEX(Transactions!$K$3:$K$5000,MATCH(A20,Transactions!$N$3:$N$5000,0)))</f>
        <v/>
      </c>
      <c r="D20" s="7" t="str">
        <f aca="false">IF(B20="","",C20-C19)</f>
        <v/>
      </c>
      <c r="E20" s="1" t="n">
        <f aca="false">IF(B20="",0,C20/C19-1)</f>
        <v>0</v>
      </c>
    </row>
    <row r="21" customFormat="false" ht="14.1" hidden="false" customHeight="false" outlineLevel="0" collapsed="false">
      <c r="A21" s="0" t="n">
        <v>18</v>
      </c>
      <c r="B21" s="6" t="str">
        <f aca="false">IF(ISERROR(INDEX(Transactions!$H$3:$H$5000,MATCH(A21,Transactions!$N$3:$N$5000,0))),"",INDEX(Transactions!$H$3:$H$5000,MATCH(A21,Transactions!$N$3:$N$5000,0)))</f>
        <v/>
      </c>
      <c r="C21" s="7" t="str">
        <f aca="false">IF(B21="","",Transactions!$M$1+INDEX(Transactions!$K$3:$K$5000,MATCH(A21,Transactions!$N$3:$N$5000,0)))</f>
        <v/>
      </c>
      <c r="D21" s="7" t="str">
        <f aca="false">IF(B21="","",C21-C20)</f>
        <v/>
      </c>
      <c r="E21" s="1" t="n">
        <f aca="false">IF(B21="",0,C21/C20-1)</f>
        <v>0</v>
      </c>
    </row>
    <row r="22" customFormat="false" ht="14.1" hidden="false" customHeight="false" outlineLevel="0" collapsed="false">
      <c r="A22" s="0" t="n">
        <v>19</v>
      </c>
      <c r="B22" s="6" t="str">
        <f aca="false">IF(ISERROR(INDEX(Transactions!$H$3:$H$5000,MATCH(A22,Transactions!$N$3:$N$5000,0))),"",INDEX(Transactions!$H$3:$H$5000,MATCH(A22,Transactions!$N$3:$N$5000,0)))</f>
        <v/>
      </c>
      <c r="C22" s="7" t="str">
        <f aca="false">IF(B22="","",Transactions!$M$1+INDEX(Transactions!$K$3:$K$5000,MATCH(A22,Transactions!$N$3:$N$5000,0)))</f>
        <v/>
      </c>
      <c r="D22" s="7" t="str">
        <f aca="false">IF(B22="","",C22-C21)</f>
        <v/>
      </c>
      <c r="E22" s="1" t="n">
        <f aca="false">IF(B22="",0,C22/C21-1)</f>
        <v>0</v>
      </c>
    </row>
    <row r="23" customFormat="false" ht="14.1" hidden="false" customHeight="false" outlineLevel="0" collapsed="false">
      <c r="A23" s="0" t="n">
        <v>20</v>
      </c>
      <c r="B23" s="6" t="str">
        <f aca="false">IF(ISERROR(INDEX(Transactions!$H$3:$H$5000,MATCH(A23,Transactions!$N$3:$N$5000,0))),"",INDEX(Transactions!$H$3:$H$5000,MATCH(A23,Transactions!$N$3:$N$5000,0)))</f>
        <v/>
      </c>
      <c r="C23" s="7" t="str">
        <f aca="false">IF(B23="","",Transactions!$M$1+INDEX(Transactions!$K$3:$K$5000,MATCH(A23,Transactions!$N$3:$N$5000,0)))</f>
        <v/>
      </c>
      <c r="D23" s="7" t="str">
        <f aca="false">IF(B23="","",C23-C22)</f>
        <v/>
      </c>
      <c r="E23" s="1" t="n">
        <f aca="false">IF(B23="",0,C23/C22-1)</f>
        <v>0</v>
      </c>
    </row>
    <row r="24" customFormat="false" ht="14.1" hidden="false" customHeight="false" outlineLevel="0" collapsed="false">
      <c r="A24" s="0" t="n">
        <v>21</v>
      </c>
      <c r="B24" s="6" t="str">
        <f aca="false">IF(ISERROR(INDEX(Transactions!$H$3:$H$5000,MATCH(A24,Transactions!$N$3:$N$5000,0))),"",INDEX(Transactions!$H$3:$H$5000,MATCH(A24,Transactions!$N$3:$N$5000,0)))</f>
        <v/>
      </c>
      <c r="C24" s="7" t="str">
        <f aca="false">IF(B24="","",Transactions!$M$1+INDEX(Transactions!$K$3:$K$5000,MATCH(A24,Transactions!$N$3:$N$5000,0)))</f>
        <v/>
      </c>
      <c r="D24" s="7" t="str">
        <f aca="false">IF(B24="","",C24-C23)</f>
        <v/>
      </c>
      <c r="E24" s="1" t="n">
        <f aca="false">IF(B24="",0,C24/C23-1)</f>
        <v>0</v>
      </c>
    </row>
    <row r="25" customFormat="false" ht="14.1" hidden="false" customHeight="false" outlineLevel="0" collapsed="false">
      <c r="A25" s="0" t="n">
        <v>22</v>
      </c>
      <c r="B25" s="6" t="str">
        <f aca="false">IF(ISERROR(INDEX(Transactions!$H$3:$H$5000,MATCH(A25,Transactions!$N$3:$N$5000,0))),"",INDEX(Transactions!$H$3:$H$5000,MATCH(A25,Transactions!$N$3:$N$5000,0)))</f>
        <v/>
      </c>
      <c r="C25" s="7" t="str">
        <f aca="false">IF(B25="","",Transactions!$M$1+INDEX(Transactions!$K$3:$K$5000,MATCH(A25,Transactions!$N$3:$N$5000,0)))</f>
        <v/>
      </c>
      <c r="D25" s="7" t="str">
        <f aca="false">IF(B25="","",C25-C24)</f>
        <v/>
      </c>
      <c r="E25" s="1" t="n">
        <f aca="false">IF(B25="",0,C25/C24-1)</f>
        <v>0</v>
      </c>
    </row>
    <row r="26" customFormat="false" ht="14.1" hidden="false" customHeight="false" outlineLevel="0" collapsed="false">
      <c r="A26" s="0" t="n">
        <v>23</v>
      </c>
      <c r="B26" s="6" t="str">
        <f aca="false">IF(ISERROR(INDEX(Transactions!$H$3:$H$5000,MATCH(A26,Transactions!$N$3:$N$5000,0))),"",INDEX(Transactions!$H$3:$H$5000,MATCH(A26,Transactions!$N$3:$N$5000,0)))</f>
        <v/>
      </c>
      <c r="C26" s="7" t="str">
        <f aca="false">IF(B26="","",Transactions!$M$1+INDEX(Transactions!$K$3:$K$5000,MATCH(A26,Transactions!$N$3:$N$5000,0)))</f>
        <v/>
      </c>
      <c r="D26" s="7" t="str">
        <f aca="false">IF(B26="","",C26-C25)</f>
        <v/>
      </c>
      <c r="E26" s="1" t="n">
        <f aca="false">IF(B26="",0,C26/C25-1)</f>
        <v>0</v>
      </c>
    </row>
    <row r="27" customFormat="false" ht="14.1" hidden="false" customHeight="false" outlineLevel="0" collapsed="false">
      <c r="A27" s="0" t="n">
        <v>24</v>
      </c>
      <c r="B27" s="6" t="str">
        <f aca="false">IF(ISERROR(INDEX(Transactions!$H$3:$H$5000,MATCH(A27,Transactions!$N$3:$N$5000,0))),"",INDEX(Transactions!$H$3:$H$5000,MATCH(A27,Transactions!$N$3:$N$5000,0)))</f>
        <v/>
      </c>
      <c r="C27" s="7" t="str">
        <f aca="false">IF(B27="","",Transactions!$M$1+INDEX(Transactions!$K$3:$K$5000,MATCH(A27,Transactions!$N$3:$N$5000,0)))</f>
        <v/>
      </c>
      <c r="D27" s="7" t="str">
        <f aca="false">IF(B27="","",C27-C26)</f>
        <v/>
      </c>
      <c r="E27" s="1" t="n">
        <f aca="false">IF(B27="",0,C27/C26-1)</f>
        <v>0</v>
      </c>
    </row>
    <row r="28" customFormat="false" ht="14.1" hidden="false" customHeight="false" outlineLevel="0" collapsed="false">
      <c r="A28" s="0" t="n">
        <v>25</v>
      </c>
      <c r="B28" s="6" t="str">
        <f aca="false">IF(ISERROR(INDEX(Transactions!$H$3:$H$5000,MATCH(A28,Transactions!$N$3:$N$5000,0))),"",INDEX(Transactions!$H$3:$H$5000,MATCH(A28,Transactions!$N$3:$N$5000,0)))</f>
        <v/>
      </c>
      <c r="C28" s="7" t="str">
        <f aca="false">IF(B28="","",Transactions!$M$1+INDEX(Transactions!$K$3:$K$5000,MATCH(A28,Transactions!$N$3:$N$5000,0)))</f>
        <v/>
      </c>
      <c r="D28" s="7" t="str">
        <f aca="false">IF(B28="","",C28-C27)</f>
        <v/>
      </c>
      <c r="E28" s="1" t="n">
        <f aca="false">IF(B28="",0,C28/C27-1)</f>
        <v>0</v>
      </c>
    </row>
    <row r="29" customFormat="false" ht="14.1" hidden="false" customHeight="false" outlineLevel="0" collapsed="false">
      <c r="A29" s="0" t="n">
        <v>26</v>
      </c>
      <c r="B29" s="6" t="str">
        <f aca="false">IF(ISERROR(INDEX(Transactions!$H$3:$H$5000,MATCH(A29,Transactions!$N$3:$N$5000,0))),"",INDEX(Transactions!$H$3:$H$5000,MATCH(A29,Transactions!$N$3:$N$5000,0)))</f>
        <v/>
      </c>
      <c r="C29" s="7" t="str">
        <f aca="false">IF(B29="","",Transactions!$M$1+INDEX(Transactions!$K$3:$K$5000,MATCH(A29,Transactions!$N$3:$N$5000,0)))</f>
        <v/>
      </c>
      <c r="D29" s="7" t="str">
        <f aca="false">IF(B29="","",C29-C28)</f>
        <v/>
      </c>
      <c r="E29" s="1" t="n">
        <f aca="false">IF(B29="",0,C29/C28-1)</f>
        <v>0</v>
      </c>
    </row>
    <row r="30" customFormat="false" ht="14.1" hidden="false" customHeight="false" outlineLevel="0" collapsed="false">
      <c r="A30" s="0" t="n">
        <v>27</v>
      </c>
      <c r="B30" s="6" t="str">
        <f aca="false">IF(ISERROR(INDEX(Transactions!$H$3:$H$5000,MATCH(A30,Transactions!$N$3:$N$5000,0))),"",INDEX(Transactions!$H$3:$H$5000,MATCH(A30,Transactions!$N$3:$N$5000,0)))</f>
        <v/>
      </c>
      <c r="C30" s="7" t="str">
        <f aca="false">IF(B30="","",Transactions!$M$1+INDEX(Transactions!$K$3:$K$5000,MATCH(A30,Transactions!$N$3:$N$5000,0)))</f>
        <v/>
      </c>
      <c r="D30" s="7" t="str">
        <f aca="false">IF(B30="","",C30-C29)</f>
        <v/>
      </c>
      <c r="E30" s="1" t="n">
        <f aca="false">IF(B30="",0,C30/C29-1)</f>
        <v>0</v>
      </c>
    </row>
    <row r="31" customFormat="false" ht="14.1" hidden="false" customHeight="false" outlineLevel="0" collapsed="false">
      <c r="A31" s="0" t="n">
        <v>28</v>
      </c>
      <c r="B31" s="6" t="str">
        <f aca="false">IF(ISERROR(INDEX(Transactions!$H$3:$H$5000,MATCH(A31,Transactions!$N$3:$N$5000,0))),"",INDEX(Transactions!$H$3:$H$5000,MATCH(A31,Transactions!$N$3:$N$5000,0)))</f>
        <v/>
      </c>
      <c r="C31" s="7" t="str">
        <f aca="false">IF(B31="","",Transactions!$M$1+INDEX(Transactions!$K$3:$K$5000,MATCH(A31,Transactions!$N$3:$N$5000,0)))</f>
        <v/>
      </c>
      <c r="D31" s="7" t="str">
        <f aca="false">IF(B31="","",C31-C30)</f>
        <v/>
      </c>
      <c r="E31" s="1" t="n">
        <f aca="false">IF(B31="",0,C31/C30-1)</f>
        <v>0</v>
      </c>
    </row>
    <row r="32" customFormat="false" ht="14.1" hidden="false" customHeight="false" outlineLevel="0" collapsed="false">
      <c r="A32" s="0" t="n">
        <v>29</v>
      </c>
      <c r="B32" s="6" t="str">
        <f aca="false">IF(ISERROR(INDEX(Transactions!$H$3:$H$5000,MATCH(A32,Transactions!$N$3:$N$5000,0))),"",INDEX(Transactions!$H$3:$H$5000,MATCH(A32,Transactions!$N$3:$N$5000,0)))</f>
        <v/>
      </c>
      <c r="C32" s="7" t="str">
        <f aca="false">IF(B32="","",Transactions!$M$1+INDEX(Transactions!$K$3:$K$5000,MATCH(A32,Transactions!$N$3:$N$5000,0)))</f>
        <v/>
      </c>
      <c r="D32" s="7" t="str">
        <f aca="false">IF(B32="","",C32-C31)</f>
        <v/>
      </c>
      <c r="E32" s="1" t="n">
        <f aca="false">IF(B32="",0,C32/C31-1)</f>
        <v>0</v>
      </c>
    </row>
    <row r="33" customFormat="false" ht="14.1" hidden="false" customHeight="false" outlineLevel="0" collapsed="false">
      <c r="A33" s="0" t="n">
        <v>30</v>
      </c>
      <c r="B33" s="6" t="str">
        <f aca="false">IF(ISERROR(INDEX(Transactions!$H$3:$H$5000,MATCH(A33,Transactions!$N$3:$N$5000,0))),"",INDEX(Transactions!$H$3:$H$5000,MATCH(A33,Transactions!$N$3:$N$5000,0)))</f>
        <v/>
      </c>
      <c r="C33" s="7" t="str">
        <f aca="false">IF(B33="","",Transactions!$M$1+INDEX(Transactions!$K$3:$K$5000,MATCH(A33,Transactions!$N$3:$N$5000,0)))</f>
        <v/>
      </c>
      <c r="D33" s="7" t="str">
        <f aca="false">IF(B33="","",C33-C32)</f>
        <v/>
      </c>
      <c r="E33" s="1" t="n">
        <f aca="false">IF(B33="",0,C33/C32-1)</f>
        <v>0</v>
      </c>
    </row>
    <row r="34" customFormat="false" ht="14.1" hidden="false" customHeight="false" outlineLevel="0" collapsed="false">
      <c r="A34" s="0" t="n">
        <v>31</v>
      </c>
      <c r="B34" s="6" t="str">
        <f aca="false">IF(ISERROR(INDEX(Transactions!$H$3:$H$5000,MATCH(A34,Transactions!$N$3:$N$5000,0))),"",INDEX(Transactions!$H$3:$H$5000,MATCH(A34,Transactions!$N$3:$N$5000,0)))</f>
        <v/>
      </c>
      <c r="C34" s="7" t="str">
        <f aca="false">IF(B34="","",Transactions!$M$1+INDEX(Transactions!$K$3:$K$5000,MATCH(A34,Transactions!$N$3:$N$5000,0)))</f>
        <v/>
      </c>
      <c r="D34" s="7" t="str">
        <f aca="false">IF(B34="","",C34-C33)</f>
        <v/>
      </c>
      <c r="E34" s="1" t="n">
        <f aca="false">IF(B34="",0,C34/C33-1)</f>
        <v>0</v>
      </c>
    </row>
    <row r="35" customFormat="false" ht="14.1" hidden="false" customHeight="false" outlineLevel="0" collapsed="false">
      <c r="A35" s="0" t="n">
        <v>32</v>
      </c>
      <c r="B35" s="6" t="str">
        <f aca="false">IF(ISERROR(INDEX(Transactions!$H$3:$H$5000,MATCH(A35,Transactions!$N$3:$N$5000,0))),"",INDEX(Transactions!$H$3:$H$5000,MATCH(A35,Transactions!$N$3:$N$5000,0)))</f>
        <v/>
      </c>
      <c r="C35" s="7" t="str">
        <f aca="false">IF(B35="","",Transactions!$M$1+INDEX(Transactions!$K$3:$K$5000,MATCH(A35,Transactions!$N$3:$N$5000,0)))</f>
        <v/>
      </c>
      <c r="D35" s="7" t="str">
        <f aca="false">IF(B35="","",C35-C34)</f>
        <v/>
      </c>
      <c r="E35" s="1" t="n">
        <f aca="false">IF(B35="",0,C35/C34-1)</f>
        <v>0</v>
      </c>
    </row>
    <row r="36" customFormat="false" ht="14.1" hidden="false" customHeight="false" outlineLevel="0" collapsed="false">
      <c r="A36" s="0" t="n">
        <v>33</v>
      </c>
      <c r="B36" s="6" t="str">
        <f aca="false">IF(ISERROR(INDEX(Transactions!$H$3:$H$5000,MATCH(A36,Transactions!$N$3:$N$5000,0))),"",INDEX(Transactions!$H$3:$H$5000,MATCH(A36,Transactions!$N$3:$N$5000,0)))</f>
        <v/>
      </c>
      <c r="C36" s="7" t="str">
        <f aca="false">IF(B36="","",Transactions!$M$1+INDEX(Transactions!$K$3:$K$5000,MATCH(A36,Transactions!$N$3:$N$5000,0)))</f>
        <v/>
      </c>
      <c r="D36" s="7" t="str">
        <f aca="false">IF(B36="","",C36-C35)</f>
        <v/>
      </c>
      <c r="E36" s="1" t="n">
        <f aca="false">IF(B36="",0,C36/C35-1)</f>
        <v>0</v>
      </c>
    </row>
    <row r="37" customFormat="false" ht="14.1" hidden="false" customHeight="false" outlineLevel="0" collapsed="false">
      <c r="A37" s="0" t="n">
        <v>34</v>
      </c>
      <c r="B37" s="6" t="str">
        <f aca="false">IF(ISERROR(INDEX(Transactions!$H$3:$H$5000,MATCH(A37,Transactions!$N$3:$N$5000,0))),"",INDEX(Transactions!$H$3:$H$5000,MATCH(A37,Transactions!$N$3:$N$5000,0)))</f>
        <v/>
      </c>
      <c r="C37" s="7" t="str">
        <f aca="false">IF(B37="","",Transactions!$M$1+INDEX(Transactions!$K$3:$K$5000,MATCH(A37,Transactions!$N$3:$N$5000,0)))</f>
        <v/>
      </c>
      <c r="D37" s="7" t="str">
        <f aca="false">IF(B37="","",C37-C36)</f>
        <v/>
      </c>
      <c r="E37" s="1" t="n">
        <f aca="false">IF(B37="",0,C37/C36-1)</f>
        <v>0</v>
      </c>
    </row>
    <row r="38" customFormat="false" ht="14.1" hidden="false" customHeight="false" outlineLevel="0" collapsed="false">
      <c r="A38" s="0" t="n">
        <v>35</v>
      </c>
      <c r="B38" s="6" t="str">
        <f aca="false">IF(ISERROR(INDEX(Transactions!$H$3:$H$5000,MATCH(A38,Transactions!$N$3:$N$5000,0))),"",INDEX(Transactions!$H$3:$H$5000,MATCH(A38,Transactions!$N$3:$N$5000,0)))</f>
        <v/>
      </c>
      <c r="C38" s="7" t="str">
        <f aca="false">IF(B38="","",Transactions!$M$1+INDEX(Transactions!$K$3:$K$5000,MATCH(A38,Transactions!$N$3:$N$5000,0)))</f>
        <v/>
      </c>
      <c r="D38" s="7" t="str">
        <f aca="false">IF(B38="","",C38-C37)</f>
        <v/>
      </c>
      <c r="E38" s="1" t="n">
        <f aca="false">IF(B38="",0,C38/C37-1)</f>
        <v>0</v>
      </c>
    </row>
    <row r="39" customFormat="false" ht="14.1" hidden="false" customHeight="false" outlineLevel="0" collapsed="false">
      <c r="A39" s="0" t="n">
        <v>36</v>
      </c>
      <c r="B39" s="6" t="str">
        <f aca="false">IF(ISERROR(INDEX(Transactions!$H$3:$H$5000,MATCH(A39,Transactions!$N$3:$N$5000,0))),"",INDEX(Transactions!$H$3:$H$5000,MATCH(A39,Transactions!$N$3:$N$5000,0)))</f>
        <v/>
      </c>
      <c r="C39" s="7" t="str">
        <f aca="false">IF(B39="","",Transactions!$M$1+INDEX(Transactions!$K$3:$K$5000,MATCH(A39,Transactions!$N$3:$N$5000,0)))</f>
        <v/>
      </c>
      <c r="D39" s="7" t="str">
        <f aca="false">IF(B39="","",C39-C38)</f>
        <v/>
      </c>
      <c r="E39" s="1" t="n">
        <f aca="false">IF(B39="",0,C39/C38-1)</f>
        <v>0</v>
      </c>
    </row>
    <row r="40" customFormat="false" ht="14.1" hidden="false" customHeight="false" outlineLevel="0" collapsed="false">
      <c r="A40" s="0" t="n">
        <v>37</v>
      </c>
      <c r="B40" s="6" t="str">
        <f aca="false">IF(ISERROR(INDEX(Transactions!$H$3:$H$5000,MATCH(A40,Transactions!$N$3:$N$5000,0))),"",INDEX(Transactions!$H$3:$H$5000,MATCH(A40,Transactions!$N$3:$N$5000,0)))</f>
        <v/>
      </c>
      <c r="C40" s="7" t="str">
        <f aca="false">IF(B40="","",Transactions!$M$1+INDEX(Transactions!$K$3:$K$5000,MATCH(A40,Transactions!$N$3:$N$5000,0)))</f>
        <v/>
      </c>
      <c r="D40" s="7" t="str">
        <f aca="false">IF(B40="","",C40-C39)</f>
        <v/>
      </c>
      <c r="E40" s="1" t="n">
        <f aca="false">IF(B40="",0,C40/C39-1)</f>
        <v>0</v>
      </c>
    </row>
    <row r="41" customFormat="false" ht="14.1" hidden="false" customHeight="false" outlineLevel="0" collapsed="false">
      <c r="A41" s="0" t="n">
        <v>38</v>
      </c>
      <c r="B41" s="6" t="str">
        <f aca="false">IF(ISERROR(INDEX(Transactions!$H$3:$H$5000,MATCH(A41,Transactions!$N$3:$N$5000,0))),"",INDEX(Transactions!$H$3:$H$5000,MATCH(A41,Transactions!$N$3:$N$5000,0)))</f>
        <v/>
      </c>
      <c r="C41" s="7" t="str">
        <f aca="false">IF(B41="","",Transactions!$M$1+INDEX(Transactions!$K$3:$K$5000,MATCH(A41,Transactions!$N$3:$N$5000,0)))</f>
        <v/>
      </c>
      <c r="D41" s="7" t="str">
        <f aca="false">IF(B41="","",C41-C40)</f>
        <v/>
      </c>
      <c r="E41" s="1" t="n">
        <f aca="false">IF(B41="",0,C41/C40-1)</f>
        <v>0</v>
      </c>
    </row>
    <row r="42" customFormat="false" ht="14.1" hidden="false" customHeight="false" outlineLevel="0" collapsed="false">
      <c r="A42" s="0" t="n">
        <v>39</v>
      </c>
      <c r="B42" s="6" t="str">
        <f aca="false">IF(ISERROR(INDEX(Transactions!$H$3:$H$5000,MATCH(A42,Transactions!$N$3:$N$5000,0))),"",INDEX(Transactions!$H$3:$H$5000,MATCH(A42,Transactions!$N$3:$N$5000,0)))</f>
        <v/>
      </c>
      <c r="C42" s="7" t="str">
        <f aca="false">IF(B42="","",Transactions!$M$1+INDEX(Transactions!$K$3:$K$5000,MATCH(A42,Transactions!$N$3:$N$5000,0)))</f>
        <v/>
      </c>
      <c r="D42" s="7" t="str">
        <f aca="false">IF(B42="","",C42-C41)</f>
        <v/>
      </c>
      <c r="E42" s="1" t="n">
        <f aca="false">IF(B42="",0,C42/C41-1)</f>
        <v>0</v>
      </c>
    </row>
    <row r="43" customFormat="false" ht="14.1" hidden="false" customHeight="false" outlineLevel="0" collapsed="false">
      <c r="A43" s="0" t="n">
        <v>40</v>
      </c>
      <c r="B43" s="6" t="str">
        <f aca="false">IF(ISERROR(INDEX(Transactions!$H$3:$H$5000,MATCH(A43,Transactions!$N$3:$N$5000,0))),"",INDEX(Transactions!$H$3:$H$5000,MATCH(A43,Transactions!$N$3:$N$5000,0)))</f>
        <v/>
      </c>
      <c r="C43" s="7" t="str">
        <f aca="false">IF(B43="","",Transactions!$M$1+INDEX(Transactions!$K$3:$K$5000,MATCH(A43,Transactions!$N$3:$N$5000,0)))</f>
        <v/>
      </c>
      <c r="D43" s="7" t="str">
        <f aca="false">IF(B43="","",C43-C42)</f>
        <v/>
      </c>
      <c r="E43" s="1" t="n">
        <f aca="false">IF(B43="",0,C43/C42-1)</f>
        <v>0</v>
      </c>
    </row>
    <row r="44" customFormat="false" ht="14.1" hidden="false" customHeight="false" outlineLevel="0" collapsed="false">
      <c r="A44" s="0" t="n">
        <v>41</v>
      </c>
      <c r="B44" s="6" t="str">
        <f aca="false">IF(ISERROR(INDEX(Transactions!$H$3:$H$5000,MATCH(A44,Transactions!$N$3:$N$5000,0))),"",INDEX(Transactions!$H$3:$H$5000,MATCH(A44,Transactions!$N$3:$N$5000,0)))</f>
        <v/>
      </c>
      <c r="C44" s="7" t="str">
        <f aca="false">IF(B44="","",Transactions!$M$1+INDEX(Transactions!$K$3:$K$5000,MATCH(A44,Transactions!$N$3:$N$5000,0)))</f>
        <v/>
      </c>
      <c r="D44" s="7" t="str">
        <f aca="false">IF(B44="","",C44-C43)</f>
        <v/>
      </c>
      <c r="E44" s="1" t="n">
        <f aca="false">IF(B44="",0,C44/C43-1)</f>
        <v>0</v>
      </c>
    </row>
    <row r="45" customFormat="false" ht="14.1" hidden="false" customHeight="false" outlineLevel="0" collapsed="false">
      <c r="A45" s="0" t="n">
        <v>42</v>
      </c>
      <c r="B45" s="6" t="str">
        <f aca="false">IF(ISERROR(INDEX(Transactions!$H$3:$H$5000,MATCH(A45,Transactions!$N$3:$N$5000,0))),"",INDEX(Transactions!$H$3:$H$5000,MATCH(A45,Transactions!$N$3:$N$5000,0)))</f>
        <v/>
      </c>
      <c r="C45" s="7" t="str">
        <f aca="false">IF(B45="","",Transactions!$M$1+INDEX(Transactions!$K$3:$K$5000,MATCH(A45,Transactions!$N$3:$N$5000,0)))</f>
        <v/>
      </c>
      <c r="D45" s="7" t="str">
        <f aca="false">IF(B45="","",C45-C44)</f>
        <v/>
      </c>
      <c r="E45" s="1" t="n">
        <f aca="false">IF(B45="",0,C45/C44-1)</f>
        <v>0</v>
      </c>
    </row>
    <row r="46" customFormat="false" ht="14.1" hidden="false" customHeight="false" outlineLevel="0" collapsed="false">
      <c r="A46" s="0" t="n">
        <v>43</v>
      </c>
      <c r="B46" s="6" t="str">
        <f aca="false">IF(ISERROR(INDEX(Transactions!$H$3:$H$5000,MATCH(A46,Transactions!$N$3:$N$5000,0))),"",INDEX(Transactions!$H$3:$H$5000,MATCH(A46,Transactions!$N$3:$N$5000,0)))</f>
        <v/>
      </c>
      <c r="C46" s="7" t="str">
        <f aca="false">IF(B46="","",Transactions!$M$1+INDEX(Transactions!$K$3:$K$5000,MATCH(A46,Transactions!$N$3:$N$5000,0)))</f>
        <v/>
      </c>
      <c r="D46" s="7" t="str">
        <f aca="false">IF(B46="","",C46-C45)</f>
        <v/>
      </c>
      <c r="E46" s="1" t="n">
        <f aca="false">IF(B46="",0,C46/C45-1)</f>
        <v>0</v>
      </c>
    </row>
    <row r="47" customFormat="false" ht="14.1" hidden="false" customHeight="false" outlineLevel="0" collapsed="false">
      <c r="A47" s="0" t="n">
        <v>44</v>
      </c>
      <c r="B47" s="6" t="str">
        <f aca="false">IF(ISERROR(INDEX(Transactions!$H$3:$H$5000,MATCH(A47,Transactions!$N$3:$N$5000,0))),"",INDEX(Transactions!$H$3:$H$5000,MATCH(A47,Transactions!$N$3:$N$5000,0)))</f>
        <v/>
      </c>
      <c r="C47" s="7" t="str">
        <f aca="false">IF(B47="","",Transactions!$M$1+INDEX(Transactions!$K$3:$K$5000,MATCH(A47,Transactions!$N$3:$N$5000,0)))</f>
        <v/>
      </c>
      <c r="D47" s="7" t="str">
        <f aca="false">IF(B47="","",C47-C46)</f>
        <v/>
      </c>
      <c r="E47" s="1" t="n">
        <f aca="false">IF(B47="",0,C47/C46-1)</f>
        <v>0</v>
      </c>
    </row>
    <row r="48" customFormat="false" ht="14.1" hidden="false" customHeight="false" outlineLevel="0" collapsed="false">
      <c r="A48" s="0" t="n">
        <v>45</v>
      </c>
      <c r="B48" s="6" t="str">
        <f aca="false">IF(ISERROR(INDEX(Transactions!$H$3:$H$5000,MATCH(A48,Transactions!$N$3:$N$5000,0))),"",INDEX(Transactions!$H$3:$H$5000,MATCH(A48,Transactions!$N$3:$N$5000,0)))</f>
        <v/>
      </c>
      <c r="C48" s="7" t="str">
        <f aca="false">IF(B48="","",Transactions!$M$1+INDEX(Transactions!$K$3:$K$5000,MATCH(A48,Transactions!$N$3:$N$5000,0)))</f>
        <v/>
      </c>
      <c r="D48" s="7" t="str">
        <f aca="false">IF(B48="","",C48-C47)</f>
        <v/>
      </c>
      <c r="E48" s="1" t="n">
        <f aca="false">IF(B48="",0,C48/C47-1)</f>
        <v>0</v>
      </c>
    </row>
    <row r="49" customFormat="false" ht="14.1" hidden="false" customHeight="false" outlineLevel="0" collapsed="false">
      <c r="A49" s="0" t="n">
        <v>46</v>
      </c>
      <c r="B49" s="6" t="str">
        <f aca="false">IF(ISERROR(INDEX(Transactions!$H$3:$H$5000,MATCH(A49,Transactions!$N$3:$N$5000,0))),"",INDEX(Transactions!$H$3:$H$5000,MATCH(A49,Transactions!$N$3:$N$5000,0)))</f>
        <v/>
      </c>
      <c r="C49" s="7" t="str">
        <f aca="false">IF(B49="","",Transactions!$M$1+INDEX(Transactions!$K$3:$K$5000,MATCH(A49,Transactions!$N$3:$N$5000,0)))</f>
        <v/>
      </c>
      <c r="D49" s="7" t="str">
        <f aca="false">IF(B49="","",C49-C48)</f>
        <v/>
      </c>
      <c r="E49" s="1" t="n">
        <f aca="false">IF(B49="",0,C49/C48-1)</f>
        <v>0</v>
      </c>
    </row>
    <row r="50" customFormat="false" ht="14.1" hidden="false" customHeight="false" outlineLevel="0" collapsed="false">
      <c r="A50" s="0" t="n">
        <v>47</v>
      </c>
      <c r="B50" s="6" t="str">
        <f aca="false">IF(ISERROR(INDEX(Transactions!$H$3:$H$5000,MATCH(A50,Transactions!$N$3:$N$5000,0))),"",INDEX(Transactions!$H$3:$H$5000,MATCH(A50,Transactions!$N$3:$N$5000,0)))</f>
        <v/>
      </c>
      <c r="C50" s="7" t="str">
        <f aca="false">IF(B50="","",Transactions!$M$1+INDEX(Transactions!$K$3:$K$5000,MATCH(A50,Transactions!$N$3:$N$5000,0)))</f>
        <v/>
      </c>
      <c r="D50" s="7" t="str">
        <f aca="false">IF(B50="","",C50-C49)</f>
        <v/>
      </c>
      <c r="E50" s="1" t="n">
        <f aca="false">IF(B50="",0,C50/C49-1)</f>
        <v>0</v>
      </c>
    </row>
    <row r="51" customFormat="false" ht="14.1" hidden="false" customHeight="false" outlineLevel="0" collapsed="false">
      <c r="A51" s="0" t="n">
        <v>48</v>
      </c>
      <c r="B51" s="6" t="str">
        <f aca="false">IF(ISERROR(INDEX(Transactions!$H$3:$H$5000,MATCH(A51,Transactions!$N$3:$N$5000,0))),"",INDEX(Transactions!$H$3:$H$5000,MATCH(A51,Transactions!$N$3:$N$5000,0)))</f>
        <v/>
      </c>
      <c r="C51" s="7" t="str">
        <f aca="false">IF(B51="","",Transactions!$M$1+INDEX(Transactions!$K$3:$K$5000,MATCH(A51,Transactions!$N$3:$N$5000,0)))</f>
        <v/>
      </c>
      <c r="D51" s="7" t="str">
        <f aca="false">IF(B51="","",C51-C50)</f>
        <v/>
      </c>
      <c r="E51" s="1" t="n">
        <f aca="false">IF(B51="",0,C51/C50-1)</f>
        <v>0</v>
      </c>
    </row>
    <row r="52" customFormat="false" ht="14.1" hidden="false" customHeight="false" outlineLevel="0" collapsed="false">
      <c r="A52" s="0" t="n">
        <v>49</v>
      </c>
      <c r="B52" s="6" t="str">
        <f aca="false">IF(ISERROR(INDEX(Transactions!$H$3:$H$5000,MATCH(A52,Transactions!$N$3:$N$5000,0))),"",INDEX(Transactions!$H$3:$H$5000,MATCH(A52,Transactions!$N$3:$N$5000,0)))</f>
        <v/>
      </c>
      <c r="C52" s="7" t="str">
        <f aca="false">IF(B52="","",Transactions!$M$1+INDEX(Transactions!$K$3:$K$5000,MATCH(A52,Transactions!$N$3:$N$5000,0)))</f>
        <v/>
      </c>
      <c r="D52" s="7" t="str">
        <f aca="false">IF(B52="","",C52-C51)</f>
        <v/>
      </c>
      <c r="E52" s="1" t="n">
        <f aca="false">IF(B52="",0,C52/C51-1)</f>
        <v>0</v>
      </c>
    </row>
    <row r="53" customFormat="false" ht="14.1" hidden="false" customHeight="false" outlineLevel="0" collapsed="false">
      <c r="A53" s="0" t="n">
        <v>50</v>
      </c>
      <c r="B53" s="6" t="str">
        <f aca="false">IF(ISERROR(INDEX(Transactions!$H$3:$H$5000,MATCH(A53,Transactions!$N$3:$N$5000,0))),"",INDEX(Transactions!$H$3:$H$5000,MATCH(A53,Transactions!$N$3:$N$5000,0)))</f>
        <v/>
      </c>
      <c r="C53" s="7" t="str">
        <f aca="false">IF(B53="","",Transactions!$M$1+INDEX(Transactions!$K$3:$K$5000,MATCH(A53,Transactions!$N$3:$N$5000,0)))</f>
        <v/>
      </c>
      <c r="D53" s="7" t="str">
        <f aca="false">IF(B53="","",C53-C52)</f>
        <v/>
      </c>
      <c r="E53" s="1" t="n">
        <f aca="false">IF(B53="",0,C53/C52-1)</f>
        <v>0</v>
      </c>
    </row>
    <row r="54" customFormat="false" ht="14.1" hidden="false" customHeight="false" outlineLevel="0" collapsed="false">
      <c r="A54" s="0" t="n">
        <v>51</v>
      </c>
      <c r="B54" s="6" t="str">
        <f aca="false">IF(ISERROR(INDEX(Transactions!$H$3:$H$5000,MATCH(A54,Transactions!$N$3:$N$5000,0))),"",INDEX(Transactions!$H$3:$H$5000,MATCH(A54,Transactions!$N$3:$N$5000,0)))</f>
        <v/>
      </c>
      <c r="C54" s="7" t="str">
        <f aca="false">IF(B54="","",Transactions!$M$1+INDEX(Transactions!$K$3:$K$5000,MATCH(A54,Transactions!$N$3:$N$5000,0)))</f>
        <v/>
      </c>
      <c r="D54" s="7" t="str">
        <f aca="false">IF(B54="","",C54-C53)</f>
        <v/>
      </c>
      <c r="E54" s="1" t="n">
        <f aca="false">IF(B54="",0,C54/C53-1)</f>
        <v>0</v>
      </c>
    </row>
    <row r="55" customFormat="false" ht="14.1" hidden="false" customHeight="false" outlineLevel="0" collapsed="false">
      <c r="A55" s="0" t="n">
        <v>52</v>
      </c>
      <c r="B55" s="6" t="str">
        <f aca="false">IF(ISERROR(INDEX(Transactions!$H$3:$H$5000,MATCH(A55,Transactions!$N$3:$N$5000,0))),"",INDEX(Transactions!$H$3:$H$5000,MATCH(A55,Transactions!$N$3:$N$5000,0)))</f>
        <v/>
      </c>
      <c r="C55" s="7" t="str">
        <f aca="false">IF(B55="","",Transactions!$M$1+INDEX(Transactions!$K$3:$K$5000,MATCH(A55,Transactions!$N$3:$N$5000,0)))</f>
        <v/>
      </c>
      <c r="D55" s="7" t="str">
        <f aca="false">IF(B55="","",C55-C54)</f>
        <v/>
      </c>
      <c r="E55" s="1" t="n">
        <f aca="false">IF(B55="",0,C55/C54-1)</f>
        <v>0</v>
      </c>
    </row>
    <row r="56" customFormat="false" ht="14.1" hidden="false" customHeight="false" outlineLevel="0" collapsed="false">
      <c r="A56" s="0" t="n">
        <v>53</v>
      </c>
      <c r="B56" s="6" t="str">
        <f aca="false">IF(ISERROR(INDEX(Transactions!$H$3:$H$5000,MATCH(A56,Transactions!$N$3:$N$5000,0))),"",INDEX(Transactions!$H$3:$H$5000,MATCH(A56,Transactions!$N$3:$N$5000,0)))</f>
        <v/>
      </c>
      <c r="C56" s="7" t="str">
        <f aca="false">IF(B56="","",Transactions!$M$1+INDEX(Transactions!$K$3:$K$5000,MATCH(A56,Transactions!$N$3:$N$5000,0)))</f>
        <v/>
      </c>
      <c r="D56" s="7" t="str">
        <f aca="false">IF(B56="","",C56-C55)</f>
        <v/>
      </c>
      <c r="E56" s="1" t="n">
        <f aca="false">IF(B56="",0,C56/C55-1)</f>
        <v>0</v>
      </c>
    </row>
    <row r="57" customFormat="false" ht="14.1" hidden="false" customHeight="false" outlineLevel="0" collapsed="false">
      <c r="A57" s="0" t="n">
        <v>54</v>
      </c>
      <c r="B57" s="6" t="str">
        <f aca="false">IF(ISERROR(INDEX(Transactions!$H$3:$H$5000,MATCH(A57,Transactions!$N$3:$N$5000,0))),"",INDEX(Transactions!$H$3:$H$5000,MATCH(A57,Transactions!$N$3:$N$5000,0)))</f>
        <v/>
      </c>
      <c r="C57" s="7" t="str">
        <f aca="false">IF(B57="","",Transactions!$M$1+INDEX(Transactions!$K$3:$K$5000,MATCH(A57,Transactions!$N$3:$N$5000,0)))</f>
        <v/>
      </c>
      <c r="D57" s="7" t="str">
        <f aca="false">IF(B57="","",C57-C56)</f>
        <v/>
      </c>
      <c r="E57" s="1" t="n">
        <f aca="false">IF(B57="",0,C57/C56-1)</f>
        <v>0</v>
      </c>
    </row>
    <row r="58" customFormat="false" ht="14.1" hidden="false" customHeight="false" outlineLevel="0" collapsed="false">
      <c r="A58" s="0" t="n">
        <v>55</v>
      </c>
      <c r="B58" s="6" t="str">
        <f aca="false">IF(ISERROR(INDEX(Transactions!$H$3:$H$5000,MATCH(A58,Transactions!$N$3:$N$5000,0))),"",INDEX(Transactions!$H$3:$H$5000,MATCH(A58,Transactions!$N$3:$N$5000,0)))</f>
        <v/>
      </c>
      <c r="C58" s="7" t="str">
        <f aca="false">IF(B58="","",Transactions!$M$1+INDEX(Transactions!$K$3:$K$5000,MATCH(A58,Transactions!$N$3:$N$5000,0)))</f>
        <v/>
      </c>
      <c r="D58" s="7" t="str">
        <f aca="false">IF(B58="","",C58-C57)</f>
        <v/>
      </c>
      <c r="E58" s="1" t="n">
        <f aca="false">IF(B58="",0,C58/C57-1)</f>
        <v>0</v>
      </c>
    </row>
    <row r="59" customFormat="false" ht="14.1" hidden="false" customHeight="false" outlineLevel="0" collapsed="false">
      <c r="A59" s="0" t="n">
        <v>56</v>
      </c>
      <c r="B59" s="6" t="str">
        <f aca="false">IF(ISERROR(INDEX(Transactions!$H$3:$H$5000,MATCH(A59,Transactions!$N$3:$N$5000,0))),"",INDEX(Transactions!$H$3:$H$5000,MATCH(A59,Transactions!$N$3:$N$5000,0)))</f>
        <v/>
      </c>
      <c r="C59" s="7" t="str">
        <f aca="false">IF(B59="","",Transactions!$M$1+INDEX(Transactions!$K$3:$K$5000,MATCH(A59,Transactions!$N$3:$N$5000,0)))</f>
        <v/>
      </c>
      <c r="D59" s="7" t="str">
        <f aca="false">IF(B59="","",C59-C58)</f>
        <v/>
      </c>
      <c r="E59" s="1" t="n">
        <f aca="false">IF(B59="",0,C59/C58-1)</f>
        <v>0</v>
      </c>
    </row>
    <row r="60" customFormat="false" ht="14.1" hidden="false" customHeight="false" outlineLevel="0" collapsed="false">
      <c r="A60" s="0" t="n">
        <v>57</v>
      </c>
      <c r="B60" s="6" t="str">
        <f aca="false">IF(ISERROR(INDEX(Transactions!$H$3:$H$5000,MATCH(A60,Transactions!$N$3:$N$5000,0))),"",INDEX(Transactions!$H$3:$H$5000,MATCH(A60,Transactions!$N$3:$N$5000,0)))</f>
        <v/>
      </c>
      <c r="C60" s="7" t="str">
        <f aca="false">IF(B60="","",Transactions!$M$1+INDEX(Transactions!$K$3:$K$5000,MATCH(A60,Transactions!$N$3:$N$5000,0)))</f>
        <v/>
      </c>
      <c r="D60" s="7" t="str">
        <f aca="false">IF(B60="","",C60-C59)</f>
        <v/>
      </c>
      <c r="E60" s="1" t="n">
        <f aca="false">IF(B60="",0,C60/C59-1)</f>
        <v>0</v>
      </c>
    </row>
    <row r="61" customFormat="false" ht="14.1" hidden="false" customHeight="false" outlineLevel="0" collapsed="false">
      <c r="A61" s="0" t="n">
        <v>58</v>
      </c>
      <c r="B61" s="6" t="str">
        <f aca="false">IF(ISERROR(INDEX(Transactions!$H$3:$H$5000,MATCH(A61,Transactions!$N$3:$N$5000,0))),"",INDEX(Transactions!$H$3:$H$5000,MATCH(A61,Transactions!$N$3:$N$5000,0)))</f>
        <v/>
      </c>
      <c r="C61" s="7" t="str">
        <f aca="false">IF(B61="","",Transactions!$M$1+INDEX(Transactions!$K$3:$K$5000,MATCH(A61,Transactions!$N$3:$N$5000,0)))</f>
        <v/>
      </c>
      <c r="D61" s="7" t="str">
        <f aca="false">IF(B61="","",C61-C60)</f>
        <v/>
      </c>
      <c r="E61" s="1" t="n">
        <f aca="false">IF(B61="",0,C61/C60-1)</f>
        <v>0</v>
      </c>
    </row>
    <row r="62" customFormat="false" ht="14.1" hidden="false" customHeight="false" outlineLevel="0" collapsed="false">
      <c r="A62" s="0" t="n">
        <v>59</v>
      </c>
      <c r="B62" s="6" t="str">
        <f aca="false">IF(ISERROR(INDEX(Transactions!$H$3:$H$5000,MATCH(A62,Transactions!$N$3:$N$5000,0))),"",INDEX(Transactions!$H$3:$H$5000,MATCH(A62,Transactions!$N$3:$N$5000,0)))</f>
        <v/>
      </c>
      <c r="C62" s="7" t="str">
        <f aca="false">IF(B62="","",Transactions!$M$1+INDEX(Transactions!$K$3:$K$5000,MATCH(A62,Transactions!$N$3:$N$5000,0)))</f>
        <v/>
      </c>
      <c r="D62" s="7" t="str">
        <f aca="false">IF(B62="","",C62-C61)</f>
        <v/>
      </c>
      <c r="E62" s="1" t="n">
        <f aca="false">IF(B62="",0,C62/C61-1)</f>
        <v>0</v>
      </c>
    </row>
    <row r="63" customFormat="false" ht="14.1" hidden="false" customHeight="false" outlineLevel="0" collapsed="false">
      <c r="A63" s="0" t="n">
        <v>60</v>
      </c>
      <c r="B63" s="6" t="str">
        <f aca="false">IF(ISERROR(INDEX(Transactions!$H$3:$H$5000,MATCH(A63,Transactions!$N$3:$N$5000,0))),"",INDEX(Transactions!$H$3:$H$5000,MATCH(A63,Transactions!$N$3:$N$5000,0)))</f>
        <v/>
      </c>
      <c r="C63" s="7" t="str">
        <f aca="false">IF(B63="","",Transactions!$M$1+INDEX(Transactions!$K$3:$K$5000,MATCH(A63,Transactions!$N$3:$N$5000,0)))</f>
        <v/>
      </c>
      <c r="D63" s="7" t="str">
        <f aca="false">IF(B63="","",C63-C62)</f>
        <v/>
      </c>
      <c r="E63" s="1" t="n">
        <f aca="false">IF(B63="",0,C63/C62-1)</f>
        <v>0</v>
      </c>
    </row>
    <row r="64" customFormat="false" ht="14.1" hidden="false" customHeight="false" outlineLevel="0" collapsed="false">
      <c r="A64" s="0" t="n">
        <v>61</v>
      </c>
      <c r="B64" s="6" t="str">
        <f aca="false">IF(ISERROR(INDEX(Transactions!$H$3:$H$5000,MATCH(A64,Transactions!$N$3:$N$5000,0))),"",INDEX(Transactions!$H$3:$H$5000,MATCH(A64,Transactions!$N$3:$N$5000,0)))</f>
        <v/>
      </c>
      <c r="C64" s="7" t="str">
        <f aca="false">IF(B64="","",Transactions!$M$1+INDEX(Transactions!$K$3:$K$5000,MATCH(A64,Transactions!$N$3:$N$5000,0)))</f>
        <v/>
      </c>
      <c r="D64" s="7" t="str">
        <f aca="false">IF(B64="","",C64-C63)</f>
        <v/>
      </c>
      <c r="E64" s="1" t="n">
        <f aca="false">IF(B64="",0,C64/C63-1)</f>
        <v>0</v>
      </c>
    </row>
    <row r="65" customFormat="false" ht="14.1" hidden="false" customHeight="false" outlineLevel="0" collapsed="false">
      <c r="A65" s="0" t="n">
        <v>62</v>
      </c>
      <c r="B65" s="6" t="str">
        <f aca="false">IF(ISERROR(INDEX(Transactions!$H$3:$H$5000,MATCH(A65,Transactions!$N$3:$N$5000,0))),"",INDEX(Transactions!$H$3:$H$5000,MATCH(A65,Transactions!$N$3:$N$5000,0)))</f>
        <v/>
      </c>
      <c r="C65" s="7" t="str">
        <f aca="false">IF(B65="","",Transactions!$M$1+INDEX(Transactions!$K$3:$K$5000,MATCH(A65,Transactions!$N$3:$N$5000,0)))</f>
        <v/>
      </c>
      <c r="D65" s="7" t="str">
        <f aca="false">IF(B65="","",C65-C64)</f>
        <v/>
      </c>
      <c r="E65" s="1" t="n">
        <f aca="false">IF(B65="",0,C65/C64-1)</f>
        <v>0</v>
      </c>
    </row>
    <row r="66" customFormat="false" ht="14.1" hidden="false" customHeight="false" outlineLevel="0" collapsed="false">
      <c r="A66" s="0" t="n">
        <v>63</v>
      </c>
      <c r="B66" s="6" t="str">
        <f aca="false">IF(ISERROR(INDEX(Transactions!$H$3:$H$5000,MATCH(A66,Transactions!$N$3:$N$5000,0))),"",INDEX(Transactions!$H$3:$H$5000,MATCH(A66,Transactions!$N$3:$N$5000,0)))</f>
        <v/>
      </c>
      <c r="C66" s="7" t="str">
        <f aca="false">IF(B66="","",Transactions!$M$1+INDEX(Transactions!$K$3:$K$5000,MATCH(A66,Transactions!$N$3:$N$5000,0)))</f>
        <v/>
      </c>
      <c r="D66" s="7" t="str">
        <f aca="false">IF(B66="","",C66-C65)</f>
        <v/>
      </c>
      <c r="E66" s="1" t="n">
        <f aca="false">IF(B66="",0,C66/C65-1)</f>
        <v>0</v>
      </c>
    </row>
    <row r="67" customFormat="false" ht="14.1" hidden="false" customHeight="false" outlineLevel="0" collapsed="false">
      <c r="A67" s="0" t="n">
        <v>64</v>
      </c>
      <c r="B67" s="6" t="str">
        <f aca="false">IF(ISERROR(INDEX(Transactions!$H$3:$H$5000,MATCH(A67,Transactions!$N$3:$N$5000,0))),"",INDEX(Transactions!$H$3:$H$5000,MATCH(A67,Transactions!$N$3:$N$5000,0)))</f>
        <v/>
      </c>
      <c r="C67" s="7" t="str">
        <f aca="false">IF(B67="","",Transactions!$M$1+INDEX(Transactions!$K$3:$K$5000,MATCH(A67,Transactions!$N$3:$N$5000,0)))</f>
        <v/>
      </c>
      <c r="D67" s="7" t="str">
        <f aca="false">IF(B67="","",C67-C66)</f>
        <v/>
      </c>
      <c r="E67" s="1" t="n">
        <f aca="false">IF(B67="",0,C67/C66-1)</f>
        <v>0</v>
      </c>
    </row>
    <row r="68" customFormat="false" ht="14.1" hidden="false" customHeight="false" outlineLevel="0" collapsed="false">
      <c r="A68" s="0" t="n">
        <v>65</v>
      </c>
      <c r="B68" s="6" t="str">
        <f aca="false">IF(ISERROR(INDEX(Transactions!$H$3:$H$5000,MATCH(A68,Transactions!$N$3:$N$5000,0))),"",INDEX(Transactions!$H$3:$H$5000,MATCH(A68,Transactions!$N$3:$N$5000,0)))</f>
        <v/>
      </c>
      <c r="C68" s="7" t="str">
        <f aca="false">IF(B68="","",Transactions!$M$1+INDEX(Transactions!$K$3:$K$5000,MATCH(A68,Transactions!$N$3:$N$5000,0)))</f>
        <v/>
      </c>
      <c r="D68" s="7" t="str">
        <f aca="false">IF(B68="","",C68-C67)</f>
        <v/>
      </c>
      <c r="E68" s="1" t="n">
        <f aca="false">IF(B68="",0,C68/C67-1)</f>
        <v>0</v>
      </c>
    </row>
    <row r="69" customFormat="false" ht="14.1" hidden="false" customHeight="false" outlineLevel="0" collapsed="false">
      <c r="A69" s="0" t="n">
        <v>66</v>
      </c>
      <c r="B69" s="6" t="str">
        <f aca="false">IF(ISERROR(INDEX(Transactions!$H$3:$H$5000,MATCH(A69,Transactions!$N$3:$N$5000,0))),"",INDEX(Transactions!$H$3:$H$5000,MATCH(A69,Transactions!$N$3:$N$5000,0)))</f>
        <v/>
      </c>
      <c r="C69" s="7" t="str">
        <f aca="false">IF(B69="","",Transactions!$M$1+INDEX(Transactions!$K$3:$K$5000,MATCH(A69,Transactions!$N$3:$N$5000,0)))</f>
        <v/>
      </c>
      <c r="D69" s="7" t="str">
        <f aca="false">IF(B69="","",C69-C68)</f>
        <v/>
      </c>
      <c r="E69" s="1" t="n">
        <f aca="false">IF(B69="",0,C69/C68-1)</f>
        <v>0</v>
      </c>
    </row>
    <row r="70" customFormat="false" ht="14.1" hidden="false" customHeight="false" outlineLevel="0" collapsed="false">
      <c r="A70" s="0" t="n">
        <v>67</v>
      </c>
      <c r="B70" s="6" t="str">
        <f aca="false">IF(ISERROR(INDEX(Transactions!$H$3:$H$5000,MATCH(A70,Transactions!$N$3:$N$5000,0))),"",INDEX(Transactions!$H$3:$H$5000,MATCH(A70,Transactions!$N$3:$N$5000,0)))</f>
        <v/>
      </c>
      <c r="C70" s="7" t="str">
        <f aca="false">IF(B70="","",Transactions!$M$1+INDEX(Transactions!$K$3:$K$5000,MATCH(A70,Transactions!$N$3:$N$5000,0)))</f>
        <v/>
      </c>
      <c r="D70" s="7" t="str">
        <f aca="false">IF(B70="","",C70-C69)</f>
        <v/>
      </c>
      <c r="E70" s="1" t="n">
        <f aca="false">IF(B70="",0,C70/C69-1)</f>
        <v>0</v>
      </c>
    </row>
    <row r="71" customFormat="false" ht="14.1" hidden="false" customHeight="false" outlineLevel="0" collapsed="false">
      <c r="A71" s="0" t="n">
        <v>68</v>
      </c>
      <c r="B71" s="6" t="str">
        <f aca="false">IF(ISERROR(INDEX(Transactions!$H$3:$H$5000,MATCH(A71,Transactions!$N$3:$N$5000,0))),"",INDEX(Transactions!$H$3:$H$5000,MATCH(A71,Transactions!$N$3:$N$5000,0)))</f>
        <v/>
      </c>
      <c r="C71" s="7" t="str">
        <f aca="false">IF(B71="","",Transactions!$M$1+INDEX(Transactions!$K$3:$K$5000,MATCH(A71,Transactions!$N$3:$N$5000,0)))</f>
        <v/>
      </c>
      <c r="D71" s="7" t="str">
        <f aca="false">IF(B71="","",C71-C70)</f>
        <v/>
      </c>
      <c r="E71" s="1" t="n">
        <f aca="false">IF(B71="",0,C71/C70-1)</f>
        <v>0</v>
      </c>
    </row>
    <row r="72" customFormat="false" ht="14.1" hidden="false" customHeight="false" outlineLevel="0" collapsed="false">
      <c r="A72" s="0" t="n">
        <v>69</v>
      </c>
      <c r="B72" s="6" t="str">
        <f aca="false">IF(ISERROR(INDEX(Transactions!$H$3:$H$5000,MATCH(A72,Transactions!$N$3:$N$5000,0))),"",INDEX(Transactions!$H$3:$H$5000,MATCH(A72,Transactions!$N$3:$N$5000,0)))</f>
        <v/>
      </c>
      <c r="C72" s="7" t="str">
        <f aca="false">IF(B72="","",Transactions!$M$1+INDEX(Transactions!$K$3:$K$5000,MATCH(A72,Transactions!$N$3:$N$5000,0)))</f>
        <v/>
      </c>
      <c r="D72" s="7" t="str">
        <f aca="false">IF(B72="","",C72-C71)</f>
        <v/>
      </c>
      <c r="E72" s="1" t="n">
        <f aca="false">IF(B72="",0,C72/C71-1)</f>
        <v>0</v>
      </c>
    </row>
    <row r="73" customFormat="false" ht="14.1" hidden="false" customHeight="false" outlineLevel="0" collapsed="false">
      <c r="A73" s="0" t="n">
        <v>70</v>
      </c>
      <c r="B73" s="6" t="str">
        <f aca="false">IF(ISERROR(INDEX(Transactions!$H$3:$H$5000,MATCH(A73,Transactions!$N$3:$N$5000,0))),"",INDEX(Transactions!$H$3:$H$5000,MATCH(A73,Transactions!$N$3:$N$5000,0)))</f>
        <v/>
      </c>
      <c r="C73" s="7" t="str">
        <f aca="false">IF(B73="","",Transactions!$M$1+INDEX(Transactions!$K$3:$K$5000,MATCH(A73,Transactions!$N$3:$N$5000,0)))</f>
        <v/>
      </c>
      <c r="D73" s="7" t="str">
        <f aca="false">IF(B73="","",C73-C72)</f>
        <v/>
      </c>
      <c r="E73" s="1" t="n">
        <f aca="false">IF(B73="",0,C73/C72-1)</f>
        <v>0</v>
      </c>
    </row>
    <row r="74" customFormat="false" ht="14.1" hidden="false" customHeight="false" outlineLevel="0" collapsed="false">
      <c r="A74" s="0" t="n">
        <v>71</v>
      </c>
      <c r="B74" s="6" t="str">
        <f aca="false">IF(ISERROR(INDEX(Transactions!$H$3:$H$5000,MATCH(A74,Transactions!$N$3:$N$5000,0))),"",INDEX(Transactions!$H$3:$H$5000,MATCH(A74,Transactions!$N$3:$N$5000,0)))</f>
        <v/>
      </c>
      <c r="C74" s="7" t="str">
        <f aca="false">IF(B74="","",Transactions!$M$1+INDEX(Transactions!$K$3:$K$5000,MATCH(A74,Transactions!$N$3:$N$5000,0)))</f>
        <v/>
      </c>
      <c r="D74" s="7" t="str">
        <f aca="false">IF(B74="","",C74-C73)</f>
        <v/>
      </c>
      <c r="E74" s="1" t="n">
        <f aca="false">IF(B74="",0,C74/C73-1)</f>
        <v>0</v>
      </c>
    </row>
    <row r="75" customFormat="false" ht="14.1" hidden="false" customHeight="false" outlineLevel="0" collapsed="false">
      <c r="A75" s="0" t="n">
        <v>72</v>
      </c>
      <c r="B75" s="6" t="str">
        <f aca="false">IF(ISERROR(INDEX(Transactions!$H$3:$H$5000,MATCH(A75,Transactions!$N$3:$N$5000,0))),"",INDEX(Transactions!$H$3:$H$5000,MATCH(A75,Transactions!$N$3:$N$5000,0)))</f>
        <v/>
      </c>
      <c r="C75" s="7" t="str">
        <f aca="false">IF(B75="","",Transactions!$M$1+INDEX(Transactions!$K$3:$K$5000,MATCH(A75,Transactions!$N$3:$N$5000,0)))</f>
        <v/>
      </c>
      <c r="D75" s="7" t="str">
        <f aca="false">IF(B75="","",C75-C74)</f>
        <v/>
      </c>
      <c r="E75" s="1" t="n">
        <f aca="false">IF(B75="",0,C75/C74-1)</f>
        <v>0</v>
      </c>
    </row>
    <row r="76" customFormat="false" ht="14.1" hidden="false" customHeight="false" outlineLevel="0" collapsed="false">
      <c r="A76" s="0" t="n">
        <v>73</v>
      </c>
      <c r="B76" s="6" t="str">
        <f aca="false">IF(ISERROR(INDEX(Transactions!$H$3:$H$5000,MATCH(A76,Transactions!$N$3:$N$5000,0))),"",INDEX(Transactions!$H$3:$H$5000,MATCH(A76,Transactions!$N$3:$N$5000,0)))</f>
        <v/>
      </c>
      <c r="C76" s="7" t="str">
        <f aca="false">IF(B76="","",Transactions!$M$1+INDEX(Transactions!$K$3:$K$5000,MATCH(A76,Transactions!$N$3:$N$5000,0)))</f>
        <v/>
      </c>
      <c r="D76" s="7" t="str">
        <f aca="false">IF(B76="","",C76-C75)</f>
        <v/>
      </c>
      <c r="E76" s="1" t="n">
        <f aca="false">IF(B76="",0,C76/C75-1)</f>
        <v>0</v>
      </c>
    </row>
    <row r="77" customFormat="false" ht="14.1" hidden="false" customHeight="false" outlineLevel="0" collapsed="false">
      <c r="A77" s="0" t="n">
        <v>74</v>
      </c>
      <c r="B77" s="6" t="str">
        <f aca="false">IF(ISERROR(INDEX(Transactions!$H$3:$H$5000,MATCH(A77,Transactions!$N$3:$N$5000,0))),"",INDEX(Transactions!$H$3:$H$5000,MATCH(A77,Transactions!$N$3:$N$5000,0)))</f>
        <v/>
      </c>
      <c r="C77" s="7" t="str">
        <f aca="false">IF(B77="","",Transactions!$M$1+INDEX(Transactions!$K$3:$K$5000,MATCH(A77,Transactions!$N$3:$N$5000,0)))</f>
        <v/>
      </c>
      <c r="D77" s="7" t="str">
        <f aca="false">IF(B77="","",C77-C76)</f>
        <v/>
      </c>
      <c r="E77" s="1" t="n">
        <f aca="false">IF(B77="",0,C77/C76-1)</f>
        <v>0</v>
      </c>
    </row>
    <row r="78" customFormat="false" ht="14.1" hidden="false" customHeight="false" outlineLevel="0" collapsed="false">
      <c r="A78" s="0" t="n">
        <v>75</v>
      </c>
      <c r="B78" s="6" t="str">
        <f aca="false">IF(ISERROR(INDEX(Transactions!$H$3:$H$5000,MATCH(A78,Transactions!$N$3:$N$5000,0))),"",INDEX(Transactions!$H$3:$H$5000,MATCH(A78,Transactions!$N$3:$N$5000,0)))</f>
        <v/>
      </c>
      <c r="C78" s="7" t="str">
        <f aca="false">IF(B78="","",Transactions!$M$1+INDEX(Transactions!$K$3:$K$5000,MATCH(A78,Transactions!$N$3:$N$5000,0)))</f>
        <v/>
      </c>
      <c r="D78" s="7" t="str">
        <f aca="false">IF(B78="","",C78-C77)</f>
        <v/>
      </c>
      <c r="E78" s="1" t="n">
        <f aca="false">IF(B78="",0,C78/C77-1)</f>
        <v>0</v>
      </c>
    </row>
    <row r="79" customFormat="false" ht="14.1" hidden="false" customHeight="false" outlineLevel="0" collapsed="false">
      <c r="A79" s="0" t="n">
        <v>76</v>
      </c>
      <c r="B79" s="6" t="str">
        <f aca="false">IF(ISERROR(INDEX(Transactions!$H$3:$H$5000,MATCH(A79,Transactions!$N$3:$N$5000,0))),"",INDEX(Transactions!$H$3:$H$5000,MATCH(A79,Transactions!$N$3:$N$5000,0)))</f>
        <v/>
      </c>
      <c r="C79" s="7" t="str">
        <f aca="false">IF(B79="","",Transactions!$M$1+INDEX(Transactions!$K$3:$K$5000,MATCH(A79,Transactions!$N$3:$N$5000,0)))</f>
        <v/>
      </c>
      <c r="D79" s="7" t="str">
        <f aca="false">IF(B79="","",C79-C78)</f>
        <v/>
      </c>
      <c r="E79" s="1" t="n">
        <f aca="false">IF(B79="",0,C79/C78-1)</f>
        <v>0</v>
      </c>
    </row>
    <row r="80" customFormat="false" ht="14.1" hidden="false" customHeight="false" outlineLevel="0" collapsed="false">
      <c r="A80" s="0" t="n">
        <v>77</v>
      </c>
      <c r="B80" s="6" t="str">
        <f aca="false">IF(ISERROR(INDEX(Transactions!$H$3:$H$5000,MATCH(A80,Transactions!$N$3:$N$5000,0))),"",INDEX(Transactions!$H$3:$H$5000,MATCH(A80,Transactions!$N$3:$N$5000,0)))</f>
        <v/>
      </c>
      <c r="C80" s="7" t="str">
        <f aca="false">IF(B80="","",Transactions!$M$1+INDEX(Transactions!$K$3:$K$5000,MATCH(A80,Transactions!$N$3:$N$5000,0)))</f>
        <v/>
      </c>
      <c r="D80" s="7" t="str">
        <f aca="false">IF(B80="","",C80-C79)</f>
        <v/>
      </c>
      <c r="E80" s="1" t="n">
        <f aca="false">IF(B80="",0,C80/C79-1)</f>
        <v>0</v>
      </c>
    </row>
    <row r="81" customFormat="false" ht="14.1" hidden="false" customHeight="false" outlineLevel="0" collapsed="false">
      <c r="A81" s="0" t="n">
        <v>78</v>
      </c>
      <c r="B81" s="6" t="str">
        <f aca="false">IF(ISERROR(INDEX(Transactions!$H$3:$H$5000,MATCH(A81,Transactions!$N$3:$N$5000,0))),"",INDEX(Transactions!$H$3:$H$5000,MATCH(A81,Transactions!$N$3:$N$5000,0)))</f>
        <v/>
      </c>
      <c r="C81" s="7" t="str">
        <f aca="false">IF(B81="","",Transactions!$M$1+INDEX(Transactions!$K$3:$K$5000,MATCH(A81,Transactions!$N$3:$N$5000,0)))</f>
        <v/>
      </c>
      <c r="D81" s="7" t="str">
        <f aca="false">IF(B81="","",C81-C80)</f>
        <v/>
      </c>
      <c r="E81" s="1" t="n">
        <f aca="false">IF(B81="",0,C81/C80-1)</f>
        <v>0</v>
      </c>
    </row>
    <row r="82" customFormat="false" ht="14.1" hidden="false" customHeight="false" outlineLevel="0" collapsed="false">
      <c r="A82" s="0" t="n">
        <v>79</v>
      </c>
      <c r="B82" s="6" t="str">
        <f aca="false">IF(ISERROR(INDEX(Transactions!$H$3:$H$5000,MATCH(A82,Transactions!$N$3:$N$5000,0))),"",INDEX(Transactions!$H$3:$H$5000,MATCH(A82,Transactions!$N$3:$N$5000,0)))</f>
        <v/>
      </c>
      <c r="C82" s="7" t="str">
        <f aca="false">IF(B82="","",Transactions!$M$1+INDEX(Transactions!$K$3:$K$5000,MATCH(A82,Transactions!$N$3:$N$5000,0)))</f>
        <v/>
      </c>
      <c r="D82" s="7" t="str">
        <f aca="false">IF(B82="","",C82-C81)</f>
        <v/>
      </c>
      <c r="E82" s="1" t="n">
        <f aca="false">IF(B82="",0,C82/C81-1)</f>
        <v>0</v>
      </c>
    </row>
    <row r="83" customFormat="false" ht="14.1" hidden="false" customHeight="false" outlineLevel="0" collapsed="false">
      <c r="A83" s="0" t="n">
        <v>80</v>
      </c>
      <c r="B83" s="6" t="str">
        <f aca="false">IF(ISERROR(INDEX(Transactions!$H$3:$H$5000,MATCH(A83,Transactions!$N$3:$N$5000,0))),"",INDEX(Transactions!$H$3:$H$5000,MATCH(A83,Transactions!$N$3:$N$5000,0)))</f>
        <v/>
      </c>
      <c r="C83" s="7" t="str">
        <f aca="false">IF(B83="","",Transactions!$M$1+INDEX(Transactions!$K$3:$K$5000,MATCH(A83,Transactions!$N$3:$N$5000,0)))</f>
        <v/>
      </c>
      <c r="D83" s="7" t="str">
        <f aca="false">IF(B83="","",C83-C82)</f>
        <v/>
      </c>
      <c r="E83" s="1" t="n">
        <f aca="false">IF(B83="",0,C83/C82-1)</f>
        <v>0</v>
      </c>
    </row>
    <row r="84" customFormat="false" ht="14.1" hidden="false" customHeight="false" outlineLevel="0" collapsed="false">
      <c r="A84" s="0" t="n">
        <v>81</v>
      </c>
      <c r="B84" s="6" t="str">
        <f aca="false">IF(ISERROR(INDEX(Transactions!$H$3:$H$5000,MATCH(A84,Transactions!$N$3:$N$5000,0))),"",INDEX(Transactions!$H$3:$H$5000,MATCH(A84,Transactions!$N$3:$N$5000,0)))</f>
        <v/>
      </c>
      <c r="C84" s="7" t="str">
        <f aca="false">IF(B84="","",Transactions!$M$1+INDEX(Transactions!$K$3:$K$5000,MATCH(A84,Transactions!$N$3:$N$5000,0)))</f>
        <v/>
      </c>
      <c r="D84" s="7" t="str">
        <f aca="false">IF(B84="","",C84-C83)</f>
        <v/>
      </c>
      <c r="E84" s="1" t="n">
        <f aca="false">IF(B84="",0,C84/C83-1)</f>
        <v>0</v>
      </c>
    </row>
    <row r="85" customFormat="false" ht="14.1" hidden="false" customHeight="false" outlineLevel="0" collapsed="false">
      <c r="A85" s="0" t="n">
        <v>82</v>
      </c>
      <c r="B85" s="6" t="str">
        <f aca="false">IF(ISERROR(INDEX(Transactions!$H$3:$H$5000,MATCH(A85,Transactions!$N$3:$N$5000,0))),"",INDEX(Transactions!$H$3:$H$5000,MATCH(A85,Transactions!$N$3:$N$5000,0)))</f>
        <v/>
      </c>
      <c r="C85" s="7" t="str">
        <f aca="false">IF(B85="","",Transactions!$M$1+INDEX(Transactions!$K$3:$K$5000,MATCH(A85,Transactions!$N$3:$N$5000,0)))</f>
        <v/>
      </c>
      <c r="D85" s="7" t="str">
        <f aca="false">IF(B85="","",C85-C84)</f>
        <v/>
      </c>
      <c r="E85" s="1" t="n">
        <f aca="false">IF(B85="",0,C85/C84-1)</f>
        <v>0</v>
      </c>
    </row>
    <row r="86" customFormat="false" ht="14.1" hidden="false" customHeight="false" outlineLevel="0" collapsed="false">
      <c r="A86" s="0" t="n">
        <v>83</v>
      </c>
      <c r="B86" s="6" t="str">
        <f aca="false">IF(ISERROR(INDEX(Transactions!$H$3:$H$5000,MATCH(A86,Transactions!$N$3:$N$5000,0))),"",INDEX(Transactions!$H$3:$H$5000,MATCH(A86,Transactions!$N$3:$N$5000,0)))</f>
        <v/>
      </c>
      <c r="C86" s="7" t="str">
        <f aca="false">IF(B86="","",Transactions!$M$1+INDEX(Transactions!$K$3:$K$5000,MATCH(A86,Transactions!$N$3:$N$5000,0)))</f>
        <v/>
      </c>
      <c r="D86" s="7" t="str">
        <f aca="false">IF(B86="","",C86-C85)</f>
        <v/>
      </c>
      <c r="E86" s="1" t="n">
        <f aca="false">IF(B86="",0,C86/C85-1)</f>
        <v>0</v>
      </c>
    </row>
    <row r="87" customFormat="false" ht="14.1" hidden="false" customHeight="false" outlineLevel="0" collapsed="false">
      <c r="A87" s="0" t="n">
        <v>84</v>
      </c>
      <c r="B87" s="6" t="str">
        <f aca="false">IF(ISERROR(INDEX(Transactions!$H$3:$H$5000,MATCH(A87,Transactions!$N$3:$N$5000,0))),"",INDEX(Transactions!$H$3:$H$5000,MATCH(A87,Transactions!$N$3:$N$5000,0)))</f>
        <v/>
      </c>
      <c r="C87" s="7" t="str">
        <f aca="false">IF(B87="","",Transactions!$M$1+INDEX(Transactions!$K$3:$K$5000,MATCH(A87,Transactions!$N$3:$N$5000,0)))</f>
        <v/>
      </c>
      <c r="D87" s="7" t="str">
        <f aca="false">IF(B87="","",C87-C86)</f>
        <v/>
      </c>
      <c r="E87" s="1" t="n">
        <f aca="false">IF(B87="",0,C87/C86-1)</f>
        <v>0</v>
      </c>
    </row>
    <row r="88" customFormat="false" ht="14.1" hidden="false" customHeight="false" outlineLevel="0" collapsed="false">
      <c r="A88" s="0" t="n">
        <v>85</v>
      </c>
      <c r="B88" s="6" t="str">
        <f aca="false">IF(ISERROR(INDEX(Transactions!$H$3:$H$5000,MATCH(A88,Transactions!$N$3:$N$5000,0))),"",INDEX(Transactions!$H$3:$H$5000,MATCH(A88,Transactions!$N$3:$N$5000,0)))</f>
        <v/>
      </c>
      <c r="C88" s="7" t="str">
        <f aca="false">IF(B88="","",Transactions!$M$1+INDEX(Transactions!$K$3:$K$5000,MATCH(A88,Transactions!$N$3:$N$5000,0)))</f>
        <v/>
      </c>
      <c r="D88" s="7" t="str">
        <f aca="false">IF(B88="","",C88-C87)</f>
        <v/>
      </c>
      <c r="E88" s="1" t="n">
        <f aca="false">IF(B88="",0,C88/C87-1)</f>
        <v>0</v>
      </c>
    </row>
    <row r="89" customFormat="false" ht="14.1" hidden="false" customHeight="false" outlineLevel="0" collapsed="false">
      <c r="A89" s="0" t="n">
        <v>86</v>
      </c>
      <c r="B89" s="6" t="str">
        <f aca="false">IF(ISERROR(INDEX(Transactions!$H$3:$H$5000,MATCH(A89,Transactions!$N$3:$N$5000,0))),"",INDEX(Transactions!$H$3:$H$5000,MATCH(A89,Transactions!$N$3:$N$5000,0)))</f>
        <v/>
      </c>
      <c r="C89" s="7" t="str">
        <f aca="false">IF(B89="","",Transactions!$M$1+INDEX(Transactions!$K$3:$K$5000,MATCH(A89,Transactions!$N$3:$N$5000,0)))</f>
        <v/>
      </c>
      <c r="D89" s="7" t="str">
        <f aca="false">IF(B89="","",C89-C88)</f>
        <v/>
      </c>
      <c r="E89" s="1" t="n">
        <f aca="false">IF(B89="",0,C89/C88-1)</f>
        <v>0</v>
      </c>
    </row>
    <row r="90" customFormat="false" ht="14.1" hidden="false" customHeight="false" outlineLevel="0" collapsed="false">
      <c r="A90" s="0" t="n">
        <v>87</v>
      </c>
      <c r="B90" s="6" t="str">
        <f aca="false">IF(ISERROR(INDEX(Transactions!$H$3:$H$5000,MATCH(A90,Transactions!$N$3:$N$5000,0))),"",INDEX(Transactions!$H$3:$H$5000,MATCH(A90,Transactions!$N$3:$N$5000,0)))</f>
        <v/>
      </c>
      <c r="C90" s="7" t="str">
        <f aca="false">IF(B90="","",Transactions!$M$1+INDEX(Transactions!$K$3:$K$5000,MATCH(A90,Transactions!$N$3:$N$5000,0)))</f>
        <v/>
      </c>
      <c r="D90" s="7" t="str">
        <f aca="false">IF(B90="","",C90-C89)</f>
        <v/>
      </c>
      <c r="E90" s="1" t="n">
        <f aca="false">IF(B90="",0,C90/C89-1)</f>
        <v>0</v>
      </c>
    </row>
    <row r="91" customFormat="false" ht="14.1" hidden="false" customHeight="false" outlineLevel="0" collapsed="false">
      <c r="A91" s="0" t="n">
        <v>88</v>
      </c>
      <c r="B91" s="6" t="str">
        <f aca="false">IF(ISERROR(INDEX(Transactions!$H$3:$H$5000,MATCH(A91,Transactions!$N$3:$N$5000,0))),"",INDEX(Transactions!$H$3:$H$5000,MATCH(A91,Transactions!$N$3:$N$5000,0)))</f>
        <v/>
      </c>
      <c r="C91" s="7" t="str">
        <f aca="false">IF(B91="","",Transactions!$M$1+INDEX(Transactions!$K$3:$K$5000,MATCH(A91,Transactions!$N$3:$N$5000,0)))</f>
        <v/>
      </c>
      <c r="D91" s="7" t="str">
        <f aca="false">IF(B91="","",C91-C90)</f>
        <v/>
      </c>
      <c r="E91" s="1" t="n">
        <f aca="false">IF(B91="",0,C91/C90-1)</f>
        <v>0</v>
      </c>
    </row>
    <row r="92" customFormat="false" ht="14.1" hidden="false" customHeight="false" outlineLevel="0" collapsed="false">
      <c r="A92" s="0" t="n">
        <v>89</v>
      </c>
      <c r="B92" s="6" t="str">
        <f aca="false">IF(ISERROR(INDEX(Transactions!$H$3:$H$5000,MATCH(A92,Transactions!$N$3:$N$5000,0))),"",INDEX(Transactions!$H$3:$H$5000,MATCH(A92,Transactions!$N$3:$N$5000,0)))</f>
        <v/>
      </c>
      <c r="C92" s="7" t="str">
        <f aca="false">IF(B92="","",Transactions!$M$1+INDEX(Transactions!$K$3:$K$5000,MATCH(A92,Transactions!$N$3:$N$5000,0)))</f>
        <v/>
      </c>
      <c r="D92" s="7" t="str">
        <f aca="false">IF(B92="","",C92-C91)</f>
        <v/>
      </c>
      <c r="E92" s="1" t="n">
        <f aca="false">IF(B92="",0,C92/C91-1)</f>
        <v>0</v>
      </c>
    </row>
    <row r="93" customFormat="false" ht="14.1" hidden="false" customHeight="false" outlineLevel="0" collapsed="false">
      <c r="A93" s="0" t="n">
        <v>90</v>
      </c>
      <c r="B93" s="6" t="str">
        <f aca="false">IF(ISERROR(INDEX(Transactions!$H$3:$H$5000,MATCH(A93,Transactions!$N$3:$N$5000,0))),"",INDEX(Transactions!$H$3:$H$5000,MATCH(A93,Transactions!$N$3:$N$5000,0)))</f>
        <v/>
      </c>
      <c r="C93" s="7" t="str">
        <f aca="false">IF(B93="","",Transactions!$M$1+INDEX(Transactions!$K$3:$K$5000,MATCH(A93,Transactions!$N$3:$N$5000,0)))</f>
        <v/>
      </c>
      <c r="D93" s="7" t="str">
        <f aca="false">IF(B93="","",C93-C92)</f>
        <v/>
      </c>
      <c r="E93" s="1" t="n">
        <f aca="false">IF(B93="",0,C93/C92-1)</f>
        <v>0</v>
      </c>
    </row>
    <row r="94" customFormat="false" ht="14.1" hidden="false" customHeight="false" outlineLevel="0" collapsed="false">
      <c r="A94" s="0" t="n">
        <v>91</v>
      </c>
      <c r="B94" s="6" t="str">
        <f aca="false">IF(ISERROR(INDEX(Transactions!$H$3:$H$5000,MATCH(A94,Transactions!$N$3:$N$5000,0))),"",INDEX(Transactions!$H$3:$H$5000,MATCH(A94,Transactions!$N$3:$N$5000,0)))</f>
        <v/>
      </c>
      <c r="C94" s="7" t="str">
        <f aca="false">IF(B94="","",Transactions!$M$1+INDEX(Transactions!$K$3:$K$5000,MATCH(A94,Transactions!$N$3:$N$5000,0)))</f>
        <v/>
      </c>
      <c r="D94" s="7" t="str">
        <f aca="false">IF(B94="","",C94-C93)</f>
        <v/>
      </c>
      <c r="E94" s="1" t="n">
        <f aca="false">IF(B94="",0,C94/C93-1)</f>
        <v>0</v>
      </c>
    </row>
    <row r="95" customFormat="false" ht="14.1" hidden="false" customHeight="false" outlineLevel="0" collapsed="false">
      <c r="A95" s="0" t="n">
        <v>92</v>
      </c>
      <c r="B95" s="6" t="str">
        <f aca="false">IF(ISERROR(INDEX(Transactions!$H$3:$H$5000,MATCH(A95,Transactions!$N$3:$N$5000,0))),"",INDEX(Transactions!$H$3:$H$5000,MATCH(A95,Transactions!$N$3:$N$5000,0)))</f>
        <v/>
      </c>
      <c r="C95" s="7" t="str">
        <f aca="false">IF(B95="","",Transactions!$M$1+INDEX(Transactions!$K$3:$K$5000,MATCH(A95,Transactions!$N$3:$N$5000,0)))</f>
        <v/>
      </c>
      <c r="D95" s="7" t="str">
        <f aca="false">IF(B95="","",C95-C94)</f>
        <v/>
      </c>
      <c r="E95" s="1" t="n">
        <f aca="false">IF(B95="",0,C95/C94-1)</f>
        <v>0</v>
      </c>
    </row>
    <row r="96" customFormat="false" ht="14.1" hidden="false" customHeight="false" outlineLevel="0" collapsed="false">
      <c r="A96" s="0" t="n">
        <v>93</v>
      </c>
      <c r="B96" s="6" t="str">
        <f aca="false">IF(ISERROR(INDEX(Transactions!$H$3:$H$5000,MATCH(A96,Transactions!$N$3:$N$5000,0))),"",INDEX(Transactions!$H$3:$H$5000,MATCH(A96,Transactions!$N$3:$N$5000,0)))</f>
        <v/>
      </c>
      <c r="C96" s="7" t="str">
        <f aca="false">IF(B96="","",Transactions!$M$1+INDEX(Transactions!$K$3:$K$5000,MATCH(A96,Transactions!$N$3:$N$5000,0)))</f>
        <v/>
      </c>
      <c r="D96" s="7" t="str">
        <f aca="false">IF(B96="","",C96-C95)</f>
        <v/>
      </c>
      <c r="E96" s="1" t="n">
        <f aca="false">IF(B96="",0,C96/C95-1)</f>
        <v>0</v>
      </c>
    </row>
    <row r="97" customFormat="false" ht="14.1" hidden="false" customHeight="false" outlineLevel="0" collapsed="false">
      <c r="A97" s="0" t="n">
        <v>94</v>
      </c>
      <c r="B97" s="6" t="str">
        <f aca="false">IF(ISERROR(INDEX(Transactions!$H$3:$H$5000,MATCH(A97,Transactions!$N$3:$N$5000,0))),"",INDEX(Transactions!$H$3:$H$5000,MATCH(A97,Transactions!$N$3:$N$5000,0)))</f>
        <v/>
      </c>
      <c r="C97" s="7" t="str">
        <f aca="false">IF(B97="","",Transactions!$M$1+INDEX(Transactions!$K$3:$K$5000,MATCH(A97,Transactions!$N$3:$N$5000,0)))</f>
        <v/>
      </c>
      <c r="D97" s="7" t="str">
        <f aca="false">IF(B97="","",C97-C96)</f>
        <v/>
      </c>
      <c r="E97" s="1" t="n">
        <f aca="false">IF(B97="",0,C97/C96-1)</f>
        <v>0</v>
      </c>
    </row>
    <row r="98" customFormat="false" ht="14.1" hidden="false" customHeight="false" outlineLevel="0" collapsed="false">
      <c r="A98" s="0" t="n">
        <v>95</v>
      </c>
      <c r="B98" s="6" t="str">
        <f aca="false">IF(ISERROR(INDEX(Transactions!$H$3:$H$5000,MATCH(A98,Transactions!$N$3:$N$5000,0))),"",INDEX(Transactions!$H$3:$H$5000,MATCH(A98,Transactions!$N$3:$N$5000,0)))</f>
        <v/>
      </c>
      <c r="C98" s="7" t="str">
        <f aca="false">IF(B98="","",Transactions!$M$1+INDEX(Transactions!$K$3:$K$5000,MATCH(A98,Transactions!$N$3:$N$5000,0)))</f>
        <v/>
      </c>
      <c r="D98" s="7" t="str">
        <f aca="false">IF(B98="","",C98-C97)</f>
        <v/>
      </c>
      <c r="E98" s="1" t="n">
        <f aca="false">IF(B98="",0,C98/C97-1)</f>
        <v>0</v>
      </c>
    </row>
    <row r="99" customFormat="false" ht="14.1" hidden="false" customHeight="false" outlineLevel="0" collapsed="false">
      <c r="A99" s="0" t="n">
        <v>96</v>
      </c>
      <c r="B99" s="6" t="str">
        <f aca="false">IF(ISERROR(INDEX(Transactions!$H$3:$H$5000,MATCH(A99,Transactions!$N$3:$N$5000,0))),"",INDEX(Transactions!$H$3:$H$5000,MATCH(A99,Transactions!$N$3:$N$5000,0)))</f>
        <v/>
      </c>
      <c r="C99" s="7" t="str">
        <f aca="false">IF(B99="","",Transactions!$M$1+INDEX(Transactions!$K$3:$K$5000,MATCH(A99,Transactions!$N$3:$N$5000,0)))</f>
        <v/>
      </c>
      <c r="D99" s="7" t="str">
        <f aca="false">IF(B99="","",C99-C98)</f>
        <v/>
      </c>
      <c r="E99" s="1" t="n">
        <f aca="false">IF(B99="",0,C99/C98-1)</f>
        <v>0</v>
      </c>
    </row>
    <row r="100" customFormat="false" ht="14.1" hidden="false" customHeight="false" outlineLevel="0" collapsed="false">
      <c r="A100" s="0" t="n">
        <v>97</v>
      </c>
      <c r="B100" s="6" t="str">
        <f aca="false">IF(ISERROR(INDEX(Transactions!$H$3:$H$5000,MATCH(A100,Transactions!$N$3:$N$5000,0))),"",INDEX(Transactions!$H$3:$H$5000,MATCH(A100,Transactions!$N$3:$N$5000,0)))</f>
        <v/>
      </c>
      <c r="C100" s="7" t="str">
        <f aca="false">IF(B100="","",Transactions!$M$1+INDEX(Transactions!$K$3:$K$5000,MATCH(A100,Transactions!$N$3:$N$5000,0)))</f>
        <v/>
      </c>
      <c r="D100" s="7" t="str">
        <f aca="false">IF(B100="","",C100-C99)</f>
        <v/>
      </c>
      <c r="E100" s="1" t="n">
        <f aca="false">IF(B100="",0,C100/C99-1)</f>
        <v>0</v>
      </c>
    </row>
    <row r="101" customFormat="false" ht="14.1" hidden="false" customHeight="false" outlineLevel="0" collapsed="false">
      <c r="A101" s="0" t="n">
        <v>98</v>
      </c>
      <c r="B101" s="6" t="str">
        <f aca="false">IF(ISERROR(INDEX(Transactions!$H$3:$H$5000,MATCH(A101,Transactions!$N$3:$N$5000,0))),"",INDEX(Transactions!$H$3:$H$5000,MATCH(A101,Transactions!$N$3:$N$5000,0)))</f>
        <v/>
      </c>
      <c r="C101" s="7" t="str">
        <f aca="false">IF(B101="","",Transactions!$M$1+INDEX(Transactions!$K$3:$K$5000,MATCH(A101,Transactions!$N$3:$N$5000,0)))</f>
        <v/>
      </c>
      <c r="D101" s="7" t="str">
        <f aca="false">IF(B101="","",C101-C100)</f>
        <v/>
      </c>
      <c r="E101" s="1" t="n">
        <f aca="false">IF(B101="",0,C101/C100-1)</f>
        <v>0</v>
      </c>
    </row>
    <row r="102" customFormat="false" ht="14.1" hidden="false" customHeight="false" outlineLevel="0" collapsed="false">
      <c r="A102" s="0" t="n">
        <v>99</v>
      </c>
      <c r="B102" s="6" t="str">
        <f aca="false">IF(ISERROR(INDEX(Transactions!$H$3:$H$5000,MATCH(A102,Transactions!$N$3:$N$5000,0))),"",INDEX(Transactions!$H$3:$H$5000,MATCH(A102,Transactions!$N$3:$N$5000,0)))</f>
        <v/>
      </c>
      <c r="C102" s="7" t="str">
        <f aca="false">IF(B102="","",Transactions!$M$1+INDEX(Transactions!$K$3:$K$5000,MATCH(A102,Transactions!$N$3:$N$5000,0)))</f>
        <v/>
      </c>
      <c r="D102" s="7" t="str">
        <f aca="false">IF(B102="","",C102-C101)</f>
        <v/>
      </c>
      <c r="E102" s="1" t="n">
        <f aca="false">IF(B102="",0,C102/C101-1)</f>
        <v>0</v>
      </c>
    </row>
    <row r="103" customFormat="false" ht="14.1" hidden="false" customHeight="false" outlineLevel="0" collapsed="false">
      <c r="A103" s="0" t="n">
        <v>100</v>
      </c>
      <c r="B103" s="6" t="str">
        <f aca="false">IF(ISERROR(INDEX(Transactions!$H$3:$H$5000,MATCH(A103,Transactions!$N$3:$N$5000,0))),"",INDEX(Transactions!$H$3:$H$5000,MATCH(A103,Transactions!$N$3:$N$5000,0)))</f>
        <v/>
      </c>
      <c r="C103" s="7" t="str">
        <f aca="false">IF(B103="","",Transactions!$M$1+INDEX(Transactions!$K$3:$K$5000,MATCH(A103,Transactions!$N$3:$N$5000,0)))</f>
        <v/>
      </c>
      <c r="D103" s="7" t="str">
        <f aca="false">IF(B103="","",C103-C102)</f>
        <v/>
      </c>
      <c r="E103" s="1" t="n">
        <f aca="false">IF(B103="",0,C103/C102-1)</f>
        <v>0</v>
      </c>
    </row>
    <row r="104" customFormat="false" ht="14.1" hidden="false" customHeight="false" outlineLevel="0" collapsed="false">
      <c r="A104" s="0" t="n">
        <v>101</v>
      </c>
      <c r="B104" s="6" t="str">
        <f aca="false">IF(ISERROR(INDEX(Transactions!$H$3:$H$5000,MATCH(A104,Transactions!$N$3:$N$5000,0))),"",INDEX(Transactions!$H$3:$H$5000,MATCH(A104,Transactions!$N$3:$N$5000,0)))</f>
        <v/>
      </c>
      <c r="C104" s="7" t="str">
        <f aca="false">IF(B104="","",Transactions!$M$1+INDEX(Transactions!$K$3:$K$5000,MATCH(A104,Transactions!$N$3:$N$5000,0)))</f>
        <v/>
      </c>
      <c r="D104" s="7" t="str">
        <f aca="false">IF(B104="","",C104-C103)</f>
        <v/>
      </c>
      <c r="E104" s="1" t="n">
        <f aca="false">IF(B104="",0,C104/C103-1)</f>
        <v>0</v>
      </c>
    </row>
    <row r="105" customFormat="false" ht="14.1" hidden="false" customHeight="false" outlineLevel="0" collapsed="false">
      <c r="A105" s="0" t="n">
        <v>102</v>
      </c>
      <c r="B105" s="6" t="str">
        <f aca="false">IF(ISERROR(INDEX(Transactions!$H$3:$H$5000,MATCH(A105,Transactions!$N$3:$N$5000,0))),"",INDEX(Transactions!$H$3:$H$5000,MATCH(A105,Transactions!$N$3:$N$5000,0)))</f>
        <v/>
      </c>
      <c r="C105" s="7" t="str">
        <f aca="false">IF(B105="","",Transactions!$M$1+INDEX(Transactions!$K$3:$K$5000,MATCH(A105,Transactions!$N$3:$N$5000,0)))</f>
        <v/>
      </c>
      <c r="D105" s="7" t="str">
        <f aca="false">IF(B105="","",C105-C104)</f>
        <v/>
      </c>
      <c r="E105" s="1" t="n">
        <f aca="false">IF(B105="",0,C105/C104-1)</f>
        <v>0</v>
      </c>
    </row>
    <row r="106" customFormat="false" ht="14.1" hidden="false" customHeight="false" outlineLevel="0" collapsed="false">
      <c r="A106" s="0" t="n">
        <v>103</v>
      </c>
      <c r="B106" s="6" t="str">
        <f aca="false">IF(ISERROR(INDEX(Transactions!$H$3:$H$5000,MATCH(A106,Transactions!$N$3:$N$5000,0))),"",INDEX(Transactions!$H$3:$H$5000,MATCH(A106,Transactions!$N$3:$N$5000,0)))</f>
        <v/>
      </c>
      <c r="C106" s="7" t="str">
        <f aca="false">IF(B106="","",Transactions!$M$1+INDEX(Transactions!$K$3:$K$5000,MATCH(A106,Transactions!$N$3:$N$5000,0)))</f>
        <v/>
      </c>
      <c r="D106" s="7" t="str">
        <f aca="false">IF(B106="","",C106-C105)</f>
        <v/>
      </c>
      <c r="E106" s="1" t="n">
        <f aca="false">IF(B106="",0,C106/C105-1)</f>
        <v>0</v>
      </c>
    </row>
    <row r="107" customFormat="false" ht="14.1" hidden="false" customHeight="false" outlineLevel="0" collapsed="false">
      <c r="A107" s="0" t="n">
        <v>104</v>
      </c>
      <c r="B107" s="6" t="str">
        <f aca="false">IF(ISERROR(INDEX(Transactions!$H$3:$H$5000,MATCH(A107,Transactions!$N$3:$N$5000,0))),"",INDEX(Transactions!$H$3:$H$5000,MATCH(A107,Transactions!$N$3:$N$5000,0)))</f>
        <v/>
      </c>
      <c r="C107" s="7" t="str">
        <f aca="false">IF(B107="","",Transactions!$M$1+INDEX(Transactions!$K$3:$K$5000,MATCH(A107,Transactions!$N$3:$N$5000,0)))</f>
        <v/>
      </c>
      <c r="D107" s="7" t="str">
        <f aca="false">IF(B107="","",C107-C106)</f>
        <v/>
      </c>
      <c r="E107" s="1" t="n">
        <f aca="false">IF(B107="",0,C107/C106-1)</f>
        <v>0</v>
      </c>
    </row>
    <row r="108" customFormat="false" ht="14.1" hidden="false" customHeight="false" outlineLevel="0" collapsed="false">
      <c r="A108" s="0" t="n">
        <v>105</v>
      </c>
      <c r="B108" s="6" t="str">
        <f aca="false">IF(ISERROR(INDEX(Transactions!$H$3:$H$5000,MATCH(A108,Transactions!$N$3:$N$5000,0))),"",INDEX(Transactions!$H$3:$H$5000,MATCH(A108,Transactions!$N$3:$N$5000,0)))</f>
        <v/>
      </c>
      <c r="C108" s="7" t="str">
        <f aca="false">IF(B108="","",Transactions!$M$1+INDEX(Transactions!$K$3:$K$5000,MATCH(A108,Transactions!$N$3:$N$5000,0)))</f>
        <v/>
      </c>
      <c r="D108" s="7" t="str">
        <f aca="false">IF(B108="","",C108-C107)</f>
        <v/>
      </c>
      <c r="E108" s="1" t="n">
        <f aca="false">IF(B108="",0,C108/C107-1)</f>
        <v>0</v>
      </c>
    </row>
    <row r="109" customFormat="false" ht="14.1" hidden="false" customHeight="false" outlineLevel="0" collapsed="false">
      <c r="A109" s="0" t="n">
        <v>106</v>
      </c>
      <c r="B109" s="6" t="str">
        <f aca="false">IF(ISERROR(INDEX(Transactions!$H$3:$H$5000,MATCH(A109,Transactions!$N$3:$N$5000,0))),"",INDEX(Transactions!$H$3:$H$5000,MATCH(A109,Transactions!$N$3:$N$5000,0)))</f>
        <v/>
      </c>
      <c r="C109" s="7" t="str">
        <f aca="false">IF(B109="","",Transactions!$M$1+INDEX(Transactions!$K$3:$K$5000,MATCH(A109,Transactions!$N$3:$N$5000,0)))</f>
        <v/>
      </c>
      <c r="D109" s="7" t="str">
        <f aca="false">IF(B109="","",C109-C108)</f>
        <v/>
      </c>
      <c r="E109" s="1" t="n">
        <f aca="false">IF(B109="",0,C109/C108-1)</f>
        <v>0</v>
      </c>
    </row>
    <row r="110" customFormat="false" ht="14.1" hidden="false" customHeight="false" outlineLevel="0" collapsed="false">
      <c r="A110" s="0" t="n">
        <v>107</v>
      </c>
      <c r="B110" s="6" t="str">
        <f aca="false">IF(ISERROR(INDEX(Transactions!$H$3:$H$5000,MATCH(A110,Transactions!$N$3:$N$5000,0))),"",INDEX(Transactions!$H$3:$H$5000,MATCH(A110,Transactions!$N$3:$N$5000,0)))</f>
        <v/>
      </c>
      <c r="C110" s="7" t="str">
        <f aca="false">IF(B110="","",Transactions!$M$1+INDEX(Transactions!$K$3:$K$5000,MATCH(A110,Transactions!$N$3:$N$5000,0)))</f>
        <v/>
      </c>
      <c r="D110" s="7" t="str">
        <f aca="false">IF(B110="","",C110-C109)</f>
        <v/>
      </c>
      <c r="E110" s="1" t="n">
        <f aca="false">IF(B110="",0,C110/C109-1)</f>
        <v>0</v>
      </c>
    </row>
    <row r="111" customFormat="false" ht="14.1" hidden="false" customHeight="false" outlineLevel="0" collapsed="false">
      <c r="A111" s="0" t="n">
        <v>108</v>
      </c>
      <c r="B111" s="6" t="str">
        <f aca="false">IF(ISERROR(INDEX(Transactions!$H$3:$H$5000,MATCH(A111,Transactions!$N$3:$N$5000,0))),"",INDEX(Transactions!$H$3:$H$5000,MATCH(A111,Transactions!$N$3:$N$5000,0)))</f>
        <v/>
      </c>
      <c r="C111" s="7" t="str">
        <f aca="false">IF(B111="","",Transactions!$M$1+INDEX(Transactions!$K$3:$K$5000,MATCH(A111,Transactions!$N$3:$N$5000,0)))</f>
        <v/>
      </c>
      <c r="D111" s="7" t="str">
        <f aca="false">IF(B111="","",C111-C110)</f>
        <v/>
      </c>
      <c r="E111" s="1" t="n">
        <f aca="false">IF(B111="",0,C111/C110-1)</f>
        <v>0</v>
      </c>
    </row>
    <row r="112" customFormat="false" ht="14.1" hidden="false" customHeight="false" outlineLevel="0" collapsed="false">
      <c r="A112" s="0" t="n">
        <v>109</v>
      </c>
      <c r="B112" s="6" t="str">
        <f aca="false">IF(ISERROR(INDEX(Transactions!$H$3:$H$5000,MATCH(A112,Transactions!$N$3:$N$5000,0))),"",INDEX(Transactions!$H$3:$H$5000,MATCH(A112,Transactions!$N$3:$N$5000,0)))</f>
        <v/>
      </c>
      <c r="C112" s="7" t="str">
        <f aca="false">IF(B112="","",Transactions!$M$1+INDEX(Transactions!$K$3:$K$5000,MATCH(A112,Transactions!$N$3:$N$5000,0)))</f>
        <v/>
      </c>
      <c r="D112" s="7" t="str">
        <f aca="false">IF(B112="","",C112-C111)</f>
        <v/>
      </c>
      <c r="E112" s="1" t="n">
        <f aca="false">IF(B112="",0,C112/C111-1)</f>
        <v>0</v>
      </c>
    </row>
    <row r="113" customFormat="false" ht="14.1" hidden="false" customHeight="false" outlineLevel="0" collapsed="false">
      <c r="A113" s="0" t="n">
        <v>110</v>
      </c>
      <c r="B113" s="6" t="str">
        <f aca="false">IF(ISERROR(INDEX(Transactions!$H$3:$H$5000,MATCH(A113,Transactions!$N$3:$N$5000,0))),"",INDEX(Transactions!$H$3:$H$5000,MATCH(A113,Transactions!$N$3:$N$5000,0)))</f>
        <v/>
      </c>
      <c r="C113" s="7" t="str">
        <f aca="false">IF(B113="","",Transactions!$M$1+INDEX(Transactions!$K$3:$K$5000,MATCH(A113,Transactions!$N$3:$N$5000,0)))</f>
        <v/>
      </c>
      <c r="D113" s="7" t="str">
        <f aca="false">IF(B113="","",C113-C112)</f>
        <v/>
      </c>
      <c r="E113" s="1" t="n">
        <f aca="false">IF(B113="",0,C113/C112-1)</f>
        <v>0</v>
      </c>
    </row>
    <row r="114" customFormat="false" ht="14.1" hidden="false" customHeight="false" outlineLevel="0" collapsed="false">
      <c r="A114" s="0" t="n">
        <v>111</v>
      </c>
      <c r="B114" s="6" t="str">
        <f aca="false">IF(ISERROR(INDEX(Transactions!$H$3:$H$5000,MATCH(A114,Transactions!$N$3:$N$5000,0))),"",INDEX(Transactions!$H$3:$H$5000,MATCH(A114,Transactions!$N$3:$N$5000,0)))</f>
        <v/>
      </c>
      <c r="C114" s="7" t="str">
        <f aca="false">IF(B114="","",Transactions!$M$1+INDEX(Transactions!$K$3:$K$5000,MATCH(A114,Transactions!$N$3:$N$5000,0)))</f>
        <v/>
      </c>
      <c r="D114" s="7" t="str">
        <f aca="false">IF(B114="","",C114-C113)</f>
        <v/>
      </c>
      <c r="E114" s="1" t="n">
        <f aca="false">IF(B114="",0,C114/C113-1)</f>
        <v>0</v>
      </c>
    </row>
    <row r="115" customFormat="false" ht="14.1" hidden="false" customHeight="false" outlineLevel="0" collapsed="false">
      <c r="A115" s="0" t="n">
        <v>112</v>
      </c>
      <c r="B115" s="6" t="str">
        <f aca="false">IF(ISERROR(INDEX(Transactions!$H$3:$H$5000,MATCH(A115,Transactions!$N$3:$N$5000,0))),"",INDEX(Transactions!$H$3:$H$5000,MATCH(A115,Transactions!$N$3:$N$5000,0)))</f>
        <v/>
      </c>
      <c r="C115" s="7" t="str">
        <f aca="false">IF(B115="","",Transactions!$M$1+INDEX(Transactions!$K$3:$K$5000,MATCH(A115,Transactions!$N$3:$N$5000,0)))</f>
        <v/>
      </c>
      <c r="D115" s="7" t="str">
        <f aca="false">IF(B115="","",C115-C114)</f>
        <v/>
      </c>
      <c r="E115" s="1" t="n">
        <f aca="false">IF(B115="",0,C115/C114-1)</f>
        <v>0</v>
      </c>
    </row>
    <row r="116" customFormat="false" ht="14.1" hidden="false" customHeight="false" outlineLevel="0" collapsed="false">
      <c r="A116" s="0" t="n">
        <v>113</v>
      </c>
      <c r="B116" s="6" t="str">
        <f aca="false">IF(ISERROR(INDEX(Transactions!$H$3:$H$5000,MATCH(A116,Transactions!$N$3:$N$5000,0))),"",INDEX(Transactions!$H$3:$H$5000,MATCH(A116,Transactions!$N$3:$N$5000,0)))</f>
        <v/>
      </c>
      <c r="C116" s="7" t="str">
        <f aca="false">IF(B116="","",Transactions!$M$1+INDEX(Transactions!$K$3:$K$5000,MATCH(A116,Transactions!$N$3:$N$5000,0)))</f>
        <v/>
      </c>
      <c r="D116" s="7" t="str">
        <f aca="false">IF(B116="","",C116-C115)</f>
        <v/>
      </c>
      <c r="E116" s="1" t="n">
        <f aca="false">IF(B116="",0,C116/C115-1)</f>
        <v>0</v>
      </c>
    </row>
    <row r="117" customFormat="false" ht="14.1" hidden="false" customHeight="false" outlineLevel="0" collapsed="false">
      <c r="A117" s="0" t="n">
        <v>114</v>
      </c>
      <c r="B117" s="6" t="str">
        <f aca="false">IF(ISERROR(INDEX(Transactions!$H$3:$H$5000,MATCH(A117,Transactions!$N$3:$N$5000,0))),"",INDEX(Transactions!$H$3:$H$5000,MATCH(A117,Transactions!$N$3:$N$5000,0)))</f>
        <v/>
      </c>
      <c r="C117" s="7" t="str">
        <f aca="false">IF(B117="","",Transactions!$M$1+INDEX(Transactions!$K$3:$K$5000,MATCH(A117,Transactions!$N$3:$N$5000,0)))</f>
        <v/>
      </c>
      <c r="D117" s="7" t="str">
        <f aca="false">IF(B117="","",C117-C116)</f>
        <v/>
      </c>
      <c r="E117" s="1" t="n">
        <f aca="false">IF(B117="",0,C117/C116-1)</f>
        <v>0</v>
      </c>
    </row>
    <row r="118" customFormat="false" ht="14.1" hidden="false" customHeight="false" outlineLevel="0" collapsed="false">
      <c r="A118" s="0" t="n">
        <v>115</v>
      </c>
      <c r="B118" s="6" t="str">
        <f aca="false">IF(ISERROR(INDEX(Transactions!$H$3:$H$5000,MATCH(A118,Transactions!$N$3:$N$5000,0))),"",INDEX(Transactions!$H$3:$H$5000,MATCH(A118,Transactions!$N$3:$N$5000,0)))</f>
        <v/>
      </c>
      <c r="C118" s="7" t="str">
        <f aca="false">IF(B118="","",Transactions!$M$1+INDEX(Transactions!$K$3:$K$5000,MATCH(A118,Transactions!$N$3:$N$5000,0)))</f>
        <v/>
      </c>
      <c r="D118" s="7" t="str">
        <f aca="false">IF(B118="","",C118-C117)</f>
        <v/>
      </c>
      <c r="E118" s="1" t="n">
        <f aca="false">IF(B118="",0,C118/C117-1)</f>
        <v>0</v>
      </c>
    </row>
    <row r="119" customFormat="false" ht="14.1" hidden="false" customHeight="false" outlineLevel="0" collapsed="false">
      <c r="A119" s="0" t="n">
        <v>116</v>
      </c>
      <c r="B119" s="6" t="str">
        <f aca="false">IF(ISERROR(INDEX(Transactions!$H$3:$H$5000,MATCH(A119,Transactions!$N$3:$N$5000,0))),"",INDEX(Transactions!$H$3:$H$5000,MATCH(A119,Transactions!$N$3:$N$5000,0)))</f>
        <v/>
      </c>
      <c r="C119" s="7" t="str">
        <f aca="false">IF(B119="","",Transactions!$M$1+INDEX(Transactions!$K$3:$K$5000,MATCH(A119,Transactions!$N$3:$N$5000,0)))</f>
        <v/>
      </c>
      <c r="D119" s="7" t="str">
        <f aca="false">IF(B119="","",C119-C118)</f>
        <v/>
      </c>
      <c r="E119" s="1" t="n">
        <f aca="false">IF(B119="",0,C119/C118-1)</f>
        <v>0</v>
      </c>
    </row>
    <row r="120" customFormat="false" ht="14.1" hidden="false" customHeight="false" outlineLevel="0" collapsed="false">
      <c r="A120" s="0" t="n">
        <v>117</v>
      </c>
      <c r="B120" s="6" t="str">
        <f aca="false">IF(ISERROR(INDEX(Transactions!$H$3:$H$5000,MATCH(A120,Transactions!$N$3:$N$5000,0))),"",INDEX(Transactions!$H$3:$H$5000,MATCH(A120,Transactions!$N$3:$N$5000,0)))</f>
        <v/>
      </c>
      <c r="C120" s="7" t="str">
        <f aca="false">IF(B120="","",Transactions!$M$1+INDEX(Transactions!$K$3:$K$5000,MATCH(A120,Transactions!$N$3:$N$5000,0)))</f>
        <v/>
      </c>
      <c r="D120" s="7" t="str">
        <f aca="false">IF(B120="","",C120-C119)</f>
        <v/>
      </c>
      <c r="E120" s="1" t="n">
        <f aca="false">IF(B120="",0,C120/C119-1)</f>
        <v>0</v>
      </c>
    </row>
    <row r="121" customFormat="false" ht="14.1" hidden="false" customHeight="false" outlineLevel="0" collapsed="false">
      <c r="A121" s="0" t="n">
        <v>118</v>
      </c>
      <c r="B121" s="6" t="str">
        <f aca="false">IF(ISERROR(INDEX(Transactions!$H$3:$H$5000,MATCH(A121,Transactions!$N$3:$N$5000,0))),"",INDEX(Transactions!$H$3:$H$5000,MATCH(A121,Transactions!$N$3:$N$5000,0)))</f>
        <v/>
      </c>
      <c r="C121" s="7" t="str">
        <f aca="false">IF(B121="","",Transactions!$M$1+INDEX(Transactions!$K$3:$K$5000,MATCH(A121,Transactions!$N$3:$N$5000,0)))</f>
        <v/>
      </c>
      <c r="D121" s="7" t="str">
        <f aca="false">IF(B121="","",C121-C120)</f>
        <v/>
      </c>
      <c r="E121" s="1" t="n">
        <f aca="false">IF(B121="",0,C121/C120-1)</f>
        <v>0</v>
      </c>
    </row>
    <row r="122" customFormat="false" ht="14.1" hidden="false" customHeight="false" outlineLevel="0" collapsed="false">
      <c r="A122" s="0" t="n">
        <v>119</v>
      </c>
      <c r="B122" s="6" t="str">
        <f aca="false">IF(ISERROR(INDEX(Transactions!$H$3:$H$5000,MATCH(A122,Transactions!$N$3:$N$5000,0))),"",INDEX(Transactions!$H$3:$H$5000,MATCH(A122,Transactions!$N$3:$N$5000,0)))</f>
        <v/>
      </c>
      <c r="C122" s="7" t="str">
        <f aca="false">IF(B122="","",Transactions!$M$1+INDEX(Transactions!$K$3:$K$5000,MATCH(A122,Transactions!$N$3:$N$5000,0)))</f>
        <v/>
      </c>
      <c r="D122" s="7" t="str">
        <f aca="false">IF(B122="","",C122-C121)</f>
        <v/>
      </c>
      <c r="E122" s="1" t="n">
        <f aca="false">IF(B122="",0,C122/C121-1)</f>
        <v>0</v>
      </c>
    </row>
    <row r="123" customFormat="false" ht="14.1" hidden="false" customHeight="false" outlineLevel="0" collapsed="false">
      <c r="A123" s="0" t="n">
        <v>120</v>
      </c>
      <c r="B123" s="6" t="str">
        <f aca="false">IF(ISERROR(INDEX(Transactions!$H$3:$H$5000,MATCH(A123,Transactions!$N$3:$N$5000,0))),"",INDEX(Transactions!$H$3:$H$5000,MATCH(A123,Transactions!$N$3:$N$5000,0)))</f>
        <v/>
      </c>
      <c r="C123" s="7" t="str">
        <f aca="false">IF(B123="","",Transactions!$M$1+INDEX(Transactions!$K$3:$K$5000,MATCH(A123,Transactions!$N$3:$N$5000,0)))</f>
        <v/>
      </c>
      <c r="D123" s="7" t="str">
        <f aca="false">IF(B123="","",C123-C122)</f>
        <v/>
      </c>
      <c r="E123" s="1" t="n">
        <f aca="false">IF(B123="",0,C123/C122-1)</f>
        <v>0</v>
      </c>
    </row>
    <row r="124" customFormat="false" ht="14.1" hidden="false" customHeight="false" outlineLevel="0" collapsed="false">
      <c r="A124" s="0" t="n">
        <v>121</v>
      </c>
      <c r="B124" s="6" t="str">
        <f aca="false">IF(ISERROR(INDEX(Transactions!$H$3:$H$5000,MATCH(A124,Transactions!$N$3:$N$5000,0))),"",INDEX(Transactions!$H$3:$H$5000,MATCH(A124,Transactions!$N$3:$N$5000,0)))</f>
        <v/>
      </c>
      <c r="C124" s="7" t="str">
        <f aca="false">IF(B124="","",Transactions!$M$1+INDEX(Transactions!$K$3:$K$5000,MATCH(A124,Transactions!$N$3:$N$5000,0)))</f>
        <v/>
      </c>
      <c r="D124" s="7" t="str">
        <f aca="false">IF(B124="","",C124-C123)</f>
        <v/>
      </c>
      <c r="E124" s="1" t="n">
        <f aca="false">IF(B124="",0,C124/C123-1)</f>
        <v>0</v>
      </c>
    </row>
    <row r="125" customFormat="false" ht="14.1" hidden="false" customHeight="false" outlineLevel="0" collapsed="false">
      <c r="A125" s="0" t="n">
        <v>122</v>
      </c>
      <c r="B125" s="6" t="str">
        <f aca="false">IF(ISERROR(INDEX(Transactions!$H$3:$H$5000,MATCH(A125,Transactions!$N$3:$N$5000,0))),"",INDEX(Transactions!$H$3:$H$5000,MATCH(A125,Transactions!$N$3:$N$5000,0)))</f>
        <v/>
      </c>
      <c r="C125" s="7" t="str">
        <f aca="false">IF(B125="","",Transactions!$M$1+INDEX(Transactions!$K$3:$K$5000,MATCH(A125,Transactions!$N$3:$N$5000,0)))</f>
        <v/>
      </c>
      <c r="D125" s="7" t="str">
        <f aca="false">IF(B125="","",C125-C124)</f>
        <v/>
      </c>
      <c r="E125" s="1" t="n">
        <f aca="false">IF(B125="",0,C125/C124-1)</f>
        <v>0</v>
      </c>
    </row>
    <row r="126" customFormat="false" ht="14.1" hidden="false" customHeight="false" outlineLevel="0" collapsed="false">
      <c r="A126" s="0" t="n">
        <v>123</v>
      </c>
      <c r="B126" s="6" t="str">
        <f aca="false">IF(ISERROR(INDEX(Transactions!$H$3:$H$5000,MATCH(A126,Transactions!$N$3:$N$5000,0))),"",INDEX(Transactions!$H$3:$H$5000,MATCH(A126,Transactions!$N$3:$N$5000,0)))</f>
        <v/>
      </c>
      <c r="C126" s="7" t="str">
        <f aca="false">IF(B126="","",Transactions!$M$1+INDEX(Transactions!$K$3:$K$5000,MATCH(A126,Transactions!$N$3:$N$5000,0)))</f>
        <v/>
      </c>
      <c r="D126" s="7" t="str">
        <f aca="false">IF(B126="","",C126-C125)</f>
        <v/>
      </c>
      <c r="E126" s="1" t="n">
        <f aca="false">IF(B126="",0,C126/C125-1)</f>
        <v>0</v>
      </c>
    </row>
    <row r="127" customFormat="false" ht="14.1" hidden="false" customHeight="false" outlineLevel="0" collapsed="false">
      <c r="A127" s="0" t="n">
        <v>124</v>
      </c>
      <c r="B127" s="6" t="str">
        <f aca="false">IF(ISERROR(INDEX(Transactions!$H$3:$H$5000,MATCH(A127,Transactions!$N$3:$N$5000,0))),"",INDEX(Transactions!$H$3:$H$5000,MATCH(A127,Transactions!$N$3:$N$5000,0)))</f>
        <v/>
      </c>
      <c r="C127" s="7" t="str">
        <f aca="false">IF(B127="","",Transactions!$M$1+INDEX(Transactions!$K$3:$K$5000,MATCH(A127,Transactions!$N$3:$N$5000,0)))</f>
        <v/>
      </c>
      <c r="D127" s="7" t="str">
        <f aca="false">IF(B127="","",C127-C126)</f>
        <v/>
      </c>
      <c r="E127" s="1" t="n">
        <f aca="false">IF(B127="",0,C127/C126-1)</f>
        <v>0</v>
      </c>
    </row>
    <row r="128" customFormat="false" ht="14.1" hidden="false" customHeight="false" outlineLevel="0" collapsed="false">
      <c r="A128" s="0" t="n">
        <v>125</v>
      </c>
      <c r="B128" s="6" t="str">
        <f aca="false">IF(ISERROR(INDEX(Transactions!$H$3:$H$5000,MATCH(A128,Transactions!$N$3:$N$5000,0))),"",INDEX(Transactions!$H$3:$H$5000,MATCH(A128,Transactions!$N$3:$N$5000,0)))</f>
        <v/>
      </c>
      <c r="C128" s="7" t="str">
        <f aca="false">IF(B128="","",Transactions!$M$1+INDEX(Transactions!$K$3:$K$5000,MATCH(A128,Transactions!$N$3:$N$5000,0)))</f>
        <v/>
      </c>
      <c r="D128" s="7" t="str">
        <f aca="false">IF(B128="","",C128-C127)</f>
        <v/>
      </c>
      <c r="E128" s="1" t="n">
        <f aca="false">IF(B128="",0,C128/C127-1)</f>
        <v>0</v>
      </c>
    </row>
    <row r="129" customFormat="false" ht="14.1" hidden="false" customHeight="false" outlineLevel="0" collapsed="false">
      <c r="A129" s="0" t="n">
        <v>126</v>
      </c>
      <c r="B129" s="6" t="str">
        <f aca="false">IF(ISERROR(INDEX(Transactions!$H$3:$H$5000,MATCH(A129,Transactions!$N$3:$N$5000,0))),"",INDEX(Transactions!$H$3:$H$5000,MATCH(A129,Transactions!$N$3:$N$5000,0)))</f>
        <v/>
      </c>
      <c r="C129" s="7" t="str">
        <f aca="false">IF(B129="","",Transactions!$M$1+INDEX(Transactions!$K$3:$K$5000,MATCH(A129,Transactions!$N$3:$N$5000,0)))</f>
        <v/>
      </c>
      <c r="D129" s="7" t="str">
        <f aca="false">IF(B129="","",C129-C128)</f>
        <v/>
      </c>
      <c r="E129" s="1" t="n">
        <f aca="false">IF(B129="",0,C129/C128-1)</f>
        <v>0</v>
      </c>
    </row>
    <row r="130" customFormat="false" ht="14.1" hidden="false" customHeight="false" outlineLevel="0" collapsed="false">
      <c r="A130" s="0" t="n">
        <v>127</v>
      </c>
      <c r="B130" s="6" t="str">
        <f aca="false">IF(ISERROR(INDEX(Transactions!$H$3:$H$5000,MATCH(A130,Transactions!$N$3:$N$5000,0))),"",INDEX(Transactions!$H$3:$H$5000,MATCH(A130,Transactions!$N$3:$N$5000,0)))</f>
        <v/>
      </c>
      <c r="C130" s="7" t="str">
        <f aca="false">IF(B130="","",Transactions!$M$1+INDEX(Transactions!$K$3:$K$5000,MATCH(A130,Transactions!$N$3:$N$5000,0)))</f>
        <v/>
      </c>
      <c r="D130" s="7" t="str">
        <f aca="false">IF(B130="","",C130-C129)</f>
        <v/>
      </c>
      <c r="E130" s="1" t="n">
        <f aca="false">IF(B130="",0,C130/C129-1)</f>
        <v>0</v>
      </c>
    </row>
    <row r="131" customFormat="false" ht="14.1" hidden="false" customHeight="false" outlineLevel="0" collapsed="false">
      <c r="A131" s="0" t="n">
        <v>128</v>
      </c>
      <c r="B131" s="6" t="str">
        <f aca="false">IF(ISERROR(INDEX(Transactions!$H$3:$H$5000,MATCH(A131,Transactions!$N$3:$N$5000,0))),"",INDEX(Transactions!$H$3:$H$5000,MATCH(A131,Transactions!$N$3:$N$5000,0)))</f>
        <v/>
      </c>
      <c r="C131" s="7" t="str">
        <f aca="false">IF(B131="","",Transactions!$M$1+INDEX(Transactions!$K$3:$K$5000,MATCH(A131,Transactions!$N$3:$N$5000,0)))</f>
        <v/>
      </c>
      <c r="D131" s="7" t="str">
        <f aca="false">IF(B131="","",C131-C130)</f>
        <v/>
      </c>
      <c r="E131" s="1" t="n">
        <f aca="false">IF(B131="",0,C131/C130-1)</f>
        <v>0</v>
      </c>
    </row>
    <row r="132" customFormat="false" ht="14.1" hidden="false" customHeight="false" outlineLevel="0" collapsed="false">
      <c r="A132" s="0" t="n">
        <v>129</v>
      </c>
      <c r="B132" s="6" t="str">
        <f aca="false">IF(ISERROR(INDEX(Transactions!$H$3:$H$5000,MATCH(A132,Transactions!$N$3:$N$5000,0))),"",INDEX(Transactions!$H$3:$H$5000,MATCH(A132,Transactions!$N$3:$N$5000,0)))</f>
        <v/>
      </c>
      <c r="C132" s="7" t="str">
        <f aca="false">IF(B132="","",Transactions!$M$1+INDEX(Transactions!$K$3:$K$5000,MATCH(A132,Transactions!$N$3:$N$5000,0)))</f>
        <v/>
      </c>
      <c r="D132" s="7" t="str">
        <f aca="false">IF(B132="","",C132-C131)</f>
        <v/>
      </c>
      <c r="E132" s="1" t="n">
        <f aca="false">IF(B132="",0,C132/C131-1)</f>
        <v>0</v>
      </c>
    </row>
    <row r="133" customFormat="false" ht="14.1" hidden="false" customHeight="false" outlineLevel="0" collapsed="false">
      <c r="A133" s="0" t="n">
        <v>130</v>
      </c>
      <c r="B133" s="6" t="str">
        <f aca="false">IF(ISERROR(INDEX(Transactions!$H$3:$H$5000,MATCH(A133,Transactions!$N$3:$N$5000,0))),"",INDEX(Transactions!$H$3:$H$5000,MATCH(A133,Transactions!$N$3:$N$5000,0)))</f>
        <v/>
      </c>
      <c r="C133" s="7" t="str">
        <f aca="false">IF(B133="","",Transactions!$M$1+INDEX(Transactions!$K$3:$K$5000,MATCH(A133,Transactions!$N$3:$N$5000,0)))</f>
        <v/>
      </c>
      <c r="D133" s="7" t="str">
        <f aca="false">IF(B133="","",C133-C132)</f>
        <v/>
      </c>
      <c r="E133" s="1" t="n">
        <f aca="false">IF(B133="",0,C133/C132-1)</f>
        <v>0</v>
      </c>
    </row>
    <row r="134" customFormat="false" ht="14.1" hidden="false" customHeight="false" outlineLevel="0" collapsed="false">
      <c r="A134" s="0" t="n">
        <v>131</v>
      </c>
      <c r="B134" s="6" t="str">
        <f aca="false">IF(ISERROR(INDEX(Transactions!$H$3:$H$5000,MATCH(A134,Transactions!$N$3:$N$5000,0))),"",INDEX(Transactions!$H$3:$H$5000,MATCH(A134,Transactions!$N$3:$N$5000,0)))</f>
        <v/>
      </c>
      <c r="C134" s="7" t="str">
        <f aca="false">IF(B134="","",Transactions!$M$1+INDEX(Transactions!$K$3:$K$5000,MATCH(A134,Transactions!$N$3:$N$5000,0)))</f>
        <v/>
      </c>
      <c r="D134" s="7" t="str">
        <f aca="false">IF(B134="","",C134-C133)</f>
        <v/>
      </c>
      <c r="E134" s="1" t="n">
        <f aca="false">IF(B134="",0,C134/C133-1)</f>
        <v>0</v>
      </c>
    </row>
    <row r="135" customFormat="false" ht="14.1" hidden="false" customHeight="false" outlineLevel="0" collapsed="false">
      <c r="A135" s="0" t="n">
        <v>132</v>
      </c>
      <c r="B135" s="6" t="str">
        <f aca="false">IF(ISERROR(INDEX(Transactions!$H$3:$H$5000,MATCH(A135,Transactions!$N$3:$N$5000,0))),"",INDEX(Transactions!$H$3:$H$5000,MATCH(A135,Transactions!$N$3:$N$5000,0)))</f>
        <v/>
      </c>
      <c r="C135" s="7" t="str">
        <f aca="false">IF(B135="","",Transactions!$M$1+INDEX(Transactions!$K$3:$K$5000,MATCH(A135,Transactions!$N$3:$N$5000,0)))</f>
        <v/>
      </c>
      <c r="D135" s="7" t="str">
        <f aca="false">IF(B135="","",C135-C134)</f>
        <v/>
      </c>
      <c r="E135" s="1" t="n">
        <f aca="false">IF(B135="",0,C135/C134-1)</f>
        <v>0</v>
      </c>
    </row>
    <row r="136" customFormat="false" ht="14.1" hidden="false" customHeight="false" outlineLevel="0" collapsed="false">
      <c r="A136" s="0" t="n">
        <v>133</v>
      </c>
      <c r="B136" s="6" t="str">
        <f aca="false">IF(ISERROR(INDEX(Transactions!$H$3:$H$5000,MATCH(A136,Transactions!$N$3:$N$5000,0))),"",INDEX(Transactions!$H$3:$H$5000,MATCH(A136,Transactions!$N$3:$N$5000,0)))</f>
        <v/>
      </c>
      <c r="C136" s="7" t="str">
        <f aca="false">IF(B136="","",Transactions!$M$1+INDEX(Transactions!$K$3:$K$5000,MATCH(A136,Transactions!$N$3:$N$5000,0)))</f>
        <v/>
      </c>
      <c r="D136" s="7" t="str">
        <f aca="false">IF(B136="","",C136-C135)</f>
        <v/>
      </c>
      <c r="E136" s="1" t="n">
        <f aca="false">IF(B136="",0,C136/C135-1)</f>
        <v>0</v>
      </c>
    </row>
    <row r="137" customFormat="false" ht="14.1" hidden="false" customHeight="false" outlineLevel="0" collapsed="false">
      <c r="A137" s="0" t="n">
        <v>134</v>
      </c>
      <c r="B137" s="6" t="str">
        <f aca="false">IF(ISERROR(INDEX(Transactions!$H$3:$H$5000,MATCH(A137,Transactions!$N$3:$N$5000,0))),"",INDEX(Transactions!$H$3:$H$5000,MATCH(A137,Transactions!$N$3:$N$5000,0)))</f>
        <v/>
      </c>
      <c r="C137" s="7" t="str">
        <f aca="false">IF(B137="","",Transactions!$M$1+INDEX(Transactions!$K$3:$K$5000,MATCH(A137,Transactions!$N$3:$N$5000,0)))</f>
        <v/>
      </c>
      <c r="D137" s="7" t="str">
        <f aca="false">IF(B137="","",C137-C136)</f>
        <v/>
      </c>
      <c r="E137" s="1" t="n">
        <f aca="false">IF(B137="",0,C137/C136-1)</f>
        <v>0</v>
      </c>
    </row>
    <row r="138" customFormat="false" ht="14.1" hidden="false" customHeight="false" outlineLevel="0" collapsed="false">
      <c r="A138" s="0" t="n">
        <v>135</v>
      </c>
      <c r="B138" s="6" t="str">
        <f aca="false">IF(ISERROR(INDEX(Transactions!$H$3:$H$5000,MATCH(A138,Transactions!$N$3:$N$5000,0))),"",INDEX(Transactions!$H$3:$H$5000,MATCH(A138,Transactions!$N$3:$N$5000,0)))</f>
        <v/>
      </c>
      <c r="C138" s="7" t="str">
        <f aca="false">IF(B138="","",Transactions!$M$1+INDEX(Transactions!$K$3:$K$5000,MATCH(A138,Transactions!$N$3:$N$5000,0)))</f>
        <v/>
      </c>
      <c r="D138" s="7" t="str">
        <f aca="false">IF(B138="","",C138-C137)</f>
        <v/>
      </c>
      <c r="E138" s="1" t="n">
        <f aca="false">IF(B138="",0,C138/C137-1)</f>
        <v>0</v>
      </c>
    </row>
    <row r="139" customFormat="false" ht="14.1" hidden="false" customHeight="false" outlineLevel="0" collapsed="false">
      <c r="A139" s="0" t="n">
        <v>136</v>
      </c>
      <c r="B139" s="6" t="str">
        <f aca="false">IF(ISERROR(INDEX(Transactions!$H$3:$H$5000,MATCH(A139,Transactions!$N$3:$N$5000,0))),"",INDEX(Transactions!$H$3:$H$5000,MATCH(A139,Transactions!$N$3:$N$5000,0)))</f>
        <v/>
      </c>
      <c r="C139" s="7" t="str">
        <f aca="false">IF(B139="","",Transactions!$M$1+INDEX(Transactions!$K$3:$K$5000,MATCH(A139,Transactions!$N$3:$N$5000,0)))</f>
        <v/>
      </c>
      <c r="D139" s="7" t="str">
        <f aca="false">IF(B139="","",C139-C138)</f>
        <v/>
      </c>
      <c r="E139" s="1" t="n">
        <f aca="false">IF(B139="",0,C139/C138-1)</f>
        <v>0</v>
      </c>
    </row>
    <row r="140" customFormat="false" ht="14.1" hidden="false" customHeight="false" outlineLevel="0" collapsed="false">
      <c r="A140" s="0" t="n">
        <v>137</v>
      </c>
      <c r="B140" s="6" t="str">
        <f aca="false">IF(ISERROR(INDEX(Transactions!$H$3:$H$5000,MATCH(A140,Transactions!$N$3:$N$5000,0))),"",INDEX(Transactions!$H$3:$H$5000,MATCH(A140,Transactions!$N$3:$N$5000,0)))</f>
        <v/>
      </c>
      <c r="C140" s="7" t="str">
        <f aca="false">IF(B140="","",Transactions!$M$1+INDEX(Transactions!$K$3:$K$5000,MATCH(A140,Transactions!$N$3:$N$5000,0)))</f>
        <v/>
      </c>
      <c r="D140" s="7" t="str">
        <f aca="false">IF(B140="","",C140-C139)</f>
        <v/>
      </c>
      <c r="E140" s="1" t="n">
        <f aca="false">IF(B140="",0,C140/C139-1)</f>
        <v>0</v>
      </c>
    </row>
    <row r="141" customFormat="false" ht="14.1" hidden="false" customHeight="false" outlineLevel="0" collapsed="false">
      <c r="A141" s="0" t="n">
        <v>138</v>
      </c>
      <c r="B141" s="6" t="str">
        <f aca="false">IF(ISERROR(INDEX(Transactions!$H$3:$H$5000,MATCH(A141,Transactions!$N$3:$N$5000,0))),"",INDEX(Transactions!$H$3:$H$5000,MATCH(A141,Transactions!$N$3:$N$5000,0)))</f>
        <v/>
      </c>
      <c r="C141" s="7" t="str">
        <f aca="false">IF(B141="","",Transactions!$M$1+INDEX(Transactions!$K$3:$K$5000,MATCH(A141,Transactions!$N$3:$N$5000,0)))</f>
        <v/>
      </c>
      <c r="D141" s="7" t="str">
        <f aca="false">IF(B141="","",C141-C140)</f>
        <v/>
      </c>
      <c r="E141" s="1" t="n">
        <f aca="false">IF(B141="",0,C141/C140-1)</f>
        <v>0</v>
      </c>
    </row>
    <row r="142" customFormat="false" ht="14.1" hidden="false" customHeight="false" outlineLevel="0" collapsed="false">
      <c r="A142" s="0" t="n">
        <v>139</v>
      </c>
      <c r="B142" s="6" t="str">
        <f aca="false">IF(ISERROR(INDEX(Transactions!$H$3:$H$5000,MATCH(A142,Transactions!$N$3:$N$5000,0))),"",INDEX(Transactions!$H$3:$H$5000,MATCH(A142,Transactions!$N$3:$N$5000,0)))</f>
        <v/>
      </c>
      <c r="C142" s="7" t="str">
        <f aca="false">IF(B142="","",Transactions!$M$1+INDEX(Transactions!$K$3:$K$5000,MATCH(A142,Transactions!$N$3:$N$5000,0)))</f>
        <v/>
      </c>
      <c r="D142" s="7" t="str">
        <f aca="false">IF(B142="","",C142-C141)</f>
        <v/>
      </c>
      <c r="E142" s="1" t="n">
        <f aca="false">IF(B142="",0,C142/C141-1)</f>
        <v>0</v>
      </c>
    </row>
    <row r="143" customFormat="false" ht="14.1" hidden="false" customHeight="false" outlineLevel="0" collapsed="false">
      <c r="A143" s="0" t="n">
        <v>140</v>
      </c>
      <c r="B143" s="6" t="str">
        <f aca="false">IF(ISERROR(INDEX(Transactions!$H$3:$H$5000,MATCH(A143,Transactions!$N$3:$N$5000,0))),"",INDEX(Transactions!$H$3:$H$5000,MATCH(A143,Transactions!$N$3:$N$5000,0)))</f>
        <v/>
      </c>
      <c r="C143" s="7" t="str">
        <f aca="false">IF(B143="","",Transactions!$M$1+INDEX(Transactions!$K$3:$K$5000,MATCH(A143,Transactions!$N$3:$N$5000,0)))</f>
        <v/>
      </c>
      <c r="D143" s="7" t="str">
        <f aca="false">IF(B143="","",C143-C142)</f>
        <v/>
      </c>
      <c r="E143" s="1" t="n">
        <f aca="false">IF(B143="",0,C143/C142-1)</f>
        <v>0</v>
      </c>
    </row>
    <row r="144" customFormat="false" ht="14.1" hidden="false" customHeight="false" outlineLevel="0" collapsed="false">
      <c r="A144" s="0" t="n">
        <v>141</v>
      </c>
      <c r="B144" s="6" t="str">
        <f aca="false">IF(ISERROR(INDEX(Transactions!$H$3:$H$5000,MATCH(A144,Transactions!$N$3:$N$5000,0))),"",INDEX(Transactions!$H$3:$H$5000,MATCH(A144,Transactions!$N$3:$N$5000,0)))</f>
        <v/>
      </c>
      <c r="C144" s="7" t="str">
        <f aca="false">IF(B144="","",Transactions!$M$1+INDEX(Transactions!$K$3:$K$5000,MATCH(A144,Transactions!$N$3:$N$5000,0)))</f>
        <v/>
      </c>
      <c r="D144" s="7" t="str">
        <f aca="false">IF(B144="","",C144-C143)</f>
        <v/>
      </c>
      <c r="E144" s="1" t="n">
        <f aca="false">IF(B144="",0,C144/C143-1)</f>
        <v>0</v>
      </c>
    </row>
    <row r="145" customFormat="false" ht="14.1" hidden="false" customHeight="false" outlineLevel="0" collapsed="false">
      <c r="A145" s="0" t="n">
        <v>142</v>
      </c>
      <c r="B145" s="6" t="str">
        <f aca="false">IF(ISERROR(INDEX(Transactions!$H$3:$H$5000,MATCH(A145,Transactions!$N$3:$N$5000,0))),"",INDEX(Transactions!$H$3:$H$5000,MATCH(A145,Transactions!$N$3:$N$5000,0)))</f>
        <v/>
      </c>
      <c r="C145" s="7" t="str">
        <f aca="false">IF(B145="","",Transactions!$M$1+INDEX(Transactions!$K$3:$K$5000,MATCH(A145,Transactions!$N$3:$N$5000,0)))</f>
        <v/>
      </c>
      <c r="D145" s="7" t="str">
        <f aca="false">IF(B145="","",C145-C144)</f>
        <v/>
      </c>
      <c r="E145" s="1" t="n">
        <f aca="false">IF(B145="",0,C145/C144-1)</f>
        <v>0</v>
      </c>
    </row>
    <row r="146" customFormat="false" ht="14.1" hidden="false" customHeight="false" outlineLevel="0" collapsed="false">
      <c r="A146" s="0" t="n">
        <v>143</v>
      </c>
      <c r="B146" s="6" t="str">
        <f aca="false">IF(ISERROR(INDEX(Transactions!$H$3:$H$5000,MATCH(A146,Transactions!$N$3:$N$5000,0))),"",INDEX(Transactions!$H$3:$H$5000,MATCH(A146,Transactions!$N$3:$N$5000,0)))</f>
        <v/>
      </c>
      <c r="C146" s="7" t="str">
        <f aca="false">IF(B146="","",Transactions!$M$1+INDEX(Transactions!$K$3:$K$5000,MATCH(A146,Transactions!$N$3:$N$5000,0)))</f>
        <v/>
      </c>
      <c r="D146" s="7" t="str">
        <f aca="false">IF(B146="","",C146-C145)</f>
        <v/>
      </c>
      <c r="E146" s="1" t="n">
        <f aca="false">IF(B146="",0,C146/C145-1)</f>
        <v>0</v>
      </c>
    </row>
    <row r="147" customFormat="false" ht="14.1" hidden="false" customHeight="false" outlineLevel="0" collapsed="false">
      <c r="A147" s="0" t="n">
        <v>144</v>
      </c>
      <c r="B147" s="6" t="str">
        <f aca="false">IF(ISERROR(INDEX(Transactions!$H$3:$H$5000,MATCH(A147,Transactions!$N$3:$N$5000,0))),"",INDEX(Transactions!$H$3:$H$5000,MATCH(A147,Transactions!$N$3:$N$5000,0)))</f>
        <v/>
      </c>
      <c r="C147" s="7" t="str">
        <f aca="false">IF(B147="","",Transactions!$M$1+INDEX(Transactions!$K$3:$K$5000,MATCH(A147,Transactions!$N$3:$N$5000,0)))</f>
        <v/>
      </c>
      <c r="D147" s="7" t="str">
        <f aca="false">IF(B147="","",C147-C146)</f>
        <v/>
      </c>
      <c r="E147" s="1" t="n">
        <f aca="false">IF(B147="",0,C147/C146-1)</f>
        <v>0</v>
      </c>
    </row>
    <row r="148" customFormat="false" ht="14.1" hidden="false" customHeight="false" outlineLevel="0" collapsed="false">
      <c r="A148" s="0" t="n">
        <v>145</v>
      </c>
      <c r="B148" s="6" t="str">
        <f aca="false">IF(ISERROR(INDEX(Transactions!$H$3:$H$5000,MATCH(A148,Transactions!$N$3:$N$5000,0))),"",INDEX(Transactions!$H$3:$H$5000,MATCH(A148,Transactions!$N$3:$N$5000,0)))</f>
        <v/>
      </c>
      <c r="C148" s="7" t="str">
        <f aca="false">IF(B148="","",Transactions!$M$1+INDEX(Transactions!$K$3:$K$5000,MATCH(A148,Transactions!$N$3:$N$5000,0)))</f>
        <v/>
      </c>
      <c r="D148" s="7" t="str">
        <f aca="false">IF(B148="","",C148-C147)</f>
        <v/>
      </c>
      <c r="E148" s="1" t="n">
        <f aca="false">IF(B148="",0,C148/C147-1)</f>
        <v>0</v>
      </c>
    </row>
    <row r="149" customFormat="false" ht="14.1" hidden="false" customHeight="false" outlineLevel="0" collapsed="false">
      <c r="A149" s="0" t="n">
        <v>146</v>
      </c>
      <c r="B149" s="6" t="str">
        <f aca="false">IF(ISERROR(INDEX(Transactions!$H$3:$H$5000,MATCH(A149,Transactions!$N$3:$N$5000,0))),"",INDEX(Transactions!$H$3:$H$5000,MATCH(A149,Transactions!$N$3:$N$5000,0)))</f>
        <v/>
      </c>
      <c r="C149" s="7" t="str">
        <f aca="false">IF(B149="","",Transactions!$M$1+INDEX(Transactions!$K$3:$K$5000,MATCH(A149,Transactions!$N$3:$N$5000,0)))</f>
        <v/>
      </c>
      <c r="D149" s="7" t="str">
        <f aca="false">IF(B149="","",C149-C148)</f>
        <v/>
      </c>
      <c r="E149" s="1" t="n">
        <f aca="false">IF(B149="",0,C149/C148-1)</f>
        <v>0</v>
      </c>
    </row>
    <row r="150" customFormat="false" ht="14.1" hidden="false" customHeight="false" outlineLevel="0" collapsed="false">
      <c r="A150" s="0" t="n">
        <v>147</v>
      </c>
      <c r="B150" s="6" t="str">
        <f aca="false">IF(ISERROR(INDEX(Transactions!$H$3:$H$5000,MATCH(A150,Transactions!$N$3:$N$5000,0))),"",INDEX(Transactions!$H$3:$H$5000,MATCH(A150,Transactions!$N$3:$N$5000,0)))</f>
        <v/>
      </c>
      <c r="C150" s="7" t="str">
        <f aca="false">IF(B150="","",Transactions!$M$1+INDEX(Transactions!$K$3:$K$5000,MATCH(A150,Transactions!$N$3:$N$5000,0)))</f>
        <v/>
      </c>
      <c r="D150" s="7" t="str">
        <f aca="false">IF(B150="","",C150-C149)</f>
        <v/>
      </c>
      <c r="E150" s="1" t="n">
        <f aca="false">IF(B150="",0,C150/C149-1)</f>
        <v>0</v>
      </c>
    </row>
    <row r="151" customFormat="false" ht="14.1" hidden="false" customHeight="false" outlineLevel="0" collapsed="false">
      <c r="A151" s="0" t="n">
        <v>148</v>
      </c>
      <c r="B151" s="6" t="str">
        <f aca="false">IF(ISERROR(INDEX(Transactions!$H$3:$H$5000,MATCH(A151,Transactions!$N$3:$N$5000,0))),"",INDEX(Transactions!$H$3:$H$5000,MATCH(A151,Transactions!$N$3:$N$5000,0)))</f>
        <v/>
      </c>
      <c r="C151" s="7" t="str">
        <f aca="false">IF(B151="","",Transactions!$M$1+INDEX(Transactions!$K$3:$K$5000,MATCH(A151,Transactions!$N$3:$N$5000,0)))</f>
        <v/>
      </c>
      <c r="D151" s="7" t="str">
        <f aca="false">IF(B151="","",C151-C150)</f>
        <v/>
      </c>
      <c r="E151" s="1" t="n">
        <f aca="false">IF(B151="",0,C151/C150-1)</f>
        <v>0</v>
      </c>
    </row>
    <row r="152" customFormat="false" ht="14.1" hidden="false" customHeight="false" outlineLevel="0" collapsed="false">
      <c r="A152" s="0" t="n">
        <v>149</v>
      </c>
      <c r="B152" s="6" t="str">
        <f aca="false">IF(ISERROR(INDEX(Transactions!$H$3:$H$5000,MATCH(A152,Transactions!$N$3:$N$5000,0))),"",INDEX(Transactions!$H$3:$H$5000,MATCH(A152,Transactions!$N$3:$N$5000,0)))</f>
        <v/>
      </c>
      <c r="C152" s="7" t="str">
        <f aca="false">IF(B152="","",Transactions!$M$1+INDEX(Transactions!$K$3:$K$5000,MATCH(A152,Transactions!$N$3:$N$5000,0)))</f>
        <v/>
      </c>
      <c r="D152" s="7" t="str">
        <f aca="false">IF(B152="","",C152-C151)</f>
        <v/>
      </c>
      <c r="E152" s="1" t="n">
        <f aca="false">IF(B152="",0,C152/C151-1)</f>
        <v>0</v>
      </c>
    </row>
    <row r="153" customFormat="false" ht="14.1" hidden="false" customHeight="false" outlineLevel="0" collapsed="false">
      <c r="A153" s="0" t="n">
        <v>150</v>
      </c>
      <c r="B153" s="6" t="str">
        <f aca="false">IF(ISERROR(INDEX(Transactions!$H$3:$H$5000,MATCH(A153,Transactions!$N$3:$N$5000,0))),"",INDEX(Transactions!$H$3:$H$5000,MATCH(A153,Transactions!$N$3:$N$5000,0)))</f>
        <v/>
      </c>
      <c r="C153" s="7" t="str">
        <f aca="false">IF(B153="","",Transactions!$M$1+INDEX(Transactions!$K$3:$K$5000,MATCH(A153,Transactions!$N$3:$N$5000,0)))</f>
        <v/>
      </c>
      <c r="D153" s="7" t="str">
        <f aca="false">IF(B153="","",C153-C152)</f>
        <v/>
      </c>
      <c r="E153" s="1" t="n">
        <f aca="false">IF(B153="",0,C153/C152-1)</f>
        <v>0</v>
      </c>
    </row>
    <row r="154" customFormat="false" ht="14.1" hidden="false" customHeight="false" outlineLevel="0" collapsed="false">
      <c r="A154" s="0" t="n">
        <v>151</v>
      </c>
      <c r="B154" s="6" t="str">
        <f aca="false">IF(ISERROR(INDEX(Transactions!$H$3:$H$5000,MATCH(A154,Transactions!$N$3:$N$5000,0))),"",INDEX(Transactions!$H$3:$H$5000,MATCH(A154,Transactions!$N$3:$N$5000,0)))</f>
        <v/>
      </c>
      <c r="C154" s="7" t="str">
        <f aca="false">IF(B154="","",Transactions!$M$1+INDEX(Transactions!$K$3:$K$5000,MATCH(A154,Transactions!$N$3:$N$5000,0)))</f>
        <v/>
      </c>
      <c r="D154" s="7" t="str">
        <f aca="false">IF(B154="","",C154-C153)</f>
        <v/>
      </c>
      <c r="E154" s="1" t="n">
        <f aca="false">IF(B154="",0,C154/C153-1)</f>
        <v>0</v>
      </c>
    </row>
    <row r="155" customFormat="false" ht="14.1" hidden="false" customHeight="false" outlineLevel="0" collapsed="false">
      <c r="A155" s="0" t="n">
        <v>152</v>
      </c>
      <c r="B155" s="6" t="str">
        <f aca="false">IF(ISERROR(INDEX(Transactions!$H$3:$H$5000,MATCH(A155,Transactions!$N$3:$N$5000,0))),"",INDEX(Transactions!$H$3:$H$5000,MATCH(A155,Transactions!$N$3:$N$5000,0)))</f>
        <v/>
      </c>
      <c r="C155" s="7" t="str">
        <f aca="false">IF(B155="","",Transactions!$M$1+INDEX(Transactions!$K$3:$K$5000,MATCH(A155,Transactions!$N$3:$N$5000,0)))</f>
        <v/>
      </c>
      <c r="D155" s="7" t="str">
        <f aca="false">IF(B155="","",C155-C154)</f>
        <v/>
      </c>
      <c r="E155" s="1" t="n">
        <f aca="false">IF(B155="",0,C155/C154-1)</f>
        <v>0</v>
      </c>
    </row>
    <row r="156" customFormat="false" ht="14.1" hidden="false" customHeight="false" outlineLevel="0" collapsed="false">
      <c r="A156" s="0" t="n">
        <v>153</v>
      </c>
      <c r="B156" s="6" t="str">
        <f aca="false">IF(ISERROR(INDEX(Transactions!$H$3:$H$5000,MATCH(A156,Transactions!$N$3:$N$5000,0))),"",INDEX(Transactions!$H$3:$H$5000,MATCH(A156,Transactions!$N$3:$N$5000,0)))</f>
        <v/>
      </c>
      <c r="C156" s="7" t="str">
        <f aca="false">IF(B156="","",Transactions!$M$1+INDEX(Transactions!$K$3:$K$5000,MATCH(A156,Transactions!$N$3:$N$5000,0)))</f>
        <v/>
      </c>
      <c r="D156" s="7" t="str">
        <f aca="false">IF(B156="","",C156-C155)</f>
        <v/>
      </c>
      <c r="E156" s="1" t="n">
        <f aca="false">IF(B156="",0,C156/C155-1)</f>
        <v>0</v>
      </c>
    </row>
    <row r="157" customFormat="false" ht="14.1" hidden="false" customHeight="false" outlineLevel="0" collapsed="false">
      <c r="A157" s="0" t="n">
        <v>154</v>
      </c>
      <c r="B157" s="6" t="str">
        <f aca="false">IF(ISERROR(INDEX(Transactions!$H$3:$H$5000,MATCH(A157,Transactions!$N$3:$N$5000,0))),"",INDEX(Transactions!$H$3:$H$5000,MATCH(A157,Transactions!$N$3:$N$5000,0)))</f>
        <v/>
      </c>
      <c r="C157" s="7" t="str">
        <f aca="false">IF(B157="","",Transactions!$M$1+INDEX(Transactions!$K$3:$K$5000,MATCH(A157,Transactions!$N$3:$N$5000,0)))</f>
        <v/>
      </c>
      <c r="D157" s="7" t="str">
        <f aca="false">IF(B157="","",C157-C156)</f>
        <v/>
      </c>
      <c r="E157" s="1" t="n">
        <f aca="false">IF(B157="",0,C157/C156-1)</f>
        <v>0</v>
      </c>
    </row>
    <row r="158" customFormat="false" ht="14.1" hidden="false" customHeight="false" outlineLevel="0" collapsed="false">
      <c r="A158" s="0" t="n">
        <v>155</v>
      </c>
      <c r="B158" s="6" t="str">
        <f aca="false">IF(ISERROR(INDEX(Transactions!$H$3:$H$5000,MATCH(A158,Transactions!$N$3:$N$5000,0))),"",INDEX(Transactions!$H$3:$H$5000,MATCH(A158,Transactions!$N$3:$N$5000,0)))</f>
        <v/>
      </c>
      <c r="C158" s="7" t="str">
        <f aca="false">IF(B158="","",Transactions!$M$1+INDEX(Transactions!$K$3:$K$5000,MATCH(A158,Transactions!$N$3:$N$5000,0)))</f>
        <v/>
      </c>
      <c r="D158" s="7" t="str">
        <f aca="false">IF(B158="","",C158-C157)</f>
        <v/>
      </c>
      <c r="E158" s="1" t="n">
        <f aca="false">IF(B158="",0,C158/C157-1)</f>
        <v>0</v>
      </c>
    </row>
    <row r="159" customFormat="false" ht="14.1" hidden="false" customHeight="false" outlineLevel="0" collapsed="false">
      <c r="A159" s="0" t="n">
        <v>156</v>
      </c>
      <c r="B159" s="6" t="str">
        <f aca="false">IF(ISERROR(INDEX(Transactions!$H$3:$H$5000,MATCH(A159,Transactions!$N$3:$N$5000,0))),"",INDEX(Transactions!$H$3:$H$5000,MATCH(A159,Transactions!$N$3:$N$5000,0)))</f>
        <v/>
      </c>
      <c r="C159" s="7" t="str">
        <f aca="false">IF(B159="","",Transactions!$M$1+INDEX(Transactions!$K$3:$K$5000,MATCH(A159,Transactions!$N$3:$N$5000,0)))</f>
        <v/>
      </c>
      <c r="D159" s="7" t="str">
        <f aca="false">IF(B159="","",C159-C158)</f>
        <v/>
      </c>
      <c r="E159" s="1" t="n">
        <f aca="false">IF(B159="",0,C159/C158-1)</f>
        <v>0</v>
      </c>
    </row>
    <row r="160" customFormat="false" ht="14.1" hidden="false" customHeight="false" outlineLevel="0" collapsed="false">
      <c r="A160" s="0" t="n">
        <v>157</v>
      </c>
      <c r="B160" s="6" t="str">
        <f aca="false">IF(ISERROR(INDEX(Transactions!$H$3:$H$5000,MATCH(A160,Transactions!$N$3:$N$5000,0))),"",INDEX(Transactions!$H$3:$H$5000,MATCH(A160,Transactions!$N$3:$N$5000,0)))</f>
        <v/>
      </c>
      <c r="C160" s="7" t="str">
        <f aca="false">IF(B160="","",Transactions!$M$1+INDEX(Transactions!$K$3:$K$5000,MATCH(A160,Transactions!$N$3:$N$5000,0)))</f>
        <v/>
      </c>
      <c r="D160" s="7" t="str">
        <f aca="false">IF(B160="","",C160-C159)</f>
        <v/>
      </c>
      <c r="E160" s="1" t="n">
        <f aca="false">IF(B160="",0,C160/C159-1)</f>
        <v>0</v>
      </c>
    </row>
    <row r="161" customFormat="false" ht="14.1" hidden="false" customHeight="false" outlineLevel="0" collapsed="false">
      <c r="A161" s="0" t="n">
        <v>158</v>
      </c>
      <c r="B161" s="6" t="str">
        <f aca="false">IF(ISERROR(INDEX(Transactions!$H$3:$H$5000,MATCH(A161,Transactions!$N$3:$N$5000,0))),"",INDEX(Transactions!$H$3:$H$5000,MATCH(A161,Transactions!$N$3:$N$5000,0)))</f>
        <v/>
      </c>
      <c r="C161" s="7" t="str">
        <f aca="false">IF(B161="","",Transactions!$M$1+INDEX(Transactions!$K$3:$K$5000,MATCH(A161,Transactions!$N$3:$N$5000,0)))</f>
        <v/>
      </c>
      <c r="D161" s="7" t="str">
        <f aca="false">IF(B161="","",C161-C160)</f>
        <v/>
      </c>
      <c r="E161" s="1" t="n">
        <f aca="false">IF(B161="",0,C161/C160-1)</f>
        <v>0</v>
      </c>
    </row>
    <row r="162" customFormat="false" ht="14.1" hidden="false" customHeight="false" outlineLevel="0" collapsed="false">
      <c r="A162" s="0" t="n">
        <v>159</v>
      </c>
      <c r="B162" s="6" t="str">
        <f aca="false">IF(ISERROR(INDEX(Transactions!$H$3:$H$5000,MATCH(A162,Transactions!$N$3:$N$5000,0))),"",INDEX(Transactions!$H$3:$H$5000,MATCH(A162,Transactions!$N$3:$N$5000,0)))</f>
        <v/>
      </c>
      <c r="C162" s="7" t="str">
        <f aca="false">IF(B162="","",Transactions!$M$1+INDEX(Transactions!$K$3:$K$5000,MATCH(A162,Transactions!$N$3:$N$5000,0)))</f>
        <v/>
      </c>
      <c r="D162" s="7" t="str">
        <f aca="false">IF(B162="","",C162-C161)</f>
        <v/>
      </c>
      <c r="E162" s="1" t="n">
        <f aca="false">IF(B162="",0,C162/C161-1)</f>
        <v>0</v>
      </c>
    </row>
    <row r="163" customFormat="false" ht="14.1" hidden="false" customHeight="false" outlineLevel="0" collapsed="false">
      <c r="A163" s="0" t="n">
        <v>160</v>
      </c>
      <c r="B163" s="6" t="str">
        <f aca="false">IF(ISERROR(INDEX(Transactions!$H$3:$H$5000,MATCH(A163,Transactions!$N$3:$N$5000,0))),"",INDEX(Transactions!$H$3:$H$5000,MATCH(A163,Transactions!$N$3:$N$5000,0)))</f>
        <v/>
      </c>
      <c r="C163" s="7" t="str">
        <f aca="false">IF(B163="","",Transactions!$M$1+INDEX(Transactions!$K$3:$K$5000,MATCH(A163,Transactions!$N$3:$N$5000,0)))</f>
        <v/>
      </c>
      <c r="D163" s="7" t="str">
        <f aca="false">IF(B163="","",C163-C162)</f>
        <v/>
      </c>
      <c r="E163" s="1" t="n">
        <f aca="false">IF(B163="",0,C163/C162-1)</f>
        <v>0</v>
      </c>
    </row>
    <row r="164" customFormat="false" ht="14.1" hidden="false" customHeight="false" outlineLevel="0" collapsed="false">
      <c r="A164" s="0" t="n">
        <v>161</v>
      </c>
      <c r="B164" s="6" t="str">
        <f aca="false">IF(ISERROR(INDEX(Transactions!$H$3:$H$5000,MATCH(A164,Transactions!$N$3:$N$5000,0))),"",INDEX(Transactions!$H$3:$H$5000,MATCH(A164,Transactions!$N$3:$N$5000,0)))</f>
        <v/>
      </c>
      <c r="C164" s="7" t="str">
        <f aca="false">IF(B164="","",Transactions!$M$1+INDEX(Transactions!$K$3:$K$5000,MATCH(A164,Transactions!$N$3:$N$5000,0)))</f>
        <v/>
      </c>
      <c r="D164" s="7" t="str">
        <f aca="false">IF(B164="","",C164-C163)</f>
        <v/>
      </c>
      <c r="E164" s="1" t="n">
        <f aca="false">IF(B164="",0,C164/C163-1)</f>
        <v>0</v>
      </c>
    </row>
    <row r="165" customFormat="false" ht="14.1" hidden="false" customHeight="false" outlineLevel="0" collapsed="false">
      <c r="A165" s="0" t="n">
        <v>162</v>
      </c>
      <c r="B165" s="6" t="str">
        <f aca="false">IF(ISERROR(INDEX(Transactions!$H$3:$H$5000,MATCH(A165,Transactions!$N$3:$N$5000,0))),"",INDEX(Transactions!$H$3:$H$5000,MATCH(A165,Transactions!$N$3:$N$5000,0)))</f>
        <v/>
      </c>
      <c r="C165" s="7" t="str">
        <f aca="false">IF(B165="","",Transactions!$M$1+INDEX(Transactions!$K$3:$K$5000,MATCH(A165,Transactions!$N$3:$N$5000,0)))</f>
        <v/>
      </c>
      <c r="D165" s="7" t="str">
        <f aca="false">IF(B165="","",C165-C164)</f>
        <v/>
      </c>
      <c r="E165" s="1" t="n">
        <f aca="false">IF(B165="",0,C165/C164-1)</f>
        <v>0</v>
      </c>
    </row>
    <row r="166" customFormat="false" ht="14.1" hidden="false" customHeight="false" outlineLevel="0" collapsed="false">
      <c r="A166" s="0" t="n">
        <v>163</v>
      </c>
      <c r="B166" s="6" t="str">
        <f aca="false">IF(ISERROR(INDEX(Transactions!$H$3:$H$5000,MATCH(A166,Transactions!$N$3:$N$5000,0))),"",INDEX(Transactions!$H$3:$H$5000,MATCH(A166,Transactions!$N$3:$N$5000,0)))</f>
        <v/>
      </c>
      <c r="C166" s="7" t="str">
        <f aca="false">IF(B166="","",Transactions!$M$1+INDEX(Transactions!$K$3:$K$5000,MATCH(A166,Transactions!$N$3:$N$5000,0)))</f>
        <v/>
      </c>
      <c r="D166" s="7" t="str">
        <f aca="false">IF(B166="","",C166-C165)</f>
        <v/>
      </c>
      <c r="E166" s="1" t="n">
        <f aca="false">IF(B166="",0,C166/C165-1)</f>
        <v>0</v>
      </c>
    </row>
    <row r="167" customFormat="false" ht="14.1" hidden="false" customHeight="false" outlineLevel="0" collapsed="false">
      <c r="A167" s="0" t="n">
        <v>164</v>
      </c>
      <c r="B167" s="6" t="str">
        <f aca="false">IF(ISERROR(INDEX(Transactions!$H$3:$H$5000,MATCH(A167,Transactions!$N$3:$N$5000,0))),"",INDEX(Transactions!$H$3:$H$5000,MATCH(A167,Transactions!$N$3:$N$5000,0)))</f>
        <v/>
      </c>
      <c r="C167" s="7" t="str">
        <f aca="false">IF(B167="","",Transactions!$M$1+INDEX(Transactions!$K$3:$K$5000,MATCH(A167,Transactions!$N$3:$N$5000,0)))</f>
        <v/>
      </c>
      <c r="D167" s="7" t="str">
        <f aca="false">IF(B167="","",C167-C166)</f>
        <v/>
      </c>
      <c r="E167" s="1" t="n">
        <f aca="false">IF(B167="",0,C167/C166-1)</f>
        <v>0</v>
      </c>
    </row>
    <row r="168" customFormat="false" ht="14.1" hidden="false" customHeight="false" outlineLevel="0" collapsed="false">
      <c r="A168" s="0" t="n">
        <v>165</v>
      </c>
      <c r="B168" s="6" t="str">
        <f aca="false">IF(ISERROR(INDEX(Transactions!$H$3:$H$5000,MATCH(A168,Transactions!$N$3:$N$5000,0))),"",INDEX(Transactions!$H$3:$H$5000,MATCH(A168,Transactions!$N$3:$N$5000,0)))</f>
        <v/>
      </c>
      <c r="C168" s="7" t="str">
        <f aca="false">IF(B168="","",Transactions!$M$1+INDEX(Transactions!$K$3:$K$5000,MATCH(A168,Transactions!$N$3:$N$5000,0)))</f>
        <v/>
      </c>
      <c r="D168" s="7" t="str">
        <f aca="false">IF(B168="","",C168-C167)</f>
        <v/>
      </c>
      <c r="E168" s="1" t="n">
        <f aca="false">IF(B168="",0,C168/C167-1)</f>
        <v>0</v>
      </c>
    </row>
    <row r="169" customFormat="false" ht="14.1" hidden="false" customHeight="false" outlineLevel="0" collapsed="false">
      <c r="A169" s="0" t="n">
        <v>166</v>
      </c>
      <c r="B169" s="6" t="str">
        <f aca="false">IF(ISERROR(INDEX(Transactions!$H$3:$H$5000,MATCH(A169,Transactions!$N$3:$N$5000,0))),"",INDEX(Transactions!$H$3:$H$5000,MATCH(A169,Transactions!$N$3:$N$5000,0)))</f>
        <v/>
      </c>
      <c r="C169" s="7" t="str">
        <f aca="false">IF(B169="","",Transactions!$M$1+INDEX(Transactions!$K$3:$K$5000,MATCH(A169,Transactions!$N$3:$N$5000,0)))</f>
        <v/>
      </c>
      <c r="D169" s="7" t="str">
        <f aca="false">IF(B169="","",C169-C168)</f>
        <v/>
      </c>
      <c r="E169" s="1" t="n">
        <f aca="false">IF(B169="",0,C169/C168-1)</f>
        <v>0</v>
      </c>
    </row>
    <row r="170" customFormat="false" ht="14.1" hidden="false" customHeight="false" outlineLevel="0" collapsed="false">
      <c r="A170" s="0" t="n">
        <v>167</v>
      </c>
      <c r="B170" s="6" t="str">
        <f aca="false">IF(ISERROR(INDEX(Transactions!$H$3:$H$5000,MATCH(A170,Transactions!$N$3:$N$5000,0))),"",INDEX(Transactions!$H$3:$H$5000,MATCH(A170,Transactions!$N$3:$N$5000,0)))</f>
        <v/>
      </c>
      <c r="C170" s="7" t="str">
        <f aca="false">IF(B170="","",Transactions!$M$1+INDEX(Transactions!$K$3:$K$5000,MATCH(A170,Transactions!$N$3:$N$5000,0)))</f>
        <v/>
      </c>
      <c r="D170" s="7" t="str">
        <f aca="false">IF(B170="","",C170-C169)</f>
        <v/>
      </c>
      <c r="E170" s="1" t="n">
        <f aca="false">IF(B170="",0,C170/C169-1)</f>
        <v>0</v>
      </c>
    </row>
    <row r="171" customFormat="false" ht="14.1" hidden="false" customHeight="false" outlineLevel="0" collapsed="false">
      <c r="A171" s="0" t="n">
        <v>168</v>
      </c>
      <c r="B171" s="6" t="str">
        <f aca="false">IF(ISERROR(INDEX(Transactions!$H$3:$H$5000,MATCH(A171,Transactions!$N$3:$N$5000,0))),"",INDEX(Transactions!$H$3:$H$5000,MATCH(A171,Transactions!$N$3:$N$5000,0)))</f>
        <v/>
      </c>
      <c r="C171" s="7" t="str">
        <f aca="false">IF(B171="","",Transactions!$M$1+INDEX(Transactions!$K$3:$K$5000,MATCH(A171,Transactions!$N$3:$N$5000,0)))</f>
        <v/>
      </c>
      <c r="D171" s="7" t="str">
        <f aca="false">IF(B171="","",C171-C170)</f>
        <v/>
      </c>
      <c r="E171" s="1" t="n">
        <f aca="false">IF(B171="",0,C171/C170-1)</f>
        <v>0</v>
      </c>
    </row>
    <row r="172" customFormat="false" ht="14.1" hidden="false" customHeight="false" outlineLevel="0" collapsed="false">
      <c r="A172" s="0" t="n">
        <v>169</v>
      </c>
      <c r="B172" s="6" t="str">
        <f aca="false">IF(ISERROR(INDEX(Transactions!$H$3:$H$5000,MATCH(A172,Transactions!$N$3:$N$5000,0))),"",INDEX(Transactions!$H$3:$H$5000,MATCH(A172,Transactions!$N$3:$N$5000,0)))</f>
        <v/>
      </c>
      <c r="C172" s="7" t="str">
        <f aca="false">IF(B172="","",Transactions!$M$1+INDEX(Transactions!$K$3:$K$5000,MATCH(A172,Transactions!$N$3:$N$5000,0)))</f>
        <v/>
      </c>
      <c r="D172" s="7" t="str">
        <f aca="false">IF(B172="","",C172-C171)</f>
        <v/>
      </c>
      <c r="E172" s="1" t="n">
        <f aca="false">IF(B172="",0,C172/C171-1)</f>
        <v>0</v>
      </c>
    </row>
    <row r="173" customFormat="false" ht="14.1" hidden="false" customHeight="false" outlineLevel="0" collapsed="false">
      <c r="A173" s="0" t="n">
        <v>170</v>
      </c>
      <c r="B173" s="6" t="str">
        <f aca="false">IF(ISERROR(INDEX(Transactions!$H$3:$H$5000,MATCH(A173,Transactions!$N$3:$N$5000,0))),"",INDEX(Transactions!$H$3:$H$5000,MATCH(A173,Transactions!$N$3:$N$5000,0)))</f>
        <v/>
      </c>
      <c r="C173" s="7" t="str">
        <f aca="false">IF(B173="","",Transactions!$M$1+INDEX(Transactions!$K$3:$K$5000,MATCH(A173,Transactions!$N$3:$N$5000,0)))</f>
        <v/>
      </c>
      <c r="D173" s="7" t="str">
        <f aca="false">IF(B173="","",C173-C172)</f>
        <v/>
      </c>
      <c r="E173" s="1" t="n">
        <f aca="false">IF(B173="",0,C173/C172-1)</f>
        <v>0</v>
      </c>
    </row>
    <row r="174" customFormat="false" ht="14.1" hidden="false" customHeight="false" outlineLevel="0" collapsed="false">
      <c r="A174" s="0" t="n">
        <v>171</v>
      </c>
      <c r="B174" s="6" t="str">
        <f aca="false">IF(ISERROR(INDEX(Transactions!$H$3:$H$5000,MATCH(A174,Transactions!$N$3:$N$5000,0))),"",INDEX(Transactions!$H$3:$H$5000,MATCH(A174,Transactions!$N$3:$N$5000,0)))</f>
        <v/>
      </c>
      <c r="C174" s="7" t="str">
        <f aca="false">IF(B174="","",Transactions!$M$1+INDEX(Transactions!$K$3:$K$5000,MATCH(A174,Transactions!$N$3:$N$5000,0)))</f>
        <v/>
      </c>
      <c r="D174" s="7" t="str">
        <f aca="false">IF(B174="","",C174-C173)</f>
        <v/>
      </c>
      <c r="E174" s="1" t="n">
        <f aca="false">IF(B174="",0,C174/C173-1)</f>
        <v>0</v>
      </c>
    </row>
    <row r="175" customFormat="false" ht="14.1" hidden="false" customHeight="false" outlineLevel="0" collapsed="false">
      <c r="A175" s="0" t="n">
        <v>172</v>
      </c>
      <c r="B175" s="6" t="str">
        <f aca="false">IF(ISERROR(INDEX(Transactions!$H$3:$H$5000,MATCH(A175,Transactions!$N$3:$N$5000,0))),"",INDEX(Transactions!$H$3:$H$5000,MATCH(A175,Transactions!$N$3:$N$5000,0)))</f>
        <v/>
      </c>
      <c r="C175" s="7" t="str">
        <f aca="false">IF(B175="","",Transactions!$M$1+INDEX(Transactions!$K$3:$K$5000,MATCH(A175,Transactions!$N$3:$N$5000,0)))</f>
        <v/>
      </c>
      <c r="D175" s="7" t="str">
        <f aca="false">IF(B175="","",C175-C174)</f>
        <v/>
      </c>
      <c r="E175" s="1" t="n">
        <f aca="false">IF(B175="",0,C175/C174-1)</f>
        <v>0</v>
      </c>
    </row>
    <row r="176" customFormat="false" ht="14.1" hidden="false" customHeight="false" outlineLevel="0" collapsed="false">
      <c r="A176" s="0" t="n">
        <v>173</v>
      </c>
      <c r="B176" s="6" t="str">
        <f aca="false">IF(ISERROR(INDEX(Transactions!$H$3:$H$5000,MATCH(A176,Transactions!$N$3:$N$5000,0))),"",INDEX(Transactions!$H$3:$H$5000,MATCH(A176,Transactions!$N$3:$N$5000,0)))</f>
        <v/>
      </c>
      <c r="C176" s="7" t="str">
        <f aca="false">IF(B176="","",Transactions!$M$1+INDEX(Transactions!$K$3:$K$5000,MATCH(A176,Transactions!$N$3:$N$5000,0)))</f>
        <v/>
      </c>
      <c r="D176" s="7" t="str">
        <f aca="false">IF(B176="","",C176-C175)</f>
        <v/>
      </c>
      <c r="E176" s="1" t="n">
        <f aca="false">IF(B176="",0,C176/C175-1)</f>
        <v>0</v>
      </c>
    </row>
    <row r="177" customFormat="false" ht="14.1" hidden="false" customHeight="false" outlineLevel="0" collapsed="false">
      <c r="A177" s="0" t="n">
        <v>174</v>
      </c>
      <c r="B177" s="6" t="str">
        <f aca="false">IF(ISERROR(INDEX(Transactions!$H$3:$H$5000,MATCH(A177,Transactions!$N$3:$N$5000,0))),"",INDEX(Transactions!$H$3:$H$5000,MATCH(A177,Transactions!$N$3:$N$5000,0)))</f>
        <v/>
      </c>
      <c r="C177" s="7" t="str">
        <f aca="false">IF(B177="","",Transactions!$M$1+INDEX(Transactions!$K$3:$K$5000,MATCH(A177,Transactions!$N$3:$N$5000,0)))</f>
        <v/>
      </c>
      <c r="D177" s="7" t="str">
        <f aca="false">IF(B177="","",C177-C176)</f>
        <v/>
      </c>
      <c r="E177" s="1" t="n">
        <f aca="false">IF(B177="",0,C177/C176-1)</f>
        <v>0</v>
      </c>
    </row>
    <row r="178" customFormat="false" ht="14.1" hidden="false" customHeight="false" outlineLevel="0" collapsed="false">
      <c r="A178" s="0" t="n">
        <v>175</v>
      </c>
      <c r="B178" s="6" t="str">
        <f aca="false">IF(ISERROR(INDEX(Transactions!$H$3:$H$5000,MATCH(A178,Transactions!$N$3:$N$5000,0))),"",INDEX(Transactions!$H$3:$H$5000,MATCH(A178,Transactions!$N$3:$N$5000,0)))</f>
        <v/>
      </c>
      <c r="C178" s="7" t="str">
        <f aca="false">IF(B178="","",Transactions!$M$1+INDEX(Transactions!$K$3:$K$5000,MATCH(A178,Transactions!$N$3:$N$5000,0)))</f>
        <v/>
      </c>
      <c r="D178" s="7" t="str">
        <f aca="false">IF(B178="","",C178-C177)</f>
        <v/>
      </c>
      <c r="E178" s="1" t="n">
        <f aca="false">IF(B178="",0,C178/C177-1)</f>
        <v>0</v>
      </c>
    </row>
    <row r="179" customFormat="false" ht="14.1" hidden="false" customHeight="false" outlineLevel="0" collapsed="false">
      <c r="A179" s="0" t="n">
        <v>176</v>
      </c>
      <c r="B179" s="6" t="str">
        <f aca="false">IF(ISERROR(INDEX(Transactions!$H$3:$H$5000,MATCH(A179,Transactions!$N$3:$N$5000,0))),"",INDEX(Transactions!$H$3:$H$5000,MATCH(A179,Transactions!$N$3:$N$5000,0)))</f>
        <v/>
      </c>
      <c r="C179" s="7" t="str">
        <f aca="false">IF(B179="","",Transactions!$M$1+INDEX(Transactions!$K$3:$K$5000,MATCH(A179,Transactions!$N$3:$N$5000,0)))</f>
        <v/>
      </c>
      <c r="D179" s="7" t="str">
        <f aca="false">IF(B179="","",C179-C178)</f>
        <v/>
      </c>
      <c r="E179" s="1" t="n">
        <f aca="false">IF(B179="",0,C179/C178-1)</f>
        <v>0</v>
      </c>
    </row>
    <row r="180" customFormat="false" ht="14.1" hidden="false" customHeight="false" outlineLevel="0" collapsed="false">
      <c r="A180" s="0" t="n">
        <v>177</v>
      </c>
      <c r="B180" s="6" t="str">
        <f aca="false">IF(ISERROR(INDEX(Transactions!$H$3:$H$5000,MATCH(A180,Transactions!$N$3:$N$5000,0))),"",INDEX(Transactions!$H$3:$H$5000,MATCH(A180,Transactions!$N$3:$N$5000,0)))</f>
        <v/>
      </c>
      <c r="C180" s="7" t="str">
        <f aca="false">IF(B180="","",Transactions!$M$1+INDEX(Transactions!$K$3:$K$5000,MATCH(A180,Transactions!$N$3:$N$5000,0)))</f>
        <v/>
      </c>
      <c r="D180" s="7" t="str">
        <f aca="false">IF(B180="","",C180-C179)</f>
        <v/>
      </c>
      <c r="E180" s="1" t="n">
        <f aca="false">IF(B180="",0,C180/C179-1)</f>
        <v>0</v>
      </c>
    </row>
    <row r="181" customFormat="false" ht="14.1" hidden="false" customHeight="false" outlineLevel="0" collapsed="false">
      <c r="A181" s="0" t="n">
        <v>178</v>
      </c>
      <c r="B181" s="6" t="str">
        <f aca="false">IF(ISERROR(INDEX(Transactions!$H$3:$H$5000,MATCH(A181,Transactions!$N$3:$N$5000,0))),"",INDEX(Transactions!$H$3:$H$5000,MATCH(A181,Transactions!$N$3:$N$5000,0)))</f>
        <v/>
      </c>
      <c r="C181" s="7" t="str">
        <f aca="false">IF(B181="","",Transactions!$M$1+INDEX(Transactions!$K$3:$K$5000,MATCH(A181,Transactions!$N$3:$N$5000,0)))</f>
        <v/>
      </c>
      <c r="D181" s="7" t="str">
        <f aca="false">IF(B181="","",C181-C180)</f>
        <v/>
      </c>
      <c r="E181" s="1" t="n">
        <f aca="false">IF(B181="",0,C181/C180-1)</f>
        <v>0</v>
      </c>
    </row>
    <row r="182" customFormat="false" ht="14.1" hidden="false" customHeight="false" outlineLevel="0" collapsed="false">
      <c r="A182" s="0" t="n">
        <v>179</v>
      </c>
      <c r="B182" s="6" t="str">
        <f aca="false">IF(ISERROR(INDEX(Transactions!$H$3:$H$5000,MATCH(A182,Transactions!$N$3:$N$5000,0))),"",INDEX(Transactions!$H$3:$H$5000,MATCH(A182,Transactions!$N$3:$N$5000,0)))</f>
        <v/>
      </c>
      <c r="C182" s="7" t="str">
        <f aca="false">IF(B182="","",Transactions!$M$1+INDEX(Transactions!$K$3:$K$5000,MATCH(A182,Transactions!$N$3:$N$5000,0)))</f>
        <v/>
      </c>
      <c r="D182" s="7" t="str">
        <f aca="false">IF(B182="","",C182-C181)</f>
        <v/>
      </c>
      <c r="E182" s="1" t="n">
        <f aca="false">IF(B182="",0,C182/C181-1)</f>
        <v>0</v>
      </c>
    </row>
    <row r="183" customFormat="false" ht="14.1" hidden="false" customHeight="false" outlineLevel="0" collapsed="false">
      <c r="A183" s="0" t="n">
        <v>180</v>
      </c>
      <c r="B183" s="6" t="str">
        <f aca="false">IF(ISERROR(INDEX(Transactions!$H$3:$H$5000,MATCH(A183,Transactions!$N$3:$N$5000,0))),"",INDEX(Transactions!$H$3:$H$5000,MATCH(A183,Transactions!$N$3:$N$5000,0)))</f>
        <v/>
      </c>
      <c r="C183" s="7" t="str">
        <f aca="false">IF(B183="","",Transactions!$M$1+INDEX(Transactions!$K$3:$K$5000,MATCH(A183,Transactions!$N$3:$N$5000,0)))</f>
        <v/>
      </c>
      <c r="D183" s="7" t="str">
        <f aca="false">IF(B183="","",C183-C182)</f>
        <v/>
      </c>
      <c r="E183" s="1" t="n">
        <f aca="false">IF(B183="",0,C183/C182-1)</f>
        <v>0</v>
      </c>
    </row>
    <row r="184" customFormat="false" ht="14.1" hidden="false" customHeight="false" outlineLevel="0" collapsed="false">
      <c r="A184" s="0" t="n">
        <v>181</v>
      </c>
      <c r="B184" s="6" t="str">
        <f aca="false">IF(ISERROR(INDEX(Transactions!$H$3:$H$5000,MATCH(A184,Transactions!$N$3:$N$5000,0))),"",INDEX(Transactions!$H$3:$H$5000,MATCH(A184,Transactions!$N$3:$N$5000,0)))</f>
        <v/>
      </c>
      <c r="C184" s="7" t="str">
        <f aca="false">IF(B184="","",Transactions!$M$1+INDEX(Transactions!$K$3:$K$5000,MATCH(A184,Transactions!$N$3:$N$5000,0)))</f>
        <v/>
      </c>
      <c r="D184" s="7" t="str">
        <f aca="false">IF(B184="","",C184-C183)</f>
        <v/>
      </c>
      <c r="E184" s="1" t="n">
        <f aca="false">IF(B184="",0,C184/C183-1)</f>
        <v>0</v>
      </c>
    </row>
    <row r="185" customFormat="false" ht="14.1" hidden="false" customHeight="false" outlineLevel="0" collapsed="false">
      <c r="A185" s="0" t="n">
        <v>182</v>
      </c>
      <c r="B185" s="6" t="str">
        <f aca="false">IF(ISERROR(INDEX(Transactions!$H$3:$H$5000,MATCH(A185,Transactions!$N$3:$N$5000,0))),"",INDEX(Transactions!$H$3:$H$5000,MATCH(A185,Transactions!$N$3:$N$5000,0)))</f>
        <v/>
      </c>
      <c r="C185" s="7" t="str">
        <f aca="false">IF(B185="","",Transactions!$M$1+INDEX(Transactions!$K$3:$K$5000,MATCH(A185,Transactions!$N$3:$N$5000,0)))</f>
        <v/>
      </c>
      <c r="D185" s="7" t="str">
        <f aca="false">IF(B185="","",C185-C184)</f>
        <v/>
      </c>
      <c r="E185" s="1" t="n">
        <f aca="false">IF(B185="",0,C185/C184-1)</f>
        <v>0</v>
      </c>
    </row>
    <row r="186" customFormat="false" ht="14.1" hidden="false" customHeight="false" outlineLevel="0" collapsed="false">
      <c r="A186" s="0" t="n">
        <v>183</v>
      </c>
      <c r="B186" s="6" t="str">
        <f aca="false">IF(ISERROR(INDEX(Transactions!$H$3:$H$5000,MATCH(A186,Transactions!$N$3:$N$5000,0))),"",INDEX(Transactions!$H$3:$H$5000,MATCH(A186,Transactions!$N$3:$N$5000,0)))</f>
        <v/>
      </c>
      <c r="C186" s="7" t="str">
        <f aca="false">IF(B186="","",Transactions!$M$1+INDEX(Transactions!$K$3:$K$5000,MATCH(A186,Transactions!$N$3:$N$5000,0)))</f>
        <v/>
      </c>
      <c r="D186" s="7" t="str">
        <f aca="false">IF(B186="","",C186-C185)</f>
        <v/>
      </c>
      <c r="E186" s="1" t="n">
        <f aca="false">IF(B186="",0,C186/C185-1)</f>
        <v>0</v>
      </c>
    </row>
    <row r="187" customFormat="false" ht="14.1" hidden="false" customHeight="false" outlineLevel="0" collapsed="false">
      <c r="A187" s="0" t="n">
        <v>184</v>
      </c>
      <c r="B187" s="6" t="str">
        <f aca="false">IF(ISERROR(INDEX(Transactions!$H$3:$H$5000,MATCH(A187,Transactions!$N$3:$N$5000,0))),"",INDEX(Transactions!$H$3:$H$5000,MATCH(A187,Transactions!$N$3:$N$5000,0)))</f>
        <v/>
      </c>
      <c r="C187" s="7" t="str">
        <f aca="false">IF(B187="","",Transactions!$M$1+INDEX(Transactions!$K$3:$K$5000,MATCH(A187,Transactions!$N$3:$N$5000,0)))</f>
        <v/>
      </c>
      <c r="D187" s="7" t="str">
        <f aca="false">IF(B187="","",C187-C186)</f>
        <v/>
      </c>
      <c r="E187" s="1" t="n">
        <f aca="false">IF(B187="",0,C187/C186-1)</f>
        <v>0</v>
      </c>
    </row>
    <row r="188" customFormat="false" ht="14.1" hidden="false" customHeight="false" outlineLevel="0" collapsed="false">
      <c r="A188" s="0" t="n">
        <v>185</v>
      </c>
      <c r="B188" s="6" t="str">
        <f aca="false">IF(ISERROR(INDEX(Transactions!$H$3:$H$5000,MATCH(A188,Transactions!$N$3:$N$5000,0))),"",INDEX(Transactions!$H$3:$H$5000,MATCH(A188,Transactions!$N$3:$N$5000,0)))</f>
        <v/>
      </c>
      <c r="C188" s="7" t="str">
        <f aca="false">IF(B188="","",Transactions!$M$1+INDEX(Transactions!$K$3:$K$5000,MATCH(A188,Transactions!$N$3:$N$5000,0)))</f>
        <v/>
      </c>
      <c r="D188" s="7" t="str">
        <f aca="false">IF(B188="","",C188-C187)</f>
        <v/>
      </c>
      <c r="E188" s="1" t="n">
        <f aca="false">IF(B188="",0,C188/C187-1)</f>
        <v>0</v>
      </c>
    </row>
    <row r="189" customFormat="false" ht="14.1" hidden="false" customHeight="false" outlineLevel="0" collapsed="false">
      <c r="A189" s="0" t="n">
        <v>186</v>
      </c>
      <c r="B189" s="6" t="str">
        <f aca="false">IF(ISERROR(INDEX(Transactions!$H$3:$H$5000,MATCH(A189,Transactions!$N$3:$N$5000,0))),"",INDEX(Transactions!$H$3:$H$5000,MATCH(A189,Transactions!$N$3:$N$5000,0)))</f>
        <v/>
      </c>
      <c r="C189" s="7" t="str">
        <f aca="false">IF(B189="","",Transactions!$M$1+INDEX(Transactions!$K$3:$K$5000,MATCH(A189,Transactions!$N$3:$N$5000,0)))</f>
        <v/>
      </c>
      <c r="D189" s="7" t="str">
        <f aca="false">IF(B189="","",C189-C188)</f>
        <v/>
      </c>
      <c r="E189" s="1" t="n">
        <f aca="false">IF(B189="",0,C189/C188-1)</f>
        <v>0</v>
      </c>
    </row>
    <row r="190" customFormat="false" ht="14.1" hidden="false" customHeight="false" outlineLevel="0" collapsed="false">
      <c r="A190" s="0" t="n">
        <v>187</v>
      </c>
      <c r="B190" s="6" t="str">
        <f aca="false">IF(ISERROR(INDEX(Transactions!$H$3:$H$5000,MATCH(A190,Transactions!$N$3:$N$5000,0))),"",INDEX(Transactions!$H$3:$H$5000,MATCH(A190,Transactions!$N$3:$N$5000,0)))</f>
        <v/>
      </c>
      <c r="C190" s="7" t="str">
        <f aca="false">IF(B190="","",Transactions!$M$1+INDEX(Transactions!$K$3:$K$5000,MATCH(A190,Transactions!$N$3:$N$5000,0)))</f>
        <v/>
      </c>
      <c r="D190" s="7" t="str">
        <f aca="false">IF(B190="","",C190-C189)</f>
        <v/>
      </c>
      <c r="E190" s="1" t="n">
        <f aca="false">IF(B190="",0,C190/C189-1)</f>
        <v>0</v>
      </c>
    </row>
    <row r="191" customFormat="false" ht="14.1" hidden="false" customHeight="false" outlineLevel="0" collapsed="false">
      <c r="A191" s="0" t="n">
        <v>188</v>
      </c>
      <c r="B191" s="6" t="str">
        <f aca="false">IF(ISERROR(INDEX(Transactions!$H$3:$H$5000,MATCH(A191,Transactions!$N$3:$N$5000,0))),"",INDEX(Transactions!$H$3:$H$5000,MATCH(A191,Transactions!$N$3:$N$5000,0)))</f>
        <v/>
      </c>
      <c r="C191" s="7" t="str">
        <f aca="false">IF(B191="","",Transactions!$M$1+INDEX(Transactions!$K$3:$K$5000,MATCH(A191,Transactions!$N$3:$N$5000,0)))</f>
        <v/>
      </c>
      <c r="D191" s="7" t="str">
        <f aca="false">IF(B191="","",C191-C190)</f>
        <v/>
      </c>
      <c r="E191" s="1" t="n">
        <f aca="false">IF(B191="",0,C191/C190-1)</f>
        <v>0</v>
      </c>
    </row>
    <row r="192" customFormat="false" ht="14.1" hidden="false" customHeight="false" outlineLevel="0" collapsed="false">
      <c r="A192" s="0" t="n">
        <v>189</v>
      </c>
      <c r="B192" s="6" t="str">
        <f aca="false">IF(ISERROR(INDEX(Transactions!$H$3:$H$5000,MATCH(A192,Transactions!$N$3:$N$5000,0))),"",INDEX(Transactions!$H$3:$H$5000,MATCH(A192,Transactions!$N$3:$N$5000,0)))</f>
        <v/>
      </c>
      <c r="C192" s="7" t="str">
        <f aca="false">IF(B192="","",Transactions!$M$1+INDEX(Transactions!$K$3:$K$5000,MATCH(A192,Transactions!$N$3:$N$5000,0)))</f>
        <v/>
      </c>
      <c r="D192" s="7" t="str">
        <f aca="false">IF(B192="","",C192-C191)</f>
        <v/>
      </c>
      <c r="E192" s="1" t="n">
        <f aca="false">IF(B192="",0,C192/C191-1)</f>
        <v>0</v>
      </c>
    </row>
    <row r="193" customFormat="false" ht="14.1" hidden="false" customHeight="false" outlineLevel="0" collapsed="false">
      <c r="A193" s="0" t="n">
        <v>190</v>
      </c>
      <c r="B193" s="6" t="str">
        <f aca="false">IF(ISERROR(INDEX(Transactions!$H$3:$H$5000,MATCH(A193,Transactions!$N$3:$N$5000,0))),"",INDEX(Transactions!$H$3:$H$5000,MATCH(A193,Transactions!$N$3:$N$5000,0)))</f>
        <v/>
      </c>
      <c r="C193" s="7" t="str">
        <f aca="false">IF(B193="","",Transactions!$M$1+INDEX(Transactions!$K$3:$K$5000,MATCH(A193,Transactions!$N$3:$N$5000,0)))</f>
        <v/>
      </c>
      <c r="D193" s="7" t="str">
        <f aca="false">IF(B193="","",C193-C192)</f>
        <v/>
      </c>
      <c r="E193" s="1" t="n">
        <f aca="false">IF(B193="",0,C193/C192-1)</f>
        <v>0</v>
      </c>
    </row>
    <row r="194" customFormat="false" ht="14.1" hidden="false" customHeight="false" outlineLevel="0" collapsed="false">
      <c r="A194" s="0" t="n">
        <v>191</v>
      </c>
      <c r="B194" s="6" t="str">
        <f aca="false">IF(ISERROR(INDEX(Transactions!$H$3:$H$5000,MATCH(A194,Transactions!$N$3:$N$5000,0))),"",INDEX(Transactions!$H$3:$H$5000,MATCH(A194,Transactions!$N$3:$N$5000,0)))</f>
        <v/>
      </c>
      <c r="C194" s="7" t="str">
        <f aca="false">IF(B194="","",Transactions!$M$1+INDEX(Transactions!$K$3:$K$5000,MATCH(A194,Transactions!$N$3:$N$5000,0)))</f>
        <v/>
      </c>
      <c r="D194" s="7" t="str">
        <f aca="false">IF(B194="","",C194-C193)</f>
        <v/>
      </c>
      <c r="E194" s="1" t="n">
        <f aca="false">IF(B194="",0,C194/C193-1)</f>
        <v>0</v>
      </c>
    </row>
    <row r="195" customFormat="false" ht="14.1" hidden="false" customHeight="false" outlineLevel="0" collapsed="false">
      <c r="A195" s="0" t="n">
        <v>192</v>
      </c>
      <c r="B195" s="6" t="str">
        <f aca="false">IF(ISERROR(INDEX(Transactions!$H$3:$H$5000,MATCH(A195,Transactions!$N$3:$N$5000,0))),"",INDEX(Transactions!$H$3:$H$5000,MATCH(A195,Transactions!$N$3:$N$5000,0)))</f>
        <v/>
      </c>
      <c r="C195" s="7" t="str">
        <f aca="false">IF(B195="","",Transactions!$M$1+INDEX(Transactions!$K$3:$K$5000,MATCH(A195,Transactions!$N$3:$N$5000,0)))</f>
        <v/>
      </c>
      <c r="D195" s="7" t="str">
        <f aca="false">IF(B195="","",C195-C194)</f>
        <v/>
      </c>
      <c r="E195" s="1" t="n">
        <f aca="false">IF(B195="",0,C195/C194-1)</f>
        <v>0</v>
      </c>
    </row>
    <row r="196" customFormat="false" ht="14.1" hidden="false" customHeight="false" outlineLevel="0" collapsed="false">
      <c r="A196" s="0" t="n">
        <v>193</v>
      </c>
      <c r="B196" s="6" t="str">
        <f aca="false">IF(ISERROR(INDEX(Transactions!$H$3:$H$5000,MATCH(A196,Transactions!$N$3:$N$5000,0))),"",INDEX(Transactions!$H$3:$H$5000,MATCH(A196,Transactions!$N$3:$N$5000,0)))</f>
        <v/>
      </c>
      <c r="C196" s="7" t="str">
        <f aca="false">IF(B196="","",Transactions!$M$1+INDEX(Transactions!$K$3:$K$5000,MATCH(A196,Transactions!$N$3:$N$5000,0)))</f>
        <v/>
      </c>
      <c r="D196" s="7" t="str">
        <f aca="false">IF(B196="","",C196-C195)</f>
        <v/>
      </c>
      <c r="E196" s="1" t="n">
        <f aca="false">IF(B196="",0,C196/C195-1)</f>
        <v>0</v>
      </c>
    </row>
    <row r="197" customFormat="false" ht="14.1" hidden="false" customHeight="false" outlineLevel="0" collapsed="false">
      <c r="A197" s="0" t="n">
        <v>194</v>
      </c>
      <c r="B197" s="6" t="str">
        <f aca="false">IF(ISERROR(INDEX(Transactions!$H$3:$H$5000,MATCH(A197,Transactions!$N$3:$N$5000,0))),"",INDEX(Transactions!$H$3:$H$5000,MATCH(A197,Transactions!$N$3:$N$5000,0)))</f>
        <v/>
      </c>
      <c r="C197" s="7" t="str">
        <f aca="false">IF(B197="","",Transactions!$M$1+INDEX(Transactions!$K$3:$K$5000,MATCH(A197,Transactions!$N$3:$N$5000,0)))</f>
        <v/>
      </c>
      <c r="D197" s="7" t="str">
        <f aca="false">IF(B197="","",C197-C196)</f>
        <v/>
      </c>
      <c r="E197" s="1" t="n">
        <f aca="false">IF(B197="",0,C197/C196-1)</f>
        <v>0</v>
      </c>
    </row>
    <row r="198" customFormat="false" ht="14.1" hidden="false" customHeight="false" outlineLevel="0" collapsed="false">
      <c r="A198" s="0" t="n">
        <v>195</v>
      </c>
      <c r="B198" s="6" t="str">
        <f aca="false">IF(ISERROR(INDEX(Transactions!$H$3:$H$5000,MATCH(A198,Transactions!$N$3:$N$5000,0))),"",INDEX(Transactions!$H$3:$H$5000,MATCH(A198,Transactions!$N$3:$N$5000,0)))</f>
        <v/>
      </c>
      <c r="C198" s="7" t="str">
        <f aca="false">IF(B198="","",Transactions!$M$1+INDEX(Transactions!$K$3:$K$5000,MATCH(A198,Transactions!$N$3:$N$5000,0)))</f>
        <v/>
      </c>
      <c r="D198" s="7" t="str">
        <f aca="false">IF(B198="","",C198-C197)</f>
        <v/>
      </c>
      <c r="E198" s="1" t="n">
        <f aca="false">IF(B198="",0,C198/C197-1)</f>
        <v>0</v>
      </c>
    </row>
    <row r="199" customFormat="false" ht="14.1" hidden="false" customHeight="false" outlineLevel="0" collapsed="false">
      <c r="A199" s="0" t="n">
        <v>196</v>
      </c>
      <c r="B199" s="6" t="str">
        <f aca="false">IF(ISERROR(INDEX(Transactions!$H$3:$H$5000,MATCH(A199,Transactions!$N$3:$N$5000,0))),"",INDEX(Transactions!$H$3:$H$5000,MATCH(A199,Transactions!$N$3:$N$5000,0)))</f>
        <v/>
      </c>
      <c r="C199" s="7" t="str">
        <f aca="false">IF(B199="","",Transactions!$M$1+INDEX(Transactions!$K$3:$K$5000,MATCH(A199,Transactions!$N$3:$N$5000,0)))</f>
        <v/>
      </c>
      <c r="D199" s="7" t="str">
        <f aca="false">IF(B199="","",C199-C198)</f>
        <v/>
      </c>
      <c r="E199" s="1" t="n">
        <f aca="false">IF(B199="",0,C199/C198-1)</f>
        <v>0</v>
      </c>
    </row>
    <row r="200" customFormat="false" ht="14.1" hidden="false" customHeight="false" outlineLevel="0" collapsed="false">
      <c r="A200" s="0" t="n">
        <v>197</v>
      </c>
      <c r="B200" s="6" t="str">
        <f aca="false">IF(ISERROR(INDEX(Transactions!$H$3:$H$5000,MATCH(A200,Transactions!$N$3:$N$5000,0))),"",INDEX(Transactions!$H$3:$H$5000,MATCH(A200,Transactions!$N$3:$N$5000,0)))</f>
        <v/>
      </c>
      <c r="C200" s="7" t="str">
        <f aca="false">IF(B200="","",Transactions!$M$1+INDEX(Transactions!$K$3:$K$5000,MATCH(A200,Transactions!$N$3:$N$5000,0)))</f>
        <v/>
      </c>
      <c r="D200" s="7" t="str">
        <f aca="false">IF(B200="","",C200-C199)</f>
        <v/>
      </c>
      <c r="E200" s="1" t="n">
        <f aca="false">IF(B200="",0,C200/C199-1)</f>
        <v>0</v>
      </c>
    </row>
    <row r="201" customFormat="false" ht="14.1" hidden="false" customHeight="false" outlineLevel="0" collapsed="false">
      <c r="A201" s="0" t="n">
        <v>198</v>
      </c>
      <c r="B201" s="6" t="str">
        <f aca="false">IF(ISERROR(INDEX(Transactions!$H$3:$H$5000,MATCH(A201,Transactions!$N$3:$N$5000,0))),"",INDEX(Transactions!$H$3:$H$5000,MATCH(A201,Transactions!$N$3:$N$5000,0)))</f>
        <v/>
      </c>
      <c r="C201" s="7" t="str">
        <f aca="false">IF(B201="","",Transactions!$M$1+INDEX(Transactions!$K$3:$K$5000,MATCH(A201,Transactions!$N$3:$N$5000,0)))</f>
        <v/>
      </c>
      <c r="D201" s="7" t="str">
        <f aca="false">IF(B201="","",C201-C200)</f>
        <v/>
      </c>
      <c r="E201" s="1" t="n">
        <f aca="false">IF(B201="",0,C201/C200-1)</f>
        <v>0</v>
      </c>
    </row>
    <row r="202" customFormat="false" ht="14.1" hidden="false" customHeight="false" outlineLevel="0" collapsed="false">
      <c r="A202" s="0" t="n">
        <v>199</v>
      </c>
      <c r="B202" s="6" t="str">
        <f aca="false">IF(ISERROR(INDEX(Transactions!$H$3:$H$5000,MATCH(A202,Transactions!$N$3:$N$5000,0))),"",INDEX(Transactions!$H$3:$H$5000,MATCH(A202,Transactions!$N$3:$N$5000,0)))</f>
        <v/>
      </c>
      <c r="C202" s="7" t="str">
        <f aca="false">IF(B202="","",Transactions!$M$1+INDEX(Transactions!$K$3:$K$5000,MATCH(A202,Transactions!$N$3:$N$5000,0)))</f>
        <v/>
      </c>
      <c r="D202" s="7" t="str">
        <f aca="false">IF(B202="","",C202-C201)</f>
        <v/>
      </c>
      <c r="E202" s="1" t="n">
        <f aca="false">IF(B202="",0,C202/C201-1)</f>
        <v>0</v>
      </c>
    </row>
    <row r="203" customFormat="false" ht="14.1" hidden="false" customHeight="false" outlineLevel="0" collapsed="false">
      <c r="A203" s="0" t="n">
        <v>200</v>
      </c>
      <c r="B203" s="6" t="str">
        <f aca="false">IF(ISERROR(INDEX(Transactions!$H$3:$H$5000,MATCH(A203,Transactions!$N$3:$N$5000,0))),"",INDEX(Transactions!$H$3:$H$5000,MATCH(A203,Transactions!$N$3:$N$5000,0)))</f>
        <v/>
      </c>
      <c r="C203" s="7" t="str">
        <f aca="false">IF(B203="","",Transactions!$M$1+INDEX(Transactions!$K$3:$K$5000,MATCH(A203,Transactions!$N$3:$N$5000,0)))</f>
        <v/>
      </c>
      <c r="D203" s="7" t="str">
        <f aca="false">IF(B203="","",C203-C202)</f>
        <v/>
      </c>
      <c r="E203" s="1" t="n">
        <f aca="false">IF(B203="",0,C203/C202-1)</f>
        <v>0</v>
      </c>
    </row>
    <row r="204" customFormat="false" ht="14.1" hidden="false" customHeight="false" outlineLevel="0" collapsed="false">
      <c r="A204" s="0" t="n">
        <v>201</v>
      </c>
      <c r="B204" s="6" t="str">
        <f aca="false">IF(ISERROR(INDEX(Transactions!$H$3:$H$5000,MATCH(A204,Transactions!$N$3:$N$5000,0))),"",INDEX(Transactions!$H$3:$H$5000,MATCH(A204,Transactions!$N$3:$N$5000,0)))</f>
        <v/>
      </c>
      <c r="C204" s="7" t="str">
        <f aca="false">IF(B204="","",Transactions!$M$1+INDEX(Transactions!$K$3:$K$5000,MATCH(A204,Transactions!$N$3:$N$5000,0)))</f>
        <v/>
      </c>
      <c r="D204" s="7" t="str">
        <f aca="false">IF(B204="","",C204-C203)</f>
        <v/>
      </c>
      <c r="E204" s="1" t="n">
        <f aca="false">IF(B204="",0,C204/C203-1)</f>
        <v>0</v>
      </c>
    </row>
    <row r="205" customFormat="false" ht="14.1" hidden="false" customHeight="false" outlineLevel="0" collapsed="false">
      <c r="A205" s="0" t="n">
        <v>202</v>
      </c>
      <c r="B205" s="6" t="str">
        <f aca="false">IF(ISERROR(INDEX(Transactions!$H$3:$H$5000,MATCH(A205,Transactions!$N$3:$N$5000,0))),"",INDEX(Transactions!$H$3:$H$5000,MATCH(A205,Transactions!$N$3:$N$5000,0)))</f>
        <v/>
      </c>
      <c r="C205" s="7" t="str">
        <f aca="false">IF(B205="","",Transactions!$M$1+INDEX(Transactions!$K$3:$K$5000,MATCH(A205,Transactions!$N$3:$N$5000,0)))</f>
        <v/>
      </c>
      <c r="D205" s="7" t="str">
        <f aca="false">IF(B205="","",C205-C204)</f>
        <v/>
      </c>
      <c r="E205" s="1" t="n">
        <f aca="false">IF(B205="",0,C205/C204-1)</f>
        <v>0</v>
      </c>
    </row>
    <row r="206" customFormat="false" ht="14.1" hidden="false" customHeight="false" outlineLevel="0" collapsed="false">
      <c r="A206" s="0" t="n">
        <v>203</v>
      </c>
      <c r="B206" s="6" t="str">
        <f aca="false">IF(ISERROR(INDEX(Transactions!$H$3:$H$5000,MATCH(A206,Transactions!$N$3:$N$5000,0))),"",INDEX(Transactions!$H$3:$H$5000,MATCH(A206,Transactions!$N$3:$N$5000,0)))</f>
        <v/>
      </c>
      <c r="C206" s="7" t="str">
        <f aca="false">IF(B206="","",Transactions!$M$1+INDEX(Transactions!$K$3:$K$5000,MATCH(A206,Transactions!$N$3:$N$5000,0)))</f>
        <v/>
      </c>
      <c r="D206" s="7" t="str">
        <f aca="false">IF(B206="","",C206-C205)</f>
        <v/>
      </c>
      <c r="E206" s="1" t="n">
        <f aca="false">IF(B206="",0,C206/C205-1)</f>
        <v>0</v>
      </c>
    </row>
    <row r="207" customFormat="false" ht="14.1" hidden="false" customHeight="false" outlineLevel="0" collapsed="false">
      <c r="A207" s="0" t="n">
        <v>204</v>
      </c>
      <c r="B207" s="6" t="str">
        <f aca="false">IF(ISERROR(INDEX(Transactions!$H$3:$H$5000,MATCH(A207,Transactions!$N$3:$N$5000,0))),"",INDEX(Transactions!$H$3:$H$5000,MATCH(A207,Transactions!$N$3:$N$5000,0)))</f>
        <v/>
      </c>
      <c r="C207" s="7" t="str">
        <f aca="false">IF(B207="","",Transactions!$M$1+INDEX(Transactions!$K$3:$K$5000,MATCH(A207,Transactions!$N$3:$N$5000,0)))</f>
        <v/>
      </c>
      <c r="D207" s="7" t="str">
        <f aca="false">IF(B207="","",C207-C206)</f>
        <v/>
      </c>
      <c r="E207" s="1" t="n">
        <f aca="false">IF(B207="",0,C207/C206-1)</f>
        <v>0</v>
      </c>
    </row>
    <row r="208" customFormat="false" ht="14.1" hidden="false" customHeight="false" outlineLevel="0" collapsed="false">
      <c r="A208" s="0" t="n">
        <v>205</v>
      </c>
      <c r="B208" s="6" t="str">
        <f aca="false">IF(ISERROR(INDEX(Transactions!$H$3:$H$5000,MATCH(A208,Transactions!$N$3:$N$5000,0))),"",INDEX(Transactions!$H$3:$H$5000,MATCH(A208,Transactions!$N$3:$N$5000,0)))</f>
        <v/>
      </c>
      <c r="C208" s="7" t="str">
        <f aca="false">IF(B208="","",Transactions!$M$1+INDEX(Transactions!$K$3:$K$5000,MATCH(A208,Transactions!$N$3:$N$5000,0)))</f>
        <v/>
      </c>
      <c r="D208" s="7" t="str">
        <f aca="false">IF(B208="","",C208-C207)</f>
        <v/>
      </c>
      <c r="E208" s="1" t="n">
        <f aca="false">IF(B208="",0,C208/C207-1)</f>
        <v>0</v>
      </c>
    </row>
    <row r="209" customFormat="false" ht="14.1" hidden="false" customHeight="false" outlineLevel="0" collapsed="false">
      <c r="A209" s="0" t="n">
        <v>206</v>
      </c>
      <c r="B209" s="6" t="str">
        <f aca="false">IF(ISERROR(INDEX(Transactions!$H$3:$H$5000,MATCH(A209,Transactions!$N$3:$N$5000,0))),"",INDEX(Transactions!$H$3:$H$5000,MATCH(A209,Transactions!$N$3:$N$5000,0)))</f>
        <v/>
      </c>
      <c r="C209" s="7" t="str">
        <f aca="false">IF(B209="","",Transactions!$M$1+INDEX(Transactions!$K$3:$K$5000,MATCH(A209,Transactions!$N$3:$N$5000,0)))</f>
        <v/>
      </c>
      <c r="D209" s="7" t="str">
        <f aca="false">IF(B209="","",C209-C208)</f>
        <v/>
      </c>
      <c r="E209" s="1" t="n">
        <f aca="false">IF(B209="",0,C209/C208-1)</f>
        <v>0</v>
      </c>
    </row>
    <row r="210" customFormat="false" ht="14.1" hidden="false" customHeight="false" outlineLevel="0" collapsed="false">
      <c r="A210" s="0" t="n">
        <v>207</v>
      </c>
      <c r="B210" s="6" t="str">
        <f aca="false">IF(ISERROR(INDEX(Transactions!$H$3:$H$5000,MATCH(A210,Transactions!$N$3:$N$5000,0))),"",INDEX(Transactions!$H$3:$H$5000,MATCH(A210,Transactions!$N$3:$N$5000,0)))</f>
        <v/>
      </c>
      <c r="C210" s="7" t="str">
        <f aca="false">IF(B210="","",Transactions!$M$1+INDEX(Transactions!$K$3:$K$5000,MATCH(A210,Transactions!$N$3:$N$5000,0)))</f>
        <v/>
      </c>
      <c r="D210" s="7" t="str">
        <f aca="false">IF(B210="","",C210-C209)</f>
        <v/>
      </c>
      <c r="E210" s="1" t="n">
        <f aca="false">IF(B210="",0,C210/C209-1)</f>
        <v>0</v>
      </c>
    </row>
    <row r="211" customFormat="false" ht="14.1" hidden="false" customHeight="false" outlineLevel="0" collapsed="false">
      <c r="A211" s="0" t="n">
        <v>208</v>
      </c>
      <c r="B211" s="6" t="str">
        <f aca="false">IF(ISERROR(INDEX(Transactions!$H$3:$H$5000,MATCH(A211,Transactions!$N$3:$N$5000,0))),"",INDEX(Transactions!$H$3:$H$5000,MATCH(A211,Transactions!$N$3:$N$5000,0)))</f>
        <v/>
      </c>
      <c r="C211" s="7" t="str">
        <f aca="false">IF(B211="","",Transactions!$M$1+INDEX(Transactions!$K$3:$K$5000,MATCH(A211,Transactions!$N$3:$N$5000,0)))</f>
        <v/>
      </c>
      <c r="D211" s="7" t="str">
        <f aca="false">IF(B211="","",C211-C210)</f>
        <v/>
      </c>
      <c r="E211" s="1" t="n">
        <f aca="false">IF(B211="",0,C211/C210-1)</f>
        <v>0</v>
      </c>
    </row>
    <row r="212" customFormat="false" ht="14.1" hidden="false" customHeight="false" outlineLevel="0" collapsed="false">
      <c r="A212" s="0" t="n">
        <v>209</v>
      </c>
      <c r="B212" s="6" t="str">
        <f aca="false">IF(ISERROR(INDEX(Transactions!$H$3:$H$5000,MATCH(A212,Transactions!$N$3:$N$5000,0))),"",INDEX(Transactions!$H$3:$H$5000,MATCH(A212,Transactions!$N$3:$N$5000,0)))</f>
        <v/>
      </c>
      <c r="C212" s="7" t="str">
        <f aca="false">IF(B212="","",Transactions!$M$1+INDEX(Transactions!$K$3:$K$5000,MATCH(A212,Transactions!$N$3:$N$5000,0)))</f>
        <v/>
      </c>
      <c r="D212" s="7" t="str">
        <f aca="false">IF(B212="","",C212-C211)</f>
        <v/>
      </c>
      <c r="E212" s="1" t="n">
        <f aca="false">IF(B212="",0,C212/C211-1)</f>
        <v>0</v>
      </c>
    </row>
    <row r="213" customFormat="false" ht="14.1" hidden="false" customHeight="false" outlineLevel="0" collapsed="false">
      <c r="A213" s="0" t="n">
        <v>210</v>
      </c>
      <c r="B213" s="6" t="str">
        <f aca="false">IF(ISERROR(INDEX(Transactions!$H$3:$H$5000,MATCH(A213,Transactions!$N$3:$N$5000,0))),"",INDEX(Transactions!$H$3:$H$5000,MATCH(A213,Transactions!$N$3:$N$5000,0)))</f>
        <v/>
      </c>
      <c r="C213" s="7" t="str">
        <f aca="false">IF(B213="","",Transactions!$M$1+INDEX(Transactions!$K$3:$K$5000,MATCH(A213,Transactions!$N$3:$N$5000,0)))</f>
        <v/>
      </c>
      <c r="D213" s="7" t="str">
        <f aca="false">IF(B213="","",C213-C212)</f>
        <v/>
      </c>
      <c r="E213" s="1" t="n">
        <f aca="false">IF(B213="",0,C213/C212-1)</f>
        <v>0</v>
      </c>
    </row>
    <row r="214" customFormat="false" ht="14.1" hidden="false" customHeight="false" outlineLevel="0" collapsed="false">
      <c r="A214" s="0" t="n">
        <v>211</v>
      </c>
      <c r="B214" s="6" t="str">
        <f aca="false">IF(ISERROR(INDEX(Transactions!$H$3:$H$5000,MATCH(A214,Transactions!$N$3:$N$5000,0))),"",INDEX(Transactions!$H$3:$H$5000,MATCH(A214,Transactions!$N$3:$N$5000,0)))</f>
        <v/>
      </c>
      <c r="C214" s="7" t="str">
        <f aca="false">IF(B214="","",Transactions!$M$1+INDEX(Transactions!$K$3:$K$5000,MATCH(A214,Transactions!$N$3:$N$5000,0)))</f>
        <v/>
      </c>
      <c r="D214" s="7" t="str">
        <f aca="false">IF(B214="","",C214-C213)</f>
        <v/>
      </c>
      <c r="E214" s="1" t="n">
        <f aca="false">IF(B214="",0,C214/C213-1)</f>
        <v>0</v>
      </c>
    </row>
    <row r="215" customFormat="false" ht="14.1" hidden="false" customHeight="false" outlineLevel="0" collapsed="false">
      <c r="A215" s="0" t="n">
        <v>212</v>
      </c>
      <c r="B215" s="6" t="str">
        <f aca="false">IF(ISERROR(INDEX(Transactions!$H$3:$H$5000,MATCH(A215,Transactions!$N$3:$N$5000,0))),"",INDEX(Transactions!$H$3:$H$5000,MATCH(A215,Transactions!$N$3:$N$5000,0)))</f>
        <v/>
      </c>
      <c r="C215" s="7" t="str">
        <f aca="false">IF(B215="","",Transactions!$M$1+INDEX(Transactions!$K$3:$K$5000,MATCH(A215,Transactions!$N$3:$N$5000,0)))</f>
        <v/>
      </c>
      <c r="D215" s="7" t="str">
        <f aca="false">IF(B215="","",C215-C214)</f>
        <v/>
      </c>
      <c r="E215" s="1" t="n">
        <f aca="false">IF(B215="",0,C215/C214-1)</f>
        <v>0</v>
      </c>
    </row>
    <row r="216" customFormat="false" ht="14.1" hidden="false" customHeight="false" outlineLevel="0" collapsed="false">
      <c r="A216" s="0" t="n">
        <v>213</v>
      </c>
      <c r="B216" s="6" t="str">
        <f aca="false">IF(ISERROR(INDEX(Transactions!$H$3:$H$5000,MATCH(A216,Transactions!$N$3:$N$5000,0))),"",INDEX(Transactions!$H$3:$H$5000,MATCH(A216,Transactions!$N$3:$N$5000,0)))</f>
        <v/>
      </c>
      <c r="C216" s="7" t="str">
        <f aca="false">IF(B216="","",Transactions!$M$1+INDEX(Transactions!$K$3:$K$5000,MATCH(A216,Transactions!$N$3:$N$5000,0)))</f>
        <v/>
      </c>
      <c r="D216" s="7" t="str">
        <f aca="false">IF(B216="","",C216-C215)</f>
        <v/>
      </c>
      <c r="E216" s="1" t="n">
        <f aca="false">IF(B216="",0,C216/C215-1)</f>
        <v>0</v>
      </c>
    </row>
    <row r="217" customFormat="false" ht="14.1" hidden="false" customHeight="false" outlineLevel="0" collapsed="false">
      <c r="A217" s="0" t="n">
        <v>214</v>
      </c>
      <c r="B217" s="6" t="str">
        <f aca="false">IF(ISERROR(INDEX(Transactions!$H$3:$H$5000,MATCH(A217,Transactions!$N$3:$N$5000,0))),"",INDEX(Transactions!$H$3:$H$5000,MATCH(A217,Transactions!$N$3:$N$5000,0)))</f>
        <v/>
      </c>
      <c r="C217" s="7" t="str">
        <f aca="false">IF(B217="","",Transactions!$M$1+INDEX(Transactions!$K$3:$K$5000,MATCH(A217,Transactions!$N$3:$N$5000,0)))</f>
        <v/>
      </c>
      <c r="D217" s="7" t="str">
        <f aca="false">IF(B217="","",C217-C216)</f>
        <v/>
      </c>
      <c r="E217" s="1" t="n">
        <f aca="false">IF(B217="",0,C217/C216-1)</f>
        <v>0</v>
      </c>
    </row>
    <row r="218" customFormat="false" ht="14.1" hidden="false" customHeight="false" outlineLevel="0" collapsed="false">
      <c r="A218" s="0" t="n">
        <v>215</v>
      </c>
      <c r="B218" s="6" t="str">
        <f aca="false">IF(ISERROR(INDEX(Transactions!$H$3:$H$5000,MATCH(A218,Transactions!$N$3:$N$5000,0))),"",INDEX(Transactions!$H$3:$H$5000,MATCH(A218,Transactions!$N$3:$N$5000,0)))</f>
        <v/>
      </c>
      <c r="C218" s="7" t="str">
        <f aca="false">IF(B218="","",Transactions!$M$1+INDEX(Transactions!$K$3:$K$5000,MATCH(A218,Transactions!$N$3:$N$5000,0)))</f>
        <v/>
      </c>
      <c r="D218" s="7" t="str">
        <f aca="false">IF(B218="","",C218-C217)</f>
        <v/>
      </c>
      <c r="E218" s="1" t="n">
        <f aca="false">IF(B218="",0,C218/C217-1)</f>
        <v>0</v>
      </c>
    </row>
    <row r="219" customFormat="false" ht="14.1" hidden="false" customHeight="false" outlineLevel="0" collapsed="false">
      <c r="A219" s="0" t="n">
        <v>216</v>
      </c>
      <c r="B219" s="6" t="str">
        <f aca="false">IF(ISERROR(INDEX(Transactions!$H$3:$H$5000,MATCH(A219,Transactions!$N$3:$N$5000,0))),"",INDEX(Transactions!$H$3:$H$5000,MATCH(A219,Transactions!$N$3:$N$5000,0)))</f>
        <v/>
      </c>
      <c r="C219" s="7" t="str">
        <f aca="false">IF(B219="","",Transactions!$M$1+INDEX(Transactions!$K$3:$K$5000,MATCH(A219,Transactions!$N$3:$N$5000,0)))</f>
        <v/>
      </c>
      <c r="D219" s="7" t="str">
        <f aca="false">IF(B219="","",C219-C218)</f>
        <v/>
      </c>
      <c r="E219" s="1" t="n">
        <f aca="false">IF(B219="",0,C219/C218-1)</f>
        <v>0</v>
      </c>
    </row>
    <row r="220" customFormat="false" ht="14.1" hidden="false" customHeight="false" outlineLevel="0" collapsed="false">
      <c r="A220" s="0" t="n">
        <v>217</v>
      </c>
      <c r="B220" s="6" t="str">
        <f aca="false">IF(ISERROR(INDEX(Transactions!$H$3:$H$5000,MATCH(A220,Transactions!$N$3:$N$5000,0))),"",INDEX(Transactions!$H$3:$H$5000,MATCH(A220,Transactions!$N$3:$N$5000,0)))</f>
        <v/>
      </c>
      <c r="C220" s="7" t="str">
        <f aca="false">IF(B220="","",Transactions!$M$1+INDEX(Transactions!$K$3:$K$5000,MATCH(A220,Transactions!$N$3:$N$5000,0)))</f>
        <v/>
      </c>
      <c r="D220" s="7" t="str">
        <f aca="false">IF(B220="","",C220-C219)</f>
        <v/>
      </c>
      <c r="E220" s="1" t="n">
        <f aca="false">IF(B220="",0,C220/C219-1)</f>
        <v>0</v>
      </c>
    </row>
    <row r="221" customFormat="false" ht="14.1" hidden="false" customHeight="false" outlineLevel="0" collapsed="false">
      <c r="A221" s="0" t="n">
        <v>218</v>
      </c>
      <c r="B221" s="6" t="str">
        <f aca="false">IF(ISERROR(INDEX(Transactions!$H$3:$H$5000,MATCH(A221,Transactions!$N$3:$N$5000,0))),"",INDEX(Transactions!$H$3:$H$5000,MATCH(A221,Transactions!$N$3:$N$5000,0)))</f>
        <v/>
      </c>
      <c r="C221" s="7" t="str">
        <f aca="false">IF(B221="","",Transactions!$M$1+INDEX(Transactions!$K$3:$K$5000,MATCH(A221,Transactions!$N$3:$N$5000,0)))</f>
        <v/>
      </c>
      <c r="D221" s="7" t="str">
        <f aca="false">IF(B221="","",C221-C220)</f>
        <v/>
      </c>
      <c r="E221" s="1" t="n">
        <f aca="false">IF(B221="",0,C221/C220-1)</f>
        <v>0</v>
      </c>
    </row>
    <row r="222" customFormat="false" ht="14.1" hidden="false" customHeight="false" outlineLevel="0" collapsed="false">
      <c r="A222" s="0" t="n">
        <v>219</v>
      </c>
      <c r="B222" s="6" t="str">
        <f aca="false">IF(ISERROR(INDEX(Transactions!$H$3:$H$5000,MATCH(A222,Transactions!$N$3:$N$5000,0))),"",INDEX(Transactions!$H$3:$H$5000,MATCH(A222,Transactions!$N$3:$N$5000,0)))</f>
        <v/>
      </c>
      <c r="C222" s="7" t="str">
        <f aca="false">IF(B222="","",Transactions!$M$1+INDEX(Transactions!$K$3:$K$5000,MATCH(A222,Transactions!$N$3:$N$5000,0)))</f>
        <v/>
      </c>
      <c r="D222" s="7" t="str">
        <f aca="false">IF(B222="","",C222-C221)</f>
        <v/>
      </c>
      <c r="E222" s="1" t="n">
        <f aca="false">IF(B222="",0,C222/C221-1)</f>
        <v>0</v>
      </c>
    </row>
    <row r="223" customFormat="false" ht="14.1" hidden="false" customHeight="false" outlineLevel="0" collapsed="false">
      <c r="A223" s="0" t="n">
        <v>220</v>
      </c>
      <c r="B223" s="6" t="str">
        <f aca="false">IF(ISERROR(INDEX(Transactions!$H$3:$H$5000,MATCH(A223,Transactions!$N$3:$N$5000,0))),"",INDEX(Transactions!$H$3:$H$5000,MATCH(A223,Transactions!$N$3:$N$5000,0)))</f>
        <v/>
      </c>
      <c r="C223" s="7" t="str">
        <f aca="false">IF(B223="","",Transactions!$M$1+INDEX(Transactions!$K$3:$K$5000,MATCH(A223,Transactions!$N$3:$N$5000,0)))</f>
        <v/>
      </c>
      <c r="D223" s="7" t="str">
        <f aca="false">IF(B223="","",C223-C222)</f>
        <v/>
      </c>
      <c r="E223" s="1" t="n">
        <f aca="false">IF(B223="",0,C223/C222-1)</f>
        <v>0</v>
      </c>
    </row>
    <row r="224" customFormat="false" ht="14.1" hidden="false" customHeight="false" outlineLevel="0" collapsed="false">
      <c r="A224" s="0" t="n">
        <v>221</v>
      </c>
      <c r="B224" s="6" t="str">
        <f aca="false">IF(ISERROR(INDEX(Transactions!$H$3:$H$5000,MATCH(A224,Transactions!$N$3:$N$5000,0))),"",INDEX(Transactions!$H$3:$H$5000,MATCH(A224,Transactions!$N$3:$N$5000,0)))</f>
        <v/>
      </c>
      <c r="C224" s="7" t="str">
        <f aca="false">IF(B224="","",Transactions!$M$1+INDEX(Transactions!$K$3:$K$5000,MATCH(A224,Transactions!$N$3:$N$5000,0)))</f>
        <v/>
      </c>
      <c r="D224" s="7" t="str">
        <f aca="false">IF(B224="","",C224-C223)</f>
        <v/>
      </c>
      <c r="E224" s="1" t="n">
        <f aca="false">IF(B224="",0,C224/C223-1)</f>
        <v>0</v>
      </c>
    </row>
    <row r="225" customFormat="false" ht="14.1" hidden="false" customHeight="false" outlineLevel="0" collapsed="false">
      <c r="A225" s="0" t="n">
        <v>222</v>
      </c>
      <c r="B225" s="6" t="str">
        <f aca="false">IF(ISERROR(INDEX(Transactions!$H$3:$H$5000,MATCH(A225,Transactions!$N$3:$N$5000,0))),"",INDEX(Transactions!$H$3:$H$5000,MATCH(A225,Transactions!$N$3:$N$5000,0)))</f>
        <v/>
      </c>
      <c r="C225" s="7" t="str">
        <f aca="false">IF(B225="","",Transactions!$M$1+INDEX(Transactions!$K$3:$K$5000,MATCH(A225,Transactions!$N$3:$N$5000,0)))</f>
        <v/>
      </c>
      <c r="D225" s="7" t="str">
        <f aca="false">IF(B225="","",C225-C224)</f>
        <v/>
      </c>
      <c r="E225" s="1" t="n">
        <f aca="false">IF(B225="",0,C225/C224-1)</f>
        <v>0</v>
      </c>
    </row>
    <row r="226" customFormat="false" ht="14.1" hidden="false" customHeight="false" outlineLevel="0" collapsed="false">
      <c r="A226" s="0" t="n">
        <v>223</v>
      </c>
      <c r="B226" s="6" t="str">
        <f aca="false">IF(ISERROR(INDEX(Transactions!$H$3:$H$5000,MATCH(A226,Transactions!$N$3:$N$5000,0))),"",INDEX(Transactions!$H$3:$H$5000,MATCH(A226,Transactions!$N$3:$N$5000,0)))</f>
        <v/>
      </c>
      <c r="C226" s="7" t="str">
        <f aca="false">IF(B226="","",Transactions!$M$1+INDEX(Transactions!$K$3:$K$5000,MATCH(A226,Transactions!$N$3:$N$5000,0)))</f>
        <v/>
      </c>
      <c r="D226" s="7" t="str">
        <f aca="false">IF(B226="","",C226-C225)</f>
        <v/>
      </c>
      <c r="E226" s="1" t="n">
        <f aca="false">IF(B226="",0,C226/C225-1)</f>
        <v>0</v>
      </c>
    </row>
    <row r="227" customFormat="false" ht="14.1" hidden="false" customHeight="false" outlineLevel="0" collapsed="false">
      <c r="A227" s="0" t="n">
        <v>224</v>
      </c>
      <c r="B227" s="6" t="str">
        <f aca="false">IF(ISERROR(INDEX(Transactions!$H$3:$H$5000,MATCH(A227,Transactions!$N$3:$N$5000,0))),"",INDEX(Transactions!$H$3:$H$5000,MATCH(A227,Transactions!$N$3:$N$5000,0)))</f>
        <v/>
      </c>
      <c r="C227" s="7" t="str">
        <f aca="false">IF(B227="","",Transactions!$M$1+INDEX(Transactions!$K$3:$K$5000,MATCH(A227,Transactions!$N$3:$N$5000,0)))</f>
        <v/>
      </c>
      <c r="D227" s="7" t="str">
        <f aca="false">IF(B227="","",C227-C226)</f>
        <v/>
      </c>
      <c r="E227" s="1" t="n">
        <f aca="false">IF(B227="",0,C227/C226-1)</f>
        <v>0</v>
      </c>
    </row>
    <row r="228" customFormat="false" ht="14.1" hidden="false" customHeight="false" outlineLevel="0" collapsed="false">
      <c r="A228" s="0" t="n">
        <v>225</v>
      </c>
      <c r="B228" s="6" t="str">
        <f aca="false">IF(ISERROR(INDEX(Transactions!$H$3:$H$5000,MATCH(A228,Transactions!$N$3:$N$5000,0))),"",INDEX(Transactions!$H$3:$H$5000,MATCH(A228,Transactions!$N$3:$N$5000,0)))</f>
        <v/>
      </c>
      <c r="C228" s="7" t="str">
        <f aca="false">IF(B228="","",Transactions!$M$1+INDEX(Transactions!$K$3:$K$5000,MATCH(A228,Transactions!$N$3:$N$5000,0)))</f>
        <v/>
      </c>
      <c r="D228" s="7" t="str">
        <f aca="false">IF(B228="","",C228-C227)</f>
        <v/>
      </c>
      <c r="E228" s="1" t="n">
        <f aca="false">IF(B228="",0,C228/C227-1)</f>
        <v>0</v>
      </c>
    </row>
    <row r="229" customFormat="false" ht="14.1" hidden="false" customHeight="false" outlineLevel="0" collapsed="false">
      <c r="A229" s="0" t="n">
        <v>226</v>
      </c>
      <c r="B229" s="6" t="str">
        <f aca="false">IF(ISERROR(INDEX(Transactions!$H$3:$H$5000,MATCH(A229,Transactions!$N$3:$N$5000,0))),"",INDEX(Transactions!$H$3:$H$5000,MATCH(A229,Transactions!$N$3:$N$5000,0)))</f>
        <v/>
      </c>
      <c r="C229" s="7" t="str">
        <f aca="false">IF(B229="","",Transactions!$M$1+INDEX(Transactions!$K$3:$K$5000,MATCH(A229,Transactions!$N$3:$N$5000,0)))</f>
        <v/>
      </c>
      <c r="D229" s="7" t="str">
        <f aca="false">IF(B229="","",C229-C228)</f>
        <v/>
      </c>
      <c r="E229" s="1" t="n">
        <f aca="false">IF(B229="",0,C229/C228-1)</f>
        <v>0</v>
      </c>
    </row>
    <row r="230" customFormat="false" ht="14.1" hidden="false" customHeight="false" outlineLevel="0" collapsed="false">
      <c r="A230" s="0" t="n">
        <v>227</v>
      </c>
      <c r="B230" s="6" t="str">
        <f aca="false">IF(ISERROR(INDEX(Transactions!$H$3:$H$5000,MATCH(A230,Transactions!$N$3:$N$5000,0))),"",INDEX(Transactions!$H$3:$H$5000,MATCH(A230,Transactions!$N$3:$N$5000,0)))</f>
        <v/>
      </c>
      <c r="C230" s="7" t="str">
        <f aca="false">IF(B230="","",Transactions!$M$1+INDEX(Transactions!$K$3:$K$5000,MATCH(A230,Transactions!$N$3:$N$5000,0)))</f>
        <v/>
      </c>
      <c r="D230" s="7" t="str">
        <f aca="false">IF(B230="","",C230-C229)</f>
        <v/>
      </c>
      <c r="E230" s="1" t="n">
        <f aca="false">IF(B230="",0,C230/C229-1)</f>
        <v>0</v>
      </c>
    </row>
    <row r="231" customFormat="false" ht="14.1" hidden="false" customHeight="false" outlineLevel="0" collapsed="false">
      <c r="A231" s="0" t="n">
        <v>228</v>
      </c>
      <c r="B231" s="6" t="str">
        <f aca="false">IF(ISERROR(INDEX(Transactions!$H$3:$H$5000,MATCH(A231,Transactions!$N$3:$N$5000,0))),"",INDEX(Transactions!$H$3:$H$5000,MATCH(A231,Transactions!$N$3:$N$5000,0)))</f>
        <v/>
      </c>
      <c r="C231" s="7" t="str">
        <f aca="false">IF(B231="","",Transactions!$M$1+INDEX(Transactions!$K$3:$K$5000,MATCH(A231,Transactions!$N$3:$N$5000,0)))</f>
        <v/>
      </c>
      <c r="D231" s="7" t="str">
        <f aca="false">IF(B231="","",C231-C230)</f>
        <v/>
      </c>
      <c r="E231" s="1" t="n">
        <f aca="false">IF(B231="",0,C231/C230-1)</f>
        <v>0</v>
      </c>
    </row>
    <row r="232" customFormat="false" ht="14.1" hidden="false" customHeight="false" outlineLevel="0" collapsed="false">
      <c r="A232" s="0" t="n">
        <v>229</v>
      </c>
      <c r="B232" s="6" t="str">
        <f aca="false">IF(ISERROR(INDEX(Transactions!$H$3:$H$5000,MATCH(A232,Transactions!$N$3:$N$5000,0))),"",INDEX(Transactions!$H$3:$H$5000,MATCH(A232,Transactions!$N$3:$N$5000,0)))</f>
        <v/>
      </c>
      <c r="C232" s="7" t="str">
        <f aca="false">IF(B232="","",Transactions!$M$1+INDEX(Transactions!$K$3:$K$5000,MATCH(A232,Transactions!$N$3:$N$5000,0)))</f>
        <v/>
      </c>
      <c r="D232" s="7" t="str">
        <f aca="false">IF(B232="","",C232-C231)</f>
        <v/>
      </c>
      <c r="E232" s="1" t="n">
        <f aca="false">IF(B232="",0,C232/C231-1)</f>
        <v>0</v>
      </c>
    </row>
    <row r="233" customFormat="false" ht="14.1" hidden="false" customHeight="false" outlineLevel="0" collapsed="false">
      <c r="A233" s="0" t="n">
        <v>230</v>
      </c>
      <c r="B233" s="6" t="str">
        <f aca="false">IF(ISERROR(INDEX(Transactions!$H$3:$H$5000,MATCH(A233,Transactions!$N$3:$N$5000,0))),"",INDEX(Transactions!$H$3:$H$5000,MATCH(A233,Transactions!$N$3:$N$5000,0)))</f>
        <v/>
      </c>
      <c r="C233" s="7" t="str">
        <f aca="false">IF(B233="","",Transactions!$M$1+INDEX(Transactions!$K$3:$K$5000,MATCH(A233,Transactions!$N$3:$N$5000,0)))</f>
        <v/>
      </c>
      <c r="D233" s="7" t="str">
        <f aca="false">IF(B233="","",C233-C232)</f>
        <v/>
      </c>
      <c r="E233" s="1" t="n">
        <f aca="false">IF(B233="",0,C233/C232-1)</f>
        <v>0</v>
      </c>
    </row>
    <row r="234" customFormat="false" ht="14.1" hidden="false" customHeight="false" outlineLevel="0" collapsed="false">
      <c r="A234" s="0" t="n">
        <v>231</v>
      </c>
      <c r="B234" s="6" t="str">
        <f aca="false">IF(ISERROR(INDEX(Transactions!$H$3:$H$5000,MATCH(A234,Transactions!$N$3:$N$5000,0))),"",INDEX(Transactions!$H$3:$H$5000,MATCH(A234,Transactions!$N$3:$N$5000,0)))</f>
        <v/>
      </c>
      <c r="C234" s="7" t="str">
        <f aca="false">IF(B234="","",Transactions!$M$1+INDEX(Transactions!$K$3:$K$5000,MATCH(A234,Transactions!$N$3:$N$5000,0)))</f>
        <v/>
      </c>
      <c r="D234" s="7" t="str">
        <f aca="false">IF(B234="","",C234-C233)</f>
        <v/>
      </c>
      <c r="E234" s="1" t="n">
        <f aca="false">IF(B234="",0,C234/C233-1)</f>
        <v>0</v>
      </c>
    </row>
    <row r="235" customFormat="false" ht="14.1" hidden="false" customHeight="false" outlineLevel="0" collapsed="false">
      <c r="A235" s="0" t="n">
        <v>232</v>
      </c>
      <c r="B235" s="6" t="str">
        <f aca="false">IF(ISERROR(INDEX(Transactions!$H$3:$H$5000,MATCH(A235,Transactions!$N$3:$N$5000,0))),"",INDEX(Transactions!$H$3:$H$5000,MATCH(A235,Transactions!$N$3:$N$5000,0)))</f>
        <v/>
      </c>
      <c r="C235" s="7" t="str">
        <f aca="false">IF(B235="","",Transactions!$M$1+INDEX(Transactions!$K$3:$K$5000,MATCH(A235,Transactions!$N$3:$N$5000,0)))</f>
        <v/>
      </c>
      <c r="D235" s="7" t="str">
        <f aca="false">IF(B235="","",C235-C234)</f>
        <v/>
      </c>
      <c r="E235" s="1" t="n">
        <f aca="false">IF(B235="",0,C235/C234-1)</f>
        <v>0</v>
      </c>
    </row>
    <row r="236" customFormat="false" ht="14.1" hidden="false" customHeight="false" outlineLevel="0" collapsed="false">
      <c r="A236" s="0" t="n">
        <v>233</v>
      </c>
      <c r="B236" s="6" t="str">
        <f aca="false">IF(ISERROR(INDEX(Transactions!$H$3:$H$5000,MATCH(A236,Transactions!$N$3:$N$5000,0))),"",INDEX(Transactions!$H$3:$H$5000,MATCH(A236,Transactions!$N$3:$N$5000,0)))</f>
        <v/>
      </c>
      <c r="C236" s="7" t="str">
        <f aca="false">IF(B236="","",Transactions!$M$1+INDEX(Transactions!$K$3:$K$5000,MATCH(A236,Transactions!$N$3:$N$5000,0)))</f>
        <v/>
      </c>
      <c r="D236" s="7" t="str">
        <f aca="false">IF(B236="","",C236-C235)</f>
        <v/>
      </c>
      <c r="E236" s="1" t="n">
        <f aca="false">IF(B236="",0,C236/C235-1)</f>
        <v>0</v>
      </c>
    </row>
    <row r="237" customFormat="false" ht="14.1" hidden="false" customHeight="false" outlineLevel="0" collapsed="false">
      <c r="A237" s="0" t="n">
        <v>234</v>
      </c>
      <c r="B237" s="6" t="str">
        <f aca="false">IF(ISERROR(INDEX(Transactions!$H$3:$H$5000,MATCH(A237,Transactions!$N$3:$N$5000,0))),"",INDEX(Transactions!$H$3:$H$5000,MATCH(A237,Transactions!$N$3:$N$5000,0)))</f>
        <v/>
      </c>
      <c r="C237" s="7" t="str">
        <f aca="false">IF(B237="","",Transactions!$M$1+INDEX(Transactions!$K$3:$K$5000,MATCH(A237,Transactions!$N$3:$N$5000,0)))</f>
        <v/>
      </c>
      <c r="D237" s="7" t="str">
        <f aca="false">IF(B237="","",C237-C236)</f>
        <v/>
      </c>
      <c r="E237" s="1" t="n">
        <f aca="false">IF(B237="",0,C237/C236-1)</f>
        <v>0</v>
      </c>
    </row>
    <row r="238" customFormat="false" ht="14.1" hidden="false" customHeight="false" outlineLevel="0" collapsed="false">
      <c r="A238" s="0" t="n">
        <v>235</v>
      </c>
      <c r="B238" s="6" t="str">
        <f aca="false">IF(ISERROR(INDEX(Transactions!$H$3:$H$5000,MATCH(A238,Transactions!$N$3:$N$5000,0))),"",INDEX(Transactions!$H$3:$H$5000,MATCH(A238,Transactions!$N$3:$N$5000,0)))</f>
        <v/>
      </c>
      <c r="C238" s="7" t="str">
        <f aca="false">IF(B238="","",Transactions!$M$1+INDEX(Transactions!$K$3:$K$5000,MATCH(A238,Transactions!$N$3:$N$5000,0)))</f>
        <v/>
      </c>
      <c r="D238" s="7" t="str">
        <f aca="false">IF(B238="","",C238-C237)</f>
        <v/>
      </c>
      <c r="E238" s="1" t="n">
        <f aca="false">IF(B238="",0,C238/C237-1)</f>
        <v>0</v>
      </c>
    </row>
    <row r="239" customFormat="false" ht="14.1" hidden="false" customHeight="false" outlineLevel="0" collapsed="false">
      <c r="A239" s="0" t="n">
        <v>236</v>
      </c>
      <c r="B239" s="6" t="str">
        <f aca="false">IF(ISERROR(INDEX(Transactions!$H$3:$H$5000,MATCH(A239,Transactions!$N$3:$N$5000,0))),"",INDEX(Transactions!$H$3:$H$5000,MATCH(A239,Transactions!$N$3:$N$5000,0)))</f>
        <v/>
      </c>
      <c r="C239" s="7" t="str">
        <f aca="false">IF(B239="","",Transactions!$M$1+INDEX(Transactions!$K$3:$K$5000,MATCH(A239,Transactions!$N$3:$N$5000,0)))</f>
        <v/>
      </c>
      <c r="D239" s="7" t="str">
        <f aca="false">IF(B239="","",C239-C238)</f>
        <v/>
      </c>
      <c r="E239" s="1" t="n">
        <f aca="false">IF(B239="",0,C239/C238-1)</f>
        <v>0</v>
      </c>
    </row>
    <row r="240" customFormat="false" ht="14.1" hidden="false" customHeight="false" outlineLevel="0" collapsed="false">
      <c r="A240" s="0" t="n">
        <v>237</v>
      </c>
      <c r="B240" s="6" t="str">
        <f aca="false">IF(ISERROR(INDEX(Transactions!$H$3:$H$5000,MATCH(A240,Transactions!$N$3:$N$5000,0))),"",INDEX(Transactions!$H$3:$H$5000,MATCH(A240,Transactions!$N$3:$N$5000,0)))</f>
        <v/>
      </c>
      <c r="C240" s="7" t="str">
        <f aca="false">IF(B240="","",Transactions!$M$1+INDEX(Transactions!$K$3:$K$5000,MATCH(A240,Transactions!$N$3:$N$5000,0)))</f>
        <v/>
      </c>
      <c r="D240" s="7" t="str">
        <f aca="false">IF(B240="","",C240-C239)</f>
        <v/>
      </c>
      <c r="E240" s="1" t="n">
        <f aca="false">IF(B240="",0,C240/C239-1)</f>
        <v>0</v>
      </c>
    </row>
    <row r="241" customFormat="false" ht="14.1" hidden="false" customHeight="false" outlineLevel="0" collapsed="false">
      <c r="A241" s="0" t="n">
        <v>238</v>
      </c>
      <c r="B241" s="6" t="str">
        <f aca="false">IF(ISERROR(INDEX(Transactions!$H$3:$H$5000,MATCH(A241,Transactions!$N$3:$N$5000,0))),"",INDEX(Transactions!$H$3:$H$5000,MATCH(A241,Transactions!$N$3:$N$5000,0)))</f>
        <v/>
      </c>
      <c r="C241" s="7" t="str">
        <f aca="false">IF(B241="","",Transactions!$M$1+INDEX(Transactions!$K$3:$K$5000,MATCH(A241,Transactions!$N$3:$N$5000,0)))</f>
        <v/>
      </c>
      <c r="D241" s="7" t="str">
        <f aca="false">IF(B241="","",C241-C240)</f>
        <v/>
      </c>
      <c r="E241" s="1" t="n">
        <f aca="false">IF(B241="",0,C241/C240-1)</f>
        <v>0</v>
      </c>
    </row>
    <row r="242" customFormat="false" ht="14.1" hidden="false" customHeight="false" outlineLevel="0" collapsed="false">
      <c r="A242" s="0" t="n">
        <v>239</v>
      </c>
      <c r="B242" s="6" t="str">
        <f aca="false">IF(ISERROR(INDEX(Transactions!$H$3:$H$5000,MATCH(A242,Transactions!$N$3:$N$5000,0))),"",INDEX(Transactions!$H$3:$H$5000,MATCH(A242,Transactions!$N$3:$N$5000,0)))</f>
        <v/>
      </c>
      <c r="C242" s="7" t="str">
        <f aca="false">IF(B242="","",Transactions!$M$1+INDEX(Transactions!$K$3:$K$5000,MATCH(A242,Transactions!$N$3:$N$5000,0)))</f>
        <v/>
      </c>
      <c r="D242" s="7" t="str">
        <f aca="false">IF(B242="","",C242-C241)</f>
        <v/>
      </c>
      <c r="E242" s="1" t="n">
        <f aca="false">IF(B242="",0,C242/C241-1)</f>
        <v>0</v>
      </c>
    </row>
    <row r="243" customFormat="false" ht="14.1" hidden="false" customHeight="false" outlineLevel="0" collapsed="false">
      <c r="A243" s="0" t="n">
        <v>240</v>
      </c>
      <c r="B243" s="6" t="str">
        <f aca="false">IF(ISERROR(INDEX(Transactions!$H$3:$H$5000,MATCH(A243,Transactions!$N$3:$N$5000,0))),"",INDEX(Transactions!$H$3:$H$5000,MATCH(A243,Transactions!$N$3:$N$5000,0)))</f>
        <v/>
      </c>
      <c r="C243" s="7" t="str">
        <f aca="false">IF(B243="","",Transactions!$M$1+INDEX(Transactions!$K$3:$K$5000,MATCH(A243,Transactions!$N$3:$N$5000,0)))</f>
        <v/>
      </c>
      <c r="D243" s="7" t="str">
        <f aca="false">IF(B243="","",C243-C242)</f>
        <v/>
      </c>
      <c r="E243" s="1" t="n">
        <f aca="false">IF(B243="",0,C243/C242-1)</f>
        <v>0</v>
      </c>
    </row>
    <row r="244" customFormat="false" ht="14.1" hidden="false" customHeight="false" outlineLevel="0" collapsed="false">
      <c r="A244" s="0" t="n">
        <v>241</v>
      </c>
      <c r="B244" s="6" t="str">
        <f aca="false">IF(ISERROR(INDEX(Transactions!$H$3:$H$5000,MATCH(A244,Transactions!$N$3:$N$5000,0))),"",INDEX(Transactions!$H$3:$H$5000,MATCH(A244,Transactions!$N$3:$N$5000,0)))</f>
        <v/>
      </c>
      <c r="C244" s="7" t="str">
        <f aca="false">IF(B244="","",Transactions!$M$1+INDEX(Transactions!$K$3:$K$5000,MATCH(A244,Transactions!$N$3:$N$5000,0)))</f>
        <v/>
      </c>
      <c r="D244" s="7" t="str">
        <f aca="false">IF(B244="","",C244-C243)</f>
        <v/>
      </c>
      <c r="E244" s="1" t="n">
        <f aca="false">IF(B244="",0,C244/C243-1)</f>
        <v>0</v>
      </c>
    </row>
    <row r="245" customFormat="false" ht="14.1" hidden="false" customHeight="false" outlineLevel="0" collapsed="false">
      <c r="A245" s="0" t="n">
        <v>242</v>
      </c>
      <c r="B245" s="6" t="str">
        <f aca="false">IF(ISERROR(INDEX(Transactions!$H$3:$H$5000,MATCH(A245,Transactions!$N$3:$N$5000,0))),"",INDEX(Transactions!$H$3:$H$5000,MATCH(A245,Transactions!$N$3:$N$5000,0)))</f>
        <v/>
      </c>
      <c r="C245" s="7" t="str">
        <f aca="false">IF(B245="","",Transactions!$M$1+INDEX(Transactions!$K$3:$K$5000,MATCH(A245,Transactions!$N$3:$N$5000,0)))</f>
        <v/>
      </c>
      <c r="D245" s="7" t="str">
        <f aca="false">IF(B245="","",C245-C244)</f>
        <v/>
      </c>
      <c r="E245" s="1" t="n">
        <f aca="false">IF(B245="",0,C245/C244-1)</f>
        <v>0</v>
      </c>
    </row>
    <row r="246" customFormat="false" ht="14.1" hidden="false" customHeight="false" outlineLevel="0" collapsed="false">
      <c r="A246" s="0" t="n">
        <v>243</v>
      </c>
      <c r="B246" s="6" t="str">
        <f aca="false">IF(ISERROR(INDEX(Transactions!$H$3:$H$5000,MATCH(A246,Transactions!$N$3:$N$5000,0))),"",INDEX(Transactions!$H$3:$H$5000,MATCH(A246,Transactions!$N$3:$N$5000,0)))</f>
        <v/>
      </c>
      <c r="C246" s="7" t="str">
        <f aca="false">IF(B246="","",Transactions!$M$1+INDEX(Transactions!$K$3:$K$5000,MATCH(A246,Transactions!$N$3:$N$5000,0)))</f>
        <v/>
      </c>
      <c r="D246" s="7" t="str">
        <f aca="false">IF(B246="","",C246-C245)</f>
        <v/>
      </c>
      <c r="E246" s="1" t="n">
        <f aca="false">IF(B246="",0,C246/C245-1)</f>
        <v>0</v>
      </c>
    </row>
    <row r="247" customFormat="false" ht="14.1" hidden="false" customHeight="false" outlineLevel="0" collapsed="false">
      <c r="A247" s="0" t="n">
        <v>244</v>
      </c>
      <c r="B247" s="6" t="str">
        <f aca="false">IF(ISERROR(INDEX(Transactions!$H$3:$H$5000,MATCH(A247,Transactions!$N$3:$N$5000,0))),"",INDEX(Transactions!$H$3:$H$5000,MATCH(A247,Transactions!$N$3:$N$5000,0)))</f>
        <v/>
      </c>
      <c r="C247" s="7" t="str">
        <f aca="false">IF(B247="","",Transactions!$M$1+INDEX(Transactions!$K$3:$K$5000,MATCH(A247,Transactions!$N$3:$N$5000,0)))</f>
        <v/>
      </c>
      <c r="D247" s="7" t="str">
        <f aca="false">IF(B247="","",C247-C246)</f>
        <v/>
      </c>
      <c r="E247" s="1" t="n">
        <f aca="false">IF(B247="",0,C247/C246-1)</f>
        <v>0</v>
      </c>
    </row>
    <row r="248" customFormat="false" ht="14.1" hidden="false" customHeight="false" outlineLevel="0" collapsed="false">
      <c r="A248" s="0" t="n">
        <v>245</v>
      </c>
      <c r="B248" s="6" t="str">
        <f aca="false">IF(ISERROR(INDEX(Transactions!$H$3:$H$5000,MATCH(A248,Transactions!$N$3:$N$5000,0))),"",INDEX(Transactions!$H$3:$H$5000,MATCH(A248,Transactions!$N$3:$N$5000,0)))</f>
        <v/>
      </c>
      <c r="C248" s="7" t="str">
        <f aca="false">IF(B248="","",Transactions!$M$1+INDEX(Transactions!$K$3:$K$5000,MATCH(A248,Transactions!$N$3:$N$5000,0)))</f>
        <v/>
      </c>
      <c r="D248" s="7" t="str">
        <f aca="false">IF(B248="","",C248-C247)</f>
        <v/>
      </c>
      <c r="E248" s="1" t="n">
        <f aca="false">IF(B248="",0,C248/C247-1)</f>
        <v>0</v>
      </c>
    </row>
    <row r="249" customFormat="false" ht="14.1" hidden="false" customHeight="false" outlineLevel="0" collapsed="false">
      <c r="A249" s="0" t="n">
        <v>246</v>
      </c>
      <c r="B249" s="6" t="str">
        <f aca="false">IF(ISERROR(INDEX(Transactions!$H$3:$H$5000,MATCH(A249,Transactions!$N$3:$N$5000,0))),"",INDEX(Transactions!$H$3:$H$5000,MATCH(A249,Transactions!$N$3:$N$5000,0)))</f>
        <v/>
      </c>
      <c r="C249" s="7" t="str">
        <f aca="false">IF(B249="","",Transactions!$M$1+INDEX(Transactions!$K$3:$K$5000,MATCH(A249,Transactions!$N$3:$N$5000,0)))</f>
        <v/>
      </c>
      <c r="D249" s="7" t="str">
        <f aca="false">IF(B249="","",C249-C248)</f>
        <v/>
      </c>
      <c r="E249" s="1" t="n">
        <f aca="false">IF(B249="",0,C249/C248-1)</f>
        <v>0</v>
      </c>
    </row>
    <row r="250" customFormat="false" ht="14.1" hidden="false" customHeight="false" outlineLevel="0" collapsed="false">
      <c r="A250" s="0" t="n">
        <v>247</v>
      </c>
      <c r="B250" s="6" t="str">
        <f aca="false">IF(ISERROR(INDEX(Transactions!$H$3:$H$5000,MATCH(A250,Transactions!$N$3:$N$5000,0))),"",INDEX(Transactions!$H$3:$H$5000,MATCH(A250,Transactions!$N$3:$N$5000,0)))</f>
        <v/>
      </c>
      <c r="C250" s="7" t="str">
        <f aca="false">IF(B250="","",Transactions!$M$1+INDEX(Transactions!$K$3:$K$5000,MATCH(A250,Transactions!$N$3:$N$5000,0)))</f>
        <v/>
      </c>
      <c r="D250" s="7" t="str">
        <f aca="false">IF(B250="","",C250-C249)</f>
        <v/>
      </c>
      <c r="E250" s="1" t="n">
        <f aca="false">IF(B250="",0,C250/C249-1)</f>
        <v>0</v>
      </c>
    </row>
    <row r="251" customFormat="false" ht="14.1" hidden="false" customHeight="false" outlineLevel="0" collapsed="false">
      <c r="A251" s="0" t="n">
        <v>248</v>
      </c>
      <c r="B251" s="6" t="str">
        <f aca="false">IF(ISERROR(INDEX(Transactions!$H$3:$H$5000,MATCH(A251,Transactions!$N$3:$N$5000,0))),"",INDEX(Transactions!$H$3:$H$5000,MATCH(A251,Transactions!$N$3:$N$5000,0)))</f>
        <v/>
      </c>
      <c r="C251" s="7" t="str">
        <f aca="false">IF(B251="","",Transactions!$M$1+INDEX(Transactions!$K$3:$K$5000,MATCH(A251,Transactions!$N$3:$N$5000,0)))</f>
        <v/>
      </c>
      <c r="D251" s="7" t="str">
        <f aca="false">IF(B251="","",C251-C250)</f>
        <v/>
      </c>
      <c r="E251" s="1" t="n">
        <f aca="false">IF(B251="",0,C251/C250-1)</f>
        <v>0</v>
      </c>
    </row>
    <row r="252" customFormat="false" ht="14.1" hidden="false" customHeight="false" outlineLevel="0" collapsed="false">
      <c r="A252" s="0" t="n">
        <v>249</v>
      </c>
      <c r="B252" s="6" t="str">
        <f aca="false">IF(ISERROR(INDEX(Transactions!$H$3:$H$5000,MATCH(A252,Transactions!$N$3:$N$5000,0))),"",INDEX(Transactions!$H$3:$H$5000,MATCH(A252,Transactions!$N$3:$N$5000,0)))</f>
        <v/>
      </c>
      <c r="C252" s="7" t="str">
        <f aca="false">IF(B252="","",Transactions!$M$1+INDEX(Transactions!$K$3:$K$5000,MATCH(A252,Transactions!$N$3:$N$5000,0)))</f>
        <v/>
      </c>
      <c r="D252" s="7" t="str">
        <f aca="false">IF(B252="","",C252-C251)</f>
        <v/>
      </c>
      <c r="E252" s="1" t="n">
        <f aca="false">IF(B252="",0,C252/C251-1)</f>
        <v>0</v>
      </c>
    </row>
    <row r="253" customFormat="false" ht="14.1" hidden="false" customHeight="false" outlineLevel="0" collapsed="false">
      <c r="A253" s="0" t="n">
        <v>250</v>
      </c>
      <c r="B253" s="6" t="str">
        <f aca="false">IF(ISERROR(INDEX(Transactions!$H$3:$H$5000,MATCH(A253,Transactions!$N$3:$N$5000,0))),"",INDEX(Transactions!$H$3:$H$5000,MATCH(A253,Transactions!$N$3:$N$5000,0)))</f>
        <v/>
      </c>
      <c r="C253" s="7" t="str">
        <f aca="false">IF(B253="","",Transactions!$M$1+INDEX(Transactions!$K$3:$K$5000,MATCH(A253,Transactions!$N$3:$N$5000,0)))</f>
        <v/>
      </c>
      <c r="D253" s="7" t="str">
        <f aca="false">IF(B253="","",C253-C252)</f>
        <v/>
      </c>
      <c r="E253" s="1" t="n">
        <f aca="false">IF(B253="",0,C253/C252-1)</f>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W47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7" min="1" style="0" width="11.5204081632653"/>
    <col collapsed="false" hidden="false" max="8" min="8" style="8" width="11.5204081632653"/>
    <col collapsed="false" hidden="false" max="10" min="9" style="9" width="11.5204081632653"/>
    <col collapsed="false" hidden="false" max="1025" min="11" style="0" width="11.5204081632653"/>
  </cols>
  <sheetData>
    <row r="1" customFormat="false" ht="12.8" hidden="false" customHeight="false" outlineLevel="0" collapsed="false">
      <c r="M1" s="0" t="n">
        <f aca="false">ROUND(MAX(ABS(MAX($J$3:$J$5000)),ABS(MIN($J$3:$J$5000)))*1.1/5000,0)*5000</f>
        <v>60000</v>
      </c>
      <c r="O1" s="0" t="s">
        <v>5</v>
      </c>
      <c r="T1" s="0" t="s">
        <v>6</v>
      </c>
    </row>
    <row r="2" customFormat="false" ht="12.8" hidden="false" customHeight="false" outlineLevel="0" collapsed="false">
      <c r="A2" s="0" t="s">
        <v>7</v>
      </c>
      <c r="B2" s="0" t="s">
        <v>8</v>
      </c>
      <c r="C2" s="0" t="s">
        <v>6</v>
      </c>
      <c r="H2" s="8" t="s">
        <v>9</v>
      </c>
      <c r="I2" s="9" t="s">
        <v>10</v>
      </c>
      <c r="J2" s="9" t="s">
        <v>11</v>
      </c>
      <c r="K2" s="0" t="s">
        <v>2</v>
      </c>
      <c r="N2" s="0" t="s">
        <v>12</v>
      </c>
      <c r="O2" s="0" t="n">
        <v>8370</v>
      </c>
      <c r="P2" s="0" t="n">
        <v>980</v>
      </c>
      <c r="Q2" s="0" t="n">
        <v>679</v>
      </c>
      <c r="R2" s="0" t="n">
        <v>27969</v>
      </c>
      <c r="T2" s="0" t="n">
        <v>8370</v>
      </c>
      <c r="U2" s="0" t="n">
        <v>980</v>
      </c>
      <c r="V2" s="0" t="n">
        <v>679</v>
      </c>
      <c r="W2" s="0" t="n">
        <v>27969</v>
      </c>
    </row>
    <row r="3" customFormat="false" ht="12.8" hidden="false" customHeight="false" outlineLevel="0" collapsed="false">
      <c r="A3" s="0" t="n">
        <v>8370</v>
      </c>
      <c r="B3" s="0" t="n">
        <v>0</v>
      </c>
      <c r="C3" s="0" t="n">
        <v>44.985</v>
      </c>
      <c r="D3" s="0" t="s">
        <v>13</v>
      </c>
      <c r="H3" s="8" t="n">
        <f aca="false">IF(ISBLANK(D3),,LEFT(D3,LEN(D3)-6)*1)</f>
        <v>38720.6041435185</v>
      </c>
      <c r="I3" s="9" t="n">
        <f aca="false">IF(ISBLANK(A3),"",-B3*C3)</f>
        <v>0</v>
      </c>
      <c r="J3" s="9" t="n">
        <f aca="false">IF(ISBLANK(A3),"",-SUM(I$3:I3))</f>
        <v>0</v>
      </c>
      <c r="K3" s="0" t="n">
        <f aca="false">IF(ISBLANK(A3),"",SUMPRODUCT(O3:R3,T3:W3)-J3)</f>
        <v>0</v>
      </c>
      <c r="L3" s="0" t="n">
        <f aca="false">IF(ISBLANK(A3),"",K3/$M$1)</f>
        <v>0</v>
      </c>
      <c r="M3" s="0" t="n">
        <f aca="false">IF(ISBLANK(A3),"",K3/($M$1+SUM(K2:K$3)))</f>
        <v>0</v>
      </c>
      <c r="N3" s="0" t="n">
        <f aca="false">IF(ISBLANK(A3),"",IF(H4=0,NETWORKDAYS($H$3,H3,holiday!$B$2:$B$10),IF(DAY(H3)&lt;DAY(H4),NETWORKDAYS($H$3,H3,holiday!$B$2:$B$10),0)))</f>
        <v>0</v>
      </c>
      <c r="O3" s="0" t="n">
        <f aca="false">IF(ISBLANK(A3),"",SUMIF($A$3:$A3,O$2,$B$3:$B3))</f>
        <v>0</v>
      </c>
      <c r="P3" s="0" t="n">
        <f aca="false">IF(ISBLANK(A3),"",SUMIF($A$3:$A3,P$2,$B$3:$B3))</f>
        <v>0</v>
      </c>
      <c r="Q3" s="0" t="n">
        <f aca="false">IF(ISBLANK(A3),"",SUMIF($A$3:$A3,Q$2,$B$3:$B3))</f>
        <v>0</v>
      </c>
      <c r="R3" s="0" t="n">
        <f aca="false">IF(ISBLANK(A3),"",SUMIF($A$3:$A3,R$2,$B$3:$B3))</f>
        <v>0</v>
      </c>
      <c r="T3" s="0" t="n">
        <f aca="false">IF($A3=T$2,$C3,0)</f>
        <v>44.985</v>
      </c>
      <c r="U3" s="0" t="n">
        <f aca="false">IF($A3=U$2,$C3,0)</f>
        <v>0</v>
      </c>
      <c r="V3" s="0" t="n">
        <f aca="false">IF($A3=V$2,$C3,0)</f>
        <v>0</v>
      </c>
      <c r="W3" s="0" t="n">
        <f aca="false">IF($A3=W$2,$C3,0)</f>
        <v>0</v>
      </c>
    </row>
    <row r="4" customFormat="false" ht="12.8" hidden="false" customHeight="false" outlineLevel="0" collapsed="false">
      <c r="A4" s="0" t="n">
        <v>8370</v>
      </c>
      <c r="B4" s="0" t="n">
        <v>-100</v>
      </c>
      <c r="C4" s="0" t="n">
        <v>45.02</v>
      </c>
      <c r="D4" s="0" t="s">
        <v>14</v>
      </c>
      <c r="H4" s="8" t="n">
        <f aca="false">IF(ISBLANK(D4),,LEFT(D4,LEN(D4)-6)*1)</f>
        <v>38720.6075925926</v>
      </c>
      <c r="I4" s="9" t="n">
        <f aca="false">IF(ISBLANK(A4),"",-B4*C4)</f>
        <v>4502</v>
      </c>
      <c r="J4" s="9" t="n">
        <f aca="false">IF(ISBLANK(A4),"",-SUM(I$3:I4))</f>
        <v>-4502</v>
      </c>
      <c r="K4" s="0" t="n">
        <f aca="false">IF(ISBLANK(A4),"",SUMPRODUCT(O4:R4,T4:W4)-J4)</f>
        <v>0</v>
      </c>
      <c r="L4" s="0" t="n">
        <f aca="false">IF(ISBLANK(A4),"",K4/$M$1)</f>
        <v>0</v>
      </c>
      <c r="M4" s="0" t="n">
        <f aca="false">IF(ISBLANK(A4),"",K4/($M$1+SUM(K$3:K3)))</f>
        <v>0</v>
      </c>
      <c r="N4" s="0" t="n">
        <f aca="false">IF(ISBLANK(A4),"",IF(H5=0,NETWORKDAYS($H$3,H4,holiday!$B$2:$B$10),IF(DAY(H4)&lt;DAY(H5),NETWORKDAYS($H$3,H4,holiday!$B$2:$B$10),0)))</f>
        <v>0</v>
      </c>
      <c r="O4" s="0" t="n">
        <f aca="false">IF(ISBLANK(A4),"",SUMIF($A$3:$A4,O$2,$B$3:$B4))</f>
        <v>-100</v>
      </c>
      <c r="P4" s="0" t="n">
        <f aca="false">IF(ISBLANK(A4),"",SUMIF($A$3:$A4,P$2,$B$3:$B4))</f>
        <v>0</v>
      </c>
      <c r="Q4" s="0" t="n">
        <f aca="false">IF(ISBLANK(A4),"",SUMIF($A$3:$A4,Q$2,$B$3:$B4))</f>
        <v>0</v>
      </c>
      <c r="R4" s="0" t="n">
        <f aca="false">IF(ISBLANK(A4),"",SUMIF($A$3:$A4,R$2,$B$3:$B4))</f>
        <v>0</v>
      </c>
      <c r="T4" s="0" t="n">
        <f aca="false">IF(ISBLANK(A4),"",IF($A4=T$2,$C4,T3))</f>
        <v>45.02</v>
      </c>
      <c r="U4" s="0" t="n">
        <f aca="false">IF(ISBLANK(A4),"",IF($A4=U$2,$C4,U3))</f>
        <v>0</v>
      </c>
      <c r="V4" s="0" t="n">
        <f aca="false">IF(ISBLANK(A4),"",IF($A4=V$2,$C4,V3))</f>
        <v>0</v>
      </c>
      <c r="W4" s="0" t="n">
        <f aca="false">IF(ISBLANK(A4),"",IF($A4=W$2,$C4,W3))</f>
        <v>0</v>
      </c>
    </row>
    <row r="5" customFormat="false" ht="12.8" hidden="false" customHeight="false" outlineLevel="0" collapsed="false">
      <c r="A5" s="0" t="n">
        <v>980</v>
      </c>
      <c r="B5" s="0" t="n">
        <v>-100</v>
      </c>
      <c r="C5" s="0" t="n">
        <v>23.0954545454545</v>
      </c>
      <c r="D5" s="0" t="s">
        <v>15</v>
      </c>
      <c r="H5" s="8" t="n">
        <f aca="false">IF(ISBLANK(D5),,LEFT(D5,LEN(D5)-6)*1)</f>
        <v>38720.6082060185</v>
      </c>
      <c r="I5" s="9" t="n">
        <f aca="false">IF(ISBLANK(A5),"",-B5*C5)</f>
        <v>2309.54545454545</v>
      </c>
      <c r="J5" s="9" t="n">
        <f aca="false">IF(ISBLANK(A5),"",-SUM(I$3:I5))</f>
        <v>-6811.54545454545</v>
      </c>
      <c r="K5" s="0" t="n">
        <f aca="false">IF(ISBLANK(A5),"",SUMPRODUCT(O5:R5,T5:W5)-J5)</f>
        <v>0</v>
      </c>
      <c r="L5" s="0" t="n">
        <f aca="false">IF(ISBLANK(A5),"",K5/$M$1)</f>
        <v>0</v>
      </c>
      <c r="M5" s="0" t="n">
        <f aca="false">IF(ISBLANK(A5),"",K5/($M$1+SUM(K$3:K4)))</f>
        <v>0</v>
      </c>
      <c r="N5" s="0" t="n">
        <f aca="false">IF(ISBLANK(A5),"",IF(H6=0,NETWORKDAYS($H$3,H5,holiday!$B$2:$B$10),IF(DAY(H5)&lt;DAY(H6),NETWORKDAYS($H$3,H5,holiday!$B$2:$B$10),0)))</f>
        <v>0</v>
      </c>
      <c r="O5" s="0" t="n">
        <f aca="false">IF(ISBLANK(A5),"",SUMIF($A$3:$A5,O$2,$B$3:$B5))</f>
        <v>-100</v>
      </c>
      <c r="P5" s="0" t="n">
        <f aca="false">IF(ISBLANK(A5),"",SUMIF($A$3:$A5,P$2,$B$3:$B5))</f>
        <v>-100</v>
      </c>
      <c r="Q5" s="0" t="n">
        <f aca="false">IF(ISBLANK(A5),"",SUMIF($A$3:$A5,Q$2,$B$3:$B5))</f>
        <v>0</v>
      </c>
      <c r="R5" s="0" t="n">
        <f aca="false">IF(ISBLANK(A5),"",SUMIF($A$3:$A5,R$2,$B$3:$B5))</f>
        <v>0</v>
      </c>
      <c r="T5" s="0" t="n">
        <f aca="false">IF(ISBLANK(A5),"",IF($A5=T$2,$C5,T4))</f>
        <v>45.02</v>
      </c>
      <c r="U5" s="0" t="n">
        <f aca="false">IF(ISBLANK(A5),"",IF($A5=U$2,$C5,U4))</f>
        <v>23.0954545454545</v>
      </c>
      <c r="V5" s="0" t="n">
        <f aca="false">IF(ISBLANK(A5),"",IF($A5=V$2,$C5,V4))</f>
        <v>0</v>
      </c>
      <c r="W5" s="0" t="n">
        <f aca="false">IF(ISBLANK(A5),"",IF($A5=W$2,$C5,W4))</f>
        <v>0</v>
      </c>
    </row>
    <row r="6" customFormat="false" ht="12.8" hidden="false" customHeight="false" outlineLevel="0" collapsed="false">
      <c r="A6" s="0" t="n">
        <v>8370</v>
      </c>
      <c r="B6" s="0" t="n">
        <v>-100</v>
      </c>
      <c r="C6" s="0" t="n">
        <v>45.114</v>
      </c>
      <c r="D6" s="0" t="s">
        <v>16</v>
      </c>
      <c r="H6" s="8" t="n">
        <f aca="false">IF(ISBLANK(D6),,LEFT(D6,LEN(D6)-6)*1)</f>
        <v>38720.6086458333</v>
      </c>
      <c r="I6" s="9" t="n">
        <f aca="false">IF(ISBLANK(A6),"",-B6*C6)</f>
        <v>4511.4</v>
      </c>
      <c r="J6" s="9" t="n">
        <f aca="false">IF(ISBLANK(A6),"",-SUM(I$3:I6))</f>
        <v>-11322.9454545455</v>
      </c>
      <c r="K6" s="0" t="n">
        <f aca="false">IF(ISBLANK(A6),"",SUMPRODUCT(O6:R6,T6:W6)-J6)</f>
        <v>-9.39999999999964</v>
      </c>
      <c r="L6" s="0" t="n">
        <f aca="false">IF(ISBLANK(A6),"",K6/$M$1)</f>
        <v>-0.000156666666666661</v>
      </c>
      <c r="M6" s="0" t="n">
        <f aca="false">IF(ISBLANK(A6),"",K6/($M$1+SUM(K$3:K5)))</f>
        <v>-0.000156666666666661</v>
      </c>
      <c r="N6" s="0" t="n">
        <f aca="false">IF(ISBLANK(A6),"",IF(H7=0,NETWORKDAYS($H$3,H6,holiday!$B$2:$B$10),IF(DAY(H6)&lt;DAY(H7),NETWORKDAYS($H$3,H6,holiday!$B$2:$B$10),0)))</f>
        <v>0</v>
      </c>
      <c r="O6" s="0" t="n">
        <f aca="false">IF(ISBLANK(A6),"",SUMIF($A$3:$A6,O$2,$B$3:$B6))</f>
        <v>-200</v>
      </c>
      <c r="P6" s="0" t="n">
        <f aca="false">IF(ISBLANK(A6),"",SUMIF($A$3:$A6,P$2,$B$3:$B6))</f>
        <v>-100</v>
      </c>
      <c r="Q6" s="0" t="n">
        <f aca="false">IF(ISBLANK(A6),"",SUMIF($A$3:$A6,Q$2,$B$3:$B6))</f>
        <v>0</v>
      </c>
      <c r="R6" s="0" t="n">
        <f aca="false">IF(ISBLANK(A6),"",SUMIF($A$3:$A6,R$2,$B$3:$B6))</f>
        <v>0</v>
      </c>
      <c r="T6" s="0" t="n">
        <f aca="false">IF(ISBLANK(A6),"",IF($A6=T$2,$C6,T5))</f>
        <v>45.114</v>
      </c>
      <c r="U6" s="0" t="n">
        <f aca="false">IF(ISBLANK(A6),"",IF($A6=U$2,$C6,U5))</f>
        <v>23.0954545454545</v>
      </c>
      <c r="V6" s="0" t="n">
        <f aca="false">IF(ISBLANK(A6),"",IF($A6=V$2,$C6,V5))</f>
        <v>0</v>
      </c>
      <c r="W6" s="0" t="n">
        <f aca="false">IF(ISBLANK(A6),"",IF($A6=W$2,$C6,W5))</f>
        <v>0</v>
      </c>
    </row>
    <row r="7" customFormat="false" ht="12.8" hidden="false" customHeight="false" outlineLevel="0" collapsed="false">
      <c r="A7" s="0" t="n">
        <v>8370</v>
      </c>
      <c r="B7" s="0" t="n">
        <v>100</v>
      </c>
      <c r="C7" s="0" t="n">
        <v>44.82</v>
      </c>
      <c r="D7" s="0" t="s">
        <v>17</v>
      </c>
      <c r="H7" s="8" t="n">
        <f aca="false">IF(ISBLANK(D7),,LEFT(D7,LEN(D7)-6)*1)</f>
        <v>38720.6086574074</v>
      </c>
      <c r="I7" s="9" t="n">
        <f aca="false">IF(ISBLANK(A7),"",-B7*C7)</f>
        <v>-4482</v>
      </c>
      <c r="J7" s="9" t="n">
        <f aca="false">IF(ISBLANK(A7),"",-SUM(I$3:I7))</f>
        <v>-6840.94545454545</v>
      </c>
      <c r="K7" s="0" t="n">
        <f aca="false">IF(ISBLANK(A7),"",SUMPRODUCT(O7:R7,T7:W7)-J7)</f>
        <v>49.3999999999996</v>
      </c>
      <c r="L7" s="0" t="n">
        <f aca="false">IF(ISBLANK(A7),"",K7/$M$1)</f>
        <v>0.000823333333333327</v>
      </c>
      <c r="M7" s="0" t="n">
        <f aca="false">IF(ISBLANK(A7),"",K7/($M$1+SUM(K$3:K6)))</f>
        <v>0.000823462342433642</v>
      </c>
      <c r="N7" s="0" t="n">
        <f aca="false">IF(ISBLANK(A7),"",IF(H8=0,NETWORKDAYS($H$3,H7,holiday!$B$2:$B$10),IF(DAY(H7)&lt;DAY(H8),NETWORKDAYS($H$3,H7,holiday!$B$2:$B$10),0)))</f>
        <v>0</v>
      </c>
      <c r="O7" s="0" t="n">
        <f aca="false">IF(ISBLANK(A7),"",SUMIF($A$3:$A7,O$2,$B$3:$B7))</f>
        <v>-100</v>
      </c>
      <c r="P7" s="0" t="n">
        <f aca="false">IF(ISBLANK(A7),"",SUMIF($A$3:$A7,P$2,$B$3:$B7))</f>
        <v>-100</v>
      </c>
      <c r="Q7" s="0" t="n">
        <f aca="false">IF(ISBLANK(A7),"",SUMIF($A$3:$A7,Q$2,$B$3:$B7))</f>
        <v>0</v>
      </c>
      <c r="R7" s="0" t="n">
        <f aca="false">IF(ISBLANK(A7),"",SUMIF($A$3:$A7,R$2,$B$3:$B7))</f>
        <v>0</v>
      </c>
      <c r="T7" s="0" t="n">
        <f aca="false">IF(ISBLANK(A7),"",IF($A7=T$2,$C7,T6))</f>
        <v>44.82</v>
      </c>
      <c r="U7" s="0" t="n">
        <f aca="false">IF(ISBLANK(A7),"",IF($A7=U$2,$C7,U6))</f>
        <v>23.0954545454545</v>
      </c>
      <c r="V7" s="0" t="n">
        <f aca="false">IF(ISBLANK(A7),"",IF($A7=V$2,$C7,V6))</f>
        <v>0</v>
      </c>
      <c r="W7" s="0" t="n">
        <f aca="false">IF(ISBLANK(A7),"",IF($A7=W$2,$C7,W6))</f>
        <v>0</v>
      </c>
    </row>
    <row r="8" customFormat="false" ht="12.8" hidden="false" customHeight="false" outlineLevel="0" collapsed="false">
      <c r="A8" s="0" t="n">
        <v>679</v>
      </c>
      <c r="B8" s="0" t="n">
        <v>100</v>
      </c>
      <c r="C8" s="0" t="n">
        <v>51.48</v>
      </c>
      <c r="D8" s="0" t="s">
        <v>18</v>
      </c>
      <c r="H8" s="8" t="n">
        <f aca="false">IF(ISBLANK(D8),,LEFT(D8,LEN(D8)-6)*1)</f>
        <v>38720.609375</v>
      </c>
      <c r="I8" s="9" t="n">
        <f aca="false">IF(ISBLANK(A8),"",-B8*C8)</f>
        <v>-5148</v>
      </c>
      <c r="J8" s="9" t="n">
        <f aca="false">IF(ISBLANK(A8),"",-SUM(I$3:I8))</f>
        <v>-1692.94545454545</v>
      </c>
      <c r="K8" s="0" t="n">
        <f aca="false">IF(ISBLANK(A8),"",SUMPRODUCT(O8:R8,T8:W8)-J8)</f>
        <v>49.3999999999996</v>
      </c>
      <c r="L8" s="0" t="n">
        <f aca="false">IF(ISBLANK(A8),"",K8/$M$1)</f>
        <v>0.000823333333333327</v>
      </c>
      <c r="M8" s="0" t="n">
        <f aca="false">IF(ISBLANK(A8),"",K8/($M$1+SUM(K$3:K7)))</f>
        <v>0.000822784810126576</v>
      </c>
      <c r="N8" s="0" t="n">
        <f aca="false">IF(ISBLANK(A8),"",IF(H9=0,NETWORKDAYS($H$3,H8,holiday!$B$2:$B$10),IF(DAY(H8)&lt;DAY(H9),NETWORKDAYS($H$3,H8,holiday!$B$2:$B$10),0)))</f>
        <v>0</v>
      </c>
      <c r="O8" s="0" t="n">
        <f aca="false">IF(ISBLANK(A8),"",SUMIF($A$3:$A8,O$2,$B$3:$B8))</f>
        <v>-100</v>
      </c>
      <c r="P8" s="0" t="n">
        <f aca="false">IF(ISBLANK(A8),"",SUMIF($A$3:$A8,P$2,$B$3:$B8))</f>
        <v>-100</v>
      </c>
      <c r="Q8" s="0" t="n">
        <f aca="false">IF(ISBLANK(A8),"",SUMIF($A$3:$A8,Q$2,$B$3:$B8))</f>
        <v>100</v>
      </c>
      <c r="R8" s="0" t="n">
        <f aca="false">IF(ISBLANK(A8),"",SUMIF($A$3:$A8,R$2,$B$3:$B8))</f>
        <v>0</v>
      </c>
      <c r="T8" s="0" t="n">
        <f aca="false">IF(ISBLANK(A8),"",IF($A8=T$2,$C8,T7))</f>
        <v>44.82</v>
      </c>
      <c r="U8" s="0" t="n">
        <f aca="false">IF(ISBLANK(A8),"",IF($A8=U$2,$C8,U7))</f>
        <v>23.0954545454545</v>
      </c>
      <c r="V8" s="0" t="n">
        <f aca="false">IF(ISBLANK(A8),"",IF($A8=V$2,$C8,V7))</f>
        <v>51.48</v>
      </c>
      <c r="W8" s="0" t="n">
        <f aca="false">IF(ISBLANK(A8),"",IF($A8=W$2,$C8,W7))</f>
        <v>0</v>
      </c>
    </row>
    <row r="9" customFormat="false" ht="12.8" hidden="false" customHeight="false" outlineLevel="0" collapsed="false">
      <c r="A9" s="0" t="n">
        <v>980</v>
      </c>
      <c r="B9" s="0" t="n">
        <v>-100</v>
      </c>
      <c r="C9" s="0" t="n">
        <v>23.08</v>
      </c>
      <c r="D9" s="0" t="s">
        <v>19</v>
      </c>
      <c r="H9" s="8" t="n">
        <f aca="false">IF(ISBLANK(D9),,LEFT(D9,LEN(D9)-6)*1)</f>
        <v>38720.6099884259</v>
      </c>
      <c r="I9" s="9" t="n">
        <f aca="false">IF(ISBLANK(A9),"",-B9*C9)</f>
        <v>2308</v>
      </c>
      <c r="J9" s="9" t="n">
        <f aca="false">IF(ISBLANK(A9),"",-SUM(I$3:I9))</f>
        <v>-4000.94545454545</v>
      </c>
      <c r="K9" s="0" t="n">
        <f aca="false">IF(ISBLANK(A9),"",SUMPRODUCT(O9:R9,T9:W9)-J9)</f>
        <v>50.94545454545</v>
      </c>
      <c r="L9" s="0" t="n">
        <f aca="false">IF(ISBLANK(A9),"",K9/$M$1)</f>
        <v>0.000849090909090834</v>
      </c>
      <c r="M9" s="0" t="n">
        <f aca="false">IF(ISBLANK(A9),"",K9/($M$1+SUM(K$3:K8)))</f>
        <v>0.000847827645898445</v>
      </c>
      <c r="N9" s="0" t="n">
        <f aca="false">IF(ISBLANK(A9),"",IF(H10=0,NETWORKDAYS($H$3,H9,holiday!$B$2:$B$10),IF(DAY(H9)&lt;DAY(H10),NETWORKDAYS($H$3,H9,holiday!$B$2:$B$10),0)))</f>
        <v>0</v>
      </c>
      <c r="O9" s="0" t="n">
        <f aca="false">IF(ISBLANK(A9),"",SUMIF($A$3:$A9,O$2,$B$3:$B9))</f>
        <v>-100</v>
      </c>
      <c r="P9" s="0" t="n">
        <f aca="false">IF(ISBLANK(A9),"",SUMIF($A$3:$A9,P$2,$B$3:$B9))</f>
        <v>-200</v>
      </c>
      <c r="Q9" s="0" t="n">
        <f aca="false">IF(ISBLANK(A9),"",SUMIF($A$3:$A9,Q$2,$B$3:$B9))</f>
        <v>100</v>
      </c>
      <c r="R9" s="0" t="n">
        <f aca="false">IF(ISBLANK(A9),"",SUMIF($A$3:$A9,R$2,$B$3:$B9))</f>
        <v>0</v>
      </c>
      <c r="T9" s="0" t="n">
        <f aca="false">IF(ISBLANK(A9),"",IF($A9=T$2,$C9,T8))</f>
        <v>44.82</v>
      </c>
      <c r="U9" s="0" t="n">
        <f aca="false">IF(ISBLANK(A9),"",IF($A9=U$2,$C9,U8))</f>
        <v>23.08</v>
      </c>
      <c r="V9" s="0" t="n">
        <f aca="false">IF(ISBLANK(A9),"",IF($A9=V$2,$C9,V8))</f>
        <v>51.48</v>
      </c>
      <c r="W9" s="0" t="n">
        <f aca="false">IF(ISBLANK(A9),"",IF($A9=W$2,$C9,W8))</f>
        <v>0</v>
      </c>
    </row>
    <row r="10" customFormat="false" ht="12.8" hidden="false" customHeight="false" outlineLevel="0" collapsed="false">
      <c r="A10" s="0" t="n">
        <v>980</v>
      </c>
      <c r="B10" s="0" t="n">
        <v>-100</v>
      </c>
      <c r="C10" s="0" t="n">
        <v>23.13</v>
      </c>
      <c r="D10" s="0" t="s">
        <v>20</v>
      </c>
      <c r="H10" s="8" t="n">
        <f aca="false">IF(ISBLANK(D10),,LEFT(D10,LEN(D10)-6)*1)</f>
        <v>38720.6130208333</v>
      </c>
      <c r="I10" s="9" t="n">
        <f aca="false">IF(ISBLANK(A10),"",-B10*C10)</f>
        <v>2313</v>
      </c>
      <c r="J10" s="9" t="n">
        <f aca="false">IF(ISBLANK(A10),"",-SUM(I$3:I10))</f>
        <v>-6313.94545454545</v>
      </c>
      <c r="K10" s="0" t="n">
        <f aca="false">IF(ISBLANK(A10),"",SUMPRODUCT(O10:R10,T10:W10)-J10)</f>
        <v>40.94545454545</v>
      </c>
      <c r="L10" s="0" t="n">
        <f aca="false">IF(ISBLANK(A10),"",K10/$M$1)</f>
        <v>0.000682424242424167</v>
      </c>
      <c r="M10" s="0" t="n">
        <f aca="false">IF(ISBLANK(A10),"",K10/($M$1+SUM(K$3:K9)))</f>
        <v>0.000680831715148643</v>
      </c>
      <c r="N10" s="0" t="n">
        <f aca="false">IF(ISBLANK(A10),"",IF(H11=0,NETWORKDAYS($H$3,H10,holiday!$B$2:$B$10),IF(DAY(H10)&lt;DAY(H11),NETWORKDAYS($H$3,H10,holiday!$B$2:$B$10),0)))</f>
        <v>0</v>
      </c>
      <c r="O10" s="0" t="n">
        <f aca="false">IF(ISBLANK(A10),"",SUMIF($A$3:$A10,O$2,$B$3:$B10))</f>
        <v>-100</v>
      </c>
      <c r="P10" s="0" t="n">
        <f aca="false">IF(ISBLANK(A10),"",SUMIF($A$3:$A10,P$2,$B$3:$B10))</f>
        <v>-300</v>
      </c>
      <c r="Q10" s="0" t="n">
        <f aca="false">IF(ISBLANK(A10),"",SUMIF($A$3:$A10,Q$2,$B$3:$B10))</f>
        <v>100</v>
      </c>
      <c r="R10" s="0" t="n">
        <f aca="false">IF(ISBLANK(A10),"",SUMIF($A$3:$A10,R$2,$B$3:$B10))</f>
        <v>0</v>
      </c>
      <c r="T10" s="0" t="n">
        <f aca="false">IF(ISBLANK(A10),"",IF($A10=T$2,$C10,T9))</f>
        <v>44.82</v>
      </c>
      <c r="U10" s="0" t="n">
        <f aca="false">IF(ISBLANK(A10),"",IF($A10=U$2,$C10,U9))</f>
        <v>23.13</v>
      </c>
      <c r="V10" s="0" t="n">
        <f aca="false">IF(ISBLANK(A10),"",IF($A10=V$2,$C10,V9))</f>
        <v>51.48</v>
      </c>
      <c r="W10" s="0" t="n">
        <f aca="false">IF(ISBLANK(A10),"",IF($A10=W$2,$C10,W9))</f>
        <v>0</v>
      </c>
    </row>
    <row r="11" customFormat="false" ht="12.8" hidden="false" customHeight="false" outlineLevel="0" collapsed="false">
      <c r="A11" s="0" t="n">
        <v>980</v>
      </c>
      <c r="B11" s="0" t="n">
        <v>-100</v>
      </c>
      <c r="C11" s="0" t="n">
        <v>23.13</v>
      </c>
      <c r="D11" s="0" t="s">
        <v>20</v>
      </c>
      <c r="H11" s="8" t="n">
        <f aca="false">IF(ISBLANK(D11),,LEFT(D11,LEN(D11)-6)*1)</f>
        <v>38720.6130208333</v>
      </c>
      <c r="I11" s="9" t="n">
        <f aca="false">IF(ISBLANK(A11),"",-B11*C11)</f>
        <v>2313</v>
      </c>
      <c r="J11" s="9" t="n">
        <f aca="false">IF(ISBLANK(A11),"",-SUM(I$3:I11))</f>
        <v>-8626.94545454545</v>
      </c>
      <c r="K11" s="0" t="n">
        <f aca="false">IF(ISBLANK(A11),"",SUMPRODUCT(O11:R11,T11:W11)-J11)</f>
        <v>40.94545454545</v>
      </c>
      <c r="L11" s="0" t="n">
        <f aca="false">IF(ISBLANK(A11),"",K11/$M$1)</f>
        <v>0.000682424242424167</v>
      </c>
      <c r="M11" s="0" t="n">
        <f aca="false">IF(ISBLANK(A11),"",K11/($M$1+SUM(K$3:K10)))</f>
        <v>0.000680368498696742</v>
      </c>
      <c r="N11" s="0" t="n">
        <f aca="false">IF(ISBLANK(A11),"",IF(H12=0,NETWORKDAYS($H$3,H11,holiday!$B$2:$B$10),IF(DAY(H11)&lt;DAY(H12),NETWORKDAYS($H$3,H11,holiday!$B$2:$B$10),0)))</f>
        <v>0</v>
      </c>
      <c r="O11" s="0" t="n">
        <f aca="false">IF(ISBLANK(A11),"",SUMIF($A$3:$A11,O$2,$B$3:$B11))</f>
        <v>-100</v>
      </c>
      <c r="P11" s="0" t="n">
        <f aca="false">IF(ISBLANK(A11),"",SUMIF($A$3:$A11,P$2,$B$3:$B11))</f>
        <v>-400</v>
      </c>
      <c r="Q11" s="0" t="n">
        <f aca="false">IF(ISBLANK(A11),"",SUMIF($A$3:$A11,Q$2,$B$3:$B11))</f>
        <v>100</v>
      </c>
      <c r="R11" s="0" t="n">
        <f aca="false">IF(ISBLANK(A11),"",SUMIF($A$3:$A11,R$2,$B$3:$B11))</f>
        <v>0</v>
      </c>
      <c r="T11" s="0" t="n">
        <f aca="false">IF(ISBLANK(A11),"",IF($A11=T$2,$C11,T10))</f>
        <v>44.82</v>
      </c>
      <c r="U11" s="0" t="n">
        <f aca="false">IF(ISBLANK(A11),"",IF($A11=U$2,$C11,U10))</f>
        <v>23.13</v>
      </c>
      <c r="V11" s="0" t="n">
        <f aca="false">IF(ISBLANK(A11),"",IF($A11=V$2,$C11,V10))</f>
        <v>51.48</v>
      </c>
      <c r="W11" s="0" t="n">
        <f aca="false">IF(ISBLANK(A11),"",IF($A11=W$2,$C11,W10))</f>
        <v>0</v>
      </c>
    </row>
    <row r="12" customFormat="false" ht="12.8" hidden="false" customHeight="false" outlineLevel="0" collapsed="false">
      <c r="A12" s="0" t="n">
        <v>980</v>
      </c>
      <c r="B12" s="0" t="n">
        <v>-100</v>
      </c>
      <c r="C12" s="0" t="n">
        <v>23.06</v>
      </c>
      <c r="D12" s="0" t="s">
        <v>21</v>
      </c>
      <c r="H12" s="8" t="n">
        <f aca="false">IF(ISBLANK(D12),,LEFT(D12,LEN(D12)-6)*1)</f>
        <v>38720.6152083333</v>
      </c>
      <c r="I12" s="9" t="n">
        <f aca="false">IF(ISBLANK(A12),"",-B12*C12)</f>
        <v>2306</v>
      </c>
      <c r="J12" s="9" t="n">
        <f aca="false">IF(ISBLANK(A12),"",-SUM(I$3:I12))</f>
        <v>-10932.9454545455</v>
      </c>
      <c r="K12" s="0" t="n">
        <f aca="false">IF(ISBLANK(A12),"",SUMPRODUCT(O12:R12,T12:W12)-J12)</f>
        <v>68.9454545454501</v>
      </c>
      <c r="L12" s="0" t="n">
        <f aca="false">IF(ISBLANK(A12),"",K12/$M$1)</f>
        <v>0.00114909090909083</v>
      </c>
      <c r="M12" s="0" t="n">
        <f aca="false">IF(ISBLANK(A12),"",K12/($M$1+SUM(K$3:K11)))</f>
        <v>0.00114485045240002</v>
      </c>
      <c r="N12" s="0" t="n">
        <f aca="false">IF(ISBLANK(A12),"",IF(H13=0,NETWORKDAYS($H$3,H12,holiday!$B$2:$B$10),IF(DAY(H12)&lt;DAY(H13),NETWORKDAYS($H$3,H12,holiday!$B$2:$B$10),0)))</f>
        <v>0</v>
      </c>
      <c r="O12" s="0" t="n">
        <f aca="false">IF(ISBLANK(A12),"",SUMIF($A$3:$A12,O$2,$B$3:$B12))</f>
        <v>-100</v>
      </c>
      <c r="P12" s="0" t="n">
        <f aca="false">IF(ISBLANK(A12),"",SUMIF($A$3:$A12,P$2,$B$3:$B12))</f>
        <v>-500</v>
      </c>
      <c r="Q12" s="0" t="n">
        <f aca="false">IF(ISBLANK(A12),"",SUMIF($A$3:$A12,Q$2,$B$3:$B12))</f>
        <v>100</v>
      </c>
      <c r="R12" s="0" t="n">
        <f aca="false">IF(ISBLANK(A12),"",SUMIF($A$3:$A12,R$2,$B$3:$B12))</f>
        <v>0</v>
      </c>
      <c r="T12" s="0" t="n">
        <f aca="false">IF(ISBLANK(A12),"",IF($A12=T$2,$C12,T11))</f>
        <v>44.82</v>
      </c>
      <c r="U12" s="0" t="n">
        <f aca="false">IF(ISBLANK(A12),"",IF($A12=U$2,$C12,U11))</f>
        <v>23.06</v>
      </c>
      <c r="V12" s="0" t="n">
        <f aca="false">IF(ISBLANK(A12),"",IF($A12=V$2,$C12,V11))</f>
        <v>51.48</v>
      </c>
      <c r="W12" s="0" t="n">
        <f aca="false">IF(ISBLANK(A12),"",IF($A12=W$2,$C12,W11))</f>
        <v>0</v>
      </c>
    </row>
    <row r="13" customFormat="false" ht="12.8" hidden="false" customHeight="false" outlineLevel="0" collapsed="false">
      <c r="A13" s="0" t="n">
        <v>8370</v>
      </c>
      <c r="B13" s="0" t="n">
        <v>100</v>
      </c>
      <c r="C13" s="0" t="n">
        <v>45.45</v>
      </c>
      <c r="D13" s="0" t="s">
        <v>22</v>
      </c>
      <c r="H13" s="8" t="n">
        <f aca="false">IF(ISBLANK(D13),,LEFT(D13,LEN(D13)-6)*1)</f>
        <v>38720.6156828704</v>
      </c>
      <c r="I13" s="9" t="n">
        <f aca="false">IF(ISBLANK(A13),"",-B13*C13)</f>
        <v>-4545</v>
      </c>
      <c r="J13" s="9" t="n">
        <f aca="false">IF(ISBLANK(A13),"",-SUM(I$3:I13))</f>
        <v>-6387.94545454545</v>
      </c>
      <c r="K13" s="0" t="n">
        <f aca="false">IF(ISBLANK(A13),"",SUMPRODUCT(O13:R13,T13:W13)-J13)</f>
        <v>5.94545454545005</v>
      </c>
      <c r="L13" s="0" t="n">
        <f aca="false">IF(ISBLANK(A13),"",K13/$M$1)</f>
        <v>9.90909090908341E-005</v>
      </c>
      <c r="M13" s="0" t="n">
        <f aca="false">IF(ISBLANK(A13),"",K13/($M$1+SUM(K$3:K12)))</f>
        <v>9.86123404145496E-005</v>
      </c>
      <c r="N13" s="0" t="n">
        <f aca="false">IF(ISBLANK(A13),"",IF(H14=0,NETWORKDAYS($H$3,H13,holiday!$B$2:$B$10),IF(DAY(H13)&lt;DAY(H14),NETWORKDAYS($H$3,H13,holiday!$B$2:$B$10),0)))</f>
        <v>0</v>
      </c>
      <c r="O13" s="0" t="n">
        <f aca="false">IF(ISBLANK(A13),"",SUMIF($A$3:$A13,O$2,$B$3:$B13))</f>
        <v>0</v>
      </c>
      <c r="P13" s="0" t="n">
        <f aca="false">IF(ISBLANK(A13),"",SUMIF($A$3:$A13,P$2,$B$3:$B13))</f>
        <v>-500</v>
      </c>
      <c r="Q13" s="0" t="n">
        <f aca="false">IF(ISBLANK(A13),"",SUMIF($A$3:$A13,Q$2,$B$3:$B13))</f>
        <v>100</v>
      </c>
      <c r="R13" s="0" t="n">
        <f aca="false">IF(ISBLANK(A13),"",SUMIF($A$3:$A13,R$2,$B$3:$B13))</f>
        <v>0</v>
      </c>
      <c r="T13" s="0" t="n">
        <f aca="false">IF(ISBLANK(A13),"",IF($A13=T$2,$C13,T12))</f>
        <v>45.45</v>
      </c>
      <c r="U13" s="0" t="n">
        <f aca="false">IF(ISBLANK(A13),"",IF($A13=U$2,$C13,U12))</f>
        <v>23.06</v>
      </c>
      <c r="V13" s="0" t="n">
        <f aca="false">IF(ISBLANK(A13),"",IF($A13=V$2,$C13,V12))</f>
        <v>51.48</v>
      </c>
      <c r="W13" s="0" t="n">
        <f aca="false">IF(ISBLANK(A13),"",IF($A13=W$2,$C13,W12))</f>
        <v>0</v>
      </c>
    </row>
    <row r="14" customFormat="false" ht="12.8" hidden="false" customHeight="false" outlineLevel="0" collapsed="false">
      <c r="A14" s="0" t="n">
        <v>980</v>
      </c>
      <c r="B14" s="0" t="n">
        <v>-100</v>
      </c>
      <c r="C14" s="0" t="n">
        <v>23.01</v>
      </c>
      <c r="D14" s="0" t="s">
        <v>23</v>
      </c>
      <c r="H14" s="8" t="n">
        <f aca="false">IF(ISBLANK(D14),,LEFT(D14,LEN(D14)-6)*1)</f>
        <v>38720.6236921296</v>
      </c>
      <c r="I14" s="9" t="n">
        <f aca="false">IF(ISBLANK(A14),"",-B14*C14)</f>
        <v>2301</v>
      </c>
      <c r="J14" s="9" t="n">
        <f aca="false">IF(ISBLANK(A14),"",-SUM(I$3:I14))</f>
        <v>-8688.94545454545</v>
      </c>
      <c r="K14" s="0" t="n">
        <f aca="false">IF(ISBLANK(A14),"",SUMPRODUCT(O14:R14,T14:W14)-J14)</f>
        <v>30.9454545454482</v>
      </c>
      <c r="L14" s="0" t="n">
        <f aca="false">IF(ISBLANK(A14),"",K14/$M$1)</f>
        <v>0.000515757575757471</v>
      </c>
      <c r="M14" s="0" t="n">
        <f aca="false">IF(ISBLANK(A14),"",K14/($M$1+SUM(K$3:K13)))</f>
        <v>0.000513216067582793</v>
      </c>
      <c r="N14" s="0" t="n">
        <f aca="false">IF(ISBLANK(A14),"",IF(H15=0,NETWORKDAYS($H$3,H14,holiday!$B$2:$B$10),IF(DAY(H14)&lt;DAY(H15),NETWORKDAYS($H$3,H14,holiday!$B$2:$B$10),0)))</f>
        <v>0</v>
      </c>
      <c r="O14" s="0" t="n">
        <f aca="false">IF(ISBLANK(A14),"",SUMIF($A$3:$A14,O$2,$B$3:$B14))</f>
        <v>0</v>
      </c>
      <c r="P14" s="0" t="n">
        <f aca="false">IF(ISBLANK(A14),"",SUMIF($A$3:$A14,P$2,$B$3:$B14))</f>
        <v>-600</v>
      </c>
      <c r="Q14" s="0" t="n">
        <f aca="false">IF(ISBLANK(A14),"",SUMIF($A$3:$A14,Q$2,$B$3:$B14))</f>
        <v>100</v>
      </c>
      <c r="R14" s="0" t="n">
        <f aca="false">IF(ISBLANK(A14),"",SUMIF($A$3:$A14,R$2,$B$3:$B14))</f>
        <v>0</v>
      </c>
      <c r="T14" s="0" t="n">
        <f aca="false">IF(ISBLANK(A14),"",IF($A14=T$2,$C14,T13))</f>
        <v>45.45</v>
      </c>
      <c r="U14" s="0" t="n">
        <f aca="false">IF(ISBLANK(A14),"",IF($A14=U$2,$C14,U13))</f>
        <v>23.01</v>
      </c>
      <c r="V14" s="0" t="n">
        <f aca="false">IF(ISBLANK(A14),"",IF($A14=V$2,$C14,V13))</f>
        <v>51.48</v>
      </c>
      <c r="W14" s="0" t="n">
        <f aca="false">IF(ISBLANK(A14),"",IF($A14=W$2,$C14,W13))</f>
        <v>0</v>
      </c>
    </row>
    <row r="15" customFormat="false" ht="12.8" hidden="false" customHeight="false" outlineLevel="0" collapsed="false">
      <c r="A15" s="0" t="n">
        <v>8370</v>
      </c>
      <c r="B15" s="0" t="n">
        <v>100</v>
      </c>
      <c r="C15" s="0" t="n">
        <v>45.22</v>
      </c>
      <c r="D15" s="0" t="s">
        <v>24</v>
      </c>
      <c r="H15" s="8" t="n">
        <f aca="false">IF(ISBLANK(D15),,LEFT(D15,LEN(D15)-6)*1)</f>
        <v>38720.628900463</v>
      </c>
      <c r="I15" s="9" t="n">
        <f aca="false">IF(ISBLANK(A15),"",-B15*C15)</f>
        <v>-4522</v>
      </c>
      <c r="J15" s="9" t="n">
        <f aca="false">IF(ISBLANK(A15),"",-SUM(I$3:I15))</f>
        <v>-4166.94545454545</v>
      </c>
      <c r="K15" s="0" t="n">
        <f aca="false">IF(ISBLANK(A15),"",SUMPRODUCT(O15:R15,T15:W15)-J15)</f>
        <v>30.9454545454482</v>
      </c>
      <c r="L15" s="0" t="n">
        <f aca="false">IF(ISBLANK(A15),"",K15/$M$1)</f>
        <v>0.000515757575757471</v>
      </c>
      <c r="M15" s="0" t="n">
        <f aca="false">IF(ISBLANK(A15),"",K15/($M$1+SUM(K$3:K14)))</f>
        <v>0.000512952811957784</v>
      </c>
      <c r="N15" s="0" t="n">
        <f aca="false">IF(ISBLANK(A15),"",IF(H16=0,NETWORKDAYS($H$3,H15,holiday!$B$2:$B$10),IF(DAY(H15)&lt;DAY(H16),NETWORKDAYS($H$3,H15,holiday!$B$2:$B$10),0)))</f>
        <v>0</v>
      </c>
      <c r="O15" s="0" t="n">
        <f aca="false">IF(ISBLANK(A15),"",SUMIF($A$3:$A15,O$2,$B$3:$B15))</f>
        <v>100</v>
      </c>
      <c r="P15" s="0" t="n">
        <f aca="false">IF(ISBLANK(A15),"",SUMIF($A$3:$A15,P$2,$B$3:$B15))</f>
        <v>-600</v>
      </c>
      <c r="Q15" s="0" t="n">
        <f aca="false">IF(ISBLANK(A15),"",SUMIF($A$3:$A15,Q$2,$B$3:$B15))</f>
        <v>100</v>
      </c>
      <c r="R15" s="0" t="n">
        <f aca="false">IF(ISBLANK(A15),"",SUMIF($A$3:$A15,R$2,$B$3:$B15))</f>
        <v>0</v>
      </c>
      <c r="T15" s="0" t="n">
        <f aca="false">IF(ISBLANK(A15),"",IF($A15=T$2,$C15,T14))</f>
        <v>45.22</v>
      </c>
      <c r="U15" s="0" t="n">
        <f aca="false">IF(ISBLANK(A15),"",IF($A15=U$2,$C15,U14))</f>
        <v>23.01</v>
      </c>
      <c r="V15" s="0" t="n">
        <f aca="false">IF(ISBLANK(A15),"",IF($A15=V$2,$C15,V14))</f>
        <v>51.48</v>
      </c>
      <c r="W15" s="0" t="n">
        <f aca="false">IF(ISBLANK(A15),"",IF($A15=W$2,$C15,W14))</f>
        <v>0</v>
      </c>
    </row>
    <row r="16" customFormat="false" ht="12.8" hidden="false" customHeight="false" outlineLevel="0" collapsed="false">
      <c r="A16" s="0" t="n">
        <v>8370</v>
      </c>
      <c r="B16" s="0" t="n">
        <v>100</v>
      </c>
      <c r="C16" s="0" t="n">
        <v>45.0175</v>
      </c>
      <c r="D16" s="0" t="s">
        <v>25</v>
      </c>
      <c r="H16" s="8" t="n">
        <f aca="false">IF(ISBLANK(D16),,LEFT(D16,LEN(D16)-6)*1)</f>
        <v>38720.6313425926</v>
      </c>
      <c r="I16" s="9" t="n">
        <f aca="false">IF(ISBLANK(A16),"",-B16*C16)</f>
        <v>-4501.75</v>
      </c>
      <c r="J16" s="9" t="n">
        <f aca="false">IF(ISBLANK(A16),"",-SUM(I$3:I16))</f>
        <v>334.80454545455</v>
      </c>
      <c r="K16" s="0" t="n">
        <f aca="false">IF(ISBLANK(A16),"",SUMPRODUCT(O16:R16,T16:W16)-J16)</f>
        <v>10.6954545454482</v>
      </c>
      <c r="L16" s="0" t="n">
        <f aca="false">IF(ISBLANK(A16),"",K16/$M$1)</f>
        <v>0.00017825757575747</v>
      </c>
      <c r="M16" s="0" t="n">
        <f aca="false">IF(ISBLANK(A16),"",K16/($M$1+SUM(K$3:K15)))</f>
        <v>0.000177197291599915</v>
      </c>
      <c r="N16" s="0" t="n">
        <f aca="false">IF(ISBLANK(A16),"",IF(H17=0,NETWORKDAYS($H$3,H16,holiday!$B$2:$B$10),IF(DAY(H16)&lt;DAY(H17),NETWORKDAYS($H$3,H16,holiday!$B$2:$B$10),0)))</f>
        <v>0</v>
      </c>
      <c r="O16" s="0" t="n">
        <f aca="false">IF(ISBLANK(A16),"",SUMIF($A$3:$A16,O$2,$B$3:$B16))</f>
        <v>200</v>
      </c>
      <c r="P16" s="0" t="n">
        <f aca="false">IF(ISBLANK(A16),"",SUMIF($A$3:$A16,P$2,$B$3:$B16))</f>
        <v>-600</v>
      </c>
      <c r="Q16" s="0" t="n">
        <f aca="false">IF(ISBLANK(A16),"",SUMIF($A$3:$A16,Q$2,$B$3:$B16))</f>
        <v>100</v>
      </c>
      <c r="R16" s="0" t="n">
        <f aca="false">IF(ISBLANK(A16),"",SUMIF($A$3:$A16,R$2,$B$3:$B16))</f>
        <v>0</v>
      </c>
      <c r="T16" s="0" t="n">
        <f aca="false">IF(ISBLANK(A16),"",IF($A16=T$2,$C16,T15))</f>
        <v>45.0175</v>
      </c>
      <c r="U16" s="0" t="n">
        <f aca="false">IF(ISBLANK(A16),"",IF($A16=U$2,$C16,U15))</f>
        <v>23.01</v>
      </c>
      <c r="V16" s="0" t="n">
        <f aca="false">IF(ISBLANK(A16),"",IF($A16=V$2,$C16,V15))</f>
        <v>51.48</v>
      </c>
      <c r="W16" s="0" t="n">
        <f aca="false">IF(ISBLANK(A16),"",IF($A16=W$2,$C16,W15))</f>
        <v>0</v>
      </c>
    </row>
    <row r="17" customFormat="false" ht="12.8" hidden="false" customHeight="false" outlineLevel="0" collapsed="false">
      <c r="A17" s="0" t="n">
        <v>980</v>
      </c>
      <c r="B17" s="0" t="n">
        <v>-100</v>
      </c>
      <c r="C17" s="0" t="n">
        <v>22.93</v>
      </c>
      <c r="D17" s="0" t="s">
        <v>26</v>
      </c>
      <c r="H17" s="8" t="n">
        <f aca="false">IF(ISBLANK(D17),,LEFT(D17,LEN(D17)-6)*1)</f>
        <v>38720.6338078704</v>
      </c>
      <c r="I17" s="9" t="n">
        <f aca="false">IF(ISBLANK(A17),"",-B17*C17)</f>
        <v>2293</v>
      </c>
      <c r="J17" s="9" t="n">
        <f aca="false">IF(ISBLANK(A17),"",-SUM(I$3:I17))</f>
        <v>-1958.19545454545</v>
      </c>
      <c r="K17" s="0" t="n">
        <f aca="false">IF(ISBLANK(A17),"",SUMPRODUCT(O17:R17,T17:W17)-J17)</f>
        <v>58.6954545454501</v>
      </c>
      <c r="L17" s="0" t="n">
        <f aca="false">IF(ISBLANK(A17),"",K17/$M$1)</f>
        <v>0.000978257575757501</v>
      </c>
      <c r="M17" s="0" t="n">
        <f aca="false">IF(ISBLANK(A17),"",K17/($M$1+SUM(K$3:K16)))</f>
        <v>0.000972266572258427</v>
      </c>
      <c r="N17" s="0" t="n">
        <f aca="false">IF(ISBLANK(A17),"",IF(H18=0,NETWORKDAYS($H$3,H17,holiday!$B$2:$B$10),IF(DAY(H17)&lt;DAY(H18),NETWORKDAYS($H$3,H17,holiday!$B$2:$B$10),0)))</f>
        <v>0</v>
      </c>
      <c r="O17" s="0" t="n">
        <f aca="false">IF(ISBLANK(A17),"",SUMIF($A$3:$A17,O$2,$B$3:$B17))</f>
        <v>200</v>
      </c>
      <c r="P17" s="0" t="n">
        <f aca="false">IF(ISBLANK(A17),"",SUMIF($A$3:$A17,P$2,$B$3:$B17))</f>
        <v>-700</v>
      </c>
      <c r="Q17" s="0" t="n">
        <f aca="false">IF(ISBLANK(A17),"",SUMIF($A$3:$A17,Q$2,$B$3:$B17))</f>
        <v>100</v>
      </c>
      <c r="R17" s="0" t="n">
        <f aca="false">IF(ISBLANK(A17),"",SUMIF($A$3:$A17,R$2,$B$3:$B17))</f>
        <v>0</v>
      </c>
      <c r="T17" s="0" t="n">
        <f aca="false">IF(ISBLANK(A17),"",IF($A17=T$2,$C17,T16))</f>
        <v>45.0175</v>
      </c>
      <c r="U17" s="0" t="n">
        <f aca="false">IF(ISBLANK(A17),"",IF($A17=U$2,$C17,U16))</f>
        <v>22.93</v>
      </c>
      <c r="V17" s="0" t="n">
        <f aca="false">IF(ISBLANK(A17),"",IF($A17=V$2,$C17,V16))</f>
        <v>51.48</v>
      </c>
      <c r="W17" s="0" t="n">
        <f aca="false">IF(ISBLANK(A17),"",IF($A17=W$2,$C17,W16))</f>
        <v>0</v>
      </c>
    </row>
    <row r="18" customFormat="false" ht="12.8" hidden="false" customHeight="false" outlineLevel="0" collapsed="false">
      <c r="A18" s="0" t="n">
        <v>980</v>
      </c>
      <c r="B18" s="0" t="n">
        <v>100</v>
      </c>
      <c r="C18" s="0" t="n">
        <v>22.92</v>
      </c>
      <c r="D18" s="0" t="s">
        <v>27</v>
      </c>
      <c r="H18" s="8" t="n">
        <f aca="false">IF(ISBLANK(D18),,LEFT(D18,LEN(D18)-6)*1)</f>
        <v>38720.6376273148</v>
      </c>
      <c r="I18" s="9" t="n">
        <f aca="false">IF(ISBLANK(A18),"",-B18*C18)</f>
        <v>-2292</v>
      </c>
      <c r="J18" s="9" t="n">
        <f aca="false">IF(ISBLANK(A18),"",-SUM(I$3:I18))</f>
        <v>333.80454545455</v>
      </c>
      <c r="K18" s="0" t="n">
        <f aca="false">IF(ISBLANK(A18),"",SUMPRODUCT(O18:R18,T18:W18)-J18)</f>
        <v>65.6954545454482</v>
      </c>
      <c r="L18" s="0" t="n">
        <f aca="false">IF(ISBLANK(A18),"",K18/$M$1)</f>
        <v>0.00109492424242414</v>
      </c>
      <c r="M18" s="0" t="n">
        <f aca="false">IF(ISBLANK(A18),"",K18/($M$1+SUM(K$3:K17)))</f>
        <v>0.00108716174285865</v>
      </c>
      <c r="N18" s="0" t="n">
        <f aca="false">IF(ISBLANK(A18),"",IF(H19=0,NETWORKDAYS($H$3,H18,holiday!$B$2:$B$10),IF(DAY(H18)&lt;DAY(H19),NETWORKDAYS($H$3,H18,holiday!$B$2:$B$10),0)))</f>
        <v>0</v>
      </c>
      <c r="O18" s="0" t="n">
        <f aca="false">IF(ISBLANK(A18),"",SUMIF($A$3:$A18,O$2,$B$3:$B18))</f>
        <v>200</v>
      </c>
      <c r="P18" s="0" t="n">
        <f aca="false">IF(ISBLANK(A18),"",SUMIF($A$3:$A18,P$2,$B$3:$B18))</f>
        <v>-600</v>
      </c>
      <c r="Q18" s="0" t="n">
        <f aca="false">IF(ISBLANK(A18),"",SUMIF($A$3:$A18,Q$2,$B$3:$B18))</f>
        <v>100</v>
      </c>
      <c r="R18" s="0" t="n">
        <f aca="false">IF(ISBLANK(A18),"",SUMIF($A$3:$A18,R$2,$B$3:$B18))</f>
        <v>0</v>
      </c>
      <c r="T18" s="0" t="n">
        <f aca="false">IF(ISBLANK(A18),"",IF($A18=T$2,$C18,T17))</f>
        <v>45.0175</v>
      </c>
      <c r="U18" s="0" t="n">
        <f aca="false">IF(ISBLANK(A18),"",IF($A18=U$2,$C18,U17))</f>
        <v>22.92</v>
      </c>
      <c r="V18" s="0" t="n">
        <f aca="false">IF(ISBLANK(A18),"",IF($A18=V$2,$C18,V17))</f>
        <v>51.48</v>
      </c>
      <c r="W18" s="0" t="n">
        <f aca="false">IF(ISBLANK(A18),"",IF($A18=W$2,$C18,W17))</f>
        <v>0</v>
      </c>
    </row>
    <row r="19" customFormat="false" ht="12.8" hidden="false" customHeight="false" outlineLevel="0" collapsed="false">
      <c r="A19" s="0" t="n">
        <v>8370</v>
      </c>
      <c r="B19" s="0" t="n">
        <v>-100</v>
      </c>
      <c r="C19" s="0" t="n">
        <v>44.33</v>
      </c>
      <c r="D19" s="0" t="s">
        <v>28</v>
      </c>
      <c r="H19" s="8" t="n">
        <f aca="false">IF(ISBLANK(D19),,LEFT(D19,LEN(D19)-6)*1)</f>
        <v>38720.6437615741</v>
      </c>
      <c r="I19" s="9" t="n">
        <f aca="false">IF(ISBLANK(A19),"",-B19*C19)</f>
        <v>4433</v>
      </c>
      <c r="J19" s="9" t="n">
        <f aca="false">IF(ISBLANK(A19),"",-SUM(I$3:I19))</f>
        <v>-4099.19545454545</v>
      </c>
      <c r="K19" s="0" t="n">
        <f aca="false">IF(ISBLANK(A19),"",SUMPRODUCT(O19:R19,T19:W19)-J19)</f>
        <v>-71.8045454545518</v>
      </c>
      <c r="L19" s="0" t="n">
        <f aca="false">IF(ISBLANK(A19),"",K19/$M$1)</f>
        <v>-0.00119674242424253</v>
      </c>
      <c r="M19" s="0" t="n">
        <f aca="false">IF(ISBLANK(A19),"",K19/($M$1+SUM(K$3:K18)))</f>
        <v>-0.00118696765567624</v>
      </c>
      <c r="N19" s="0" t="n">
        <f aca="false">IF(ISBLANK(A19),"",IF(H20=0,NETWORKDAYS($H$3,H19,holiday!$B$2:$B$10),IF(DAY(H19)&lt;DAY(H20),NETWORKDAYS($H$3,H19,holiday!$B$2:$B$10),0)))</f>
        <v>0</v>
      </c>
      <c r="O19" s="0" t="n">
        <f aca="false">IF(ISBLANK(A19),"",SUMIF($A$3:$A19,O$2,$B$3:$B19))</f>
        <v>100</v>
      </c>
      <c r="P19" s="0" t="n">
        <f aca="false">IF(ISBLANK(A19),"",SUMIF($A$3:$A19,P$2,$B$3:$B19))</f>
        <v>-600</v>
      </c>
      <c r="Q19" s="0" t="n">
        <f aca="false">IF(ISBLANK(A19),"",SUMIF($A$3:$A19,Q$2,$B$3:$B19))</f>
        <v>100</v>
      </c>
      <c r="R19" s="0" t="n">
        <f aca="false">IF(ISBLANK(A19),"",SUMIF($A$3:$A19,R$2,$B$3:$B19))</f>
        <v>0</v>
      </c>
      <c r="T19" s="0" t="n">
        <f aca="false">IF(ISBLANK(A19),"",IF($A19=T$2,$C19,T18))</f>
        <v>44.33</v>
      </c>
      <c r="U19" s="0" t="n">
        <f aca="false">IF(ISBLANK(A19),"",IF($A19=U$2,$C19,U18))</f>
        <v>22.92</v>
      </c>
      <c r="V19" s="0" t="n">
        <f aca="false">IF(ISBLANK(A19),"",IF($A19=V$2,$C19,V18))</f>
        <v>51.48</v>
      </c>
      <c r="W19" s="0" t="n">
        <f aca="false">IF(ISBLANK(A19),"",IF($A19=W$2,$C19,W18))</f>
        <v>0</v>
      </c>
    </row>
    <row r="20" customFormat="false" ht="12.8" hidden="false" customHeight="false" outlineLevel="0" collapsed="false">
      <c r="A20" s="0" t="n">
        <v>8370</v>
      </c>
      <c r="B20" s="0" t="n">
        <v>-100</v>
      </c>
      <c r="C20" s="0" t="n">
        <v>44.225</v>
      </c>
      <c r="D20" s="0" t="s">
        <v>29</v>
      </c>
      <c r="H20" s="8" t="n">
        <f aca="false">IF(ISBLANK(D20),,LEFT(D20,LEN(D20)-6)*1)</f>
        <v>38720.6449884259</v>
      </c>
      <c r="I20" s="9" t="n">
        <f aca="false">IF(ISBLANK(A20),"",-B20*C20)</f>
        <v>4422.5</v>
      </c>
      <c r="J20" s="9" t="n">
        <f aca="false">IF(ISBLANK(A20),"",-SUM(I$3:I20))</f>
        <v>-8521.69545454545</v>
      </c>
      <c r="K20" s="0" t="n">
        <f aca="false">IF(ISBLANK(A20),"",SUMPRODUCT(O20:R20,T20:W20)-J20)</f>
        <v>-82.3045454545518</v>
      </c>
      <c r="L20" s="0" t="n">
        <f aca="false">IF(ISBLANK(A20),"",K20/$M$1)</f>
        <v>-0.00137174242424253</v>
      </c>
      <c r="M20" s="0" t="n">
        <f aca="false">IF(ISBLANK(A20),"",K20/($M$1+SUM(K$3:K19)))</f>
        <v>-0.0013621551224391</v>
      </c>
      <c r="N20" s="0" t="n">
        <f aca="false">IF(ISBLANK(A20),"",IF(H21=0,NETWORKDAYS($H$3,H20,holiday!$B$2:$B$10),IF(DAY(H20)&lt;DAY(H21),NETWORKDAYS($H$3,H20,holiday!$B$2:$B$10),0)))</f>
        <v>0</v>
      </c>
      <c r="O20" s="0" t="n">
        <f aca="false">IF(ISBLANK(A20),"",SUMIF($A$3:$A20,O$2,$B$3:$B20))</f>
        <v>0</v>
      </c>
      <c r="P20" s="0" t="n">
        <f aca="false">IF(ISBLANK(A20),"",SUMIF($A$3:$A20,P$2,$B$3:$B20))</f>
        <v>-600</v>
      </c>
      <c r="Q20" s="0" t="n">
        <f aca="false">IF(ISBLANK(A20),"",SUMIF($A$3:$A20,Q$2,$B$3:$B20))</f>
        <v>100</v>
      </c>
      <c r="R20" s="0" t="n">
        <f aca="false">IF(ISBLANK(A20),"",SUMIF($A$3:$A20,R$2,$B$3:$B20))</f>
        <v>0</v>
      </c>
      <c r="T20" s="0" t="n">
        <f aca="false">IF(ISBLANK(A20),"",IF($A20=T$2,$C20,T19))</f>
        <v>44.225</v>
      </c>
      <c r="U20" s="0" t="n">
        <f aca="false">IF(ISBLANK(A20),"",IF($A20=U$2,$C20,U19))</f>
        <v>22.92</v>
      </c>
      <c r="V20" s="0" t="n">
        <f aca="false">IF(ISBLANK(A20),"",IF($A20=V$2,$C20,V19))</f>
        <v>51.48</v>
      </c>
      <c r="W20" s="0" t="n">
        <f aca="false">IF(ISBLANK(A20),"",IF($A20=W$2,$C20,W19))</f>
        <v>0</v>
      </c>
    </row>
    <row r="21" customFormat="false" ht="12.8" hidden="false" customHeight="false" outlineLevel="0" collapsed="false">
      <c r="A21" s="0" t="n">
        <v>679</v>
      </c>
      <c r="B21" s="0" t="n">
        <v>-100</v>
      </c>
      <c r="C21" s="0" t="n">
        <v>51.14</v>
      </c>
      <c r="D21" s="0" t="s">
        <v>30</v>
      </c>
      <c r="H21" s="8" t="n">
        <f aca="false">IF(ISBLANK(D21),,LEFT(D21,LEN(D21)-6)*1)</f>
        <v>38720.6489351852</v>
      </c>
      <c r="I21" s="9" t="n">
        <f aca="false">IF(ISBLANK(A21),"",-B21*C21)</f>
        <v>5114</v>
      </c>
      <c r="J21" s="9" t="n">
        <f aca="false">IF(ISBLANK(A21),"",-SUM(I$3:I21))</f>
        <v>-13635.6954545455</v>
      </c>
      <c r="K21" s="0" t="n">
        <f aca="false">IF(ISBLANK(A21),"",SUMPRODUCT(O21:R21,T21:W21)-J21)</f>
        <v>-116.304545454552</v>
      </c>
      <c r="L21" s="0" t="n">
        <f aca="false">IF(ISBLANK(A21),"",K21/$M$1)</f>
        <v>-0.0019384090909092</v>
      </c>
      <c r="M21" s="0" t="n">
        <f aca="false">IF(ISBLANK(A21),"",K21/($M$1+SUM(K$3:K20)))</f>
        <v>-0.00192748681166483</v>
      </c>
      <c r="N21" s="0" t="n">
        <f aca="false">IF(ISBLANK(A21),"",IF(H22=0,NETWORKDAYS($H$3,H21,holiday!$B$2:$B$10),IF(DAY(H21)&lt;DAY(H22),NETWORKDAYS($H$3,H21,holiday!$B$2:$B$10),0)))</f>
        <v>0</v>
      </c>
      <c r="O21" s="0" t="n">
        <f aca="false">IF(ISBLANK(A21),"",SUMIF($A$3:$A21,O$2,$B$3:$B21))</f>
        <v>0</v>
      </c>
      <c r="P21" s="0" t="n">
        <f aca="false">IF(ISBLANK(A21),"",SUMIF($A$3:$A21,P$2,$B$3:$B21))</f>
        <v>-600</v>
      </c>
      <c r="Q21" s="0" t="n">
        <f aca="false">IF(ISBLANK(A21),"",SUMIF($A$3:$A21,Q$2,$B$3:$B21))</f>
        <v>0</v>
      </c>
      <c r="R21" s="0" t="n">
        <f aca="false">IF(ISBLANK(A21),"",SUMIF($A$3:$A21,R$2,$B$3:$B21))</f>
        <v>0</v>
      </c>
      <c r="T21" s="0" t="n">
        <f aca="false">IF(ISBLANK(A21),"",IF($A21=T$2,$C21,T20))</f>
        <v>44.225</v>
      </c>
      <c r="U21" s="0" t="n">
        <f aca="false">IF(ISBLANK(A21),"",IF($A21=U$2,$C21,U20))</f>
        <v>22.92</v>
      </c>
      <c r="V21" s="0" t="n">
        <f aca="false">IF(ISBLANK(A21),"",IF($A21=V$2,$C21,V20))</f>
        <v>51.14</v>
      </c>
      <c r="W21" s="0" t="n">
        <f aca="false">IF(ISBLANK(A21),"",IF($A21=W$2,$C21,W20))</f>
        <v>0</v>
      </c>
    </row>
    <row r="22" customFormat="false" ht="12.8" hidden="false" customHeight="false" outlineLevel="0" collapsed="false">
      <c r="A22" s="0" t="n">
        <v>980</v>
      </c>
      <c r="B22" s="0" t="n">
        <v>-100</v>
      </c>
      <c r="C22" s="0" t="n">
        <v>23</v>
      </c>
      <c r="D22" s="0" t="s">
        <v>31</v>
      </c>
      <c r="H22" s="8" t="n">
        <f aca="false">IF(ISBLANK(D22),,LEFT(D22,LEN(D22)-6)*1)</f>
        <v>38720.6493171296</v>
      </c>
      <c r="I22" s="9" t="n">
        <f aca="false">IF(ISBLANK(A22),"",-B22*C22)</f>
        <v>2300</v>
      </c>
      <c r="J22" s="9" t="n">
        <f aca="false">IF(ISBLANK(A22),"",-SUM(I$3:I22))</f>
        <v>-15935.6954545455</v>
      </c>
      <c r="K22" s="0" t="n">
        <f aca="false">IF(ISBLANK(A22),"",SUMPRODUCT(O22:R22,T22:W22)-J22)</f>
        <v>-164.30454545455</v>
      </c>
      <c r="L22" s="0" t="n">
        <f aca="false">IF(ISBLANK(A22),"",K22/$M$1)</f>
        <v>-0.00273840909090917</v>
      </c>
      <c r="M22" s="0" t="n">
        <f aca="false">IF(ISBLANK(A22),"",K22/($M$1+SUM(K$3:K21)))</f>
        <v>-0.00272823772462853</v>
      </c>
      <c r="N22" s="0" t="n">
        <f aca="false">IF(ISBLANK(A22),"",IF(H23=0,NETWORKDAYS($H$3,H22,holiday!$B$2:$B$10),IF(DAY(H22)&lt;DAY(H23),NETWORKDAYS($H$3,H22,holiday!$B$2:$B$10),0)))</f>
        <v>0</v>
      </c>
      <c r="O22" s="0" t="n">
        <f aca="false">IF(ISBLANK(A22),"",SUMIF($A$3:$A22,O$2,$B$3:$B22))</f>
        <v>0</v>
      </c>
      <c r="P22" s="0" t="n">
        <f aca="false">IF(ISBLANK(A22),"",SUMIF($A$3:$A22,P$2,$B$3:$B22))</f>
        <v>-700</v>
      </c>
      <c r="Q22" s="0" t="n">
        <f aca="false">IF(ISBLANK(A22),"",SUMIF($A$3:$A22,Q$2,$B$3:$B22))</f>
        <v>0</v>
      </c>
      <c r="R22" s="0" t="n">
        <f aca="false">IF(ISBLANK(A22),"",SUMIF($A$3:$A22,R$2,$B$3:$B22))</f>
        <v>0</v>
      </c>
      <c r="T22" s="0" t="n">
        <f aca="false">IF(ISBLANK(A22),"",IF($A22=T$2,$C22,T21))</f>
        <v>44.225</v>
      </c>
      <c r="U22" s="0" t="n">
        <f aca="false">IF(ISBLANK(A22),"",IF($A22=U$2,$C22,U21))</f>
        <v>23</v>
      </c>
      <c r="V22" s="0" t="n">
        <f aca="false">IF(ISBLANK(A22),"",IF($A22=V$2,$C22,V21))</f>
        <v>51.14</v>
      </c>
      <c r="W22" s="0" t="n">
        <f aca="false">IF(ISBLANK(A22),"",IF($A22=W$2,$C22,W21))</f>
        <v>0</v>
      </c>
    </row>
    <row r="23" customFormat="false" ht="12.8" hidden="false" customHeight="false" outlineLevel="0" collapsed="false">
      <c r="A23" s="0" t="n">
        <v>679</v>
      </c>
      <c r="B23" s="0" t="n">
        <v>-100</v>
      </c>
      <c r="C23" s="0" t="n">
        <v>51.16</v>
      </c>
      <c r="D23" s="0" t="s">
        <v>32</v>
      </c>
      <c r="H23" s="8" t="n">
        <f aca="false">IF(ISBLANK(D23),,LEFT(D23,LEN(D23)-6)*1)</f>
        <v>38720.6509143518</v>
      </c>
      <c r="I23" s="9" t="n">
        <f aca="false">IF(ISBLANK(A23),"",-B23*C23)</f>
        <v>5116</v>
      </c>
      <c r="J23" s="9" t="n">
        <f aca="false">IF(ISBLANK(A23),"",-SUM(I$3:I23))</f>
        <v>-21051.6954545455</v>
      </c>
      <c r="K23" s="0" t="n">
        <f aca="false">IF(ISBLANK(A23),"",SUMPRODUCT(O23:R23,T23:W23)-J23)</f>
        <v>-164.30454545455</v>
      </c>
      <c r="L23" s="0" t="n">
        <f aca="false">IF(ISBLANK(A23),"",K23/$M$1)</f>
        <v>-0.00273840909090917</v>
      </c>
      <c r="M23" s="0" t="n">
        <f aca="false">IF(ISBLANK(A23),"",K23/($M$1+SUM(K$3:K22)))</f>
        <v>-0.00273570136830486</v>
      </c>
      <c r="N23" s="0" t="n">
        <f aca="false">IF(ISBLANK(A23),"",IF(H24=0,NETWORKDAYS($H$3,H23,holiday!$B$2:$B$10),IF(DAY(H23)&lt;DAY(H24),NETWORKDAYS($H$3,H23,holiday!$B$2:$B$10),0)))</f>
        <v>0</v>
      </c>
      <c r="O23" s="0" t="n">
        <f aca="false">IF(ISBLANK(A23),"",SUMIF($A$3:$A23,O$2,$B$3:$B23))</f>
        <v>0</v>
      </c>
      <c r="P23" s="0" t="n">
        <f aca="false">IF(ISBLANK(A23),"",SUMIF($A$3:$A23,P$2,$B$3:$B23))</f>
        <v>-700</v>
      </c>
      <c r="Q23" s="0" t="n">
        <f aca="false">IF(ISBLANK(A23),"",SUMIF($A$3:$A23,Q$2,$B$3:$B23))</f>
        <v>-100</v>
      </c>
      <c r="R23" s="0" t="n">
        <f aca="false">IF(ISBLANK(A23),"",SUMIF($A$3:$A23,R$2,$B$3:$B23))</f>
        <v>0</v>
      </c>
      <c r="T23" s="0" t="n">
        <f aca="false">IF(ISBLANK(A23),"",IF($A23=T$2,$C23,T22))</f>
        <v>44.225</v>
      </c>
      <c r="U23" s="0" t="n">
        <f aca="false">IF(ISBLANK(A23),"",IF($A23=U$2,$C23,U22))</f>
        <v>23</v>
      </c>
      <c r="V23" s="0" t="n">
        <f aca="false">IF(ISBLANK(A23),"",IF($A23=V$2,$C23,V22))</f>
        <v>51.16</v>
      </c>
      <c r="W23" s="0" t="n">
        <f aca="false">IF(ISBLANK(A23),"",IF($A23=W$2,$C23,W22))</f>
        <v>0</v>
      </c>
    </row>
    <row r="24" customFormat="false" ht="12.8" hidden="false" customHeight="false" outlineLevel="0" collapsed="false">
      <c r="A24" s="0" t="n">
        <v>679</v>
      </c>
      <c r="B24" s="0" t="n">
        <v>-100</v>
      </c>
      <c r="C24" s="0" t="n">
        <v>51.068</v>
      </c>
      <c r="D24" s="0" t="s">
        <v>33</v>
      </c>
      <c r="H24" s="8" t="n">
        <f aca="false">IF(ISBLANK(D24),,LEFT(D24,LEN(D24)-6)*1)</f>
        <v>38720.6527893519</v>
      </c>
      <c r="I24" s="9" t="n">
        <f aca="false">IF(ISBLANK(A24),"",-B24*C24)</f>
        <v>5106.8</v>
      </c>
      <c r="J24" s="9" t="n">
        <f aca="false">IF(ISBLANK(A24),"",-SUM(I$3:I24))</f>
        <v>-26158.4954545454</v>
      </c>
      <c r="K24" s="0" t="n">
        <f aca="false">IF(ISBLANK(A24),"",SUMPRODUCT(O24:R24,T24:W24)-J24)</f>
        <v>-155.104545454549</v>
      </c>
      <c r="L24" s="0" t="n">
        <f aca="false">IF(ISBLANK(A24),"",K24/$M$1)</f>
        <v>-0.00258507575757582</v>
      </c>
      <c r="M24" s="0" t="n">
        <f aca="false">IF(ISBLANK(A24),"",K24/($M$1+SUM(K$3:K23)))</f>
        <v>-0.00258960403335597</v>
      </c>
      <c r="N24" s="0" t="n">
        <f aca="false">IF(ISBLANK(A24),"",IF(H25=0,NETWORKDAYS($H$3,H24,holiday!$B$2:$B$10),IF(DAY(H24)&lt;DAY(H25),NETWORKDAYS($H$3,H24,holiday!$B$2:$B$10),0)))</f>
        <v>0</v>
      </c>
      <c r="O24" s="0" t="n">
        <f aca="false">IF(ISBLANK(A24),"",SUMIF($A$3:$A24,O$2,$B$3:$B24))</f>
        <v>0</v>
      </c>
      <c r="P24" s="0" t="n">
        <f aca="false">IF(ISBLANK(A24),"",SUMIF($A$3:$A24,P$2,$B$3:$B24))</f>
        <v>-700</v>
      </c>
      <c r="Q24" s="0" t="n">
        <f aca="false">IF(ISBLANK(A24),"",SUMIF($A$3:$A24,Q$2,$B$3:$B24))</f>
        <v>-200</v>
      </c>
      <c r="R24" s="0" t="n">
        <f aca="false">IF(ISBLANK(A24),"",SUMIF($A$3:$A24,R$2,$B$3:$B24))</f>
        <v>0</v>
      </c>
      <c r="T24" s="0" t="n">
        <f aca="false">IF(ISBLANK(A24),"",IF($A24=T$2,$C24,T23))</f>
        <v>44.225</v>
      </c>
      <c r="U24" s="0" t="n">
        <f aca="false">IF(ISBLANK(A24),"",IF($A24=U$2,$C24,U23))</f>
        <v>23</v>
      </c>
      <c r="V24" s="0" t="n">
        <f aca="false">IF(ISBLANK(A24),"",IF($A24=V$2,$C24,V23))</f>
        <v>51.068</v>
      </c>
      <c r="W24" s="0" t="n">
        <f aca="false">IF(ISBLANK(A24),"",IF($A24=W$2,$C24,W23))</f>
        <v>0</v>
      </c>
    </row>
    <row r="25" customFormat="false" ht="12.8" hidden="false" customHeight="false" outlineLevel="0" collapsed="false">
      <c r="A25" s="0" t="n">
        <v>679</v>
      </c>
      <c r="B25" s="0" t="n">
        <v>-100</v>
      </c>
      <c r="C25" s="0" t="n">
        <v>51.07</v>
      </c>
      <c r="D25" s="0" t="s">
        <v>34</v>
      </c>
      <c r="H25" s="8" t="n">
        <f aca="false">IF(ISBLANK(D25),,LEFT(D25,LEN(D25)-6)*1)</f>
        <v>38720.6528125</v>
      </c>
      <c r="I25" s="9" t="n">
        <f aca="false">IF(ISBLANK(A25),"",-B25*C25)</f>
        <v>5107</v>
      </c>
      <c r="J25" s="9" t="n">
        <f aca="false">IF(ISBLANK(A25),"",-SUM(I$3:I25))</f>
        <v>-31265.4954545454</v>
      </c>
      <c r="K25" s="0" t="n">
        <f aca="false">IF(ISBLANK(A25),"",SUMPRODUCT(O25:R25,T25:W25)-J25)</f>
        <v>-155.504545454551</v>
      </c>
      <c r="L25" s="0" t="n">
        <f aca="false">IF(ISBLANK(A25),"",K25/$M$1)</f>
        <v>-0.00259174242424251</v>
      </c>
      <c r="M25" s="0" t="n">
        <f aca="false">IF(ISBLANK(A25),"",K25/($M$1+SUM(K$3:K24)))</f>
        <v>-0.00260302317733794</v>
      </c>
      <c r="N25" s="0" t="n">
        <f aca="false">IF(ISBLANK(A25),"",IF(H26=0,NETWORKDAYS($H$3,H25,holiday!$B$2:$B$10),IF(DAY(H25)&lt;DAY(H26),NETWORKDAYS($H$3,H25,holiday!$B$2:$B$10),0)))</f>
        <v>0</v>
      </c>
      <c r="O25" s="0" t="n">
        <f aca="false">IF(ISBLANK(A25),"",SUMIF($A$3:$A25,O$2,$B$3:$B25))</f>
        <v>0</v>
      </c>
      <c r="P25" s="0" t="n">
        <f aca="false">IF(ISBLANK(A25),"",SUMIF($A$3:$A25,P$2,$B$3:$B25))</f>
        <v>-700</v>
      </c>
      <c r="Q25" s="0" t="n">
        <f aca="false">IF(ISBLANK(A25),"",SUMIF($A$3:$A25,Q$2,$B$3:$B25))</f>
        <v>-300</v>
      </c>
      <c r="R25" s="0" t="n">
        <f aca="false">IF(ISBLANK(A25),"",SUMIF($A$3:$A25,R$2,$B$3:$B25))</f>
        <v>0</v>
      </c>
      <c r="T25" s="0" t="n">
        <f aca="false">IF(ISBLANK(A25),"",IF($A25=T$2,$C25,T24))</f>
        <v>44.225</v>
      </c>
      <c r="U25" s="0" t="n">
        <f aca="false">IF(ISBLANK(A25),"",IF($A25=U$2,$C25,U24))</f>
        <v>23</v>
      </c>
      <c r="V25" s="0" t="n">
        <f aca="false">IF(ISBLANK(A25),"",IF($A25=V$2,$C25,V24))</f>
        <v>51.07</v>
      </c>
      <c r="W25" s="0" t="n">
        <f aca="false">IF(ISBLANK(A25),"",IF($A25=W$2,$C25,W24))</f>
        <v>0</v>
      </c>
    </row>
    <row r="26" customFormat="false" ht="12.8" hidden="false" customHeight="false" outlineLevel="0" collapsed="false">
      <c r="A26" s="0" t="n">
        <v>679</v>
      </c>
      <c r="B26" s="0" t="n">
        <v>100</v>
      </c>
      <c r="C26" s="0" t="n">
        <v>51.05</v>
      </c>
      <c r="D26" s="0" t="s">
        <v>35</v>
      </c>
      <c r="H26" s="8" t="n">
        <f aca="false">IF(ISBLANK(D26),,LEFT(D26,LEN(D26)-6)*1)</f>
        <v>38720.6532060185</v>
      </c>
      <c r="I26" s="9" t="n">
        <f aca="false">IF(ISBLANK(A26),"",-B26*C26)</f>
        <v>-5105</v>
      </c>
      <c r="J26" s="9" t="n">
        <f aca="false">IF(ISBLANK(A26),"",-SUM(I$3:I26))</f>
        <v>-26160.4954545454</v>
      </c>
      <c r="K26" s="0" t="n">
        <f aca="false">IF(ISBLANK(A26),"",SUMPRODUCT(O26:R26,T26:W26)-J26)</f>
        <v>-149.504545454551</v>
      </c>
      <c r="L26" s="0" t="n">
        <f aca="false">IF(ISBLANK(A26),"",K26/$M$1)</f>
        <v>-0.00249174242424251</v>
      </c>
      <c r="M26" s="0" t="n">
        <f aca="false">IF(ISBLANK(A26),"",K26/($M$1+SUM(K$3:K25)))</f>
        <v>-0.00250911921531732</v>
      </c>
      <c r="N26" s="0" t="n">
        <f aca="false">IF(ISBLANK(A26),"",IF(H27=0,NETWORKDAYS($H$3,H26,holiday!$B$2:$B$10),IF(DAY(H26)&lt;DAY(H27),NETWORKDAYS($H$3,H26,holiday!$B$2:$B$10),0)))</f>
        <v>0</v>
      </c>
      <c r="O26" s="0" t="n">
        <f aca="false">IF(ISBLANK(A26),"",SUMIF($A$3:$A26,O$2,$B$3:$B26))</f>
        <v>0</v>
      </c>
      <c r="P26" s="0" t="n">
        <f aca="false">IF(ISBLANK(A26),"",SUMIF($A$3:$A26,P$2,$B$3:$B26))</f>
        <v>-700</v>
      </c>
      <c r="Q26" s="0" t="n">
        <f aca="false">IF(ISBLANK(A26),"",SUMIF($A$3:$A26,Q$2,$B$3:$B26))</f>
        <v>-200</v>
      </c>
      <c r="R26" s="0" t="n">
        <f aca="false">IF(ISBLANK(A26),"",SUMIF($A$3:$A26,R$2,$B$3:$B26))</f>
        <v>0</v>
      </c>
      <c r="T26" s="0" t="n">
        <f aca="false">IF(ISBLANK(A26),"",IF($A26=T$2,$C26,T25))</f>
        <v>44.225</v>
      </c>
      <c r="U26" s="0" t="n">
        <f aca="false">IF(ISBLANK(A26),"",IF($A26=U$2,$C26,U25))</f>
        <v>23</v>
      </c>
      <c r="V26" s="0" t="n">
        <f aca="false">IF(ISBLANK(A26),"",IF($A26=V$2,$C26,V25))</f>
        <v>51.05</v>
      </c>
      <c r="W26" s="0" t="n">
        <f aca="false">IF(ISBLANK(A26),"",IF($A26=W$2,$C26,W25))</f>
        <v>0</v>
      </c>
    </row>
    <row r="27" customFormat="false" ht="12.8" hidden="false" customHeight="false" outlineLevel="0" collapsed="false">
      <c r="A27" s="0" t="n">
        <v>980</v>
      </c>
      <c r="B27" s="0" t="n">
        <v>-100</v>
      </c>
      <c r="C27" s="0" t="n">
        <v>23</v>
      </c>
      <c r="D27" s="0" t="s">
        <v>36</v>
      </c>
      <c r="H27" s="8" t="n">
        <f aca="false">IF(ISBLANK(D27),,LEFT(D27,LEN(D27)-6)*1)</f>
        <v>38720.6552083333</v>
      </c>
      <c r="I27" s="9" t="n">
        <f aca="false">IF(ISBLANK(A27),"",-B27*C27)</f>
        <v>2300</v>
      </c>
      <c r="J27" s="9" t="n">
        <f aca="false">IF(ISBLANK(A27),"",-SUM(I$3:I27))</f>
        <v>-28460.4954545454</v>
      </c>
      <c r="K27" s="0" t="n">
        <f aca="false">IF(ISBLANK(A27),"",SUMPRODUCT(O27:R27,T27:W27)-J27)</f>
        <v>-149.504545454551</v>
      </c>
      <c r="L27" s="0" t="n">
        <f aca="false">IF(ISBLANK(A27),"",K27/$M$1)</f>
        <v>-0.00249174242424251</v>
      </c>
      <c r="M27" s="0" t="n">
        <f aca="false">IF(ISBLANK(A27),"",K27/($M$1+SUM(K$3:K26)))</f>
        <v>-0.00251543073089902</v>
      </c>
      <c r="N27" s="0" t="n">
        <f aca="false">IF(ISBLANK(A27),"",IF(H28=0,NETWORKDAYS($H$3,H27,holiday!$B$2:$B$10),IF(DAY(H27)&lt;DAY(H28),NETWORKDAYS($H$3,H27,holiday!$B$2:$B$10),0)))</f>
        <v>0</v>
      </c>
      <c r="O27" s="0" t="n">
        <f aca="false">IF(ISBLANK(A27),"",SUMIF($A$3:$A27,O$2,$B$3:$B27))</f>
        <v>0</v>
      </c>
      <c r="P27" s="0" t="n">
        <f aca="false">IF(ISBLANK(A27),"",SUMIF($A$3:$A27,P$2,$B$3:$B27))</f>
        <v>-800</v>
      </c>
      <c r="Q27" s="0" t="n">
        <f aca="false">IF(ISBLANK(A27),"",SUMIF($A$3:$A27,Q$2,$B$3:$B27))</f>
        <v>-200</v>
      </c>
      <c r="R27" s="0" t="n">
        <f aca="false">IF(ISBLANK(A27),"",SUMIF($A$3:$A27,R$2,$B$3:$B27))</f>
        <v>0</v>
      </c>
      <c r="T27" s="0" t="n">
        <f aca="false">IF(ISBLANK(A27),"",IF($A27=T$2,$C27,T26))</f>
        <v>44.225</v>
      </c>
      <c r="U27" s="0" t="n">
        <f aca="false">IF(ISBLANK(A27),"",IF($A27=U$2,$C27,U26))</f>
        <v>23</v>
      </c>
      <c r="V27" s="0" t="n">
        <f aca="false">IF(ISBLANK(A27),"",IF($A27=V$2,$C27,V26))</f>
        <v>51.05</v>
      </c>
      <c r="W27" s="0" t="n">
        <f aca="false">IF(ISBLANK(A27),"",IF($A27=W$2,$C27,W26))</f>
        <v>0</v>
      </c>
    </row>
    <row r="28" customFormat="false" ht="12.8" hidden="false" customHeight="false" outlineLevel="0" collapsed="false">
      <c r="A28" s="0" t="n">
        <v>8370</v>
      </c>
      <c r="B28" s="0" t="n">
        <v>-100</v>
      </c>
      <c r="C28" s="0" t="n">
        <v>44.23</v>
      </c>
      <c r="D28" s="0" t="s">
        <v>37</v>
      </c>
      <c r="H28" s="8" t="n">
        <f aca="false">IF(ISBLANK(D28),,LEFT(D28,LEN(D28)-6)*1)</f>
        <v>38720.6591666667</v>
      </c>
      <c r="I28" s="9" t="n">
        <f aca="false">IF(ISBLANK(A28),"",-B28*C28)</f>
        <v>4423</v>
      </c>
      <c r="J28" s="9" t="n">
        <f aca="false">IF(ISBLANK(A28),"",-SUM(I$3:I28))</f>
        <v>-32883.4954545455</v>
      </c>
      <c r="K28" s="0" t="n">
        <f aca="false">IF(ISBLANK(A28),"",SUMPRODUCT(O28:R28,T28:W28)-J28)</f>
        <v>-149.504545454547</v>
      </c>
      <c r="L28" s="0" t="n">
        <f aca="false">IF(ISBLANK(A28),"",K28/$M$1)</f>
        <v>-0.00249174242424245</v>
      </c>
      <c r="M28" s="0" t="n">
        <f aca="false">IF(ISBLANK(A28),"",K28/($M$1+SUM(K$3:K27)))</f>
        <v>-0.00252177407891344</v>
      </c>
      <c r="N28" s="0" t="n">
        <f aca="false">IF(ISBLANK(A28),"",IF(H29=0,NETWORKDAYS($H$3,H28,holiday!$B$2:$B$10),IF(DAY(H28)&lt;DAY(H29),NETWORKDAYS($H$3,H28,holiday!$B$2:$B$10),0)))</f>
        <v>0</v>
      </c>
      <c r="O28" s="0" t="n">
        <f aca="false">IF(ISBLANK(A28),"",SUMIF($A$3:$A28,O$2,$B$3:$B28))</f>
        <v>-100</v>
      </c>
      <c r="P28" s="0" t="n">
        <f aca="false">IF(ISBLANK(A28),"",SUMIF($A$3:$A28,P$2,$B$3:$B28))</f>
        <v>-800</v>
      </c>
      <c r="Q28" s="0" t="n">
        <f aca="false">IF(ISBLANK(A28),"",SUMIF($A$3:$A28,Q$2,$B$3:$B28))</f>
        <v>-200</v>
      </c>
      <c r="R28" s="0" t="n">
        <f aca="false">IF(ISBLANK(A28),"",SUMIF($A$3:$A28,R$2,$B$3:$B28))</f>
        <v>0</v>
      </c>
      <c r="T28" s="0" t="n">
        <f aca="false">IF(ISBLANK(A28),"",IF($A28=T$2,$C28,T27))</f>
        <v>44.23</v>
      </c>
      <c r="U28" s="0" t="n">
        <f aca="false">IF(ISBLANK(A28),"",IF($A28=U$2,$C28,U27))</f>
        <v>23</v>
      </c>
      <c r="V28" s="0" t="n">
        <f aca="false">IF(ISBLANK(A28),"",IF($A28=V$2,$C28,V27))</f>
        <v>51.05</v>
      </c>
      <c r="W28" s="0" t="n">
        <f aca="false">IF(ISBLANK(A28),"",IF($A28=W$2,$C28,W27))</f>
        <v>0</v>
      </c>
    </row>
    <row r="29" customFormat="false" ht="12.8" hidden="false" customHeight="false" outlineLevel="0" collapsed="false">
      <c r="A29" s="0" t="n">
        <v>980</v>
      </c>
      <c r="B29" s="0" t="n">
        <v>-100</v>
      </c>
      <c r="C29" s="0" t="n">
        <v>23</v>
      </c>
      <c r="D29" s="0" t="s">
        <v>38</v>
      </c>
      <c r="H29" s="8" t="n">
        <f aca="false">IF(ISBLANK(D29),,LEFT(D29,LEN(D29)-6)*1)</f>
        <v>38720.659525463</v>
      </c>
      <c r="I29" s="9" t="n">
        <f aca="false">IF(ISBLANK(A29),"",-B29*C29)</f>
        <v>2300</v>
      </c>
      <c r="J29" s="9" t="n">
        <f aca="false">IF(ISBLANK(A29),"",-SUM(I$3:I29))</f>
        <v>-35183.4954545455</v>
      </c>
      <c r="K29" s="0" t="n">
        <f aca="false">IF(ISBLANK(A29),"",SUMPRODUCT(O29:R29,T29:W29)-J29)</f>
        <v>-149.504545454547</v>
      </c>
      <c r="L29" s="0" t="n">
        <f aca="false">IF(ISBLANK(A29),"",K29/$M$1)</f>
        <v>-0.00249174242424245</v>
      </c>
      <c r="M29" s="0" t="n">
        <f aca="false">IF(ISBLANK(A29),"",K29/($M$1+SUM(K$3:K28)))</f>
        <v>-0.00252814950079216</v>
      </c>
      <c r="N29" s="0" t="n">
        <f aca="false">IF(ISBLANK(A29),"",IF(H30=0,NETWORKDAYS($H$3,H29,holiday!$B$2:$B$10),IF(DAY(H29)&lt;DAY(H30),NETWORKDAYS($H$3,H29,holiday!$B$2:$B$10),0)))</f>
        <v>0</v>
      </c>
      <c r="O29" s="0" t="n">
        <f aca="false">IF(ISBLANK(A29),"",SUMIF($A$3:$A29,O$2,$B$3:$B29))</f>
        <v>-100</v>
      </c>
      <c r="P29" s="0" t="n">
        <f aca="false">IF(ISBLANK(A29),"",SUMIF($A$3:$A29,P$2,$B$3:$B29))</f>
        <v>-900</v>
      </c>
      <c r="Q29" s="0" t="n">
        <f aca="false">IF(ISBLANK(A29),"",SUMIF($A$3:$A29,Q$2,$B$3:$B29))</f>
        <v>-200</v>
      </c>
      <c r="R29" s="0" t="n">
        <f aca="false">IF(ISBLANK(A29),"",SUMIF($A$3:$A29,R$2,$B$3:$B29))</f>
        <v>0</v>
      </c>
      <c r="T29" s="0" t="n">
        <f aca="false">IF(ISBLANK(A29),"",IF($A29=T$2,$C29,T28))</f>
        <v>44.23</v>
      </c>
      <c r="U29" s="0" t="n">
        <f aca="false">IF(ISBLANK(A29),"",IF($A29=U$2,$C29,U28))</f>
        <v>23</v>
      </c>
      <c r="V29" s="0" t="n">
        <f aca="false">IF(ISBLANK(A29),"",IF($A29=V$2,$C29,V28))</f>
        <v>51.05</v>
      </c>
      <c r="W29" s="0" t="n">
        <f aca="false">IF(ISBLANK(A29),"",IF($A29=W$2,$C29,W28))</f>
        <v>0</v>
      </c>
    </row>
    <row r="30" customFormat="false" ht="12.8" hidden="false" customHeight="false" outlineLevel="0" collapsed="false">
      <c r="A30" s="0" t="n">
        <v>980</v>
      </c>
      <c r="B30" s="0" t="n">
        <v>-100</v>
      </c>
      <c r="C30" s="0" t="n">
        <v>23</v>
      </c>
      <c r="D30" s="0" t="s">
        <v>39</v>
      </c>
      <c r="H30" s="8" t="n">
        <f aca="false">IF(ISBLANK(D30),,LEFT(D30,LEN(D30)-6)*1)</f>
        <v>38720.6636689815</v>
      </c>
      <c r="I30" s="9" t="n">
        <f aca="false">IF(ISBLANK(A30),"",-B30*C30)</f>
        <v>2300</v>
      </c>
      <c r="J30" s="9" t="n">
        <f aca="false">IF(ISBLANK(A30),"",-SUM(I$3:I30))</f>
        <v>-37483.4954545455</v>
      </c>
      <c r="K30" s="0" t="n">
        <f aca="false">IF(ISBLANK(A30),"",SUMPRODUCT(O30:R30,T30:W30)-J30)</f>
        <v>-149.504545454547</v>
      </c>
      <c r="L30" s="0" t="n">
        <f aca="false">IF(ISBLANK(A30),"",K30/$M$1)</f>
        <v>-0.00249174242424245</v>
      </c>
      <c r="M30" s="0" t="n">
        <f aca="false">IF(ISBLANK(A30),"",K30/($M$1+SUM(K$3:K29)))</f>
        <v>-0.00253455724041424</v>
      </c>
      <c r="N30" s="0" t="n">
        <f aca="false">IF(ISBLANK(A30),"",IF(H31=0,NETWORKDAYS($H$3,H30,holiday!$B$2:$B$10),IF(DAY(H30)&lt;DAY(H31),NETWORKDAYS($H$3,H30,holiday!$B$2:$B$10),0)))</f>
        <v>0</v>
      </c>
      <c r="O30" s="0" t="n">
        <f aca="false">IF(ISBLANK(A30),"",SUMIF($A$3:$A30,O$2,$B$3:$B30))</f>
        <v>-100</v>
      </c>
      <c r="P30" s="0" t="n">
        <f aca="false">IF(ISBLANK(A30),"",SUMIF($A$3:$A30,P$2,$B$3:$B30))</f>
        <v>-1000</v>
      </c>
      <c r="Q30" s="0" t="n">
        <f aca="false">IF(ISBLANK(A30),"",SUMIF($A$3:$A30,Q$2,$B$3:$B30))</f>
        <v>-200</v>
      </c>
      <c r="R30" s="0" t="n">
        <f aca="false">IF(ISBLANK(A30),"",SUMIF($A$3:$A30,R$2,$B$3:$B30))</f>
        <v>0</v>
      </c>
      <c r="T30" s="0" t="n">
        <f aca="false">IF(ISBLANK(A30),"",IF($A30=T$2,$C30,T29))</f>
        <v>44.23</v>
      </c>
      <c r="U30" s="0" t="n">
        <f aca="false">IF(ISBLANK(A30),"",IF($A30=U$2,$C30,U29))</f>
        <v>23</v>
      </c>
      <c r="V30" s="0" t="n">
        <f aca="false">IF(ISBLANK(A30),"",IF($A30=V$2,$C30,V29))</f>
        <v>51.05</v>
      </c>
      <c r="W30" s="0" t="n">
        <f aca="false">IF(ISBLANK(A30),"",IF($A30=W$2,$C30,W29))</f>
        <v>0</v>
      </c>
    </row>
    <row r="31" customFormat="false" ht="12.8" hidden="false" customHeight="false" outlineLevel="0" collapsed="false">
      <c r="A31" s="0" t="n">
        <v>980</v>
      </c>
      <c r="B31" s="0" t="n">
        <v>100</v>
      </c>
      <c r="C31" s="0" t="n">
        <v>23</v>
      </c>
      <c r="D31" s="0" t="s">
        <v>40</v>
      </c>
      <c r="H31" s="8" t="n">
        <f aca="false">IF(ISBLANK(D31),,LEFT(D31,LEN(D31)-6)*1)</f>
        <v>38720.6646990741</v>
      </c>
      <c r="I31" s="9" t="n">
        <f aca="false">IF(ISBLANK(A31),"",-B31*C31)</f>
        <v>-2300</v>
      </c>
      <c r="J31" s="9" t="n">
        <f aca="false">IF(ISBLANK(A31),"",-SUM(I$3:I31))</f>
        <v>-35183.4954545455</v>
      </c>
      <c r="K31" s="0" t="n">
        <f aca="false">IF(ISBLANK(A31),"",SUMPRODUCT(O31:R31,T31:W31)-J31)</f>
        <v>-149.504545454547</v>
      </c>
      <c r="L31" s="0" t="n">
        <f aca="false">IF(ISBLANK(A31),"",K31/$M$1)</f>
        <v>-0.00249174242424245</v>
      </c>
      <c r="M31" s="0" t="n">
        <f aca="false">IF(ISBLANK(A31),"",K31/($M$1+SUM(K$3:K30)))</f>
        <v>-0.00254099754413761</v>
      </c>
      <c r="N31" s="0" t="n">
        <f aca="false">IF(ISBLANK(A31),"",IF(H32=0,NETWORKDAYS($H$3,H31,holiday!$B$2:$B$10),IF(DAY(H31)&lt;DAY(H32),NETWORKDAYS($H$3,H31,holiday!$B$2:$B$10),0)))</f>
        <v>0</v>
      </c>
      <c r="O31" s="0" t="n">
        <f aca="false">IF(ISBLANK(A31),"",SUMIF($A$3:$A31,O$2,$B$3:$B31))</f>
        <v>-100</v>
      </c>
      <c r="P31" s="0" t="n">
        <f aca="false">IF(ISBLANK(A31),"",SUMIF($A$3:$A31,P$2,$B$3:$B31))</f>
        <v>-900</v>
      </c>
      <c r="Q31" s="0" t="n">
        <f aca="false">IF(ISBLANK(A31),"",SUMIF($A$3:$A31,Q$2,$B$3:$B31))</f>
        <v>-200</v>
      </c>
      <c r="R31" s="0" t="n">
        <f aca="false">IF(ISBLANK(A31),"",SUMIF($A$3:$A31,R$2,$B$3:$B31))</f>
        <v>0</v>
      </c>
      <c r="T31" s="0" t="n">
        <f aca="false">IF(ISBLANK(A31),"",IF($A31=T$2,$C31,T30))</f>
        <v>44.23</v>
      </c>
      <c r="U31" s="0" t="n">
        <f aca="false">IF(ISBLANK(A31),"",IF($A31=U$2,$C31,U30))</f>
        <v>23</v>
      </c>
      <c r="V31" s="0" t="n">
        <f aca="false">IF(ISBLANK(A31),"",IF($A31=V$2,$C31,V30))</f>
        <v>51.05</v>
      </c>
      <c r="W31" s="0" t="n">
        <f aca="false">IF(ISBLANK(A31),"",IF($A31=W$2,$C31,W30))</f>
        <v>0</v>
      </c>
    </row>
    <row r="32" customFormat="false" ht="12.8" hidden="false" customHeight="false" outlineLevel="0" collapsed="false">
      <c r="A32" s="0" t="n">
        <v>980</v>
      </c>
      <c r="B32" s="0" t="n">
        <v>-100</v>
      </c>
      <c r="C32" s="0" t="n">
        <v>23</v>
      </c>
      <c r="D32" s="0" t="s">
        <v>41</v>
      </c>
      <c r="H32" s="8" t="n">
        <f aca="false">IF(ISBLANK(D32),,LEFT(D32,LEN(D32)-6)*1)</f>
        <v>38720.6674189815</v>
      </c>
      <c r="I32" s="9" t="n">
        <f aca="false">IF(ISBLANK(A32),"",-B32*C32)</f>
        <v>2300</v>
      </c>
      <c r="J32" s="9" t="n">
        <f aca="false">IF(ISBLANK(A32),"",-SUM(I$3:I32))</f>
        <v>-37483.4954545455</v>
      </c>
      <c r="K32" s="0" t="n">
        <f aca="false">IF(ISBLANK(A32),"",SUMPRODUCT(O32:R32,T32:W32)-J32)</f>
        <v>-149.504545454547</v>
      </c>
      <c r="L32" s="0" t="n">
        <f aca="false">IF(ISBLANK(A32),"",K32/$M$1)</f>
        <v>-0.00249174242424245</v>
      </c>
      <c r="M32" s="0" t="n">
        <f aca="false">IF(ISBLANK(A32),"",K32/($M$1+SUM(K$3:K31)))</f>
        <v>-0.00254747066083054</v>
      </c>
      <c r="N32" s="0" t="n">
        <f aca="false">IF(ISBLANK(A32),"",IF(H33=0,NETWORKDAYS($H$3,H32,holiday!$B$2:$B$10),IF(DAY(H32)&lt;DAY(H33),NETWORKDAYS($H$3,H32,holiday!$B$2:$B$10),0)))</f>
        <v>0</v>
      </c>
      <c r="O32" s="0" t="n">
        <f aca="false">IF(ISBLANK(A32),"",SUMIF($A$3:$A32,O$2,$B$3:$B32))</f>
        <v>-100</v>
      </c>
      <c r="P32" s="0" t="n">
        <f aca="false">IF(ISBLANK(A32),"",SUMIF($A$3:$A32,P$2,$B$3:$B32))</f>
        <v>-1000</v>
      </c>
      <c r="Q32" s="0" t="n">
        <f aca="false">IF(ISBLANK(A32),"",SUMIF($A$3:$A32,Q$2,$B$3:$B32))</f>
        <v>-200</v>
      </c>
      <c r="R32" s="0" t="n">
        <f aca="false">IF(ISBLANK(A32),"",SUMIF($A$3:$A32,R$2,$B$3:$B32))</f>
        <v>0</v>
      </c>
      <c r="T32" s="0" t="n">
        <f aca="false">IF(ISBLANK(A32),"",IF($A32=T$2,$C32,T31))</f>
        <v>44.23</v>
      </c>
      <c r="U32" s="0" t="n">
        <f aca="false">IF(ISBLANK(A32),"",IF($A32=U$2,$C32,U31))</f>
        <v>23</v>
      </c>
      <c r="V32" s="0" t="n">
        <f aca="false">IF(ISBLANK(A32),"",IF($A32=V$2,$C32,V31))</f>
        <v>51.05</v>
      </c>
      <c r="W32" s="0" t="n">
        <f aca="false">IF(ISBLANK(A32),"",IF($A32=W$2,$C32,W31))</f>
        <v>0</v>
      </c>
    </row>
    <row r="33" customFormat="false" ht="12.8" hidden="false" customHeight="false" outlineLevel="0" collapsed="false">
      <c r="A33" s="0" t="n">
        <v>980</v>
      </c>
      <c r="B33" s="0" t="n">
        <v>-100</v>
      </c>
      <c r="C33" s="0" t="n">
        <v>23</v>
      </c>
      <c r="D33" s="0" t="s">
        <v>42</v>
      </c>
      <c r="H33" s="8" t="n">
        <f aca="false">IF(ISBLANK(D33),,LEFT(D33,LEN(D33)-6)*1)</f>
        <v>38720.6689699074</v>
      </c>
      <c r="I33" s="9" t="n">
        <f aca="false">IF(ISBLANK(A33),"",-B33*C33)</f>
        <v>2300</v>
      </c>
      <c r="J33" s="9" t="n">
        <f aca="false">IF(ISBLANK(A33),"",-SUM(I$3:I33))</f>
        <v>-39783.4954545455</v>
      </c>
      <c r="K33" s="0" t="n">
        <f aca="false">IF(ISBLANK(A33),"",SUMPRODUCT(O33:R33,T33:W33)-J33)</f>
        <v>-149.504545454547</v>
      </c>
      <c r="L33" s="0" t="n">
        <f aca="false">IF(ISBLANK(A33),"",K33/$M$1)</f>
        <v>-0.00249174242424245</v>
      </c>
      <c r="M33" s="0" t="n">
        <f aca="false">IF(ISBLANK(A33),"",K33/($M$1+SUM(K$3:K32)))</f>
        <v>-0.00255397684190373</v>
      </c>
      <c r="N33" s="0" t="n">
        <f aca="false">IF(ISBLANK(A33),"",IF(H34=0,NETWORKDAYS($H$3,H33,holiday!$B$2:$B$10),IF(DAY(H33)&lt;DAY(H34),NETWORKDAYS($H$3,H33,holiday!$B$2:$B$10),0)))</f>
        <v>0</v>
      </c>
      <c r="O33" s="0" t="n">
        <f aca="false">IF(ISBLANK(A33),"",SUMIF($A$3:$A33,O$2,$B$3:$B33))</f>
        <v>-100</v>
      </c>
      <c r="P33" s="0" t="n">
        <f aca="false">IF(ISBLANK(A33),"",SUMIF($A$3:$A33,P$2,$B$3:$B33))</f>
        <v>-1100</v>
      </c>
      <c r="Q33" s="0" t="n">
        <f aca="false">IF(ISBLANK(A33),"",SUMIF($A$3:$A33,Q$2,$B$3:$B33))</f>
        <v>-200</v>
      </c>
      <c r="R33" s="0" t="n">
        <f aca="false">IF(ISBLANK(A33),"",SUMIF($A$3:$A33,R$2,$B$3:$B33))</f>
        <v>0</v>
      </c>
      <c r="T33" s="0" t="n">
        <f aca="false">IF(ISBLANK(A33),"",IF($A33=T$2,$C33,T32))</f>
        <v>44.23</v>
      </c>
      <c r="U33" s="0" t="n">
        <f aca="false">IF(ISBLANK(A33),"",IF($A33=U$2,$C33,U32))</f>
        <v>23</v>
      </c>
      <c r="V33" s="0" t="n">
        <f aca="false">IF(ISBLANK(A33),"",IF($A33=V$2,$C33,V32))</f>
        <v>51.05</v>
      </c>
      <c r="W33" s="0" t="n">
        <f aca="false">IF(ISBLANK(A33),"",IF($A33=W$2,$C33,W32))</f>
        <v>0</v>
      </c>
    </row>
    <row r="34" customFormat="false" ht="12.8" hidden="false" customHeight="false" outlineLevel="0" collapsed="false">
      <c r="A34" s="0" t="n">
        <v>980</v>
      </c>
      <c r="B34" s="0" t="n">
        <v>-100</v>
      </c>
      <c r="C34" s="0" t="n">
        <v>23</v>
      </c>
      <c r="D34" s="0" t="s">
        <v>43</v>
      </c>
      <c r="H34" s="8" t="n">
        <f aca="false">IF(ISBLANK(D34),,LEFT(D34,LEN(D34)-6)*1)</f>
        <v>38720.6697685185</v>
      </c>
      <c r="I34" s="9" t="n">
        <f aca="false">IF(ISBLANK(A34),"",-B34*C34)</f>
        <v>2300</v>
      </c>
      <c r="J34" s="9" t="n">
        <f aca="false">IF(ISBLANK(A34),"",-SUM(I$3:I34))</f>
        <v>-42083.4954545455</v>
      </c>
      <c r="K34" s="0" t="n">
        <f aca="false">IF(ISBLANK(A34),"",SUMPRODUCT(O34:R34,T34:W34)-J34)</f>
        <v>-149.504545454547</v>
      </c>
      <c r="L34" s="0" t="n">
        <f aca="false">IF(ISBLANK(A34),"",K34/$M$1)</f>
        <v>-0.00249174242424245</v>
      </c>
      <c r="M34" s="0" t="n">
        <f aca="false">IF(ISBLANK(A34),"",K34/($M$1+SUM(K$3:K33)))</f>
        <v>-0.00256051634134284</v>
      </c>
      <c r="N34" s="0" t="n">
        <f aca="false">IF(ISBLANK(A34),"",IF(H35=0,NETWORKDAYS($H$3,H34,holiday!$B$2:$B$10),IF(DAY(H34)&lt;DAY(H35),NETWORKDAYS($H$3,H34,holiday!$B$2:$B$10),0)))</f>
        <v>0</v>
      </c>
      <c r="O34" s="0" t="n">
        <f aca="false">IF(ISBLANK(A34),"",SUMIF($A$3:$A34,O$2,$B$3:$B34))</f>
        <v>-100</v>
      </c>
      <c r="P34" s="0" t="n">
        <f aca="false">IF(ISBLANK(A34),"",SUMIF($A$3:$A34,P$2,$B$3:$B34))</f>
        <v>-1200</v>
      </c>
      <c r="Q34" s="0" t="n">
        <f aca="false">IF(ISBLANK(A34),"",SUMIF($A$3:$A34,Q$2,$B$3:$B34))</f>
        <v>-200</v>
      </c>
      <c r="R34" s="0" t="n">
        <f aca="false">IF(ISBLANK(A34),"",SUMIF($A$3:$A34,R$2,$B$3:$B34))</f>
        <v>0</v>
      </c>
      <c r="T34" s="0" t="n">
        <f aca="false">IF(ISBLANK(A34),"",IF($A34=T$2,$C34,T33))</f>
        <v>44.23</v>
      </c>
      <c r="U34" s="0" t="n">
        <f aca="false">IF(ISBLANK(A34),"",IF($A34=U$2,$C34,U33))</f>
        <v>23</v>
      </c>
      <c r="V34" s="0" t="n">
        <f aca="false">IF(ISBLANK(A34),"",IF($A34=V$2,$C34,V33))</f>
        <v>51.05</v>
      </c>
      <c r="W34" s="0" t="n">
        <f aca="false">IF(ISBLANK(A34),"",IF($A34=W$2,$C34,W33))</f>
        <v>0</v>
      </c>
    </row>
    <row r="35" customFormat="false" ht="12.8" hidden="false" customHeight="false" outlineLevel="0" collapsed="false">
      <c r="A35" s="0" t="n">
        <v>980</v>
      </c>
      <c r="B35" s="0" t="n">
        <v>100</v>
      </c>
      <c r="C35" s="0" t="n">
        <v>23.01</v>
      </c>
      <c r="D35" s="0" t="s">
        <v>44</v>
      </c>
      <c r="H35" s="8" t="n">
        <f aca="false">IF(ISBLANK(D35),,LEFT(D35,LEN(D35)-6)*1)</f>
        <v>38720.6712384259</v>
      </c>
      <c r="I35" s="9" t="n">
        <f aca="false">IF(ISBLANK(A35),"",-B35*C35)</f>
        <v>-2301</v>
      </c>
      <c r="J35" s="9" t="n">
        <f aca="false">IF(ISBLANK(A35),"",-SUM(I$3:I35))</f>
        <v>-39782.4954545455</v>
      </c>
      <c r="K35" s="0" t="n">
        <f aca="false">IF(ISBLANK(A35),"",SUMPRODUCT(O35:R35,T35:W35)-J35)</f>
        <v>-161.504545454547</v>
      </c>
      <c r="L35" s="0" t="n">
        <f aca="false">IF(ISBLANK(A35),"",K35/$M$1)</f>
        <v>-0.00269174242424245</v>
      </c>
      <c r="M35" s="0" t="n">
        <f aca="false">IF(ISBLANK(A35),"",K35/($M$1+SUM(K$3:K34)))</f>
        <v>-0.002773137150914</v>
      </c>
      <c r="N35" s="0" t="n">
        <f aca="false">IF(ISBLANK(A35),"",IF(H36=0,NETWORKDAYS($H$3,H35,holiday!$B$2:$B$10),IF(DAY(H35)&lt;DAY(H36),NETWORKDAYS($H$3,H35,holiday!$B$2:$B$10),0)))</f>
        <v>0</v>
      </c>
      <c r="O35" s="0" t="n">
        <f aca="false">IF(ISBLANK(A35),"",SUMIF($A$3:$A35,O$2,$B$3:$B35))</f>
        <v>-100</v>
      </c>
      <c r="P35" s="0" t="n">
        <f aca="false">IF(ISBLANK(A35),"",SUMIF($A$3:$A35,P$2,$B$3:$B35))</f>
        <v>-1100</v>
      </c>
      <c r="Q35" s="0" t="n">
        <f aca="false">IF(ISBLANK(A35),"",SUMIF($A$3:$A35,Q$2,$B$3:$B35))</f>
        <v>-200</v>
      </c>
      <c r="R35" s="0" t="n">
        <f aca="false">IF(ISBLANK(A35),"",SUMIF($A$3:$A35,R$2,$B$3:$B35))</f>
        <v>0</v>
      </c>
      <c r="T35" s="0" t="n">
        <f aca="false">IF(ISBLANK(A35),"",IF($A35=T$2,$C35,T34))</f>
        <v>44.23</v>
      </c>
      <c r="U35" s="0" t="n">
        <f aca="false">IF(ISBLANK(A35),"",IF($A35=U$2,$C35,U34))</f>
        <v>23.01</v>
      </c>
      <c r="V35" s="0" t="n">
        <f aca="false">IF(ISBLANK(A35),"",IF($A35=V$2,$C35,V34))</f>
        <v>51.05</v>
      </c>
      <c r="W35" s="0" t="n">
        <f aca="false">IF(ISBLANK(A35),"",IF($A35=W$2,$C35,W34))</f>
        <v>0</v>
      </c>
    </row>
    <row r="36" customFormat="false" ht="12.8" hidden="false" customHeight="false" outlineLevel="0" collapsed="false">
      <c r="A36" s="0" t="n">
        <v>980</v>
      </c>
      <c r="B36" s="0" t="n">
        <v>-100</v>
      </c>
      <c r="C36" s="0" t="n">
        <v>23</v>
      </c>
      <c r="D36" s="0" t="s">
        <v>45</v>
      </c>
      <c r="H36" s="8" t="n">
        <f aca="false">IF(ISBLANK(D36),,LEFT(D36,LEN(D36)-6)*1)</f>
        <v>38720.6749189815</v>
      </c>
      <c r="I36" s="9" t="n">
        <f aca="false">IF(ISBLANK(A36),"",-B36*C36)</f>
        <v>2300</v>
      </c>
      <c r="J36" s="9" t="n">
        <f aca="false">IF(ISBLANK(A36),"",-SUM(I$3:I36))</f>
        <v>-42082.4954545455</v>
      </c>
      <c r="K36" s="0" t="n">
        <f aca="false">IF(ISBLANK(A36),"",SUMPRODUCT(O36:R36,T36:W36)-J36)</f>
        <v>-150.504545454547</v>
      </c>
      <c r="L36" s="0" t="n">
        <f aca="false">IF(ISBLANK(A36),"",K36/$M$1)</f>
        <v>-0.00250840909090912</v>
      </c>
      <c r="M36" s="0" t="n">
        <f aca="false">IF(ISBLANK(A36),"",K36/($M$1+SUM(K$3:K35)))</f>
        <v>-0.00259144649689438</v>
      </c>
      <c r="N36" s="0" t="n">
        <f aca="false">IF(ISBLANK(A36),"",IF(H37=0,NETWORKDAYS($H$3,H36,holiday!$B$2:$B$10),IF(DAY(H36)&lt;DAY(H37),NETWORKDAYS($H$3,H36,holiday!$B$2:$B$10),0)))</f>
        <v>0</v>
      </c>
      <c r="O36" s="0" t="n">
        <f aca="false">IF(ISBLANK(A36),"",SUMIF($A$3:$A36,O$2,$B$3:$B36))</f>
        <v>-100</v>
      </c>
      <c r="P36" s="0" t="n">
        <f aca="false">IF(ISBLANK(A36),"",SUMIF($A$3:$A36,P$2,$B$3:$B36))</f>
        <v>-1200</v>
      </c>
      <c r="Q36" s="0" t="n">
        <f aca="false">IF(ISBLANK(A36),"",SUMIF($A$3:$A36,Q$2,$B$3:$B36))</f>
        <v>-200</v>
      </c>
      <c r="R36" s="0" t="n">
        <f aca="false">IF(ISBLANK(A36),"",SUMIF($A$3:$A36,R$2,$B$3:$B36))</f>
        <v>0</v>
      </c>
      <c r="T36" s="0" t="n">
        <f aca="false">IF(ISBLANK(A36),"",IF($A36=T$2,$C36,T35))</f>
        <v>44.23</v>
      </c>
      <c r="U36" s="0" t="n">
        <f aca="false">IF(ISBLANK(A36),"",IF($A36=U$2,$C36,U35))</f>
        <v>23</v>
      </c>
      <c r="V36" s="0" t="n">
        <f aca="false">IF(ISBLANK(A36),"",IF($A36=V$2,$C36,V35))</f>
        <v>51.05</v>
      </c>
      <c r="W36" s="0" t="n">
        <f aca="false">IF(ISBLANK(A36),"",IF($A36=W$2,$C36,W35))</f>
        <v>0</v>
      </c>
    </row>
    <row r="37" customFormat="false" ht="12.8" hidden="false" customHeight="false" outlineLevel="0" collapsed="false">
      <c r="A37" s="0" t="n">
        <v>679</v>
      </c>
      <c r="B37" s="0" t="n">
        <v>-100</v>
      </c>
      <c r="C37" s="0" t="n">
        <v>51.16</v>
      </c>
      <c r="D37" s="0" t="s">
        <v>46</v>
      </c>
      <c r="H37" s="8" t="n">
        <f aca="false">IF(ISBLANK(D37),,LEFT(D37,LEN(D37)-6)*1)</f>
        <v>38720.6752662037</v>
      </c>
      <c r="I37" s="9" t="n">
        <f aca="false">IF(ISBLANK(A37),"",-B37*C37)</f>
        <v>5116</v>
      </c>
      <c r="J37" s="9" t="n">
        <f aca="false">IF(ISBLANK(A37),"",-SUM(I$3:I37))</f>
        <v>-47198.4954545455</v>
      </c>
      <c r="K37" s="0" t="n">
        <f aca="false">IF(ISBLANK(A37),"",SUMPRODUCT(O37:R37,T37:W37)-J37)</f>
        <v>-172.504545454547</v>
      </c>
      <c r="L37" s="0" t="n">
        <f aca="false">IF(ISBLANK(A37),"",K37/$M$1)</f>
        <v>-0.00287507575757578</v>
      </c>
      <c r="M37" s="0" t="n">
        <f aca="false">IF(ISBLANK(A37),"",K37/($M$1+SUM(K$3:K36)))</f>
        <v>-0.00297796840109599</v>
      </c>
      <c r="N37" s="0" t="n">
        <f aca="false">IF(ISBLANK(A37),"",IF(H38=0,NETWORKDAYS($H$3,H37,holiday!$B$2:$B$10),IF(DAY(H37)&lt;DAY(H38),NETWORKDAYS($H$3,H37,holiday!$B$2:$B$10),0)))</f>
        <v>0</v>
      </c>
      <c r="O37" s="0" t="n">
        <f aca="false">IF(ISBLANK(A37),"",SUMIF($A$3:$A37,O$2,$B$3:$B37))</f>
        <v>-100</v>
      </c>
      <c r="P37" s="0" t="n">
        <f aca="false">IF(ISBLANK(A37),"",SUMIF($A$3:$A37,P$2,$B$3:$B37))</f>
        <v>-1200</v>
      </c>
      <c r="Q37" s="0" t="n">
        <f aca="false">IF(ISBLANK(A37),"",SUMIF($A$3:$A37,Q$2,$B$3:$B37))</f>
        <v>-300</v>
      </c>
      <c r="R37" s="0" t="n">
        <f aca="false">IF(ISBLANK(A37),"",SUMIF($A$3:$A37,R$2,$B$3:$B37))</f>
        <v>0</v>
      </c>
      <c r="T37" s="0" t="n">
        <f aca="false">IF(ISBLANK(A37),"",IF($A37=T$2,$C37,T36))</f>
        <v>44.23</v>
      </c>
      <c r="U37" s="0" t="n">
        <f aca="false">IF(ISBLANK(A37),"",IF($A37=U$2,$C37,U36))</f>
        <v>23</v>
      </c>
      <c r="V37" s="0" t="n">
        <f aca="false">IF(ISBLANK(A37),"",IF($A37=V$2,$C37,V36))</f>
        <v>51.16</v>
      </c>
      <c r="W37" s="0" t="n">
        <f aca="false">IF(ISBLANK(A37),"",IF($A37=W$2,$C37,W36))</f>
        <v>0</v>
      </c>
    </row>
    <row r="38" customFormat="false" ht="12.8" hidden="false" customHeight="false" outlineLevel="0" collapsed="false">
      <c r="A38" s="0" t="n">
        <v>8370</v>
      </c>
      <c r="B38" s="0" t="n">
        <v>-100</v>
      </c>
      <c r="C38" s="0" t="n">
        <v>44.1716666666666</v>
      </c>
      <c r="D38" s="0" t="s">
        <v>47</v>
      </c>
      <c r="H38" s="8" t="n">
        <f aca="false">IF(ISBLANK(D38),,LEFT(D38,LEN(D38)-6)*1)</f>
        <v>38720.6769791667</v>
      </c>
      <c r="I38" s="9" t="n">
        <f aca="false">IF(ISBLANK(A38),"",-B38*C38)</f>
        <v>4417.16666666666</v>
      </c>
      <c r="J38" s="9" t="n">
        <f aca="false">IF(ISBLANK(A38),"",-SUM(I$3:I38))</f>
        <v>-51615.6621212121</v>
      </c>
      <c r="K38" s="0" t="n">
        <f aca="false">IF(ISBLANK(A38),"",SUMPRODUCT(O38:R38,T38:W38)-J38)</f>
        <v>-166.671212121211</v>
      </c>
      <c r="L38" s="0" t="n">
        <f aca="false">IF(ISBLANK(A38),"",K38/$M$1)</f>
        <v>-0.00277785353535352</v>
      </c>
      <c r="M38" s="0" t="n">
        <f aca="false">IF(ISBLANK(A38),"",K38/($M$1+SUM(K$3:K37)))</f>
        <v>-0.00288586081148822</v>
      </c>
      <c r="N38" s="0" t="n">
        <f aca="false">IF(ISBLANK(A38),"",IF(H39=0,NETWORKDAYS($H$3,H38,holiday!$B$2:$B$10),IF(DAY(H38)&lt;DAY(H39),NETWORKDAYS($H$3,H38,holiday!$B$2:$B$10),0)))</f>
        <v>0</v>
      </c>
      <c r="O38" s="0" t="n">
        <f aca="false">IF(ISBLANK(A38),"",SUMIF($A$3:$A38,O$2,$B$3:$B38))</f>
        <v>-200</v>
      </c>
      <c r="P38" s="0" t="n">
        <f aca="false">IF(ISBLANK(A38),"",SUMIF($A$3:$A38,P$2,$B$3:$B38))</f>
        <v>-1200</v>
      </c>
      <c r="Q38" s="0" t="n">
        <f aca="false">IF(ISBLANK(A38),"",SUMIF($A$3:$A38,Q$2,$B$3:$B38))</f>
        <v>-300</v>
      </c>
      <c r="R38" s="0" t="n">
        <f aca="false">IF(ISBLANK(A38),"",SUMIF($A$3:$A38,R$2,$B$3:$B38))</f>
        <v>0</v>
      </c>
      <c r="T38" s="0" t="n">
        <f aca="false">IF(ISBLANK(A38),"",IF($A38=T$2,$C38,T37))</f>
        <v>44.1716666666666</v>
      </c>
      <c r="U38" s="0" t="n">
        <f aca="false">IF(ISBLANK(A38),"",IF($A38=U$2,$C38,U37))</f>
        <v>23</v>
      </c>
      <c r="V38" s="0" t="n">
        <f aca="false">IF(ISBLANK(A38),"",IF($A38=V$2,$C38,V37))</f>
        <v>51.16</v>
      </c>
      <c r="W38" s="0" t="n">
        <f aca="false">IF(ISBLANK(A38),"",IF($A38=W$2,$C38,W37))</f>
        <v>0</v>
      </c>
    </row>
    <row r="39" customFormat="false" ht="12.8" hidden="false" customHeight="false" outlineLevel="0" collapsed="false">
      <c r="A39" s="0" t="n">
        <v>8370</v>
      </c>
      <c r="B39" s="0" t="n">
        <v>100</v>
      </c>
      <c r="C39" s="0" t="n">
        <v>44.16</v>
      </c>
      <c r="D39" s="0" t="s">
        <v>48</v>
      </c>
      <c r="H39" s="8" t="n">
        <f aca="false">IF(ISBLANK(D39),,LEFT(D39,LEN(D39)-6)*1)</f>
        <v>38720.6769907407</v>
      </c>
      <c r="I39" s="9" t="n">
        <f aca="false">IF(ISBLANK(A39),"",-B39*C39)</f>
        <v>-4416</v>
      </c>
      <c r="J39" s="9" t="n">
        <f aca="false">IF(ISBLANK(A39),"",-SUM(I$3:I39))</f>
        <v>-47199.6621212121</v>
      </c>
      <c r="K39" s="0" t="n">
        <f aca="false">IF(ISBLANK(A39),"",SUMPRODUCT(O39:R39,T39:W39)-J39)</f>
        <v>-164.33787878789</v>
      </c>
      <c r="L39" s="0" t="n">
        <f aca="false">IF(ISBLANK(A39),"",K39/$M$1)</f>
        <v>-0.00273896464646483</v>
      </c>
      <c r="M39" s="0" t="n">
        <f aca="false">IF(ISBLANK(A39),"",K39/($M$1+SUM(K$3:K38)))</f>
        <v>-0.00285369522920155</v>
      </c>
      <c r="N39" s="0" t="n">
        <f aca="false">IF(ISBLANK(A39),"",IF(H40=0,NETWORKDAYS($H$3,H39,holiday!$B$2:$B$10),IF(DAY(H39)&lt;DAY(H40),NETWORKDAYS($H$3,H39,holiday!$B$2:$B$10),0)))</f>
        <v>0</v>
      </c>
      <c r="O39" s="0" t="n">
        <f aca="false">IF(ISBLANK(A39),"",SUMIF($A$3:$A39,O$2,$B$3:$B39))</f>
        <v>-100</v>
      </c>
      <c r="P39" s="0" t="n">
        <f aca="false">IF(ISBLANK(A39),"",SUMIF($A$3:$A39,P$2,$B$3:$B39))</f>
        <v>-1200</v>
      </c>
      <c r="Q39" s="0" t="n">
        <f aca="false">IF(ISBLANK(A39),"",SUMIF($A$3:$A39,Q$2,$B$3:$B39))</f>
        <v>-300</v>
      </c>
      <c r="R39" s="0" t="n">
        <f aca="false">IF(ISBLANK(A39),"",SUMIF($A$3:$A39,R$2,$B$3:$B39))</f>
        <v>0</v>
      </c>
      <c r="T39" s="0" t="n">
        <f aca="false">IF(ISBLANK(A39),"",IF($A39=T$2,$C39,T38))</f>
        <v>44.16</v>
      </c>
      <c r="U39" s="0" t="n">
        <f aca="false">IF(ISBLANK(A39),"",IF($A39=U$2,$C39,U38))</f>
        <v>23</v>
      </c>
      <c r="V39" s="0" t="n">
        <f aca="false">IF(ISBLANK(A39),"",IF($A39=V$2,$C39,V38))</f>
        <v>51.16</v>
      </c>
      <c r="W39" s="0" t="n">
        <f aca="false">IF(ISBLANK(A39),"",IF($A39=W$2,$C39,W38))</f>
        <v>0</v>
      </c>
    </row>
    <row r="40" customFormat="false" ht="12.8" hidden="false" customHeight="false" outlineLevel="0" collapsed="false">
      <c r="A40" s="0" t="n">
        <v>679</v>
      </c>
      <c r="B40" s="0" t="n">
        <v>100</v>
      </c>
      <c r="C40" s="0" t="n">
        <v>51.15</v>
      </c>
      <c r="D40" s="0" t="s">
        <v>49</v>
      </c>
      <c r="H40" s="8" t="n">
        <f aca="false">IF(ISBLANK(D40),,LEFT(D40,LEN(D40)-6)*1)</f>
        <v>38720.6777199074</v>
      </c>
      <c r="I40" s="9" t="n">
        <f aca="false">IF(ISBLANK(A40),"",-B40*C40)</f>
        <v>-5115</v>
      </c>
      <c r="J40" s="9" t="n">
        <f aca="false">IF(ISBLANK(A40),"",-SUM(I$3:I40))</f>
        <v>-42084.6621212121</v>
      </c>
      <c r="K40" s="0" t="n">
        <f aca="false">IF(ISBLANK(A40),"",SUMPRODUCT(O40:R40,T40:W40)-J40)</f>
        <v>-161.33787878789</v>
      </c>
      <c r="L40" s="0" t="n">
        <f aca="false">IF(ISBLANK(A40),"",K40/$M$1)</f>
        <v>-0.00268896464646483</v>
      </c>
      <c r="M40" s="0" t="n">
        <f aca="false">IF(ISBLANK(A40),"",K40/($M$1+SUM(K$3:K39)))</f>
        <v>-0.00280961860924123</v>
      </c>
      <c r="N40" s="0" t="n">
        <f aca="false">IF(ISBLANK(A40),"",IF(H41=0,NETWORKDAYS($H$3,H40,holiday!$B$2:$B$10),IF(DAY(H40)&lt;DAY(H41),NETWORKDAYS($H$3,H40,holiday!$B$2:$B$10),0)))</f>
        <v>0</v>
      </c>
      <c r="O40" s="0" t="n">
        <f aca="false">IF(ISBLANK(A40),"",SUMIF($A$3:$A40,O$2,$B$3:$B40))</f>
        <v>-100</v>
      </c>
      <c r="P40" s="0" t="n">
        <f aca="false">IF(ISBLANK(A40),"",SUMIF($A$3:$A40,P$2,$B$3:$B40))</f>
        <v>-1200</v>
      </c>
      <c r="Q40" s="0" t="n">
        <f aca="false">IF(ISBLANK(A40),"",SUMIF($A$3:$A40,Q$2,$B$3:$B40))</f>
        <v>-200</v>
      </c>
      <c r="R40" s="0" t="n">
        <f aca="false">IF(ISBLANK(A40),"",SUMIF($A$3:$A40,R$2,$B$3:$B40))</f>
        <v>0</v>
      </c>
      <c r="T40" s="0" t="n">
        <f aca="false">IF(ISBLANK(A40),"",IF($A40=T$2,$C40,T39))</f>
        <v>44.16</v>
      </c>
      <c r="U40" s="0" t="n">
        <f aca="false">IF(ISBLANK(A40),"",IF($A40=U$2,$C40,U39))</f>
        <v>23</v>
      </c>
      <c r="V40" s="0" t="n">
        <f aca="false">IF(ISBLANK(A40),"",IF($A40=V$2,$C40,V39))</f>
        <v>51.15</v>
      </c>
      <c r="W40" s="0" t="n">
        <f aca="false">IF(ISBLANK(A40),"",IF($A40=W$2,$C40,W39))</f>
        <v>0</v>
      </c>
    </row>
    <row r="41" customFormat="false" ht="12.8" hidden="false" customHeight="false" outlineLevel="0" collapsed="false">
      <c r="A41" s="0" t="n">
        <v>8370</v>
      </c>
      <c r="B41" s="0" t="n">
        <v>100</v>
      </c>
      <c r="C41" s="0" t="n">
        <v>44.16</v>
      </c>
      <c r="D41" s="0" t="s">
        <v>50</v>
      </c>
      <c r="H41" s="8" t="n">
        <f aca="false">IF(ISBLANK(D41),,LEFT(D41,LEN(D41)-6)*1)</f>
        <v>38720.6780208333</v>
      </c>
      <c r="I41" s="9" t="n">
        <f aca="false">IF(ISBLANK(A41),"",-B41*C41)</f>
        <v>-4416</v>
      </c>
      <c r="J41" s="9" t="n">
        <f aca="false">IF(ISBLANK(A41),"",-SUM(I$3:I41))</f>
        <v>-37668.6621212121</v>
      </c>
      <c r="K41" s="0" t="n">
        <f aca="false">IF(ISBLANK(A41),"",SUMPRODUCT(O41:R41,T41:W41)-J41)</f>
        <v>-161.33787878789</v>
      </c>
      <c r="L41" s="0" t="n">
        <f aca="false">IF(ISBLANK(A41),"",K41/$M$1)</f>
        <v>-0.00268896464646483</v>
      </c>
      <c r="M41" s="0" t="n">
        <f aca="false">IF(ISBLANK(A41),"",K41/($M$1+SUM(K$3:K40)))</f>
        <v>-0.00281753480746848</v>
      </c>
      <c r="N41" s="0" t="n">
        <f aca="false">IF(ISBLANK(A41),"",IF(H42=0,NETWORKDAYS($H$3,H41,holiday!$B$2:$B$10),IF(DAY(H41)&lt;DAY(H42),NETWORKDAYS($H$3,H41,holiday!$B$2:$B$10),0)))</f>
        <v>0</v>
      </c>
      <c r="O41" s="0" t="n">
        <f aca="false">IF(ISBLANK(A41),"",SUMIF($A$3:$A41,O$2,$B$3:$B41))</f>
        <v>0</v>
      </c>
      <c r="P41" s="0" t="n">
        <f aca="false">IF(ISBLANK(A41),"",SUMIF($A$3:$A41,P$2,$B$3:$B41))</f>
        <v>-1200</v>
      </c>
      <c r="Q41" s="0" t="n">
        <f aca="false">IF(ISBLANK(A41),"",SUMIF($A$3:$A41,Q$2,$B$3:$B41))</f>
        <v>-200</v>
      </c>
      <c r="R41" s="0" t="n">
        <f aca="false">IF(ISBLANK(A41),"",SUMIF($A$3:$A41,R$2,$B$3:$B41))</f>
        <v>0</v>
      </c>
      <c r="T41" s="0" t="n">
        <f aca="false">IF(ISBLANK(A41),"",IF($A41=T$2,$C41,T40))</f>
        <v>44.16</v>
      </c>
      <c r="U41" s="0" t="n">
        <f aca="false">IF(ISBLANK(A41),"",IF($A41=U$2,$C41,U40))</f>
        <v>23</v>
      </c>
      <c r="V41" s="0" t="n">
        <f aca="false">IF(ISBLANK(A41),"",IF($A41=V$2,$C41,V40))</f>
        <v>51.15</v>
      </c>
      <c r="W41" s="0" t="n">
        <f aca="false">IF(ISBLANK(A41),"",IF($A41=W$2,$C41,W40))</f>
        <v>0</v>
      </c>
    </row>
    <row r="42" customFormat="false" ht="12.8" hidden="false" customHeight="false" outlineLevel="0" collapsed="false">
      <c r="A42" s="0" t="n">
        <v>980</v>
      </c>
      <c r="B42" s="0" t="n">
        <v>100</v>
      </c>
      <c r="C42" s="0" t="n">
        <v>23.03</v>
      </c>
      <c r="D42" s="0" t="s">
        <v>51</v>
      </c>
      <c r="H42" s="8" t="n">
        <f aca="false">IF(ISBLANK(D42),,LEFT(D42,LEN(D42)-6)*1)</f>
        <v>38720.6792708333</v>
      </c>
      <c r="I42" s="9" t="n">
        <f aca="false">IF(ISBLANK(A42),"",-B42*C42)</f>
        <v>-2303</v>
      </c>
      <c r="J42" s="9" t="n">
        <f aca="false">IF(ISBLANK(A42),"",-SUM(I$3:I42))</f>
        <v>-35365.6621212121</v>
      </c>
      <c r="K42" s="0" t="n">
        <f aca="false">IF(ISBLANK(A42),"",SUMPRODUCT(O42:R42,T42:W42)-J42)</f>
        <v>-197.33787878789</v>
      </c>
      <c r="L42" s="0" t="n">
        <f aca="false">IF(ISBLANK(A42),"",K42/$M$1)</f>
        <v>-0.00328896464646483</v>
      </c>
      <c r="M42" s="0" t="n">
        <f aca="false">IF(ISBLANK(A42),"",K42/($M$1+SUM(K$3:K41)))</f>
        <v>-0.00345596049766828</v>
      </c>
      <c r="N42" s="0" t="n">
        <f aca="false">IF(ISBLANK(A42),"",IF(H43=0,NETWORKDAYS($H$3,H42,holiday!$B$2:$B$10),IF(DAY(H42)&lt;DAY(H43),NETWORKDAYS($H$3,H42,holiday!$B$2:$B$10),0)))</f>
        <v>0</v>
      </c>
      <c r="O42" s="0" t="n">
        <f aca="false">IF(ISBLANK(A42),"",SUMIF($A$3:$A42,O$2,$B$3:$B42))</f>
        <v>0</v>
      </c>
      <c r="P42" s="0" t="n">
        <f aca="false">IF(ISBLANK(A42),"",SUMIF($A$3:$A42,P$2,$B$3:$B42))</f>
        <v>-1100</v>
      </c>
      <c r="Q42" s="0" t="n">
        <f aca="false">IF(ISBLANK(A42),"",SUMIF($A$3:$A42,Q$2,$B$3:$B42))</f>
        <v>-200</v>
      </c>
      <c r="R42" s="0" t="n">
        <f aca="false">IF(ISBLANK(A42),"",SUMIF($A$3:$A42,R$2,$B$3:$B42))</f>
        <v>0</v>
      </c>
      <c r="T42" s="0" t="n">
        <f aca="false">IF(ISBLANK(A42),"",IF($A42=T$2,$C42,T41))</f>
        <v>44.16</v>
      </c>
      <c r="U42" s="0" t="n">
        <f aca="false">IF(ISBLANK(A42),"",IF($A42=U$2,$C42,U41))</f>
        <v>23.03</v>
      </c>
      <c r="V42" s="0" t="n">
        <f aca="false">IF(ISBLANK(A42),"",IF($A42=V$2,$C42,V41))</f>
        <v>51.15</v>
      </c>
      <c r="W42" s="0" t="n">
        <f aca="false">IF(ISBLANK(A42),"",IF($A42=W$2,$C42,W41))</f>
        <v>0</v>
      </c>
    </row>
    <row r="43" customFormat="false" ht="12.8" hidden="false" customHeight="false" outlineLevel="0" collapsed="false">
      <c r="A43" s="0" t="n">
        <v>980</v>
      </c>
      <c r="B43" s="0" t="n">
        <v>-100</v>
      </c>
      <c r="C43" s="0" t="n">
        <v>23.06</v>
      </c>
      <c r="D43" s="0" t="s">
        <v>52</v>
      </c>
      <c r="H43" s="8" t="n">
        <f aca="false">IF(ISBLANK(D43),,LEFT(D43,LEN(D43)-6)*1)</f>
        <v>38720.6795023148</v>
      </c>
      <c r="I43" s="9" t="n">
        <f aca="false">IF(ISBLANK(A43),"",-B43*C43)</f>
        <v>2306</v>
      </c>
      <c r="J43" s="9" t="n">
        <f aca="false">IF(ISBLANK(A43),"",-SUM(I$3:I43))</f>
        <v>-37671.6621212121</v>
      </c>
      <c r="K43" s="0" t="n">
        <f aca="false">IF(ISBLANK(A43),"",SUMPRODUCT(O43:R43,T43:W43)-J43)</f>
        <v>-230.33787878789</v>
      </c>
      <c r="L43" s="0" t="n">
        <f aca="false">IF(ISBLANK(A43),"",K43/$M$1)</f>
        <v>-0.00383896464646483</v>
      </c>
      <c r="M43" s="0" t="n">
        <f aca="false">IF(ISBLANK(A43),"",K43/($M$1+SUM(K$3:K42)))</f>
        <v>-0.00404787582442044</v>
      </c>
      <c r="N43" s="0" t="n">
        <f aca="false">IF(ISBLANK(A43),"",IF(H44=0,NETWORKDAYS($H$3,H43,holiday!$B$2:$B$10),IF(DAY(H43)&lt;DAY(H44),NETWORKDAYS($H$3,H43,holiday!$B$2:$B$10),0)))</f>
        <v>0</v>
      </c>
      <c r="O43" s="0" t="n">
        <f aca="false">IF(ISBLANK(A43),"",SUMIF($A$3:$A43,O$2,$B$3:$B43))</f>
        <v>0</v>
      </c>
      <c r="P43" s="0" t="n">
        <f aca="false">IF(ISBLANK(A43),"",SUMIF($A$3:$A43,P$2,$B$3:$B43))</f>
        <v>-1200</v>
      </c>
      <c r="Q43" s="0" t="n">
        <f aca="false">IF(ISBLANK(A43),"",SUMIF($A$3:$A43,Q$2,$B$3:$B43))</f>
        <v>-200</v>
      </c>
      <c r="R43" s="0" t="n">
        <f aca="false">IF(ISBLANK(A43),"",SUMIF($A$3:$A43,R$2,$B$3:$B43))</f>
        <v>0</v>
      </c>
      <c r="T43" s="0" t="n">
        <f aca="false">IF(ISBLANK(A43),"",IF($A43=T$2,$C43,T42))</f>
        <v>44.16</v>
      </c>
      <c r="U43" s="0" t="n">
        <f aca="false">IF(ISBLANK(A43),"",IF($A43=U$2,$C43,U42))</f>
        <v>23.06</v>
      </c>
      <c r="V43" s="0" t="n">
        <f aca="false">IF(ISBLANK(A43),"",IF($A43=V$2,$C43,V42))</f>
        <v>51.15</v>
      </c>
      <c r="W43" s="0" t="n">
        <f aca="false">IF(ISBLANK(A43),"",IF($A43=W$2,$C43,W42))</f>
        <v>0</v>
      </c>
    </row>
    <row r="44" customFormat="false" ht="12.8" hidden="false" customHeight="false" outlineLevel="0" collapsed="false">
      <c r="A44" s="0" t="n">
        <v>679</v>
      </c>
      <c r="B44" s="0" t="n">
        <v>100</v>
      </c>
      <c r="C44" s="0" t="n">
        <v>51.16</v>
      </c>
      <c r="D44" s="0" t="s">
        <v>53</v>
      </c>
      <c r="H44" s="8" t="n">
        <f aca="false">IF(ISBLANK(D44),,LEFT(D44,LEN(D44)-6)*1)</f>
        <v>38720.6805671296</v>
      </c>
      <c r="I44" s="9" t="n">
        <f aca="false">IF(ISBLANK(A44),"",-B44*C44)</f>
        <v>-5116</v>
      </c>
      <c r="J44" s="9" t="n">
        <f aca="false">IF(ISBLANK(A44),"",-SUM(I$3:I44))</f>
        <v>-32555.6621212121</v>
      </c>
      <c r="K44" s="0" t="n">
        <f aca="false">IF(ISBLANK(A44),"",SUMPRODUCT(O44:R44,T44:W44)-J44)</f>
        <v>-232.33787878789</v>
      </c>
      <c r="L44" s="0" t="n">
        <f aca="false">IF(ISBLANK(A44),"",K44/$M$1)</f>
        <v>-0.00387229797979817</v>
      </c>
      <c r="M44" s="0" t="n">
        <f aca="false">IF(ISBLANK(A44),"",K44/($M$1+SUM(K$3:K43)))</f>
        <v>-0.00409961785593293</v>
      </c>
      <c r="N44" s="0" t="n">
        <f aca="false">IF(ISBLANK(A44),"",IF(H45=0,NETWORKDAYS($H$3,H44,holiday!$B$2:$B$10),IF(DAY(H44)&lt;DAY(H45),NETWORKDAYS($H$3,H44,holiday!$B$2:$B$10),0)))</f>
        <v>0</v>
      </c>
      <c r="O44" s="0" t="n">
        <f aca="false">IF(ISBLANK(A44),"",SUMIF($A$3:$A44,O$2,$B$3:$B44))</f>
        <v>0</v>
      </c>
      <c r="P44" s="0" t="n">
        <f aca="false">IF(ISBLANK(A44),"",SUMIF($A$3:$A44,P$2,$B$3:$B44))</f>
        <v>-1200</v>
      </c>
      <c r="Q44" s="0" t="n">
        <f aca="false">IF(ISBLANK(A44),"",SUMIF($A$3:$A44,Q$2,$B$3:$B44))</f>
        <v>-100</v>
      </c>
      <c r="R44" s="0" t="n">
        <f aca="false">IF(ISBLANK(A44),"",SUMIF($A$3:$A44,R$2,$B$3:$B44))</f>
        <v>0</v>
      </c>
      <c r="T44" s="0" t="n">
        <f aca="false">IF(ISBLANK(A44),"",IF($A44=T$2,$C44,T43))</f>
        <v>44.16</v>
      </c>
      <c r="U44" s="0" t="n">
        <f aca="false">IF(ISBLANK(A44),"",IF($A44=U$2,$C44,U43))</f>
        <v>23.06</v>
      </c>
      <c r="V44" s="0" t="n">
        <f aca="false">IF(ISBLANK(A44),"",IF($A44=V$2,$C44,V43))</f>
        <v>51.16</v>
      </c>
      <c r="W44" s="0" t="n">
        <f aca="false">IF(ISBLANK(A44),"",IF($A44=W$2,$C44,W43))</f>
        <v>0</v>
      </c>
    </row>
    <row r="45" customFormat="false" ht="12.8" hidden="false" customHeight="false" outlineLevel="0" collapsed="false">
      <c r="A45" s="0" t="n">
        <v>679</v>
      </c>
      <c r="B45" s="0" t="n">
        <v>100</v>
      </c>
      <c r="C45" s="0" t="n">
        <v>51.16</v>
      </c>
      <c r="D45" s="0" t="s">
        <v>54</v>
      </c>
      <c r="H45" s="8" t="n">
        <f aca="false">IF(ISBLANK(D45),,LEFT(D45,LEN(D45)-6)*1)</f>
        <v>38720.6805902778</v>
      </c>
      <c r="I45" s="9" t="n">
        <f aca="false">IF(ISBLANK(A45),"",-B45*C45)</f>
        <v>-5116</v>
      </c>
      <c r="J45" s="9" t="n">
        <f aca="false">IF(ISBLANK(A45),"",-SUM(I$3:I45))</f>
        <v>-27439.6621212121</v>
      </c>
      <c r="K45" s="0" t="n">
        <f aca="false">IF(ISBLANK(A45),"",SUMPRODUCT(O45:R45,T45:W45)-J45)</f>
        <v>-232.33787878789</v>
      </c>
      <c r="L45" s="0" t="n">
        <f aca="false">IF(ISBLANK(A45),"",K45/$M$1)</f>
        <v>-0.00387229797979817</v>
      </c>
      <c r="M45" s="0" t="n">
        <f aca="false">IF(ISBLANK(A45),"",K45/($M$1+SUM(K$3:K44)))</f>
        <v>-0.00411649390786144</v>
      </c>
      <c r="N45" s="0" t="n">
        <f aca="false">IF(ISBLANK(A45),"",IF(H46=0,NETWORKDAYS($H$3,H45,holiday!$B$2:$B$10),IF(DAY(H45)&lt;DAY(H46),NETWORKDAYS($H$3,H45,holiday!$B$2:$B$10),0)))</f>
        <v>0</v>
      </c>
      <c r="O45" s="0" t="n">
        <f aca="false">IF(ISBLANK(A45),"",SUMIF($A$3:$A45,O$2,$B$3:$B45))</f>
        <v>0</v>
      </c>
      <c r="P45" s="0" t="n">
        <f aca="false">IF(ISBLANK(A45),"",SUMIF($A$3:$A45,P$2,$B$3:$B45))</f>
        <v>-1200</v>
      </c>
      <c r="Q45" s="0" t="n">
        <f aca="false">IF(ISBLANK(A45),"",SUMIF($A$3:$A45,Q$2,$B$3:$B45))</f>
        <v>0</v>
      </c>
      <c r="R45" s="0" t="n">
        <f aca="false">IF(ISBLANK(A45),"",SUMIF($A$3:$A45,R$2,$B$3:$B45))</f>
        <v>0</v>
      </c>
      <c r="T45" s="0" t="n">
        <f aca="false">IF(ISBLANK(A45),"",IF($A45=T$2,$C45,T44))</f>
        <v>44.16</v>
      </c>
      <c r="U45" s="0" t="n">
        <f aca="false">IF(ISBLANK(A45),"",IF($A45=U$2,$C45,U44))</f>
        <v>23.06</v>
      </c>
      <c r="V45" s="0" t="n">
        <f aca="false">IF(ISBLANK(A45),"",IF($A45=V$2,$C45,V44))</f>
        <v>51.16</v>
      </c>
      <c r="W45" s="0" t="n">
        <f aca="false">IF(ISBLANK(A45),"",IF($A45=W$2,$C45,W44))</f>
        <v>0</v>
      </c>
    </row>
    <row r="46" customFormat="false" ht="12.8" hidden="false" customHeight="false" outlineLevel="0" collapsed="false">
      <c r="A46" s="0" t="n">
        <v>679</v>
      </c>
      <c r="B46" s="0" t="n">
        <v>-100</v>
      </c>
      <c r="C46" s="0" t="n">
        <v>51.24</v>
      </c>
      <c r="D46" s="0" t="s">
        <v>55</v>
      </c>
      <c r="H46" s="8" t="n">
        <f aca="false">IF(ISBLANK(D46),,LEFT(D46,LEN(D46)-6)*1)</f>
        <v>38720.6812962963</v>
      </c>
      <c r="I46" s="9" t="n">
        <f aca="false">IF(ISBLANK(A46),"",-B46*C46)</f>
        <v>5124</v>
      </c>
      <c r="J46" s="9" t="n">
        <f aca="false">IF(ISBLANK(A46),"",-SUM(I$3:I46))</f>
        <v>-32563.6621212121</v>
      </c>
      <c r="K46" s="0" t="n">
        <f aca="false">IF(ISBLANK(A46),"",SUMPRODUCT(O46:R46,T46:W46)-J46)</f>
        <v>-232.33787878789</v>
      </c>
      <c r="L46" s="0" t="n">
        <f aca="false">IF(ISBLANK(A46),"",K46/$M$1)</f>
        <v>-0.00387229797979817</v>
      </c>
      <c r="M46" s="0" t="n">
        <f aca="false">IF(ISBLANK(A46),"",K46/($M$1+SUM(K$3:K45)))</f>
        <v>-0.00413350947443102</v>
      </c>
      <c r="N46" s="0" t="n">
        <f aca="false">IF(ISBLANK(A46),"",IF(H47=0,NETWORKDAYS($H$3,H46,holiday!$B$2:$B$10),IF(DAY(H46)&lt;DAY(H47),NETWORKDAYS($H$3,H46,holiday!$B$2:$B$10),0)))</f>
        <v>0</v>
      </c>
      <c r="O46" s="0" t="n">
        <f aca="false">IF(ISBLANK(A46),"",SUMIF($A$3:$A46,O$2,$B$3:$B46))</f>
        <v>0</v>
      </c>
      <c r="P46" s="0" t="n">
        <f aca="false">IF(ISBLANK(A46),"",SUMIF($A$3:$A46,P$2,$B$3:$B46))</f>
        <v>-1200</v>
      </c>
      <c r="Q46" s="0" t="n">
        <f aca="false">IF(ISBLANK(A46),"",SUMIF($A$3:$A46,Q$2,$B$3:$B46))</f>
        <v>-100</v>
      </c>
      <c r="R46" s="0" t="n">
        <f aca="false">IF(ISBLANK(A46),"",SUMIF($A$3:$A46,R$2,$B$3:$B46))</f>
        <v>0</v>
      </c>
      <c r="T46" s="0" t="n">
        <f aca="false">IF(ISBLANK(A46),"",IF($A46=T$2,$C46,T45))</f>
        <v>44.16</v>
      </c>
      <c r="U46" s="0" t="n">
        <f aca="false">IF(ISBLANK(A46),"",IF($A46=U$2,$C46,U45))</f>
        <v>23.06</v>
      </c>
      <c r="V46" s="0" t="n">
        <f aca="false">IF(ISBLANK(A46),"",IF($A46=V$2,$C46,V45))</f>
        <v>51.24</v>
      </c>
      <c r="W46" s="0" t="n">
        <f aca="false">IF(ISBLANK(A46),"",IF($A46=W$2,$C46,W45))</f>
        <v>0</v>
      </c>
    </row>
    <row r="47" customFormat="false" ht="12.8" hidden="false" customHeight="false" outlineLevel="0" collapsed="false">
      <c r="A47" s="0" t="n">
        <v>980</v>
      </c>
      <c r="B47" s="0" t="n">
        <v>100</v>
      </c>
      <c r="C47" s="0" t="n">
        <v>23.04</v>
      </c>
      <c r="D47" s="0" t="s">
        <v>56</v>
      </c>
      <c r="H47" s="8" t="n">
        <f aca="false">IF(ISBLANK(D47),,LEFT(D47,LEN(D47)-6)*1)</f>
        <v>38720.6836226852</v>
      </c>
      <c r="I47" s="9" t="n">
        <f aca="false">IF(ISBLANK(A47),"",-B47*C47)</f>
        <v>-2304</v>
      </c>
      <c r="J47" s="9" t="n">
        <f aca="false">IF(ISBLANK(A47),"",-SUM(I$3:I47))</f>
        <v>-30259.6621212121</v>
      </c>
      <c r="K47" s="0" t="n">
        <f aca="false">IF(ISBLANK(A47),"",SUMPRODUCT(O47:R47,T47:W47)-J47)</f>
        <v>-208.33787878789</v>
      </c>
      <c r="L47" s="0" t="n">
        <f aca="false">IF(ISBLANK(A47),"",K47/$M$1)</f>
        <v>-0.00347229797979817</v>
      </c>
      <c r="M47" s="0" t="n">
        <f aca="false">IF(ISBLANK(A47),"",K47/($M$1+SUM(K$3:K46)))</f>
        <v>-0.00372191144864509</v>
      </c>
      <c r="N47" s="0" t="n">
        <f aca="false">IF(ISBLANK(A47),"",IF(H48=0,NETWORKDAYS($H$3,H47,holiday!$B$2:$B$10),IF(DAY(H47)&lt;DAY(H48),NETWORKDAYS($H$3,H47,holiday!$B$2:$B$10),0)))</f>
        <v>0</v>
      </c>
      <c r="O47" s="0" t="n">
        <f aca="false">IF(ISBLANK(A47),"",SUMIF($A$3:$A47,O$2,$B$3:$B47))</f>
        <v>0</v>
      </c>
      <c r="P47" s="0" t="n">
        <f aca="false">IF(ISBLANK(A47),"",SUMIF($A$3:$A47,P$2,$B$3:$B47))</f>
        <v>-1100</v>
      </c>
      <c r="Q47" s="0" t="n">
        <f aca="false">IF(ISBLANK(A47),"",SUMIF($A$3:$A47,Q$2,$B$3:$B47))</f>
        <v>-100</v>
      </c>
      <c r="R47" s="0" t="n">
        <f aca="false">IF(ISBLANK(A47),"",SUMIF($A$3:$A47,R$2,$B$3:$B47))</f>
        <v>0</v>
      </c>
      <c r="T47" s="0" t="n">
        <f aca="false">IF(ISBLANK(A47),"",IF($A47=T$2,$C47,T46))</f>
        <v>44.16</v>
      </c>
      <c r="U47" s="0" t="n">
        <f aca="false">IF(ISBLANK(A47),"",IF($A47=U$2,$C47,U46))</f>
        <v>23.04</v>
      </c>
      <c r="V47" s="0" t="n">
        <f aca="false">IF(ISBLANK(A47),"",IF($A47=V$2,$C47,V46))</f>
        <v>51.24</v>
      </c>
      <c r="W47" s="0" t="n">
        <f aca="false">IF(ISBLANK(A47),"",IF($A47=W$2,$C47,W46))</f>
        <v>0</v>
      </c>
    </row>
    <row r="48" customFormat="false" ht="12.8" hidden="false" customHeight="false" outlineLevel="0" collapsed="false">
      <c r="A48" s="0" t="n">
        <v>980</v>
      </c>
      <c r="B48" s="0" t="n">
        <v>-100</v>
      </c>
      <c r="C48" s="0" t="n">
        <v>23.04</v>
      </c>
      <c r="D48" s="0" t="s">
        <v>57</v>
      </c>
      <c r="H48" s="8" t="n">
        <f aca="false">IF(ISBLANK(D48),,LEFT(D48,LEN(D48)-6)*1)</f>
        <v>38720.6854398148</v>
      </c>
      <c r="I48" s="9" t="n">
        <f aca="false">IF(ISBLANK(A48),"",-B48*C48)</f>
        <v>2304</v>
      </c>
      <c r="J48" s="9" t="n">
        <f aca="false">IF(ISBLANK(A48),"",-SUM(I$3:I48))</f>
        <v>-32563.6621212121</v>
      </c>
      <c r="K48" s="0" t="n">
        <f aca="false">IF(ISBLANK(A48),"",SUMPRODUCT(O48:R48,T48:W48)-J48)</f>
        <v>-208.33787878789</v>
      </c>
      <c r="L48" s="0" t="n">
        <f aca="false">IF(ISBLANK(A48),"",K48/$M$1)</f>
        <v>-0.00347229797979817</v>
      </c>
      <c r="M48" s="0" t="n">
        <f aca="false">IF(ISBLANK(A48),"",K48/($M$1+SUM(K$3:K47)))</f>
        <v>-0.0037358158243317</v>
      </c>
      <c r="N48" s="0" t="n">
        <f aca="false">IF(ISBLANK(A48),"",IF(H49=0,NETWORKDAYS($H$3,H48,holiday!$B$2:$B$10),IF(DAY(H48)&lt;DAY(H49),NETWORKDAYS($H$3,H48,holiday!$B$2:$B$10),0)))</f>
        <v>0</v>
      </c>
      <c r="O48" s="0" t="n">
        <f aca="false">IF(ISBLANK(A48),"",SUMIF($A$3:$A48,O$2,$B$3:$B48))</f>
        <v>0</v>
      </c>
      <c r="P48" s="0" t="n">
        <f aca="false">IF(ISBLANK(A48),"",SUMIF($A$3:$A48,P$2,$B$3:$B48))</f>
        <v>-1200</v>
      </c>
      <c r="Q48" s="0" t="n">
        <f aca="false">IF(ISBLANK(A48),"",SUMIF($A$3:$A48,Q$2,$B$3:$B48))</f>
        <v>-100</v>
      </c>
      <c r="R48" s="0" t="n">
        <f aca="false">IF(ISBLANK(A48),"",SUMIF($A$3:$A48,R$2,$B$3:$B48))</f>
        <v>0</v>
      </c>
      <c r="T48" s="0" t="n">
        <f aca="false">IF(ISBLANK(A48),"",IF($A48=T$2,$C48,T47))</f>
        <v>44.16</v>
      </c>
      <c r="U48" s="0" t="n">
        <f aca="false">IF(ISBLANK(A48),"",IF($A48=U$2,$C48,U47))</f>
        <v>23.04</v>
      </c>
      <c r="V48" s="0" t="n">
        <f aca="false">IF(ISBLANK(A48),"",IF($A48=V$2,$C48,V47))</f>
        <v>51.24</v>
      </c>
      <c r="W48" s="0" t="n">
        <f aca="false">IF(ISBLANK(A48),"",IF($A48=W$2,$C48,W47))</f>
        <v>0</v>
      </c>
    </row>
    <row r="49" customFormat="false" ht="12.8" hidden="false" customHeight="false" outlineLevel="0" collapsed="false">
      <c r="A49" s="0" t="n">
        <v>8370</v>
      </c>
      <c r="B49" s="0" t="n">
        <v>100</v>
      </c>
      <c r="C49" s="0" t="n">
        <v>44.2775</v>
      </c>
      <c r="D49" s="0" t="s">
        <v>58</v>
      </c>
      <c r="H49" s="8" t="n">
        <f aca="false">IF(ISBLANK(D49),,LEFT(D49,LEN(D49)-6)*1)</f>
        <v>38720.691087963</v>
      </c>
      <c r="I49" s="9" t="n">
        <f aca="false">IF(ISBLANK(A49),"",-B49*C49)</f>
        <v>-4427.75</v>
      </c>
      <c r="J49" s="9" t="n">
        <f aca="false">IF(ISBLANK(A49),"",-SUM(I$3:I49))</f>
        <v>-28135.9121212121</v>
      </c>
      <c r="K49" s="0" t="n">
        <f aca="false">IF(ISBLANK(A49),"",SUMPRODUCT(O49:R49,T49:W49)-J49)</f>
        <v>-208.33787878789</v>
      </c>
      <c r="L49" s="0" t="n">
        <f aca="false">IF(ISBLANK(A49),"",K49/$M$1)</f>
        <v>-0.00347229797979817</v>
      </c>
      <c r="M49" s="0" t="n">
        <f aca="false">IF(ISBLANK(A49),"",K49/($M$1+SUM(K$3:K48)))</f>
        <v>-0.00374982447795491</v>
      </c>
      <c r="N49" s="0" t="n">
        <f aca="false">IF(ISBLANK(A49),"",IF(H50=0,NETWORKDAYS($H$3,H49,holiday!$B$2:$B$10),IF(DAY(H49)&lt;DAY(H50),NETWORKDAYS($H$3,H49,holiday!$B$2:$B$10),0)))</f>
        <v>0</v>
      </c>
      <c r="O49" s="0" t="n">
        <f aca="false">IF(ISBLANK(A49),"",SUMIF($A$3:$A49,O$2,$B$3:$B49))</f>
        <v>100</v>
      </c>
      <c r="P49" s="0" t="n">
        <f aca="false">IF(ISBLANK(A49),"",SUMIF($A$3:$A49,P$2,$B$3:$B49))</f>
        <v>-1200</v>
      </c>
      <c r="Q49" s="0" t="n">
        <f aca="false">IF(ISBLANK(A49),"",SUMIF($A$3:$A49,Q$2,$B$3:$B49))</f>
        <v>-100</v>
      </c>
      <c r="R49" s="0" t="n">
        <f aca="false">IF(ISBLANK(A49),"",SUMIF($A$3:$A49,R$2,$B$3:$B49))</f>
        <v>0</v>
      </c>
      <c r="T49" s="0" t="n">
        <f aca="false">IF(ISBLANK(A49),"",IF($A49=T$2,$C49,T48))</f>
        <v>44.2775</v>
      </c>
      <c r="U49" s="0" t="n">
        <f aca="false">IF(ISBLANK(A49),"",IF($A49=U$2,$C49,U48))</f>
        <v>23.04</v>
      </c>
      <c r="V49" s="0" t="n">
        <f aca="false">IF(ISBLANK(A49),"",IF($A49=V$2,$C49,V48))</f>
        <v>51.24</v>
      </c>
      <c r="W49" s="0" t="n">
        <f aca="false">IF(ISBLANK(A49),"",IF($A49=W$2,$C49,W48))</f>
        <v>0</v>
      </c>
    </row>
    <row r="50" customFormat="false" ht="12.8" hidden="false" customHeight="false" outlineLevel="0" collapsed="false">
      <c r="A50" s="0" t="n">
        <v>679</v>
      </c>
      <c r="B50" s="0" t="n">
        <v>-100</v>
      </c>
      <c r="C50" s="0" t="n">
        <v>51.29</v>
      </c>
      <c r="D50" s="0" t="s">
        <v>59</v>
      </c>
      <c r="H50" s="8" t="n">
        <f aca="false">IF(ISBLANK(D50),,LEFT(D50,LEN(D50)-6)*1)</f>
        <v>38720.6944675926</v>
      </c>
      <c r="I50" s="9" t="n">
        <f aca="false">IF(ISBLANK(A50),"",-B50*C50)</f>
        <v>5129</v>
      </c>
      <c r="J50" s="9" t="n">
        <f aca="false">IF(ISBLANK(A50),"",-SUM(I$3:I50))</f>
        <v>-33264.9121212121</v>
      </c>
      <c r="K50" s="0" t="n">
        <f aca="false">IF(ISBLANK(A50),"",SUMPRODUCT(O50:R50,T50:W50)-J50)</f>
        <v>-213.33787878789</v>
      </c>
      <c r="L50" s="0" t="n">
        <f aca="false">IF(ISBLANK(A50),"",K50/$M$1)</f>
        <v>-0.0035556313131315</v>
      </c>
      <c r="M50" s="0" t="n">
        <f aca="false">IF(ISBLANK(A50),"",K50/($M$1+SUM(K$3:K49)))</f>
        <v>-0.0038542711421979</v>
      </c>
      <c r="N50" s="0" t="n">
        <f aca="false">IF(ISBLANK(A50),"",IF(H51=0,NETWORKDAYS($H$3,H50,holiday!$B$2:$B$10),IF(DAY(H50)&lt;DAY(H51),NETWORKDAYS($H$3,H50,holiday!$B$2:$B$10),0)))</f>
        <v>0</v>
      </c>
      <c r="O50" s="0" t="n">
        <f aca="false">IF(ISBLANK(A50),"",SUMIF($A$3:$A50,O$2,$B$3:$B50))</f>
        <v>100</v>
      </c>
      <c r="P50" s="0" t="n">
        <f aca="false">IF(ISBLANK(A50),"",SUMIF($A$3:$A50,P$2,$B$3:$B50))</f>
        <v>-1200</v>
      </c>
      <c r="Q50" s="0" t="n">
        <f aca="false">IF(ISBLANK(A50),"",SUMIF($A$3:$A50,Q$2,$B$3:$B50))</f>
        <v>-200</v>
      </c>
      <c r="R50" s="0" t="n">
        <f aca="false">IF(ISBLANK(A50),"",SUMIF($A$3:$A50,R$2,$B$3:$B50))</f>
        <v>0</v>
      </c>
      <c r="T50" s="0" t="n">
        <f aca="false">IF(ISBLANK(A50),"",IF($A50=T$2,$C50,T49))</f>
        <v>44.2775</v>
      </c>
      <c r="U50" s="0" t="n">
        <f aca="false">IF(ISBLANK(A50),"",IF($A50=U$2,$C50,U49))</f>
        <v>23.04</v>
      </c>
      <c r="V50" s="0" t="n">
        <f aca="false">IF(ISBLANK(A50),"",IF($A50=V$2,$C50,V49))</f>
        <v>51.29</v>
      </c>
      <c r="W50" s="0" t="n">
        <f aca="false">IF(ISBLANK(A50),"",IF($A50=W$2,$C50,W49))</f>
        <v>0</v>
      </c>
    </row>
    <row r="51" customFormat="false" ht="12.8" hidden="false" customHeight="false" outlineLevel="0" collapsed="false">
      <c r="A51" s="0" t="n">
        <v>679</v>
      </c>
      <c r="B51" s="0" t="n">
        <v>-100</v>
      </c>
      <c r="C51" s="0" t="n">
        <v>51.22</v>
      </c>
      <c r="D51" s="0" t="s">
        <v>60</v>
      </c>
      <c r="H51" s="8" t="n">
        <f aca="false">IF(ISBLANK(D51),,LEFT(D51,LEN(D51)-6)*1)</f>
        <v>38720.701412037</v>
      </c>
      <c r="I51" s="9" t="n">
        <f aca="false">IF(ISBLANK(A51),"",-B51*C51)</f>
        <v>5122</v>
      </c>
      <c r="J51" s="9" t="n">
        <f aca="false">IF(ISBLANK(A51),"",-SUM(I$3:I51))</f>
        <v>-38386.9121212121</v>
      </c>
      <c r="K51" s="0" t="n">
        <f aca="false">IF(ISBLANK(A51),"",SUMPRODUCT(O51:R51,T51:W51)-J51)</f>
        <v>-199.33787878789</v>
      </c>
      <c r="L51" s="0" t="n">
        <f aca="false">IF(ISBLANK(A51),"",K51/$M$1)</f>
        <v>-0.00332229797979817</v>
      </c>
      <c r="M51" s="0" t="n">
        <f aca="false">IF(ISBLANK(A51),"",K51/($M$1+SUM(K$3:K50)))</f>
        <v>-0.00361527423480363</v>
      </c>
      <c r="N51" s="0" t="n">
        <f aca="false">IF(ISBLANK(A51),"",IF(H52=0,NETWORKDAYS($H$3,H51,holiday!$B$2:$B$10),IF(DAY(H51)&lt;DAY(H52),NETWORKDAYS($H$3,H51,holiday!$B$2:$B$10),0)))</f>
        <v>0</v>
      </c>
      <c r="O51" s="0" t="n">
        <f aca="false">IF(ISBLANK(A51),"",SUMIF($A$3:$A51,O$2,$B$3:$B51))</f>
        <v>100</v>
      </c>
      <c r="P51" s="0" t="n">
        <f aca="false">IF(ISBLANK(A51),"",SUMIF($A$3:$A51,P$2,$B$3:$B51))</f>
        <v>-1200</v>
      </c>
      <c r="Q51" s="0" t="n">
        <f aca="false">IF(ISBLANK(A51),"",SUMIF($A$3:$A51,Q$2,$B$3:$B51))</f>
        <v>-300</v>
      </c>
      <c r="R51" s="0" t="n">
        <f aca="false">IF(ISBLANK(A51),"",SUMIF($A$3:$A51,R$2,$B$3:$B51))</f>
        <v>0</v>
      </c>
      <c r="T51" s="0" t="n">
        <f aca="false">IF(ISBLANK(A51),"",IF($A51=T$2,$C51,T50))</f>
        <v>44.2775</v>
      </c>
      <c r="U51" s="0" t="n">
        <f aca="false">IF(ISBLANK(A51),"",IF($A51=U$2,$C51,U50))</f>
        <v>23.04</v>
      </c>
      <c r="V51" s="0" t="n">
        <f aca="false">IF(ISBLANK(A51),"",IF($A51=V$2,$C51,V50))</f>
        <v>51.22</v>
      </c>
      <c r="W51" s="0" t="n">
        <f aca="false">IF(ISBLANK(A51),"",IF($A51=W$2,$C51,W50))</f>
        <v>0</v>
      </c>
    </row>
    <row r="52" customFormat="false" ht="12.8" hidden="false" customHeight="false" outlineLevel="0" collapsed="false">
      <c r="A52" s="0" t="n">
        <v>980</v>
      </c>
      <c r="B52" s="0" t="n">
        <v>100</v>
      </c>
      <c r="C52" s="0" t="n">
        <v>23.01</v>
      </c>
      <c r="D52" s="0" t="s">
        <v>61</v>
      </c>
      <c r="H52" s="8" t="n">
        <f aca="false">IF(ISBLANK(D52),,LEFT(D52,LEN(D52)-6)*1)</f>
        <v>38720.7020949074</v>
      </c>
      <c r="I52" s="9" t="n">
        <f aca="false">IF(ISBLANK(A52),"",-B52*C52)</f>
        <v>-2301</v>
      </c>
      <c r="J52" s="9" t="n">
        <f aca="false">IF(ISBLANK(A52),"",-SUM(I$3:I52))</f>
        <v>-36085.9121212121</v>
      </c>
      <c r="K52" s="0" t="n">
        <f aca="false">IF(ISBLANK(A52),"",SUMPRODUCT(O52:R52,T52:W52)-J52)</f>
        <v>-163.33787878789</v>
      </c>
      <c r="L52" s="0" t="n">
        <f aca="false">IF(ISBLANK(A52),"",K52/$M$1)</f>
        <v>-0.00272229797979817</v>
      </c>
      <c r="M52" s="0" t="n">
        <f aca="false">IF(ISBLANK(A52),"",K52/($M$1+SUM(K$3:K51)))</f>
        <v>-0.00297311195683426</v>
      </c>
      <c r="N52" s="0" t="n">
        <f aca="false">IF(ISBLANK(A52),"",IF(H53=0,NETWORKDAYS($H$3,H52,holiday!$B$2:$B$10),IF(DAY(H52)&lt;DAY(H53),NETWORKDAYS($H$3,H52,holiday!$B$2:$B$10),0)))</f>
        <v>0</v>
      </c>
      <c r="O52" s="0" t="n">
        <f aca="false">IF(ISBLANK(A52),"",SUMIF($A$3:$A52,O$2,$B$3:$B52))</f>
        <v>100</v>
      </c>
      <c r="P52" s="0" t="n">
        <f aca="false">IF(ISBLANK(A52),"",SUMIF($A$3:$A52,P$2,$B$3:$B52))</f>
        <v>-1100</v>
      </c>
      <c r="Q52" s="0" t="n">
        <f aca="false">IF(ISBLANK(A52),"",SUMIF($A$3:$A52,Q$2,$B$3:$B52))</f>
        <v>-300</v>
      </c>
      <c r="R52" s="0" t="n">
        <f aca="false">IF(ISBLANK(A52),"",SUMIF($A$3:$A52,R$2,$B$3:$B52))</f>
        <v>0</v>
      </c>
      <c r="T52" s="0" t="n">
        <f aca="false">IF(ISBLANK(A52),"",IF($A52=T$2,$C52,T51))</f>
        <v>44.2775</v>
      </c>
      <c r="U52" s="0" t="n">
        <f aca="false">IF(ISBLANK(A52),"",IF($A52=U$2,$C52,U51))</f>
        <v>23.01</v>
      </c>
      <c r="V52" s="0" t="n">
        <f aca="false">IF(ISBLANK(A52),"",IF($A52=V$2,$C52,V51))</f>
        <v>51.22</v>
      </c>
      <c r="W52" s="0" t="n">
        <f aca="false">IF(ISBLANK(A52),"",IF($A52=W$2,$C52,W51))</f>
        <v>0</v>
      </c>
    </row>
    <row r="53" customFormat="false" ht="12.8" hidden="false" customHeight="false" outlineLevel="0" collapsed="false">
      <c r="A53" s="0" t="n">
        <v>679</v>
      </c>
      <c r="B53" s="0" t="n">
        <v>100</v>
      </c>
      <c r="C53" s="0" t="n">
        <v>51.133125</v>
      </c>
      <c r="D53" s="0" t="s">
        <v>62</v>
      </c>
      <c r="H53" s="8" t="n">
        <f aca="false">IF(ISBLANK(D53),,LEFT(D53,LEN(D53)-6)*1)</f>
        <v>38720.7070486111</v>
      </c>
      <c r="I53" s="9" t="n">
        <f aca="false">IF(ISBLANK(A53),"",-B53*C53)</f>
        <v>-5113.3125</v>
      </c>
      <c r="J53" s="9" t="n">
        <f aca="false">IF(ISBLANK(A53),"",-SUM(I$3:I53))</f>
        <v>-30972.5996212121</v>
      </c>
      <c r="K53" s="0" t="n">
        <f aca="false">IF(ISBLANK(A53),"",SUMPRODUCT(O53:R53,T53:W53)-J53)</f>
        <v>-137.27537878789</v>
      </c>
      <c r="L53" s="0" t="n">
        <f aca="false">IF(ISBLANK(A53),"",K53/$M$1)</f>
        <v>-0.00228792297979817</v>
      </c>
      <c r="M53" s="0" t="n">
        <f aca="false">IF(ISBLANK(A53),"",K53/($M$1+SUM(K$3:K52)))</f>
        <v>-0.00250616772283758</v>
      </c>
      <c r="N53" s="0" t="n">
        <f aca="false">IF(ISBLANK(A53),"",IF(H54=0,NETWORKDAYS($H$3,H53,holiday!$B$2:$B$10),IF(DAY(H53)&lt;DAY(H54),NETWORKDAYS($H$3,H53,holiday!$B$2:$B$10),0)))</f>
        <v>0</v>
      </c>
      <c r="O53" s="0" t="n">
        <f aca="false">IF(ISBLANK(A53),"",SUMIF($A$3:$A53,O$2,$B$3:$B53))</f>
        <v>100</v>
      </c>
      <c r="P53" s="0" t="n">
        <f aca="false">IF(ISBLANK(A53),"",SUMIF($A$3:$A53,P$2,$B$3:$B53))</f>
        <v>-1100</v>
      </c>
      <c r="Q53" s="0" t="n">
        <f aca="false">IF(ISBLANK(A53),"",SUMIF($A$3:$A53,Q$2,$B$3:$B53))</f>
        <v>-200</v>
      </c>
      <c r="R53" s="0" t="n">
        <f aca="false">IF(ISBLANK(A53),"",SUMIF($A$3:$A53,R$2,$B$3:$B53))</f>
        <v>0</v>
      </c>
      <c r="T53" s="0" t="n">
        <f aca="false">IF(ISBLANK(A53),"",IF($A53=T$2,$C53,T52))</f>
        <v>44.2775</v>
      </c>
      <c r="U53" s="0" t="n">
        <f aca="false">IF(ISBLANK(A53),"",IF($A53=U$2,$C53,U52))</f>
        <v>23.01</v>
      </c>
      <c r="V53" s="0" t="n">
        <f aca="false">IF(ISBLANK(A53),"",IF($A53=V$2,$C53,V52))</f>
        <v>51.133125</v>
      </c>
      <c r="W53" s="0" t="n">
        <f aca="false">IF(ISBLANK(A53),"",IF($A53=W$2,$C53,W52))</f>
        <v>0</v>
      </c>
    </row>
    <row r="54" customFormat="false" ht="12.8" hidden="false" customHeight="false" outlineLevel="0" collapsed="false">
      <c r="A54" s="0" t="n">
        <v>679</v>
      </c>
      <c r="B54" s="0" t="n">
        <v>-100</v>
      </c>
      <c r="C54" s="0" t="n">
        <v>51.255</v>
      </c>
      <c r="D54" s="0" t="s">
        <v>63</v>
      </c>
      <c r="H54" s="8" t="n">
        <f aca="false">IF(ISBLANK(D54),,LEFT(D54,LEN(D54)-6)*1)</f>
        <v>38720.7083680556</v>
      </c>
      <c r="I54" s="9" t="n">
        <f aca="false">IF(ISBLANK(A54),"",-B54*C54)</f>
        <v>5125.5</v>
      </c>
      <c r="J54" s="9" t="n">
        <f aca="false">IF(ISBLANK(A54),"",-SUM(I$3:I54))</f>
        <v>-36098.0996212121</v>
      </c>
      <c r="K54" s="0" t="n">
        <f aca="false">IF(ISBLANK(A54),"",SUMPRODUCT(O54:R54,T54:W54)-J54)</f>
        <v>-161.65037878789</v>
      </c>
      <c r="L54" s="0" t="n">
        <f aca="false">IF(ISBLANK(A54),"",K54/$M$1)</f>
        <v>-0.00269417297979817</v>
      </c>
      <c r="M54" s="0" t="n">
        <f aca="false">IF(ISBLANK(A54),"",K54/($M$1+SUM(K$3:K53)))</f>
        <v>-0.00295858457867387</v>
      </c>
      <c r="N54" s="0" t="n">
        <f aca="false">IF(ISBLANK(A54),"",IF(H55=0,NETWORKDAYS($H$3,H54,holiday!$B$2:$B$10),IF(DAY(H54)&lt;DAY(H55),NETWORKDAYS($H$3,H54,holiday!$B$2:$B$10),0)))</f>
        <v>0</v>
      </c>
      <c r="O54" s="0" t="n">
        <f aca="false">IF(ISBLANK(A54),"",SUMIF($A$3:$A54,O$2,$B$3:$B54))</f>
        <v>100</v>
      </c>
      <c r="P54" s="0" t="n">
        <f aca="false">IF(ISBLANK(A54),"",SUMIF($A$3:$A54,P$2,$B$3:$B54))</f>
        <v>-1100</v>
      </c>
      <c r="Q54" s="0" t="n">
        <f aca="false">IF(ISBLANK(A54),"",SUMIF($A$3:$A54,Q$2,$B$3:$B54))</f>
        <v>-300</v>
      </c>
      <c r="R54" s="0" t="n">
        <f aca="false">IF(ISBLANK(A54),"",SUMIF($A$3:$A54,R$2,$B$3:$B54))</f>
        <v>0</v>
      </c>
      <c r="T54" s="0" t="n">
        <f aca="false">IF(ISBLANK(A54),"",IF($A54=T$2,$C54,T53))</f>
        <v>44.2775</v>
      </c>
      <c r="U54" s="0" t="n">
        <f aca="false">IF(ISBLANK(A54),"",IF($A54=U$2,$C54,U53))</f>
        <v>23.01</v>
      </c>
      <c r="V54" s="0" t="n">
        <f aca="false">IF(ISBLANK(A54),"",IF($A54=V$2,$C54,V53))</f>
        <v>51.255</v>
      </c>
      <c r="W54" s="0" t="n">
        <f aca="false">IF(ISBLANK(A54),"",IF($A54=W$2,$C54,W53))</f>
        <v>0</v>
      </c>
    </row>
    <row r="55" customFormat="false" ht="12.8" hidden="false" customHeight="false" outlineLevel="0" collapsed="false">
      <c r="A55" s="0" t="n">
        <v>8370</v>
      </c>
      <c r="B55" s="0" t="n">
        <v>100</v>
      </c>
      <c r="C55" s="0" t="n">
        <v>44.35</v>
      </c>
      <c r="D55" s="0" t="s">
        <v>64</v>
      </c>
      <c r="H55" s="8" t="n">
        <f aca="false">IF(ISBLANK(D55),,LEFT(D55,LEN(D55)-6)*1)</f>
        <v>38720.7118171296</v>
      </c>
      <c r="I55" s="9" t="n">
        <f aca="false">IF(ISBLANK(A55),"",-B55*C55)</f>
        <v>-4435</v>
      </c>
      <c r="J55" s="9" t="n">
        <f aca="false">IF(ISBLANK(A55),"",-SUM(I$3:I55))</f>
        <v>-31663.0996212121</v>
      </c>
      <c r="K55" s="0" t="n">
        <f aca="false">IF(ISBLANK(A55),"",SUMPRODUCT(O55:R55,T55:W55)-J55)</f>
        <v>-154.40037878789</v>
      </c>
      <c r="L55" s="0" t="n">
        <f aca="false">IF(ISBLANK(A55),"",K55/$M$1)</f>
        <v>-0.00257333964646483</v>
      </c>
      <c r="M55" s="0" t="n">
        <f aca="false">IF(ISBLANK(A55),"",K55/($M$1+SUM(K$3:K54)))</f>
        <v>-0.00283427786779989</v>
      </c>
      <c r="N55" s="0" t="n">
        <f aca="false">IF(ISBLANK(A55),"",IF(H56=0,NETWORKDAYS($H$3,H55,holiday!$B$2:$B$10),IF(DAY(H55)&lt;DAY(H56),NETWORKDAYS($H$3,H55,holiday!$B$2:$B$10),0)))</f>
        <v>0</v>
      </c>
      <c r="O55" s="0" t="n">
        <f aca="false">IF(ISBLANK(A55),"",SUMIF($A$3:$A55,O$2,$B$3:$B55))</f>
        <v>200</v>
      </c>
      <c r="P55" s="0" t="n">
        <f aca="false">IF(ISBLANK(A55),"",SUMIF($A$3:$A55,P$2,$B$3:$B55))</f>
        <v>-1100</v>
      </c>
      <c r="Q55" s="0" t="n">
        <f aca="false">IF(ISBLANK(A55),"",SUMIF($A$3:$A55,Q$2,$B$3:$B55))</f>
        <v>-300</v>
      </c>
      <c r="R55" s="0" t="n">
        <f aca="false">IF(ISBLANK(A55),"",SUMIF($A$3:$A55,R$2,$B$3:$B55))</f>
        <v>0</v>
      </c>
      <c r="T55" s="0" t="n">
        <f aca="false">IF(ISBLANK(A55),"",IF($A55=T$2,$C55,T54))</f>
        <v>44.35</v>
      </c>
      <c r="U55" s="0" t="n">
        <f aca="false">IF(ISBLANK(A55),"",IF($A55=U$2,$C55,U54))</f>
        <v>23.01</v>
      </c>
      <c r="V55" s="0" t="n">
        <f aca="false">IF(ISBLANK(A55),"",IF($A55=V$2,$C55,V54))</f>
        <v>51.255</v>
      </c>
      <c r="W55" s="0" t="n">
        <f aca="false">IF(ISBLANK(A55),"",IF($A55=W$2,$C55,W54))</f>
        <v>0</v>
      </c>
    </row>
    <row r="56" customFormat="false" ht="12.8" hidden="false" customHeight="false" outlineLevel="0" collapsed="false">
      <c r="A56" s="0" t="n">
        <v>980</v>
      </c>
      <c r="B56" s="0" t="n">
        <v>100</v>
      </c>
      <c r="C56" s="0" t="n">
        <v>23.03</v>
      </c>
      <c r="D56" s="0" t="s">
        <v>65</v>
      </c>
      <c r="H56" s="8" t="n">
        <f aca="false">IF(ISBLANK(D56),,LEFT(D56,LEN(D56)-6)*1)</f>
        <v>38720.711875</v>
      </c>
      <c r="I56" s="9" t="n">
        <f aca="false">IF(ISBLANK(A56),"",-B56*C56)</f>
        <v>-2303</v>
      </c>
      <c r="J56" s="9" t="n">
        <f aca="false">IF(ISBLANK(A56),"",-SUM(I$3:I56))</f>
        <v>-29360.0996212121</v>
      </c>
      <c r="K56" s="0" t="n">
        <f aca="false">IF(ISBLANK(A56),"",SUMPRODUCT(O56:R56,T56:W56)-J56)</f>
        <v>-176.40037878789</v>
      </c>
      <c r="L56" s="0" t="n">
        <f aca="false">IF(ISBLANK(A56),"",K56/$M$1)</f>
        <v>-0.0029400063131315</v>
      </c>
      <c r="M56" s="0" t="n">
        <f aca="false">IF(ISBLANK(A56),"",K56/($M$1+SUM(K$3:K55)))</f>
        <v>-0.00324732859132002</v>
      </c>
      <c r="N56" s="0" t="n">
        <f aca="false">IF(ISBLANK(A56),"",IF(H57=0,NETWORKDAYS($H$3,H56,holiday!$B$2:$B$10),IF(DAY(H56)&lt;DAY(H57),NETWORKDAYS($H$3,H56,holiday!$B$2:$B$10),0)))</f>
        <v>0</v>
      </c>
      <c r="O56" s="0" t="n">
        <f aca="false">IF(ISBLANK(A56),"",SUMIF($A$3:$A56,O$2,$B$3:$B56))</f>
        <v>200</v>
      </c>
      <c r="P56" s="0" t="n">
        <f aca="false">IF(ISBLANK(A56),"",SUMIF($A$3:$A56,P$2,$B$3:$B56))</f>
        <v>-1000</v>
      </c>
      <c r="Q56" s="0" t="n">
        <f aca="false">IF(ISBLANK(A56),"",SUMIF($A$3:$A56,Q$2,$B$3:$B56))</f>
        <v>-300</v>
      </c>
      <c r="R56" s="0" t="n">
        <f aca="false">IF(ISBLANK(A56),"",SUMIF($A$3:$A56,R$2,$B$3:$B56))</f>
        <v>0</v>
      </c>
      <c r="T56" s="0" t="n">
        <f aca="false">IF(ISBLANK(A56),"",IF($A56=T$2,$C56,T55))</f>
        <v>44.35</v>
      </c>
      <c r="U56" s="0" t="n">
        <f aca="false">IF(ISBLANK(A56),"",IF($A56=U$2,$C56,U55))</f>
        <v>23.03</v>
      </c>
      <c r="V56" s="0" t="n">
        <f aca="false">IF(ISBLANK(A56),"",IF($A56=V$2,$C56,V55))</f>
        <v>51.255</v>
      </c>
      <c r="W56" s="0" t="n">
        <f aca="false">IF(ISBLANK(A56),"",IF($A56=W$2,$C56,W55))</f>
        <v>0</v>
      </c>
    </row>
    <row r="57" customFormat="false" ht="12.8" hidden="false" customHeight="false" outlineLevel="0" collapsed="false">
      <c r="A57" s="0" t="n">
        <v>679</v>
      </c>
      <c r="B57" s="0" t="n">
        <v>100</v>
      </c>
      <c r="C57" s="0" t="n">
        <v>51.2</v>
      </c>
      <c r="D57" s="0" t="s">
        <v>66</v>
      </c>
      <c r="H57" s="8" t="n">
        <f aca="false">IF(ISBLANK(D57),,LEFT(D57,LEN(D57)-6)*1)</f>
        <v>38720.7121759259</v>
      </c>
      <c r="I57" s="9" t="n">
        <f aca="false">IF(ISBLANK(A57),"",-B57*C57)</f>
        <v>-5120</v>
      </c>
      <c r="J57" s="9" t="n">
        <f aca="false">IF(ISBLANK(A57),"",-SUM(I$3:I57))</f>
        <v>-24240.0996212121</v>
      </c>
      <c r="K57" s="0" t="n">
        <f aca="false">IF(ISBLANK(A57),"",SUMPRODUCT(O57:R57,T57:W57)-J57)</f>
        <v>-159.90037878789</v>
      </c>
      <c r="L57" s="0" t="n">
        <f aca="false">IF(ISBLANK(A57),"",K57/$M$1)</f>
        <v>-0.0026650063131315</v>
      </c>
      <c r="M57" s="0" t="n">
        <f aca="false">IF(ISBLANK(A57),"",K57/($M$1+SUM(K$3:K56)))</f>
        <v>-0.00295317244289283</v>
      </c>
      <c r="N57" s="0" t="n">
        <f aca="false">IF(ISBLANK(A57),"",IF(H58=0,NETWORKDAYS($H$3,H57,holiday!$B$2:$B$10),IF(DAY(H57)&lt;DAY(H58),NETWORKDAYS($H$3,H57,holiday!$B$2:$B$10),0)))</f>
        <v>0</v>
      </c>
      <c r="O57" s="0" t="n">
        <f aca="false">IF(ISBLANK(A57),"",SUMIF($A$3:$A57,O$2,$B$3:$B57))</f>
        <v>200</v>
      </c>
      <c r="P57" s="0" t="n">
        <f aca="false">IF(ISBLANK(A57),"",SUMIF($A$3:$A57,P$2,$B$3:$B57))</f>
        <v>-1000</v>
      </c>
      <c r="Q57" s="0" t="n">
        <f aca="false">IF(ISBLANK(A57),"",SUMIF($A$3:$A57,Q$2,$B$3:$B57))</f>
        <v>-200</v>
      </c>
      <c r="R57" s="0" t="n">
        <f aca="false">IF(ISBLANK(A57),"",SUMIF($A$3:$A57,R$2,$B$3:$B57))</f>
        <v>0</v>
      </c>
      <c r="T57" s="0" t="n">
        <f aca="false">IF(ISBLANK(A57),"",IF($A57=T$2,$C57,T56))</f>
        <v>44.35</v>
      </c>
      <c r="U57" s="0" t="n">
        <f aca="false">IF(ISBLANK(A57),"",IF($A57=U$2,$C57,U56))</f>
        <v>23.03</v>
      </c>
      <c r="V57" s="0" t="n">
        <f aca="false">IF(ISBLANK(A57),"",IF($A57=V$2,$C57,V56))</f>
        <v>51.2</v>
      </c>
      <c r="W57" s="0" t="n">
        <f aca="false">IF(ISBLANK(A57),"",IF($A57=W$2,$C57,W56))</f>
        <v>0</v>
      </c>
    </row>
    <row r="58" customFormat="false" ht="12.8" hidden="false" customHeight="false" outlineLevel="0" collapsed="false">
      <c r="A58" s="0" t="n">
        <v>980</v>
      </c>
      <c r="B58" s="0" t="n">
        <v>100</v>
      </c>
      <c r="C58" s="0" t="n">
        <v>23.03</v>
      </c>
      <c r="D58" s="0" t="s">
        <v>67</v>
      </c>
      <c r="H58" s="8" t="n">
        <f aca="false">IF(ISBLANK(D58),,LEFT(D58,LEN(D58)-6)*1)</f>
        <v>38720.7208333333</v>
      </c>
      <c r="I58" s="9" t="n">
        <f aca="false">IF(ISBLANK(A58),"",-B58*C58)</f>
        <v>-2303</v>
      </c>
      <c r="J58" s="9" t="n">
        <f aca="false">IF(ISBLANK(A58),"",-SUM(I$3:I58))</f>
        <v>-21937.0996212121</v>
      </c>
      <c r="K58" s="0" t="n">
        <f aca="false">IF(ISBLANK(A58),"",SUMPRODUCT(O58:R58,T58:W58)-J58)</f>
        <v>-159.90037878789</v>
      </c>
      <c r="L58" s="0" t="n">
        <f aca="false">IF(ISBLANK(A58),"",K58/$M$1)</f>
        <v>-0.0026650063131315</v>
      </c>
      <c r="M58" s="0" t="n">
        <f aca="false">IF(ISBLANK(A58),"",K58/($M$1+SUM(K$3:K57)))</f>
        <v>-0.00296191950194404</v>
      </c>
      <c r="N58" s="0" t="n">
        <f aca="false">IF(ISBLANK(A58),"",IF(H59=0,NETWORKDAYS($H$3,H58,holiday!$B$2:$B$10),IF(DAY(H58)&lt;DAY(H59),NETWORKDAYS($H$3,H58,holiday!$B$2:$B$10),0)))</f>
        <v>0</v>
      </c>
      <c r="O58" s="0" t="n">
        <f aca="false">IF(ISBLANK(A58),"",SUMIF($A$3:$A58,O$2,$B$3:$B58))</f>
        <v>200</v>
      </c>
      <c r="P58" s="0" t="n">
        <f aca="false">IF(ISBLANK(A58),"",SUMIF($A$3:$A58,P$2,$B$3:$B58))</f>
        <v>-900</v>
      </c>
      <c r="Q58" s="0" t="n">
        <f aca="false">IF(ISBLANK(A58),"",SUMIF($A$3:$A58,Q$2,$B$3:$B58))</f>
        <v>-200</v>
      </c>
      <c r="R58" s="0" t="n">
        <f aca="false">IF(ISBLANK(A58),"",SUMIF($A$3:$A58,R$2,$B$3:$B58))</f>
        <v>0</v>
      </c>
      <c r="T58" s="0" t="n">
        <f aca="false">IF(ISBLANK(A58),"",IF($A58=T$2,$C58,T57))</f>
        <v>44.35</v>
      </c>
      <c r="U58" s="0" t="n">
        <f aca="false">IF(ISBLANK(A58),"",IF($A58=U$2,$C58,U57))</f>
        <v>23.03</v>
      </c>
      <c r="V58" s="0" t="n">
        <f aca="false">IF(ISBLANK(A58),"",IF($A58=V$2,$C58,V57))</f>
        <v>51.2</v>
      </c>
      <c r="W58" s="0" t="n">
        <f aca="false">IF(ISBLANK(A58),"",IF($A58=W$2,$C58,W57))</f>
        <v>0</v>
      </c>
    </row>
    <row r="59" customFormat="false" ht="12.8" hidden="false" customHeight="false" outlineLevel="0" collapsed="false">
      <c r="A59" s="0" t="n">
        <v>679</v>
      </c>
      <c r="B59" s="0" t="n">
        <v>100</v>
      </c>
      <c r="C59" s="0" t="n">
        <v>51.16</v>
      </c>
      <c r="D59" s="0" t="s">
        <v>68</v>
      </c>
      <c r="H59" s="8" t="n">
        <f aca="false">IF(ISBLANK(D59),,LEFT(D59,LEN(D59)-6)*1)</f>
        <v>38720.7272800926</v>
      </c>
      <c r="I59" s="9" t="n">
        <f aca="false">IF(ISBLANK(A59),"",-B59*C59)</f>
        <v>-5116</v>
      </c>
      <c r="J59" s="9" t="n">
        <f aca="false">IF(ISBLANK(A59),"",-SUM(I$3:I59))</f>
        <v>-16821.0996212121</v>
      </c>
      <c r="K59" s="0" t="n">
        <f aca="false">IF(ISBLANK(A59),"",SUMPRODUCT(O59:R59,T59:W59)-J59)</f>
        <v>-151.90037878789</v>
      </c>
      <c r="L59" s="0" t="n">
        <f aca="false">IF(ISBLANK(A59),"",K59/$M$1)</f>
        <v>-0.00253167297979817</v>
      </c>
      <c r="M59" s="0" t="n">
        <f aca="false">IF(ISBLANK(A59),"",K59/($M$1+SUM(K$3:K58)))</f>
        <v>-0.00282209006361575</v>
      </c>
      <c r="N59" s="0" t="n">
        <f aca="false">IF(ISBLANK(A59),"",IF(H60=0,NETWORKDAYS($H$3,H59,holiday!$B$2:$B$10),IF(DAY(H59)&lt;DAY(H60),NETWORKDAYS($H$3,H59,holiday!$B$2:$B$10),0)))</f>
        <v>0</v>
      </c>
      <c r="O59" s="0" t="n">
        <f aca="false">IF(ISBLANK(A59),"",SUMIF($A$3:$A59,O$2,$B$3:$B59))</f>
        <v>200</v>
      </c>
      <c r="P59" s="0" t="n">
        <f aca="false">IF(ISBLANK(A59),"",SUMIF($A$3:$A59,P$2,$B$3:$B59))</f>
        <v>-900</v>
      </c>
      <c r="Q59" s="0" t="n">
        <f aca="false">IF(ISBLANK(A59),"",SUMIF($A$3:$A59,Q$2,$B$3:$B59))</f>
        <v>-100</v>
      </c>
      <c r="R59" s="0" t="n">
        <f aca="false">IF(ISBLANK(A59),"",SUMIF($A$3:$A59,R$2,$B$3:$B59))</f>
        <v>0</v>
      </c>
      <c r="T59" s="0" t="n">
        <f aca="false">IF(ISBLANK(A59),"",IF($A59=T$2,$C59,T58))</f>
        <v>44.35</v>
      </c>
      <c r="U59" s="0" t="n">
        <f aca="false">IF(ISBLANK(A59),"",IF($A59=U$2,$C59,U58))</f>
        <v>23.03</v>
      </c>
      <c r="V59" s="0" t="n">
        <f aca="false">IF(ISBLANK(A59),"",IF($A59=V$2,$C59,V58))</f>
        <v>51.16</v>
      </c>
      <c r="W59" s="0" t="n">
        <f aca="false">IF(ISBLANK(A59),"",IF($A59=W$2,$C59,W58))</f>
        <v>0</v>
      </c>
    </row>
    <row r="60" customFormat="false" ht="12.8" hidden="false" customHeight="false" outlineLevel="0" collapsed="false">
      <c r="A60" s="0" t="n">
        <v>980</v>
      </c>
      <c r="B60" s="0" t="n">
        <v>100</v>
      </c>
      <c r="C60" s="0" t="n">
        <v>23.03</v>
      </c>
      <c r="D60" s="0" t="s">
        <v>69</v>
      </c>
      <c r="H60" s="8" t="n">
        <f aca="false">IF(ISBLANK(D60),,LEFT(D60,LEN(D60)-6)*1)</f>
        <v>38720.7324305555</v>
      </c>
      <c r="I60" s="9" t="n">
        <f aca="false">IF(ISBLANK(A60),"",-B60*C60)</f>
        <v>-2303</v>
      </c>
      <c r="J60" s="9" t="n">
        <f aca="false">IF(ISBLANK(A60),"",-SUM(I$3:I60))</f>
        <v>-14518.0996212121</v>
      </c>
      <c r="K60" s="0" t="n">
        <f aca="false">IF(ISBLANK(A60),"",SUMPRODUCT(O60:R60,T60:W60)-J60)</f>
        <v>-151.90037878789</v>
      </c>
      <c r="L60" s="0" t="n">
        <f aca="false">IF(ISBLANK(A60),"",K60/$M$1)</f>
        <v>-0.00253167297979817</v>
      </c>
      <c r="M60" s="0" t="n">
        <f aca="false">IF(ISBLANK(A60),"",K60/($M$1+SUM(K$3:K59)))</f>
        <v>-0.0028300767952188</v>
      </c>
      <c r="N60" s="0" t="n">
        <f aca="false">IF(ISBLANK(A60),"",IF(H61=0,NETWORKDAYS($H$3,H60,holiday!$B$2:$B$10),IF(DAY(H60)&lt;DAY(H61),NETWORKDAYS($H$3,H60,holiday!$B$2:$B$10),0)))</f>
        <v>0</v>
      </c>
      <c r="O60" s="0" t="n">
        <f aca="false">IF(ISBLANK(A60),"",SUMIF($A$3:$A60,O$2,$B$3:$B60))</f>
        <v>200</v>
      </c>
      <c r="P60" s="0" t="n">
        <f aca="false">IF(ISBLANK(A60),"",SUMIF($A$3:$A60,P$2,$B$3:$B60))</f>
        <v>-800</v>
      </c>
      <c r="Q60" s="0" t="n">
        <f aca="false">IF(ISBLANK(A60),"",SUMIF($A$3:$A60,Q$2,$B$3:$B60))</f>
        <v>-100</v>
      </c>
      <c r="R60" s="0" t="n">
        <f aca="false">IF(ISBLANK(A60),"",SUMIF($A$3:$A60,R$2,$B$3:$B60))</f>
        <v>0</v>
      </c>
      <c r="T60" s="0" t="n">
        <f aca="false">IF(ISBLANK(A60),"",IF($A60=T$2,$C60,T59))</f>
        <v>44.35</v>
      </c>
      <c r="U60" s="0" t="n">
        <f aca="false">IF(ISBLANK(A60),"",IF($A60=U$2,$C60,U59))</f>
        <v>23.03</v>
      </c>
      <c r="V60" s="0" t="n">
        <f aca="false">IF(ISBLANK(A60),"",IF($A60=V$2,$C60,V59))</f>
        <v>51.16</v>
      </c>
      <c r="W60" s="0" t="n">
        <f aca="false">IF(ISBLANK(A60),"",IF($A60=W$2,$C60,W59))</f>
        <v>0</v>
      </c>
    </row>
    <row r="61" customFormat="false" ht="12.8" hidden="false" customHeight="false" outlineLevel="0" collapsed="false">
      <c r="A61" s="0" t="n">
        <v>980</v>
      </c>
      <c r="B61" s="0" t="n">
        <v>100</v>
      </c>
      <c r="C61" s="0" t="n">
        <v>23.03</v>
      </c>
      <c r="D61" s="0" t="s">
        <v>70</v>
      </c>
      <c r="H61" s="8" t="n">
        <f aca="false">IF(ISBLANK(D61),,LEFT(D61,LEN(D61)-6)*1)</f>
        <v>38720.7341666667</v>
      </c>
      <c r="I61" s="9" t="n">
        <f aca="false">IF(ISBLANK(A61),"",-B61*C61)</f>
        <v>-2303</v>
      </c>
      <c r="J61" s="9" t="n">
        <f aca="false">IF(ISBLANK(A61),"",-SUM(I$3:I61))</f>
        <v>-12215.0996212121</v>
      </c>
      <c r="K61" s="0" t="n">
        <f aca="false">IF(ISBLANK(A61),"",SUMPRODUCT(O61:R61,T61:W61)-J61)</f>
        <v>-151.90037878789</v>
      </c>
      <c r="L61" s="0" t="n">
        <f aca="false">IF(ISBLANK(A61),"",K61/$M$1)</f>
        <v>-0.00253167297979817</v>
      </c>
      <c r="M61" s="0" t="n">
        <f aca="false">IF(ISBLANK(A61),"",K61/($M$1+SUM(K$3:K60)))</f>
        <v>-0.00283810886124933</v>
      </c>
      <c r="N61" s="0" t="n">
        <f aca="false">IF(ISBLANK(A61),"",IF(H62=0,NETWORKDAYS($H$3,H61,holiday!$B$2:$B$10),IF(DAY(H61)&lt;DAY(H62),NETWORKDAYS($H$3,H61,holiday!$B$2:$B$10),0)))</f>
        <v>0</v>
      </c>
      <c r="O61" s="0" t="n">
        <f aca="false">IF(ISBLANK(A61),"",SUMIF($A$3:$A61,O$2,$B$3:$B61))</f>
        <v>200</v>
      </c>
      <c r="P61" s="0" t="n">
        <f aca="false">IF(ISBLANK(A61),"",SUMIF($A$3:$A61,P$2,$B$3:$B61))</f>
        <v>-700</v>
      </c>
      <c r="Q61" s="0" t="n">
        <f aca="false">IF(ISBLANK(A61),"",SUMIF($A$3:$A61,Q$2,$B$3:$B61))</f>
        <v>-100</v>
      </c>
      <c r="R61" s="0" t="n">
        <f aca="false">IF(ISBLANK(A61),"",SUMIF($A$3:$A61,R$2,$B$3:$B61))</f>
        <v>0</v>
      </c>
      <c r="T61" s="0" t="n">
        <f aca="false">IF(ISBLANK(A61),"",IF($A61=T$2,$C61,T60))</f>
        <v>44.35</v>
      </c>
      <c r="U61" s="0" t="n">
        <f aca="false">IF(ISBLANK(A61),"",IF($A61=U$2,$C61,U60))</f>
        <v>23.03</v>
      </c>
      <c r="V61" s="0" t="n">
        <f aca="false">IF(ISBLANK(A61),"",IF($A61=V$2,$C61,V60))</f>
        <v>51.16</v>
      </c>
      <c r="W61" s="0" t="n">
        <f aca="false">IF(ISBLANK(A61),"",IF($A61=W$2,$C61,W60))</f>
        <v>0</v>
      </c>
    </row>
    <row r="62" customFormat="false" ht="12.8" hidden="false" customHeight="false" outlineLevel="0" collapsed="false">
      <c r="A62" s="0" t="n">
        <v>679</v>
      </c>
      <c r="B62" s="0" t="n">
        <v>100</v>
      </c>
      <c r="C62" s="0" t="n">
        <v>51.25</v>
      </c>
      <c r="D62" s="0" t="s">
        <v>71</v>
      </c>
      <c r="H62" s="8" t="n">
        <f aca="false">IF(ISBLANK(D62),,LEFT(D62,LEN(D62)-6)*1)</f>
        <v>38720.7441203704</v>
      </c>
      <c r="I62" s="9" t="n">
        <f aca="false">IF(ISBLANK(A62),"",-B62*C62)</f>
        <v>-5125</v>
      </c>
      <c r="J62" s="9" t="n">
        <f aca="false">IF(ISBLANK(A62),"",-SUM(I$3:I62))</f>
        <v>-7090.09962121211</v>
      </c>
      <c r="K62" s="0" t="n">
        <f aca="false">IF(ISBLANK(A62),"",SUMPRODUCT(O62:R62,T62:W62)-J62)</f>
        <v>-160.90037878789</v>
      </c>
      <c r="L62" s="0" t="n">
        <f aca="false">IF(ISBLANK(A62),"",K62/$M$1)</f>
        <v>-0.00268167297979817</v>
      </c>
      <c r="M62" s="0" t="n">
        <f aca="false">IF(ISBLANK(A62),"",K62/($M$1+SUM(K$3:K61)))</f>
        <v>-0.00301482138192766</v>
      </c>
      <c r="N62" s="0" t="n">
        <f aca="false">IF(ISBLANK(A62),"",IF(H63=0,NETWORKDAYS($H$3,H62,holiday!$B$2:$B$10),IF(DAY(H62)&lt;DAY(H63),NETWORKDAYS($H$3,H62,holiday!$B$2:$B$10),0)))</f>
        <v>0</v>
      </c>
      <c r="O62" s="0" t="n">
        <f aca="false">IF(ISBLANK(A62),"",SUMIF($A$3:$A62,O$2,$B$3:$B62))</f>
        <v>200</v>
      </c>
      <c r="P62" s="0" t="n">
        <f aca="false">IF(ISBLANK(A62),"",SUMIF($A$3:$A62,P$2,$B$3:$B62))</f>
        <v>-700</v>
      </c>
      <c r="Q62" s="0" t="n">
        <f aca="false">IF(ISBLANK(A62),"",SUMIF($A$3:$A62,Q$2,$B$3:$B62))</f>
        <v>0</v>
      </c>
      <c r="R62" s="0" t="n">
        <f aca="false">IF(ISBLANK(A62),"",SUMIF($A$3:$A62,R$2,$B$3:$B62))</f>
        <v>0</v>
      </c>
      <c r="T62" s="0" t="n">
        <f aca="false">IF(ISBLANK(A62),"",IF($A62=T$2,$C62,T61))</f>
        <v>44.35</v>
      </c>
      <c r="U62" s="0" t="n">
        <f aca="false">IF(ISBLANK(A62),"",IF($A62=U$2,$C62,U61))</f>
        <v>23.03</v>
      </c>
      <c r="V62" s="0" t="n">
        <f aca="false">IF(ISBLANK(A62),"",IF($A62=V$2,$C62,V61))</f>
        <v>51.25</v>
      </c>
      <c r="W62" s="0" t="n">
        <f aca="false">IF(ISBLANK(A62),"",IF($A62=W$2,$C62,W61))</f>
        <v>0</v>
      </c>
    </row>
    <row r="63" customFormat="false" ht="12.8" hidden="false" customHeight="false" outlineLevel="0" collapsed="false">
      <c r="A63" s="0" t="n">
        <v>980</v>
      </c>
      <c r="B63" s="0" t="n">
        <v>100</v>
      </c>
      <c r="C63" s="0" t="n">
        <v>23.02</v>
      </c>
      <c r="D63" s="0" t="s">
        <v>72</v>
      </c>
      <c r="H63" s="8" t="n">
        <f aca="false">IF(ISBLANK(D63),,LEFT(D63,LEN(D63)-6)*1)</f>
        <v>38720.7455324074</v>
      </c>
      <c r="I63" s="9" t="n">
        <f aca="false">IF(ISBLANK(A63),"",-B63*C63)</f>
        <v>-2302</v>
      </c>
      <c r="J63" s="9" t="n">
        <f aca="false">IF(ISBLANK(A63),"",-SUM(I$3:I63))</f>
        <v>-4788.09962121211</v>
      </c>
      <c r="K63" s="0" t="n">
        <f aca="false">IF(ISBLANK(A63),"",SUMPRODUCT(O63:R63,T63:W63)-J63)</f>
        <v>-153.90037878789</v>
      </c>
      <c r="L63" s="0" t="n">
        <f aca="false">IF(ISBLANK(A63),"",K63/$M$1)</f>
        <v>-0.0025650063131315</v>
      </c>
      <c r="M63" s="0" t="n">
        <f aca="false">IF(ISBLANK(A63),"",K63/($M$1+SUM(K$3:K62)))</f>
        <v>-0.00289238104616061</v>
      </c>
      <c r="N63" s="0" t="n">
        <f aca="false">IF(ISBLANK(A63),"",IF(H64=0,NETWORKDAYS($H$3,H63,holiday!$B$2:$B$10),IF(DAY(H63)&lt;DAY(H64),NETWORKDAYS($H$3,H63,holiday!$B$2:$B$10),0)))</f>
        <v>0</v>
      </c>
      <c r="O63" s="0" t="n">
        <f aca="false">IF(ISBLANK(A63),"",SUMIF($A$3:$A63,O$2,$B$3:$B63))</f>
        <v>200</v>
      </c>
      <c r="P63" s="0" t="n">
        <f aca="false">IF(ISBLANK(A63),"",SUMIF($A$3:$A63,P$2,$B$3:$B63))</f>
        <v>-600</v>
      </c>
      <c r="Q63" s="0" t="n">
        <f aca="false">IF(ISBLANK(A63),"",SUMIF($A$3:$A63,Q$2,$B$3:$B63))</f>
        <v>0</v>
      </c>
      <c r="R63" s="0" t="n">
        <f aca="false">IF(ISBLANK(A63),"",SUMIF($A$3:$A63,R$2,$B$3:$B63))</f>
        <v>0</v>
      </c>
      <c r="T63" s="0" t="n">
        <f aca="false">IF(ISBLANK(A63),"",IF($A63=T$2,$C63,T62))</f>
        <v>44.35</v>
      </c>
      <c r="U63" s="0" t="n">
        <f aca="false">IF(ISBLANK(A63),"",IF($A63=U$2,$C63,U62))</f>
        <v>23.02</v>
      </c>
      <c r="V63" s="0" t="n">
        <f aca="false">IF(ISBLANK(A63),"",IF($A63=V$2,$C63,V62))</f>
        <v>51.25</v>
      </c>
      <c r="W63" s="0" t="n">
        <f aca="false">IF(ISBLANK(A63),"",IF($A63=W$2,$C63,W62))</f>
        <v>0</v>
      </c>
    </row>
    <row r="64" customFormat="false" ht="12.8" hidden="false" customHeight="false" outlineLevel="0" collapsed="false">
      <c r="A64" s="0" t="n">
        <v>679</v>
      </c>
      <c r="B64" s="0" t="n">
        <v>100</v>
      </c>
      <c r="C64" s="0" t="n">
        <v>51.25</v>
      </c>
      <c r="D64" s="0" t="s">
        <v>73</v>
      </c>
      <c r="H64" s="8" t="n">
        <f aca="false">IF(ISBLANK(D64),,LEFT(D64,LEN(D64)-6)*1)</f>
        <v>38720.7465393519</v>
      </c>
      <c r="I64" s="9" t="n">
        <f aca="false">IF(ISBLANK(A64),"",-B64*C64)</f>
        <v>-5125</v>
      </c>
      <c r="J64" s="9" t="n">
        <f aca="false">IF(ISBLANK(A64),"",-SUM(I$3:I64))</f>
        <v>336.90037878789</v>
      </c>
      <c r="K64" s="0" t="n">
        <f aca="false">IF(ISBLANK(A64),"",SUMPRODUCT(O64:R64,T64:W64)-J64)</f>
        <v>-153.90037878789</v>
      </c>
      <c r="L64" s="0" t="n">
        <f aca="false">IF(ISBLANK(A64),"",K64/$M$1)</f>
        <v>-0.0025650063131315</v>
      </c>
      <c r="M64" s="0" t="n">
        <f aca="false">IF(ISBLANK(A64),"",K64/($M$1+SUM(K$3:K63)))</f>
        <v>-0.00290077118174594</v>
      </c>
      <c r="N64" s="0" t="n">
        <f aca="false">IF(ISBLANK(A64),"",IF(H65=0,NETWORKDAYS($H$3,H64,holiday!$B$2:$B$10),IF(DAY(H64)&lt;DAY(H65),NETWORKDAYS($H$3,H64,holiday!$B$2:$B$10),0)))</f>
        <v>0</v>
      </c>
      <c r="O64" s="0" t="n">
        <f aca="false">IF(ISBLANK(A64),"",SUMIF($A$3:$A64,O$2,$B$3:$B64))</f>
        <v>200</v>
      </c>
      <c r="P64" s="0" t="n">
        <f aca="false">IF(ISBLANK(A64),"",SUMIF($A$3:$A64,P$2,$B$3:$B64))</f>
        <v>-600</v>
      </c>
      <c r="Q64" s="0" t="n">
        <f aca="false">IF(ISBLANK(A64),"",SUMIF($A$3:$A64,Q$2,$B$3:$B64))</f>
        <v>100</v>
      </c>
      <c r="R64" s="0" t="n">
        <f aca="false">IF(ISBLANK(A64),"",SUMIF($A$3:$A64,R$2,$B$3:$B64))</f>
        <v>0</v>
      </c>
      <c r="T64" s="0" t="n">
        <f aca="false">IF(ISBLANK(A64),"",IF($A64=T$2,$C64,T63))</f>
        <v>44.35</v>
      </c>
      <c r="U64" s="0" t="n">
        <f aca="false">IF(ISBLANK(A64),"",IF($A64=U$2,$C64,U63))</f>
        <v>23.02</v>
      </c>
      <c r="V64" s="0" t="n">
        <f aca="false">IF(ISBLANK(A64),"",IF($A64=V$2,$C64,V63))</f>
        <v>51.25</v>
      </c>
      <c r="W64" s="0" t="n">
        <f aca="false">IF(ISBLANK(A64),"",IF($A64=W$2,$C64,W63))</f>
        <v>0</v>
      </c>
    </row>
    <row r="65" customFormat="false" ht="12.8" hidden="false" customHeight="false" outlineLevel="0" collapsed="false">
      <c r="A65" s="0" t="n">
        <v>980</v>
      </c>
      <c r="B65" s="0" t="n">
        <v>100</v>
      </c>
      <c r="C65" s="0" t="n">
        <v>23.01</v>
      </c>
      <c r="D65" s="0" t="s">
        <v>74</v>
      </c>
      <c r="H65" s="8" t="n">
        <f aca="false">IF(ISBLANK(D65),,LEFT(D65,LEN(D65)-6)*1)</f>
        <v>38720.7479166667</v>
      </c>
      <c r="I65" s="9" t="n">
        <f aca="false">IF(ISBLANK(A65),"",-B65*C65)</f>
        <v>-2301</v>
      </c>
      <c r="J65" s="9" t="n">
        <f aca="false">IF(ISBLANK(A65),"",-SUM(I$3:I65))</f>
        <v>2637.90037878789</v>
      </c>
      <c r="K65" s="0" t="n">
        <f aca="false">IF(ISBLANK(A65),"",SUMPRODUCT(O65:R65,T65:W65)-J65)</f>
        <v>-147.90037878789</v>
      </c>
      <c r="L65" s="0" t="n">
        <f aca="false">IF(ISBLANK(A65),"",K65/$M$1)</f>
        <v>-0.0024650063131315</v>
      </c>
      <c r="M65" s="0" t="n">
        <f aca="false">IF(ISBLANK(A65),"",K65/($M$1+SUM(K$3:K64)))</f>
        <v>-0.00279579091539286</v>
      </c>
      <c r="N65" s="0" t="n">
        <f aca="false">IF(ISBLANK(A65),"",IF(H66=0,NETWORKDAYS($H$3,H65,holiday!$B$2:$B$10),IF(DAY(H65)&lt;DAY(H66),NETWORKDAYS($H$3,H65,holiday!$B$2:$B$10),0)))</f>
        <v>0</v>
      </c>
      <c r="O65" s="0" t="n">
        <f aca="false">IF(ISBLANK(A65),"",SUMIF($A$3:$A65,O$2,$B$3:$B65))</f>
        <v>200</v>
      </c>
      <c r="P65" s="0" t="n">
        <f aca="false">IF(ISBLANK(A65),"",SUMIF($A$3:$A65,P$2,$B$3:$B65))</f>
        <v>-500</v>
      </c>
      <c r="Q65" s="0" t="n">
        <f aca="false">IF(ISBLANK(A65),"",SUMIF($A$3:$A65,Q$2,$B$3:$B65))</f>
        <v>100</v>
      </c>
      <c r="R65" s="0" t="n">
        <f aca="false">IF(ISBLANK(A65),"",SUMIF($A$3:$A65,R$2,$B$3:$B65))</f>
        <v>0</v>
      </c>
      <c r="T65" s="0" t="n">
        <f aca="false">IF(ISBLANK(A65),"",IF($A65=T$2,$C65,T64))</f>
        <v>44.35</v>
      </c>
      <c r="U65" s="0" t="n">
        <f aca="false">IF(ISBLANK(A65),"",IF($A65=U$2,$C65,U64))</f>
        <v>23.01</v>
      </c>
      <c r="V65" s="0" t="n">
        <f aca="false">IF(ISBLANK(A65),"",IF($A65=V$2,$C65,V64))</f>
        <v>51.25</v>
      </c>
      <c r="W65" s="0" t="n">
        <f aca="false">IF(ISBLANK(A65),"",IF($A65=W$2,$C65,W64))</f>
        <v>0</v>
      </c>
    </row>
    <row r="66" customFormat="false" ht="12.8" hidden="false" customHeight="false" outlineLevel="0" collapsed="false">
      <c r="A66" s="0" t="n">
        <v>980</v>
      </c>
      <c r="B66" s="0" t="n">
        <v>100</v>
      </c>
      <c r="C66" s="0" t="n">
        <v>23</v>
      </c>
      <c r="D66" s="0" t="s">
        <v>75</v>
      </c>
      <c r="H66" s="8" t="n">
        <f aca="false">IF(ISBLANK(D66),,LEFT(D66,LEN(D66)-6)*1)</f>
        <v>38720.7490625</v>
      </c>
      <c r="I66" s="9" t="n">
        <f aca="false">IF(ISBLANK(A66),"",-B66*C66)</f>
        <v>-2300</v>
      </c>
      <c r="J66" s="9" t="n">
        <f aca="false">IF(ISBLANK(A66),"",-SUM(I$3:I66))</f>
        <v>4937.90037878789</v>
      </c>
      <c r="K66" s="0" t="n">
        <f aca="false">IF(ISBLANK(A66),"",SUMPRODUCT(O66:R66,T66:W66)-J66)</f>
        <v>-142.90037878789</v>
      </c>
      <c r="L66" s="0" t="n">
        <f aca="false">IF(ISBLANK(A66),"",K66/$M$1)</f>
        <v>-0.00238167297979817</v>
      </c>
      <c r="M66" s="0" t="n">
        <f aca="false">IF(ISBLANK(A66),"",K66/($M$1+SUM(K$3:K65)))</f>
        <v>-0.00270884827272379</v>
      </c>
      <c r="N66" s="0" t="n">
        <f aca="false">IF(ISBLANK(A66),"",IF(H67=0,NETWORKDAYS($H$3,H66,holiday!$B$2:$B$10),IF(DAY(H66)&lt;DAY(H67),NETWORKDAYS($H$3,H66,holiday!$B$2:$B$10),0)))</f>
        <v>0</v>
      </c>
      <c r="O66" s="0" t="n">
        <f aca="false">IF(ISBLANK(A66),"",SUMIF($A$3:$A66,O$2,$B$3:$B66))</f>
        <v>200</v>
      </c>
      <c r="P66" s="0" t="n">
        <f aca="false">IF(ISBLANK(A66),"",SUMIF($A$3:$A66,P$2,$B$3:$B66))</f>
        <v>-400</v>
      </c>
      <c r="Q66" s="0" t="n">
        <f aca="false">IF(ISBLANK(A66),"",SUMIF($A$3:$A66,Q$2,$B$3:$B66))</f>
        <v>100</v>
      </c>
      <c r="R66" s="0" t="n">
        <f aca="false">IF(ISBLANK(A66),"",SUMIF($A$3:$A66,R$2,$B$3:$B66))</f>
        <v>0</v>
      </c>
      <c r="T66" s="0" t="n">
        <f aca="false">IF(ISBLANK(A66),"",IF($A66=T$2,$C66,T65))</f>
        <v>44.35</v>
      </c>
      <c r="U66" s="0" t="n">
        <f aca="false">IF(ISBLANK(A66),"",IF($A66=U$2,$C66,U65))</f>
        <v>23</v>
      </c>
      <c r="V66" s="0" t="n">
        <f aca="false">IF(ISBLANK(A66),"",IF($A66=V$2,$C66,V65))</f>
        <v>51.25</v>
      </c>
      <c r="W66" s="0" t="n">
        <f aca="false">IF(ISBLANK(A66),"",IF($A66=W$2,$C66,W65))</f>
        <v>0</v>
      </c>
    </row>
    <row r="67" customFormat="false" ht="12.8" hidden="false" customHeight="false" outlineLevel="0" collapsed="false">
      <c r="A67" s="0" t="n">
        <v>980</v>
      </c>
      <c r="B67" s="0" t="n">
        <v>100</v>
      </c>
      <c r="C67" s="0" t="n">
        <v>23</v>
      </c>
      <c r="D67" s="0" t="s">
        <v>76</v>
      </c>
      <c r="H67" s="8" t="n">
        <f aca="false">IF(ISBLANK(D67),,LEFT(D67,LEN(D67)-6)*1)</f>
        <v>38720.7577083333</v>
      </c>
      <c r="I67" s="9" t="n">
        <f aca="false">IF(ISBLANK(A67),"",-B67*C67)</f>
        <v>-2300</v>
      </c>
      <c r="J67" s="9" t="n">
        <f aca="false">IF(ISBLANK(A67),"",-SUM(I$3:I67))</f>
        <v>7237.90037878789</v>
      </c>
      <c r="K67" s="0" t="n">
        <f aca="false">IF(ISBLANK(A67),"",SUMPRODUCT(O67:R67,T67:W67)-J67)</f>
        <v>-142.90037878789</v>
      </c>
      <c r="L67" s="0" t="n">
        <f aca="false">IF(ISBLANK(A67),"",K67/$M$1)</f>
        <v>-0.00238167297979817</v>
      </c>
      <c r="M67" s="0" t="n">
        <f aca="false">IF(ISBLANK(A67),"",K67/($M$1+SUM(K$3:K66)))</f>
        <v>-0.00271620606282543</v>
      </c>
      <c r="N67" s="0" t="n">
        <f aca="false">IF(ISBLANK(A67),"",IF(H68=0,NETWORKDAYS($H$3,H67,holiday!$B$2:$B$10),IF(DAY(H67)&lt;DAY(H68),NETWORKDAYS($H$3,H67,holiday!$B$2:$B$10),0)))</f>
        <v>0</v>
      </c>
      <c r="O67" s="0" t="n">
        <f aca="false">IF(ISBLANK(A67),"",SUMIF($A$3:$A67,O$2,$B$3:$B67))</f>
        <v>200</v>
      </c>
      <c r="P67" s="0" t="n">
        <f aca="false">IF(ISBLANK(A67),"",SUMIF($A$3:$A67,P$2,$B$3:$B67))</f>
        <v>-300</v>
      </c>
      <c r="Q67" s="0" t="n">
        <f aca="false">IF(ISBLANK(A67),"",SUMIF($A$3:$A67,Q$2,$B$3:$B67))</f>
        <v>100</v>
      </c>
      <c r="R67" s="0" t="n">
        <f aca="false">IF(ISBLANK(A67),"",SUMIF($A$3:$A67,R$2,$B$3:$B67))</f>
        <v>0</v>
      </c>
      <c r="T67" s="0" t="n">
        <f aca="false">IF(ISBLANK(A67),"",IF($A67=T$2,$C67,T66))</f>
        <v>44.35</v>
      </c>
      <c r="U67" s="0" t="n">
        <f aca="false">IF(ISBLANK(A67),"",IF($A67=U$2,$C67,U66))</f>
        <v>23</v>
      </c>
      <c r="V67" s="0" t="n">
        <f aca="false">IF(ISBLANK(A67),"",IF($A67=V$2,$C67,V66))</f>
        <v>51.25</v>
      </c>
      <c r="W67" s="0" t="n">
        <f aca="false">IF(ISBLANK(A67),"",IF($A67=W$2,$C67,W66))</f>
        <v>0</v>
      </c>
    </row>
    <row r="68" customFormat="false" ht="12.8" hidden="false" customHeight="false" outlineLevel="0" collapsed="false">
      <c r="A68" s="0" t="n">
        <v>980</v>
      </c>
      <c r="B68" s="0" t="n">
        <v>100</v>
      </c>
      <c r="C68" s="0" t="n">
        <v>22.94</v>
      </c>
      <c r="D68" s="0" t="s">
        <v>77</v>
      </c>
      <c r="H68" s="8" t="n">
        <f aca="false">IF(ISBLANK(D68),,LEFT(D68,LEN(D68)-6)*1)</f>
        <v>38720.7765046296</v>
      </c>
      <c r="I68" s="9" t="n">
        <f aca="false">IF(ISBLANK(A68),"",-B68*C68)</f>
        <v>-2294</v>
      </c>
      <c r="J68" s="9" t="n">
        <f aca="false">IF(ISBLANK(A68),"",-SUM(I$3:I68))</f>
        <v>9531.90037878789</v>
      </c>
      <c r="K68" s="0" t="n">
        <f aca="false">IF(ISBLANK(A68),"",SUMPRODUCT(O68:R68,T68:W68)-J68)</f>
        <v>-124.90037878789</v>
      </c>
      <c r="L68" s="0" t="n">
        <f aca="false">IF(ISBLANK(A68),"",K68/$M$1)</f>
        <v>-0.00208167297979817</v>
      </c>
      <c r="M68" s="0" t="n">
        <f aca="false">IF(ISBLANK(A68),"",K68/($M$1+SUM(K$3:K67)))</f>
        <v>-0.0023805336675999</v>
      </c>
      <c r="N68" s="0" t="n">
        <f aca="false">IF(ISBLANK(A68),"",IF(H69=0,NETWORKDAYS($H$3,H68,holiday!$B$2:$B$10),IF(DAY(H68)&lt;DAY(H69),NETWORKDAYS($H$3,H68,holiday!$B$2:$B$10),0)))</f>
        <v>0</v>
      </c>
      <c r="O68" s="0" t="n">
        <f aca="false">IF(ISBLANK(A68),"",SUMIF($A$3:$A68,O$2,$B$3:$B68))</f>
        <v>200</v>
      </c>
      <c r="P68" s="0" t="n">
        <f aca="false">IF(ISBLANK(A68),"",SUMIF($A$3:$A68,P$2,$B$3:$B68))</f>
        <v>-200</v>
      </c>
      <c r="Q68" s="0" t="n">
        <f aca="false">IF(ISBLANK(A68),"",SUMIF($A$3:$A68,Q$2,$B$3:$B68))</f>
        <v>100</v>
      </c>
      <c r="R68" s="0" t="n">
        <f aca="false">IF(ISBLANK(A68),"",SUMIF($A$3:$A68,R$2,$B$3:$B68))</f>
        <v>0</v>
      </c>
      <c r="T68" s="0" t="n">
        <f aca="false">IF(ISBLANK(A68),"",IF($A68=T$2,$C68,T67))</f>
        <v>44.35</v>
      </c>
      <c r="U68" s="0" t="n">
        <f aca="false">IF(ISBLANK(A68),"",IF($A68=U$2,$C68,U67))</f>
        <v>22.94</v>
      </c>
      <c r="V68" s="0" t="n">
        <f aca="false">IF(ISBLANK(A68),"",IF($A68=V$2,$C68,V67))</f>
        <v>51.25</v>
      </c>
      <c r="W68" s="0" t="n">
        <f aca="false">IF(ISBLANK(A68),"",IF($A68=W$2,$C68,W67))</f>
        <v>0</v>
      </c>
    </row>
    <row r="69" customFormat="false" ht="12.8" hidden="false" customHeight="false" outlineLevel="0" collapsed="false">
      <c r="A69" s="0" t="n">
        <v>980</v>
      </c>
      <c r="B69" s="0" t="n">
        <v>100</v>
      </c>
      <c r="C69" s="0" t="n">
        <v>22.94</v>
      </c>
      <c r="D69" s="0" t="s">
        <v>78</v>
      </c>
      <c r="H69" s="8" t="n">
        <f aca="false">IF(ISBLANK(D69),,LEFT(D69,LEN(D69)-6)*1)</f>
        <v>38720.7795601852</v>
      </c>
      <c r="I69" s="9" t="n">
        <f aca="false">IF(ISBLANK(A69),"",-B69*C69)</f>
        <v>-2294</v>
      </c>
      <c r="J69" s="9" t="n">
        <f aca="false">IF(ISBLANK(A69),"",-SUM(I$3:I69))</f>
        <v>11825.9003787879</v>
      </c>
      <c r="K69" s="0" t="n">
        <f aca="false">IF(ISBLANK(A69),"",SUMPRODUCT(O69:R69,T69:W69)-J69)</f>
        <v>-124.90037878789</v>
      </c>
      <c r="L69" s="0" t="n">
        <f aca="false">IF(ISBLANK(A69),"",K69/$M$1)</f>
        <v>-0.00208167297979817</v>
      </c>
      <c r="M69" s="0" t="n">
        <f aca="false">IF(ISBLANK(A69),"",K69/($M$1+SUM(K$3:K68)))</f>
        <v>-0.00238621413067608</v>
      </c>
      <c r="N69" s="0" t="n">
        <f aca="false">IF(ISBLANK(A69),"",IF(H70=0,NETWORKDAYS($H$3,H69,holiday!$B$2:$B$10),IF(DAY(H69)&lt;DAY(H70),NETWORKDAYS($H$3,H69,holiday!$B$2:$B$10),0)))</f>
        <v>0</v>
      </c>
      <c r="O69" s="0" t="n">
        <f aca="false">IF(ISBLANK(A69),"",SUMIF($A$3:$A69,O$2,$B$3:$B69))</f>
        <v>200</v>
      </c>
      <c r="P69" s="0" t="n">
        <f aca="false">IF(ISBLANK(A69),"",SUMIF($A$3:$A69,P$2,$B$3:$B69))</f>
        <v>-100</v>
      </c>
      <c r="Q69" s="0" t="n">
        <f aca="false">IF(ISBLANK(A69),"",SUMIF($A$3:$A69,Q$2,$B$3:$B69))</f>
        <v>100</v>
      </c>
      <c r="R69" s="0" t="n">
        <f aca="false">IF(ISBLANK(A69),"",SUMIF($A$3:$A69,R$2,$B$3:$B69))</f>
        <v>0</v>
      </c>
      <c r="T69" s="0" t="n">
        <f aca="false">IF(ISBLANK(A69),"",IF($A69=T$2,$C69,T68))</f>
        <v>44.35</v>
      </c>
      <c r="U69" s="0" t="n">
        <f aca="false">IF(ISBLANK(A69),"",IF($A69=U$2,$C69,U68))</f>
        <v>22.94</v>
      </c>
      <c r="V69" s="0" t="n">
        <f aca="false">IF(ISBLANK(A69),"",IF($A69=V$2,$C69,V68))</f>
        <v>51.25</v>
      </c>
      <c r="W69" s="0" t="n">
        <f aca="false">IF(ISBLANK(A69),"",IF($A69=W$2,$C69,W68))</f>
        <v>0</v>
      </c>
    </row>
    <row r="70" customFormat="false" ht="12.8" hidden="false" customHeight="false" outlineLevel="0" collapsed="false">
      <c r="A70" s="0" t="n">
        <v>980</v>
      </c>
      <c r="B70" s="0" t="n">
        <v>-100</v>
      </c>
      <c r="C70" s="0" t="n">
        <v>22.97</v>
      </c>
      <c r="D70" s="0" t="s">
        <v>79</v>
      </c>
      <c r="H70" s="8" t="n">
        <f aca="false">IF(ISBLANK(D70),,LEFT(D70,LEN(D70)-6)*1)</f>
        <v>38720.785162037</v>
      </c>
      <c r="I70" s="9" t="n">
        <f aca="false">IF(ISBLANK(A70),"",-B70*C70)</f>
        <v>2297</v>
      </c>
      <c r="J70" s="9" t="n">
        <f aca="false">IF(ISBLANK(A70),"",-SUM(I$3:I70))</f>
        <v>9528.90037878789</v>
      </c>
      <c r="K70" s="0" t="n">
        <f aca="false">IF(ISBLANK(A70),"",SUMPRODUCT(O70:R70,T70:W70)-J70)</f>
        <v>-127.90037878789</v>
      </c>
      <c r="L70" s="0" t="n">
        <f aca="false">IF(ISBLANK(A70),"",K70/$M$1)</f>
        <v>-0.00213167297979817</v>
      </c>
      <c r="M70" s="0" t="n">
        <f aca="false">IF(ISBLANK(A70),"",K70/($M$1+SUM(K$3:K69)))</f>
        <v>-0.00244937367806679</v>
      </c>
      <c r="N70" s="0" t="n">
        <f aca="false">IF(ISBLANK(A70),"",IF(H71=0,NETWORKDAYS($H$3,H70,holiday!$B$2:$B$10),IF(DAY(H70)&lt;DAY(H71),NETWORKDAYS($H$3,H70,holiday!$B$2:$B$10),0)))</f>
        <v>0</v>
      </c>
      <c r="O70" s="0" t="n">
        <f aca="false">IF(ISBLANK(A70),"",SUMIF($A$3:$A70,O$2,$B$3:$B70))</f>
        <v>200</v>
      </c>
      <c r="P70" s="0" t="n">
        <f aca="false">IF(ISBLANK(A70),"",SUMIF($A$3:$A70,P$2,$B$3:$B70))</f>
        <v>-200</v>
      </c>
      <c r="Q70" s="0" t="n">
        <f aca="false">IF(ISBLANK(A70),"",SUMIF($A$3:$A70,Q$2,$B$3:$B70))</f>
        <v>100</v>
      </c>
      <c r="R70" s="0" t="n">
        <f aca="false">IF(ISBLANK(A70),"",SUMIF($A$3:$A70,R$2,$B$3:$B70))</f>
        <v>0</v>
      </c>
      <c r="T70" s="0" t="n">
        <f aca="false">IF(ISBLANK(A70),"",IF($A70=T$2,$C70,T69))</f>
        <v>44.35</v>
      </c>
      <c r="U70" s="0" t="n">
        <f aca="false">IF(ISBLANK(A70),"",IF($A70=U$2,$C70,U69))</f>
        <v>22.97</v>
      </c>
      <c r="V70" s="0" t="n">
        <f aca="false">IF(ISBLANK(A70),"",IF($A70=V$2,$C70,V69))</f>
        <v>51.25</v>
      </c>
      <c r="W70" s="0" t="n">
        <f aca="false">IF(ISBLANK(A70),"",IF($A70=W$2,$C70,W69))</f>
        <v>0</v>
      </c>
    </row>
    <row r="71" customFormat="false" ht="12.8" hidden="false" customHeight="false" outlineLevel="0" collapsed="false">
      <c r="A71" s="0" t="n">
        <v>8370</v>
      </c>
      <c r="B71" s="0" t="n">
        <v>100</v>
      </c>
      <c r="C71" s="0" t="n">
        <v>44.31</v>
      </c>
      <c r="D71" s="0" t="s">
        <v>80</v>
      </c>
      <c r="H71" s="8" t="n">
        <f aca="false">IF(ISBLANK(D71),,LEFT(D71,LEN(D71)-6)*1)</f>
        <v>38720.7897453704</v>
      </c>
      <c r="I71" s="9" t="n">
        <f aca="false">IF(ISBLANK(A71),"",-B71*C71)</f>
        <v>-4431</v>
      </c>
      <c r="J71" s="9" t="n">
        <f aca="false">IF(ISBLANK(A71),"",-SUM(I$3:I71))</f>
        <v>13959.9003787879</v>
      </c>
      <c r="K71" s="0" t="n">
        <f aca="false">IF(ISBLANK(A71),"",SUMPRODUCT(O71:R71,T71:W71)-J71)</f>
        <v>-135.90037878789</v>
      </c>
      <c r="L71" s="0" t="n">
        <f aca="false">IF(ISBLANK(A71),"",K71/$M$1)</f>
        <v>-0.0022650063131315</v>
      </c>
      <c r="M71" s="0" t="n">
        <f aca="false">IF(ISBLANK(A71),"",K71/($M$1+SUM(K$3:K70)))</f>
        <v>-0.00260896911131618</v>
      </c>
      <c r="N71" s="0" t="n">
        <f aca="false">IF(ISBLANK(A71),"",IF(H72=0,NETWORKDAYS($H$3,H71,holiday!$B$2:$B$10),IF(DAY(H71)&lt;DAY(H72),NETWORKDAYS($H$3,H71,holiday!$B$2:$B$10),0)))</f>
        <v>0</v>
      </c>
      <c r="O71" s="0" t="n">
        <f aca="false">IF(ISBLANK(A71),"",SUMIF($A$3:$A71,O$2,$B$3:$B71))</f>
        <v>300</v>
      </c>
      <c r="P71" s="0" t="n">
        <f aca="false">IF(ISBLANK(A71),"",SUMIF($A$3:$A71,P$2,$B$3:$B71))</f>
        <v>-200</v>
      </c>
      <c r="Q71" s="0" t="n">
        <f aca="false">IF(ISBLANK(A71),"",SUMIF($A$3:$A71,Q$2,$B$3:$B71))</f>
        <v>100</v>
      </c>
      <c r="R71" s="0" t="n">
        <f aca="false">IF(ISBLANK(A71),"",SUMIF($A$3:$A71,R$2,$B$3:$B71))</f>
        <v>0</v>
      </c>
      <c r="T71" s="0" t="n">
        <f aca="false">IF(ISBLANK(A71),"",IF($A71=T$2,$C71,T70))</f>
        <v>44.31</v>
      </c>
      <c r="U71" s="0" t="n">
        <f aca="false">IF(ISBLANK(A71),"",IF($A71=U$2,$C71,U70))</f>
        <v>22.97</v>
      </c>
      <c r="V71" s="0" t="n">
        <f aca="false">IF(ISBLANK(A71),"",IF($A71=V$2,$C71,V70))</f>
        <v>51.25</v>
      </c>
      <c r="W71" s="0" t="n">
        <f aca="false">IF(ISBLANK(A71),"",IF($A71=W$2,$C71,W70))</f>
        <v>0</v>
      </c>
    </row>
    <row r="72" customFormat="false" ht="12.8" hidden="false" customHeight="false" outlineLevel="0" collapsed="false">
      <c r="A72" s="0" t="n">
        <v>679</v>
      </c>
      <c r="B72" s="0" t="n">
        <v>100</v>
      </c>
      <c r="C72" s="0" t="n">
        <v>51.43</v>
      </c>
      <c r="D72" s="0" t="s">
        <v>81</v>
      </c>
      <c r="H72" s="8" t="n">
        <f aca="false">IF(ISBLANK(D72),,LEFT(D72,LEN(D72)-6)*1)</f>
        <v>38720.7907638889</v>
      </c>
      <c r="I72" s="9" t="n">
        <f aca="false">IF(ISBLANK(A72),"",-B72*C72)</f>
        <v>-5143</v>
      </c>
      <c r="J72" s="9" t="n">
        <f aca="false">IF(ISBLANK(A72),"",-SUM(I$3:I72))</f>
        <v>19102.9003787879</v>
      </c>
      <c r="K72" s="0" t="n">
        <f aca="false">IF(ISBLANK(A72),"",SUMPRODUCT(O72:R72,T72:W72)-J72)</f>
        <v>-117.90037878789</v>
      </c>
      <c r="L72" s="0" t="n">
        <f aca="false">IF(ISBLANK(A72),"",K72/$M$1)</f>
        <v>-0.0019650063131315</v>
      </c>
      <c r="M72" s="0" t="n">
        <f aca="false">IF(ISBLANK(A72),"",K72/($M$1+SUM(K$3:K71)))</f>
        <v>-0.00226933186853133</v>
      </c>
      <c r="N72" s="0" t="n">
        <f aca="false">IF(ISBLANK(A72),"",IF(H73=0,NETWORKDAYS($H$3,H72,holiday!$B$2:$B$10),IF(DAY(H72)&lt;DAY(H73),NETWORKDAYS($H$3,H72,holiday!$B$2:$B$10),0)))</f>
        <v>0</v>
      </c>
      <c r="O72" s="0" t="n">
        <f aca="false">IF(ISBLANK(A72),"",SUMIF($A$3:$A72,O$2,$B$3:$B72))</f>
        <v>300</v>
      </c>
      <c r="P72" s="0" t="n">
        <f aca="false">IF(ISBLANK(A72),"",SUMIF($A$3:$A72,P$2,$B$3:$B72))</f>
        <v>-200</v>
      </c>
      <c r="Q72" s="0" t="n">
        <f aca="false">IF(ISBLANK(A72),"",SUMIF($A$3:$A72,Q$2,$B$3:$B72))</f>
        <v>200</v>
      </c>
      <c r="R72" s="0" t="n">
        <f aca="false">IF(ISBLANK(A72),"",SUMIF($A$3:$A72,R$2,$B$3:$B72))</f>
        <v>0</v>
      </c>
      <c r="T72" s="0" t="n">
        <f aca="false">IF(ISBLANK(A72),"",IF($A72=T$2,$C72,T71))</f>
        <v>44.31</v>
      </c>
      <c r="U72" s="0" t="n">
        <f aca="false">IF(ISBLANK(A72),"",IF($A72=U$2,$C72,U71))</f>
        <v>22.97</v>
      </c>
      <c r="V72" s="0" t="n">
        <f aca="false">IF(ISBLANK(A72),"",IF($A72=V$2,$C72,V71))</f>
        <v>51.43</v>
      </c>
      <c r="W72" s="0" t="n">
        <f aca="false">IF(ISBLANK(A72),"",IF($A72=W$2,$C72,W71))</f>
        <v>0</v>
      </c>
    </row>
    <row r="73" customFormat="false" ht="12.8" hidden="false" customHeight="false" outlineLevel="0" collapsed="false">
      <c r="A73" s="0" t="n">
        <v>679</v>
      </c>
      <c r="B73" s="0" t="n">
        <v>100</v>
      </c>
      <c r="C73" s="0" t="n">
        <v>51.6</v>
      </c>
      <c r="D73" s="0" t="s">
        <v>82</v>
      </c>
      <c r="H73" s="8" t="n">
        <f aca="false">IF(ISBLANK(D73),,LEFT(D73,LEN(D73)-6)*1)</f>
        <v>38720.7963773148</v>
      </c>
      <c r="I73" s="9" t="n">
        <f aca="false">IF(ISBLANK(A73),"",-B73*C73)</f>
        <v>-5160</v>
      </c>
      <c r="J73" s="9" t="n">
        <f aca="false">IF(ISBLANK(A73),"",-SUM(I$3:I73))</f>
        <v>24262.9003787879</v>
      </c>
      <c r="K73" s="0" t="n">
        <f aca="false">IF(ISBLANK(A73),"",SUMPRODUCT(O73:R73,T73:W73)-J73)</f>
        <v>-83.9003787878901</v>
      </c>
      <c r="L73" s="0" t="n">
        <f aca="false">IF(ISBLANK(A73),"",K73/$M$1)</f>
        <v>-0.00139833964646483</v>
      </c>
      <c r="M73" s="0" t="n">
        <f aca="false">IF(ISBLANK(A73),"",K73/($M$1+SUM(K$3:K72)))</f>
        <v>-0.00161857717408171</v>
      </c>
      <c r="N73" s="0" t="n">
        <f aca="false">IF(ISBLANK(A73),"",IF(H74=0,NETWORKDAYS($H$3,H73,holiday!$B$2:$B$10),IF(DAY(H73)&lt;DAY(H74),NETWORKDAYS($H$3,H73,holiday!$B$2:$B$10),0)))</f>
        <v>0</v>
      </c>
      <c r="O73" s="0" t="n">
        <f aca="false">IF(ISBLANK(A73),"",SUMIF($A$3:$A73,O$2,$B$3:$B73))</f>
        <v>300</v>
      </c>
      <c r="P73" s="0" t="n">
        <f aca="false">IF(ISBLANK(A73),"",SUMIF($A$3:$A73,P$2,$B$3:$B73))</f>
        <v>-200</v>
      </c>
      <c r="Q73" s="0" t="n">
        <f aca="false">IF(ISBLANK(A73),"",SUMIF($A$3:$A73,Q$2,$B$3:$B73))</f>
        <v>300</v>
      </c>
      <c r="R73" s="0" t="n">
        <f aca="false">IF(ISBLANK(A73),"",SUMIF($A$3:$A73,R$2,$B$3:$B73))</f>
        <v>0</v>
      </c>
      <c r="T73" s="0" t="n">
        <f aca="false">IF(ISBLANK(A73),"",IF($A73=T$2,$C73,T72))</f>
        <v>44.31</v>
      </c>
      <c r="U73" s="0" t="n">
        <f aca="false">IF(ISBLANK(A73),"",IF($A73=U$2,$C73,U72))</f>
        <v>22.97</v>
      </c>
      <c r="V73" s="0" t="n">
        <f aca="false">IF(ISBLANK(A73),"",IF($A73=V$2,$C73,V72))</f>
        <v>51.6</v>
      </c>
      <c r="W73" s="0" t="n">
        <f aca="false">IF(ISBLANK(A73),"",IF($A73=W$2,$C73,W72))</f>
        <v>0</v>
      </c>
    </row>
    <row r="74" customFormat="false" ht="12.8" hidden="false" customHeight="false" outlineLevel="0" collapsed="false">
      <c r="A74" s="0" t="n">
        <v>679</v>
      </c>
      <c r="B74" s="0" t="n">
        <v>-100</v>
      </c>
      <c r="C74" s="0" t="n">
        <v>51.69</v>
      </c>
      <c r="D74" s="0" t="s">
        <v>83</v>
      </c>
      <c r="H74" s="8" t="n">
        <f aca="false">IF(ISBLANK(D74),,LEFT(D74,LEN(D74)-6)*1)</f>
        <v>38720.797337963</v>
      </c>
      <c r="I74" s="9" t="n">
        <f aca="false">IF(ISBLANK(A74),"",-B74*C74)</f>
        <v>5169</v>
      </c>
      <c r="J74" s="9" t="n">
        <f aca="false">IF(ISBLANK(A74),"",-SUM(I$3:I74))</f>
        <v>19093.9003787879</v>
      </c>
      <c r="K74" s="0" t="n">
        <f aca="false">IF(ISBLANK(A74),"",SUMPRODUCT(O74:R74,T74:W74)-J74)</f>
        <v>-56.9003787878901</v>
      </c>
      <c r="L74" s="0" t="n">
        <f aca="false">IF(ISBLANK(A74),"",K74/$M$1)</f>
        <v>-0.000948339646464835</v>
      </c>
      <c r="M74" s="0" t="n">
        <f aca="false">IF(ISBLANK(A74),"",K74/($M$1+SUM(K$3:K73)))</f>
        <v>-0.00109948208177697</v>
      </c>
      <c r="N74" s="0" t="n">
        <f aca="false">IF(ISBLANK(A74),"",IF(H75=0,NETWORKDAYS($H$3,H74,holiday!$B$2:$B$10),IF(DAY(H74)&lt;DAY(H75),NETWORKDAYS($H$3,H74,holiday!$B$2:$B$10),0)))</f>
        <v>0</v>
      </c>
      <c r="O74" s="0" t="n">
        <f aca="false">IF(ISBLANK(A74),"",SUMIF($A$3:$A74,O$2,$B$3:$B74))</f>
        <v>300</v>
      </c>
      <c r="P74" s="0" t="n">
        <f aca="false">IF(ISBLANK(A74),"",SUMIF($A$3:$A74,P$2,$B$3:$B74))</f>
        <v>-200</v>
      </c>
      <c r="Q74" s="0" t="n">
        <f aca="false">IF(ISBLANK(A74),"",SUMIF($A$3:$A74,Q$2,$B$3:$B74))</f>
        <v>200</v>
      </c>
      <c r="R74" s="0" t="n">
        <f aca="false">IF(ISBLANK(A74),"",SUMIF($A$3:$A74,R$2,$B$3:$B74))</f>
        <v>0</v>
      </c>
      <c r="T74" s="0" t="n">
        <f aca="false">IF(ISBLANK(A74),"",IF($A74=T$2,$C74,T73))</f>
        <v>44.31</v>
      </c>
      <c r="U74" s="0" t="n">
        <f aca="false">IF(ISBLANK(A74),"",IF($A74=U$2,$C74,U73))</f>
        <v>22.97</v>
      </c>
      <c r="V74" s="0" t="n">
        <f aca="false">IF(ISBLANK(A74),"",IF($A74=V$2,$C74,V73))</f>
        <v>51.69</v>
      </c>
      <c r="W74" s="0" t="n">
        <f aca="false">IF(ISBLANK(A74),"",IF($A74=W$2,$C74,W73))</f>
        <v>0</v>
      </c>
    </row>
    <row r="75" customFormat="false" ht="12.8" hidden="false" customHeight="false" outlineLevel="0" collapsed="false">
      <c r="A75" s="0" t="n">
        <v>8370</v>
      </c>
      <c r="B75" s="0" t="n">
        <v>-100</v>
      </c>
      <c r="C75" s="0" t="n">
        <v>44.576</v>
      </c>
      <c r="D75" s="0" t="s">
        <v>84</v>
      </c>
      <c r="H75" s="8" t="n">
        <f aca="false">IF(ISBLANK(D75),,LEFT(D75,LEN(D75)-6)*1)</f>
        <v>38720.797974537</v>
      </c>
      <c r="I75" s="9" t="n">
        <f aca="false">IF(ISBLANK(A75),"",-B75*C75)</f>
        <v>4457.6</v>
      </c>
      <c r="J75" s="9" t="n">
        <f aca="false">IF(ISBLANK(A75),"",-SUM(I$3:I75))</f>
        <v>14636.3003787879</v>
      </c>
      <c r="K75" s="0" t="n">
        <f aca="false">IF(ISBLANK(A75),"",SUMPRODUCT(O75:R75,T75:W75)-J75)</f>
        <v>22.899621212111</v>
      </c>
      <c r="L75" s="0" t="n">
        <f aca="false">IF(ISBLANK(A75),"",K75/$M$1)</f>
        <v>0.000381660353535184</v>
      </c>
      <c r="M75" s="0" t="n">
        <f aca="false">IF(ISBLANK(A75),"",K75/($M$1+SUM(K$3:K74)))</f>
        <v>0.000442974838911719</v>
      </c>
      <c r="N75" s="0" t="n">
        <f aca="false">IF(ISBLANK(A75),"",IF(H76=0,NETWORKDAYS($H$3,H75,holiday!$B$2:$B$10),IF(DAY(H75)&lt;DAY(H76),NETWORKDAYS($H$3,H75,holiday!$B$2:$B$10),0)))</f>
        <v>0</v>
      </c>
      <c r="O75" s="0" t="n">
        <f aca="false">IF(ISBLANK(A75),"",SUMIF($A$3:$A75,O$2,$B$3:$B75))</f>
        <v>200</v>
      </c>
      <c r="P75" s="0" t="n">
        <f aca="false">IF(ISBLANK(A75),"",SUMIF($A$3:$A75,P$2,$B$3:$B75))</f>
        <v>-200</v>
      </c>
      <c r="Q75" s="0" t="n">
        <f aca="false">IF(ISBLANK(A75),"",SUMIF($A$3:$A75,Q$2,$B$3:$B75))</f>
        <v>200</v>
      </c>
      <c r="R75" s="0" t="n">
        <f aca="false">IF(ISBLANK(A75),"",SUMIF($A$3:$A75,R$2,$B$3:$B75))</f>
        <v>0</v>
      </c>
      <c r="T75" s="0" t="n">
        <f aca="false">IF(ISBLANK(A75),"",IF($A75=T$2,$C75,T74))</f>
        <v>44.576</v>
      </c>
      <c r="U75" s="0" t="n">
        <f aca="false">IF(ISBLANK(A75),"",IF($A75=U$2,$C75,U74))</f>
        <v>22.97</v>
      </c>
      <c r="V75" s="0" t="n">
        <f aca="false">IF(ISBLANK(A75),"",IF($A75=V$2,$C75,V74))</f>
        <v>51.69</v>
      </c>
      <c r="W75" s="0" t="n">
        <f aca="false">IF(ISBLANK(A75),"",IF($A75=W$2,$C75,W74))</f>
        <v>0</v>
      </c>
    </row>
    <row r="76" customFormat="false" ht="12.8" hidden="false" customHeight="false" outlineLevel="0" collapsed="false">
      <c r="A76" s="0" t="n">
        <v>679</v>
      </c>
      <c r="B76" s="0" t="n">
        <v>-100</v>
      </c>
      <c r="C76" s="0" t="n">
        <v>51.77</v>
      </c>
      <c r="D76" s="0" t="s">
        <v>85</v>
      </c>
      <c r="H76" s="8" t="n">
        <f aca="false">IF(ISBLANK(D76),,LEFT(D76,LEN(D76)-6)*1)</f>
        <v>38720.8013194444</v>
      </c>
      <c r="I76" s="9" t="n">
        <f aca="false">IF(ISBLANK(A76),"",-B76*C76)</f>
        <v>5177</v>
      </c>
      <c r="J76" s="9" t="n">
        <f aca="false">IF(ISBLANK(A76),"",-SUM(I$3:I76))</f>
        <v>9459.30037878789</v>
      </c>
      <c r="K76" s="0" t="n">
        <f aca="false">IF(ISBLANK(A76),"",SUMPRODUCT(O76:R76,T76:W76)-J76)</f>
        <v>38.899621212111</v>
      </c>
      <c r="L76" s="0" t="n">
        <f aca="false">IF(ISBLANK(A76),"",K76/$M$1)</f>
        <v>0.00064832702020185</v>
      </c>
      <c r="M76" s="0" t="n">
        <f aca="false">IF(ISBLANK(A76),"",K76/($M$1+SUM(K$3:K75)))</f>
        <v>0.000752148846297815</v>
      </c>
      <c r="N76" s="0" t="n">
        <f aca="false">IF(ISBLANK(A76),"",IF(H77=0,NETWORKDAYS($H$3,H76,holiday!$B$2:$B$10),IF(DAY(H76)&lt;DAY(H77),NETWORKDAYS($H$3,H76,holiday!$B$2:$B$10),0)))</f>
        <v>0</v>
      </c>
      <c r="O76" s="0" t="n">
        <f aca="false">IF(ISBLANK(A76),"",SUMIF($A$3:$A76,O$2,$B$3:$B76))</f>
        <v>200</v>
      </c>
      <c r="P76" s="0" t="n">
        <f aca="false">IF(ISBLANK(A76),"",SUMIF($A$3:$A76,P$2,$B$3:$B76))</f>
        <v>-200</v>
      </c>
      <c r="Q76" s="0" t="n">
        <f aca="false">IF(ISBLANK(A76),"",SUMIF($A$3:$A76,Q$2,$B$3:$B76))</f>
        <v>100</v>
      </c>
      <c r="R76" s="0" t="n">
        <f aca="false">IF(ISBLANK(A76),"",SUMIF($A$3:$A76,R$2,$B$3:$B76))</f>
        <v>0</v>
      </c>
      <c r="T76" s="0" t="n">
        <f aca="false">IF(ISBLANK(A76),"",IF($A76=T$2,$C76,T75))</f>
        <v>44.576</v>
      </c>
      <c r="U76" s="0" t="n">
        <f aca="false">IF(ISBLANK(A76),"",IF($A76=U$2,$C76,U75))</f>
        <v>22.97</v>
      </c>
      <c r="V76" s="0" t="n">
        <f aca="false">IF(ISBLANK(A76),"",IF($A76=V$2,$C76,V75))</f>
        <v>51.77</v>
      </c>
      <c r="W76" s="0" t="n">
        <f aca="false">IF(ISBLANK(A76),"",IF($A76=W$2,$C76,W75))</f>
        <v>0</v>
      </c>
    </row>
    <row r="77" customFormat="false" ht="12.8" hidden="false" customHeight="false" outlineLevel="0" collapsed="false">
      <c r="A77" s="0" t="n">
        <v>8370</v>
      </c>
      <c r="B77" s="0" t="n">
        <v>-100</v>
      </c>
      <c r="C77" s="0" t="n">
        <v>44.73</v>
      </c>
      <c r="D77" s="0" t="s">
        <v>86</v>
      </c>
      <c r="H77" s="8" t="n">
        <f aca="false">IF(ISBLANK(D77),,LEFT(D77,LEN(D77)-6)*1)</f>
        <v>38720.8024537037</v>
      </c>
      <c r="I77" s="9" t="n">
        <f aca="false">IF(ISBLANK(A77),"",-B77*C77)</f>
        <v>4473</v>
      </c>
      <c r="J77" s="9" t="n">
        <f aca="false">IF(ISBLANK(A77),"",-SUM(I$3:I77))</f>
        <v>4986.30037878789</v>
      </c>
      <c r="K77" s="0" t="n">
        <f aca="false">IF(ISBLANK(A77),"",SUMPRODUCT(O77:R77,T77:W77)-J77)</f>
        <v>69.6996212121103</v>
      </c>
      <c r="L77" s="0" t="n">
        <f aca="false">IF(ISBLANK(A77),"",K77/$M$1)</f>
        <v>0.00116166035353517</v>
      </c>
      <c r="M77" s="0" t="n">
        <f aca="false">IF(ISBLANK(A77),"",K77/($M$1+SUM(K$3:K76)))</f>
        <v>0.00134667348077022</v>
      </c>
      <c r="N77" s="0" t="n">
        <f aca="false">IF(ISBLANK(A77),"",IF(H78=0,NETWORKDAYS($H$3,H77,holiday!$B$2:$B$10),IF(DAY(H77)&lt;DAY(H78),NETWORKDAYS($H$3,H77,holiday!$B$2:$B$10),0)))</f>
        <v>0</v>
      </c>
      <c r="O77" s="0" t="n">
        <f aca="false">IF(ISBLANK(A77),"",SUMIF($A$3:$A77,O$2,$B$3:$B77))</f>
        <v>100</v>
      </c>
      <c r="P77" s="0" t="n">
        <f aca="false">IF(ISBLANK(A77),"",SUMIF($A$3:$A77,P$2,$B$3:$B77))</f>
        <v>-200</v>
      </c>
      <c r="Q77" s="0" t="n">
        <f aca="false">IF(ISBLANK(A77),"",SUMIF($A$3:$A77,Q$2,$B$3:$B77))</f>
        <v>100</v>
      </c>
      <c r="R77" s="0" t="n">
        <f aca="false">IF(ISBLANK(A77),"",SUMIF($A$3:$A77,R$2,$B$3:$B77))</f>
        <v>0</v>
      </c>
      <c r="T77" s="0" t="n">
        <f aca="false">IF(ISBLANK(A77),"",IF($A77=T$2,$C77,T76))</f>
        <v>44.73</v>
      </c>
      <c r="U77" s="0" t="n">
        <f aca="false">IF(ISBLANK(A77),"",IF($A77=U$2,$C77,U76))</f>
        <v>22.97</v>
      </c>
      <c r="V77" s="0" t="n">
        <f aca="false">IF(ISBLANK(A77),"",IF($A77=V$2,$C77,V76))</f>
        <v>51.77</v>
      </c>
      <c r="W77" s="0" t="n">
        <f aca="false">IF(ISBLANK(A77),"",IF($A77=W$2,$C77,W76))</f>
        <v>0</v>
      </c>
    </row>
    <row r="78" customFormat="false" ht="12.8" hidden="false" customHeight="false" outlineLevel="0" collapsed="false">
      <c r="A78" s="0" t="n">
        <v>980</v>
      </c>
      <c r="B78" s="0" t="n">
        <v>100</v>
      </c>
      <c r="C78" s="0" t="n">
        <v>23.01</v>
      </c>
      <c r="D78" s="0" t="s">
        <v>87</v>
      </c>
      <c r="H78" s="8" t="n">
        <f aca="false">IF(ISBLANK(D78),,LEFT(D78,LEN(D78)-6)*1)</f>
        <v>38720.802974537</v>
      </c>
      <c r="I78" s="9" t="n">
        <f aca="false">IF(ISBLANK(A78),"",-B78*C78)</f>
        <v>-2301</v>
      </c>
      <c r="J78" s="9" t="n">
        <f aca="false">IF(ISBLANK(A78),"",-SUM(I$3:I78))</f>
        <v>7287.30037878789</v>
      </c>
      <c r="K78" s="0" t="n">
        <f aca="false">IF(ISBLANK(A78),"",SUMPRODUCT(O78:R78,T78:W78)-J78)</f>
        <v>61.6996212121103</v>
      </c>
      <c r="L78" s="0" t="n">
        <f aca="false">IF(ISBLANK(A78),"",K78/$M$1)</f>
        <v>0.00102832702020184</v>
      </c>
      <c r="M78" s="0" t="n">
        <f aca="false">IF(ISBLANK(A78),"",K78/($M$1+SUM(K$3:K77)))</f>
        <v>0.00119050144919104</v>
      </c>
      <c r="N78" s="0" t="n">
        <f aca="false">IF(ISBLANK(A78),"",IF(H79=0,NETWORKDAYS($H$3,H78,holiday!$B$2:$B$10),IF(DAY(H78)&lt;DAY(H79),NETWORKDAYS($H$3,H78,holiday!$B$2:$B$10),0)))</f>
        <v>0</v>
      </c>
      <c r="O78" s="0" t="n">
        <f aca="false">IF(ISBLANK(A78),"",SUMIF($A$3:$A78,O$2,$B$3:$B78))</f>
        <v>100</v>
      </c>
      <c r="P78" s="0" t="n">
        <f aca="false">IF(ISBLANK(A78),"",SUMIF($A$3:$A78,P$2,$B$3:$B78))</f>
        <v>-100</v>
      </c>
      <c r="Q78" s="0" t="n">
        <f aca="false">IF(ISBLANK(A78),"",SUMIF($A$3:$A78,Q$2,$B$3:$B78))</f>
        <v>100</v>
      </c>
      <c r="R78" s="0" t="n">
        <f aca="false">IF(ISBLANK(A78),"",SUMIF($A$3:$A78,R$2,$B$3:$B78))</f>
        <v>0</v>
      </c>
      <c r="T78" s="0" t="n">
        <f aca="false">IF(ISBLANK(A78),"",IF($A78=T$2,$C78,T77))</f>
        <v>44.73</v>
      </c>
      <c r="U78" s="0" t="n">
        <f aca="false">IF(ISBLANK(A78),"",IF($A78=U$2,$C78,U77))</f>
        <v>23.01</v>
      </c>
      <c r="V78" s="0" t="n">
        <f aca="false">IF(ISBLANK(A78),"",IF($A78=V$2,$C78,V77))</f>
        <v>51.77</v>
      </c>
      <c r="W78" s="0" t="n">
        <f aca="false">IF(ISBLANK(A78),"",IF($A78=W$2,$C78,W77))</f>
        <v>0</v>
      </c>
    </row>
    <row r="79" customFormat="false" ht="12.8" hidden="false" customHeight="false" outlineLevel="0" collapsed="false">
      <c r="A79" s="0" t="n">
        <v>980</v>
      </c>
      <c r="B79" s="0" t="n">
        <v>-100</v>
      </c>
      <c r="C79" s="0" t="n">
        <v>23.07</v>
      </c>
      <c r="D79" s="0" t="s">
        <v>88</v>
      </c>
      <c r="H79" s="8" t="n">
        <f aca="false">IF(ISBLANK(D79),,LEFT(D79,LEN(D79)-6)*1)</f>
        <v>38720.8043055555</v>
      </c>
      <c r="I79" s="9" t="n">
        <f aca="false">IF(ISBLANK(A79),"",-B79*C79)</f>
        <v>2307</v>
      </c>
      <c r="J79" s="9" t="n">
        <f aca="false">IF(ISBLANK(A79),"",-SUM(I$3:I79))</f>
        <v>4980.30037878789</v>
      </c>
      <c r="K79" s="0" t="n">
        <f aca="false">IF(ISBLANK(A79),"",SUMPRODUCT(O79:R79,T79:W79)-J79)</f>
        <v>55.6996212121103</v>
      </c>
      <c r="L79" s="0" t="n">
        <f aca="false">IF(ISBLANK(A79),"",K79/$M$1)</f>
        <v>0.000928327020201838</v>
      </c>
      <c r="M79" s="0" t="n">
        <f aca="false">IF(ISBLANK(A79),"",K79/($M$1+SUM(K$3:K78)))</f>
        <v>0.00107345279628422</v>
      </c>
      <c r="N79" s="0" t="n">
        <f aca="false">IF(ISBLANK(A79),"",IF(H80=0,NETWORKDAYS($H$3,H79,holiday!$B$2:$B$10),IF(DAY(H79)&lt;DAY(H80),NETWORKDAYS($H$3,H79,holiday!$B$2:$B$10),0)))</f>
        <v>0</v>
      </c>
      <c r="O79" s="0" t="n">
        <f aca="false">IF(ISBLANK(A79),"",SUMIF($A$3:$A79,O$2,$B$3:$B79))</f>
        <v>100</v>
      </c>
      <c r="P79" s="0" t="n">
        <f aca="false">IF(ISBLANK(A79),"",SUMIF($A$3:$A79,P$2,$B$3:$B79))</f>
        <v>-200</v>
      </c>
      <c r="Q79" s="0" t="n">
        <f aca="false">IF(ISBLANK(A79),"",SUMIF($A$3:$A79,Q$2,$B$3:$B79))</f>
        <v>100</v>
      </c>
      <c r="R79" s="0" t="n">
        <f aca="false">IF(ISBLANK(A79),"",SUMIF($A$3:$A79,R$2,$B$3:$B79))</f>
        <v>0</v>
      </c>
      <c r="T79" s="0" t="n">
        <f aca="false">IF(ISBLANK(A79),"",IF($A79=T$2,$C79,T78))</f>
        <v>44.73</v>
      </c>
      <c r="U79" s="0" t="n">
        <f aca="false">IF(ISBLANK(A79),"",IF($A79=U$2,$C79,U78))</f>
        <v>23.07</v>
      </c>
      <c r="V79" s="0" t="n">
        <f aca="false">IF(ISBLANK(A79),"",IF($A79=V$2,$C79,V78))</f>
        <v>51.77</v>
      </c>
      <c r="W79" s="0" t="n">
        <f aca="false">IF(ISBLANK(A79),"",IF($A79=W$2,$C79,W78))</f>
        <v>0</v>
      </c>
    </row>
    <row r="80" customFormat="false" ht="12.8" hidden="false" customHeight="false" outlineLevel="0" collapsed="false">
      <c r="A80" s="0" t="n">
        <v>679</v>
      </c>
      <c r="B80" s="0" t="n">
        <v>-100</v>
      </c>
      <c r="C80" s="0" t="n">
        <v>51.76</v>
      </c>
      <c r="D80" s="0" t="s">
        <v>89</v>
      </c>
      <c r="H80" s="8" t="n">
        <f aca="false">IF(ISBLANK(D80),,LEFT(D80,LEN(D80)-6)*1)</f>
        <v>38720.8055671296</v>
      </c>
      <c r="I80" s="9" t="n">
        <f aca="false">IF(ISBLANK(A80),"",-B80*C80)</f>
        <v>5176</v>
      </c>
      <c r="J80" s="9" t="n">
        <f aca="false">IF(ISBLANK(A80),"",-SUM(I$3:I80))</f>
        <v>-195.69962121211</v>
      </c>
      <c r="K80" s="0" t="n">
        <f aca="false">IF(ISBLANK(A80),"",SUMPRODUCT(O80:R80,T80:W80)-J80)</f>
        <v>54.6996212121103</v>
      </c>
      <c r="L80" s="0" t="n">
        <f aca="false">IF(ISBLANK(A80),"",K80/$M$1)</f>
        <v>0.000911660353535171</v>
      </c>
      <c r="M80" s="0" t="n">
        <f aca="false">IF(ISBLANK(A80),"",K80/($M$1+SUM(K$3:K79)))</f>
        <v>0.00105305022249656</v>
      </c>
      <c r="N80" s="0" t="n">
        <f aca="false">IF(ISBLANK(A80),"",IF(H81=0,NETWORKDAYS($H$3,H80,holiday!$B$2:$B$10),IF(DAY(H80)&lt;DAY(H81),NETWORKDAYS($H$3,H80,holiday!$B$2:$B$10),0)))</f>
        <v>0</v>
      </c>
      <c r="O80" s="0" t="n">
        <f aca="false">IF(ISBLANK(A80),"",SUMIF($A$3:$A80,O$2,$B$3:$B80))</f>
        <v>100</v>
      </c>
      <c r="P80" s="0" t="n">
        <f aca="false">IF(ISBLANK(A80),"",SUMIF($A$3:$A80,P$2,$B$3:$B80))</f>
        <v>-200</v>
      </c>
      <c r="Q80" s="0" t="n">
        <f aca="false">IF(ISBLANK(A80),"",SUMIF($A$3:$A80,Q$2,$B$3:$B80))</f>
        <v>0</v>
      </c>
      <c r="R80" s="0" t="n">
        <f aca="false">IF(ISBLANK(A80),"",SUMIF($A$3:$A80,R$2,$B$3:$B80))</f>
        <v>0</v>
      </c>
      <c r="T80" s="0" t="n">
        <f aca="false">IF(ISBLANK(A80),"",IF($A80=T$2,$C80,T79))</f>
        <v>44.73</v>
      </c>
      <c r="U80" s="0" t="n">
        <f aca="false">IF(ISBLANK(A80),"",IF($A80=U$2,$C80,U79))</f>
        <v>23.07</v>
      </c>
      <c r="V80" s="0" t="n">
        <f aca="false">IF(ISBLANK(A80),"",IF($A80=V$2,$C80,V79))</f>
        <v>51.76</v>
      </c>
      <c r="W80" s="0" t="n">
        <f aca="false">IF(ISBLANK(A80),"",IF($A80=W$2,$C80,W79))</f>
        <v>0</v>
      </c>
    </row>
    <row r="81" customFormat="false" ht="12.8" hidden="false" customHeight="false" outlineLevel="0" collapsed="false">
      <c r="A81" s="0" t="n">
        <v>679</v>
      </c>
      <c r="B81" s="0" t="n">
        <v>-100</v>
      </c>
      <c r="C81" s="0" t="n">
        <v>51.76</v>
      </c>
      <c r="D81" s="0" t="s">
        <v>90</v>
      </c>
      <c r="H81" s="8" t="n">
        <f aca="false">IF(ISBLANK(D81),,LEFT(D81,LEN(D81)-6)*1)</f>
        <v>38720.8055902778</v>
      </c>
      <c r="I81" s="9" t="n">
        <f aca="false">IF(ISBLANK(A81),"",-B81*C81)</f>
        <v>5176</v>
      </c>
      <c r="J81" s="9" t="n">
        <f aca="false">IF(ISBLANK(A81),"",-SUM(I$3:I81))</f>
        <v>-5371.69962121211</v>
      </c>
      <c r="K81" s="0" t="n">
        <f aca="false">IF(ISBLANK(A81),"",SUMPRODUCT(O81:R81,T81:W81)-J81)</f>
        <v>54.6996212121103</v>
      </c>
      <c r="L81" s="0" t="n">
        <f aca="false">IF(ISBLANK(A81),"",K81/$M$1)</f>
        <v>0.000911660353535171</v>
      </c>
      <c r="M81" s="0" t="n">
        <f aca="false">IF(ISBLANK(A81),"",K81/($M$1+SUM(K$3:K80)))</f>
        <v>0.00105194247424001</v>
      </c>
      <c r="N81" s="0" t="n">
        <f aca="false">IF(ISBLANK(A81),"",IF(H82=0,NETWORKDAYS($H$3,H81,holiday!$B$2:$B$10),IF(DAY(H81)&lt;DAY(H82),NETWORKDAYS($H$3,H81,holiday!$B$2:$B$10),0)))</f>
        <v>0</v>
      </c>
      <c r="O81" s="0" t="n">
        <f aca="false">IF(ISBLANK(A81),"",SUMIF($A$3:$A81,O$2,$B$3:$B81))</f>
        <v>100</v>
      </c>
      <c r="P81" s="0" t="n">
        <f aca="false">IF(ISBLANK(A81),"",SUMIF($A$3:$A81,P$2,$B$3:$B81))</f>
        <v>-200</v>
      </c>
      <c r="Q81" s="0" t="n">
        <f aca="false">IF(ISBLANK(A81),"",SUMIF($A$3:$A81,Q$2,$B$3:$B81))</f>
        <v>-100</v>
      </c>
      <c r="R81" s="0" t="n">
        <f aca="false">IF(ISBLANK(A81),"",SUMIF($A$3:$A81,R$2,$B$3:$B81))</f>
        <v>0</v>
      </c>
      <c r="T81" s="0" t="n">
        <f aca="false">IF(ISBLANK(A81),"",IF($A81=T$2,$C81,T80))</f>
        <v>44.73</v>
      </c>
      <c r="U81" s="0" t="n">
        <f aca="false">IF(ISBLANK(A81),"",IF($A81=U$2,$C81,U80))</f>
        <v>23.07</v>
      </c>
      <c r="V81" s="0" t="n">
        <f aca="false">IF(ISBLANK(A81),"",IF($A81=V$2,$C81,V80))</f>
        <v>51.76</v>
      </c>
      <c r="W81" s="0" t="n">
        <f aca="false">IF(ISBLANK(A81),"",IF($A81=W$2,$C81,W80))</f>
        <v>0</v>
      </c>
    </row>
    <row r="82" customFormat="false" ht="12.8" hidden="false" customHeight="false" outlineLevel="0" collapsed="false">
      <c r="A82" s="0" t="n">
        <v>679</v>
      </c>
      <c r="B82" s="0" t="n">
        <v>-100</v>
      </c>
      <c r="C82" s="0" t="n">
        <v>51.76</v>
      </c>
      <c r="D82" s="0" t="s">
        <v>91</v>
      </c>
      <c r="H82" s="8" t="n">
        <f aca="false">IF(ISBLANK(D82),,LEFT(D82,LEN(D82)-6)*1)</f>
        <v>38720.8056018519</v>
      </c>
      <c r="I82" s="9" t="n">
        <f aca="false">IF(ISBLANK(A82),"",-B82*C82)</f>
        <v>5176</v>
      </c>
      <c r="J82" s="9" t="n">
        <f aca="false">IF(ISBLANK(A82),"",-SUM(I$3:I82))</f>
        <v>-10547.6996212121</v>
      </c>
      <c r="K82" s="0" t="n">
        <f aca="false">IF(ISBLANK(A82),"",SUMPRODUCT(O82:R82,T82:W82)-J82)</f>
        <v>54.6996212121103</v>
      </c>
      <c r="L82" s="0" t="n">
        <f aca="false">IF(ISBLANK(A82),"",K82/$M$1)</f>
        <v>0.000911660353535171</v>
      </c>
      <c r="M82" s="0" t="n">
        <f aca="false">IF(ISBLANK(A82),"",K82/($M$1+SUM(K$3:K81)))</f>
        <v>0.00105083705410928</v>
      </c>
      <c r="N82" s="0" t="n">
        <f aca="false">IF(ISBLANK(A82),"",IF(H83=0,NETWORKDAYS($H$3,H82,holiday!$B$2:$B$10),IF(DAY(H82)&lt;DAY(H83),NETWORKDAYS($H$3,H82,holiday!$B$2:$B$10),0)))</f>
        <v>0</v>
      </c>
      <c r="O82" s="0" t="n">
        <f aca="false">IF(ISBLANK(A82),"",SUMIF($A$3:$A82,O$2,$B$3:$B82))</f>
        <v>100</v>
      </c>
      <c r="P82" s="0" t="n">
        <f aca="false">IF(ISBLANK(A82),"",SUMIF($A$3:$A82,P$2,$B$3:$B82))</f>
        <v>-200</v>
      </c>
      <c r="Q82" s="0" t="n">
        <f aca="false">IF(ISBLANK(A82),"",SUMIF($A$3:$A82,Q$2,$B$3:$B82))</f>
        <v>-200</v>
      </c>
      <c r="R82" s="0" t="n">
        <f aca="false">IF(ISBLANK(A82),"",SUMIF($A$3:$A82,R$2,$B$3:$B82))</f>
        <v>0</v>
      </c>
      <c r="T82" s="0" t="n">
        <f aca="false">IF(ISBLANK(A82),"",IF($A82=T$2,$C82,T81))</f>
        <v>44.73</v>
      </c>
      <c r="U82" s="0" t="n">
        <f aca="false">IF(ISBLANK(A82),"",IF($A82=U$2,$C82,U81))</f>
        <v>23.07</v>
      </c>
      <c r="V82" s="0" t="n">
        <f aca="false">IF(ISBLANK(A82),"",IF($A82=V$2,$C82,V81))</f>
        <v>51.76</v>
      </c>
      <c r="W82" s="0" t="n">
        <f aca="false">IF(ISBLANK(A82),"",IF($A82=W$2,$C82,W81))</f>
        <v>0</v>
      </c>
    </row>
    <row r="83" customFormat="false" ht="12.8" hidden="false" customHeight="false" outlineLevel="0" collapsed="false">
      <c r="A83" s="0" t="n">
        <v>679</v>
      </c>
      <c r="B83" s="0" t="n">
        <v>100</v>
      </c>
      <c r="C83" s="0" t="n">
        <v>51.71</v>
      </c>
      <c r="D83" s="0" t="s">
        <v>92</v>
      </c>
      <c r="H83" s="8" t="n">
        <f aca="false">IF(ISBLANK(D83),,LEFT(D83,LEN(D83)-6)*1)</f>
        <v>38720.8056712963</v>
      </c>
      <c r="I83" s="9" t="n">
        <f aca="false">IF(ISBLANK(A83),"",-B83*C83)</f>
        <v>-5171</v>
      </c>
      <c r="J83" s="9" t="n">
        <f aca="false">IF(ISBLANK(A83),"",-SUM(I$3:I83))</f>
        <v>-5376.69962121211</v>
      </c>
      <c r="K83" s="0" t="n">
        <f aca="false">IF(ISBLANK(A83),"",SUMPRODUCT(O83:R83,T83:W83)-J83)</f>
        <v>64.6996212121103</v>
      </c>
      <c r="L83" s="0" t="n">
        <f aca="false">IF(ISBLANK(A83),"",K83/$M$1)</f>
        <v>0.00107832702020184</v>
      </c>
      <c r="M83" s="0" t="n">
        <f aca="false">IF(ISBLANK(A83),"",K83/($M$1+SUM(K$3:K82)))</f>
        <v>0.00124164277086885</v>
      </c>
      <c r="N83" s="0" t="n">
        <f aca="false">IF(ISBLANK(A83),"",IF(H84=0,NETWORKDAYS($H$3,H83,holiday!$B$2:$B$10),IF(DAY(H83)&lt;DAY(H84),NETWORKDAYS($H$3,H83,holiday!$B$2:$B$10),0)))</f>
        <v>0</v>
      </c>
      <c r="O83" s="0" t="n">
        <f aca="false">IF(ISBLANK(A83),"",SUMIF($A$3:$A83,O$2,$B$3:$B83))</f>
        <v>100</v>
      </c>
      <c r="P83" s="0" t="n">
        <f aca="false">IF(ISBLANK(A83),"",SUMIF($A$3:$A83,P$2,$B$3:$B83))</f>
        <v>-200</v>
      </c>
      <c r="Q83" s="0" t="n">
        <f aca="false">IF(ISBLANK(A83),"",SUMIF($A$3:$A83,Q$2,$B$3:$B83))</f>
        <v>-100</v>
      </c>
      <c r="R83" s="0" t="n">
        <f aca="false">IF(ISBLANK(A83),"",SUMIF($A$3:$A83,R$2,$B$3:$B83))</f>
        <v>0</v>
      </c>
      <c r="T83" s="0" t="n">
        <f aca="false">IF(ISBLANK(A83),"",IF($A83=T$2,$C83,T82))</f>
        <v>44.73</v>
      </c>
      <c r="U83" s="0" t="n">
        <f aca="false">IF(ISBLANK(A83),"",IF($A83=U$2,$C83,U82))</f>
        <v>23.07</v>
      </c>
      <c r="V83" s="0" t="n">
        <f aca="false">IF(ISBLANK(A83),"",IF($A83=V$2,$C83,V82))</f>
        <v>51.71</v>
      </c>
      <c r="W83" s="0" t="n">
        <f aca="false">IF(ISBLANK(A83),"",IF($A83=W$2,$C83,W82))</f>
        <v>0</v>
      </c>
    </row>
    <row r="84" customFormat="false" ht="12.8" hidden="false" customHeight="false" outlineLevel="0" collapsed="false">
      <c r="A84" s="0" t="n">
        <v>8370</v>
      </c>
      <c r="B84" s="0" t="n">
        <v>100</v>
      </c>
      <c r="C84" s="0" t="n">
        <v>44.76</v>
      </c>
      <c r="D84" s="0" t="s">
        <v>93</v>
      </c>
      <c r="H84" s="8" t="n">
        <f aca="false">IF(ISBLANK(D84),,LEFT(D84,LEN(D84)-6)*1)</f>
        <v>38720.8061574074</v>
      </c>
      <c r="I84" s="9" t="n">
        <f aca="false">IF(ISBLANK(A84),"",-B84*C84)</f>
        <v>-4476</v>
      </c>
      <c r="J84" s="9" t="n">
        <f aca="false">IF(ISBLANK(A84),"",-SUM(I$3:I84))</f>
        <v>-900.69962121211</v>
      </c>
      <c r="K84" s="0" t="n">
        <f aca="false">IF(ISBLANK(A84),"",SUMPRODUCT(O84:R84,T84:W84)-J84)</f>
        <v>67.6996212121103</v>
      </c>
      <c r="L84" s="0" t="n">
        <f aca="false">IF(ISBLANK(A84),"",K84/$M$1)</f>
        <v>0.00112832702020184</v>
      </c>
      <c r="M84" s="0" t="n">
        <f aca="false">IF(ISBLANK(A84),"",K84/($M$1+SUM(K$3:K83)))</f>
        <v>0.00129760425475534</v>
      </c>
      <c r="N84" s="0" t="n">
        <f aca="false">IF(ISBLANK(A84),"",IF(H85=0,NETWORKDAYS($H$3,H84,holiday!$B$2:$B$10),IF(DAY(H84)&lt;DAY(H85),NETWORKDAYS($H$3,H84,holiday!$B$2:$B$10),0)))</f>
        <v>0</v>
      </c>
      <c r="O84" s="0" t="n">
        <f aca="false">IF(ISBLANK(A84),"",SUMIF($A$3:$A84,O$2,$B$3:$B84))</f>
        <v>200</v>
      </c>
      <c r="P84" s="0" t="n">
        <f aca="false">IF(ISBLANK(A84),"",SUMIF($A$3:$A84,P$2,$B$3:$B84))</f>
        <v>-200</v>
      </c>
      <c r="Q84" s="0" t="n">
        <f aca="false">IF(ISBLANK(A84),"",SUMIF($A$3:$A84,Q$2,$B$3:$B84))</f>
        <v>-100</v>
      </c>
      <c r="R84" s="0" t="n">
        <f aca="false">IF(ISBLANK(A84),"",SUMIF($A$3:$A84,R$2,$B$3:$B84))</f>
        <v>0</v>
      </c>
      <c r="T84" s="0" t="n">
        <f aca="false">IF(ISBLANK(A84),"",IF($A84=T$2,$C84,T83))</f>
        <v>44.76</v>
      </c>
      <c r="U84" s="0" t="n">
        <f aca="false">IF(ISBLANK(A84),"",IF($A84=U$2,$C84,U83))</f>
        <v>23.07</v>
      </c>
      <c r="V84" s="0" t="n">
        <f aca="false">IF(ISBLANK(A84),"",IF($A84=V$2,$C84,V83))</f>
        <v>51.71</v>
      </c>
      <c r="W84" s="0" t="n">
        <f aca="false">IF(ISBLANK(A84),"",IF($A84=W$2,$C84,W83))</f>
        <v>0</v>
      </c>
    </row>
    <row r="85" customFormat="false" ht="12.8" hidden="false" customHeight="false" outlineLevel="0" collapsed="false">
      <c r="A85" s="0" t="n">
        <v>679</v>
      </c>
      <c r="B85" s="0" t="n">
        <v>-100</v>
      </c>
      <c r="C85" s="0" t="n">
        <v>51.8</v>
      </c>
      <c r="D85" s="0" t="s">
        <v>94</v>
      </c>
      <c r="H85" s="8" t="n">
        <f aca="false">IF(ISBLANK(D85),,LEFT(D85,LEN(D85)-6)*1)</f>
        <v>38720.8073726852</v>
      </c>
      <c r="I85" s="9" t="n">
        <f aca="false">IF(ISBLANK(A85),"",-B85*C85)</f>
        <v>5180</v>
      </c>
      <c r="J85" s="9" t="n">
        <f aca="false">IF(ISBLANK(A85),"",-SUM(I$3:I85))</f>
        <v>-6080.69962121211</v>
      </c>
      <c r="K85" s="0" t="n">
        <f aca="false">IF(ISBLANK(A85),"",SUMPRODUCT(O85:R85,T85:W85)-J85)</f>
        <v>58.6996212121103</v>
      </c>
      <c r="L85" s="0" t="n">
        <f aca="false">IF(ISBLANK(A85),"",K85/$M$1)</f>
        <v>0.000978327020201838</v>
      </c>
      <c r="M85" s="0" t="n">
        <f aca="false">IF(ISBLANK(A85),"",K85/($M$1+SUM(K$3:K84)))</f>
        <v>0.00112364246505502</v>
      </c>
      <c r="N85" s="0" t="n">
        <f aca="false">IF(ISBLANK(A85),"",IF(H86=0,NETWORKDAYS($H$3,H85,holiday!$B$2:$B$10),IF(DAY(H85)&lt;DAY(H86),NETWORKDAYS($H$3,H85,holiday!$B$2:$B$10),0)))</f>
        <v>0</v>
      </c>
      <c r="O85" s="0" t="n">
        <f aca="false">IF(ISBLANK(A85),"",SUMIF($A$3:$A85,O$2,$B$3:$B85))</f>
        <v>200</v>
      </c>
      <c r="P85" s="0" t="n">
        <f aca="false">IF(ISBLANK(A85),"",SUMIF($A$3:$A85,P$2,$B$3:$B85))</f>
        <v>-200</v>
      </c>
      <c r="Q85" s="0" t="n">
        <f aca="false">IF(ISBLANK(A85),"",SUMIF($A$3:$A85,Q$2,$B$3:$B85))</f>
        <v>-200</v>
      </c>
      <c r="R85" s="0" t="n">
        <f aca="false">IF(ISBLANK(A85),"",SUMIF($A$3:$A85,R$2,$B$3:$B85))</f>
        <v>0</v>
      </c>
      <c r="T85" s="0" t="n">
        <f aca="false">IF(ISBLANK(A85),"",IF($A85=T$2,$C85,T84))</f>
        <v>44.76</v>
      </c>
      <c r="U85" s="0" t="n">
        <f aca="false">IF(ISBLANK(A85),"",IF($A85=U$2,$C85,U84))</f>
        <v>23.07</v>
      </c>
      <c r="V85" s="0" t="n">
        <f aca="false">IF(ISBLANK(A85),"",IF($A85=V$2,$C85,V84))</f>
        <v>51.8</v>
      </c>
      <c r="W85" s="0" t="n">
        <f aca="false">IF(ISBLANK(A85),"",IF($A85=W$2,$C85,W84))</f>
        <v>0</v>
      </c>
    </row>
    <row r="86" customFormat="false" ht="12.8" hidden="false" customHeight="false" outlineLevel="0" collapsed="false">
      <c r="A86" s="0" t="n">
        <v>980</v>
      </c>
      <c r="B86" s="0" t="n">
        <v>-100</v>
      </c>
      <c r="C86" s="0" t="n">
        <v>23.06</v>
      </c>
      <c r="D86" s="0" t="s">
        <v>95</v>
      </c>
      <c r="H86" s="8" t="n">
        <f aca="false">IF(ISBLANK(D86),,LEFT(D86,LEN(D86)-6)*1)</f>
        <v>38720.8103935185</v>
      </c>
      <c r="I86" s="9" t="n">
        <f aca="false">IF(ISBLANK(A86),"",-B86*C86)</f>
        <v>2306</v>
      </c>
      <c r="J86" s="9" t="n">
        <f aca="false">IF(ISBLANK(A86),"",-SUM(I$3:I86))</f>
        <v>-8386.69962121211</v>
      </c>
      <c r="K86" s="0" t="n">
        <f aca="false">IF(ISBLANK(A86),"",SUMPRODUCT(O86:R86,T86:W86)-J86)</f>
        <v>60.6996212121103</v>
      </c>
      <c r="L86" s="0" t="n">
        <f aca="false">IF(ISBLANK(A86),"",K86/$M$1)</f>
        <v>0.00101166035353517</v>
      </c>
      <c r="M86" s="0" t="n">
        <f aca="false">IF(ISBLANK(A86),"",K86/($M$1+SUM(K$3:K85)))</f>
        <v>0.00116062282772496</v>
      </c>
      <c r="N86" s="0" t="n">
        <f aca="false">IF(ISBLANK(A86),"",IF(H87=0,NETWORKDAYS($H$3,H86,holiday!$B$2:$B$10),IF(DAY(H86)&lt;DAY(H87),NETWORKDAYS($H$3,H86,holiday!$B$2:$B$10),0)))</f>
        <v>0</v>
      </c>
      <c r="O86" s="0" t="n">
        <f aca="false">IF(ISBLANK(A86),"",SUMIF($A$3:$A86,O$2,$B$3:$B86))</f>
        <v>200</v>
      </c>
      <c r="P86" s="0" t="n">
        <f aca="false">IF(ISBLANK(A86),"",SUMIF($A$3:$A86,P$2,$B$3:$B86))</f>
        <v>-300</v>
      </c>
      <c r="Q86" s="0" t="n">
        <f aca="false">IF(ISBLANK(A86),"",SUMIF($A$3:$A86,Q$2,$B$3:$B86))</f>
        <v>-200</v>
      </c>
      <c r="R86" s="0" t="n">
        <f aca="false">IF(ISBLANK(A86),"",SUMIF($A$3:$A86,R$2,$B$3:$B86))</f>
        <v>0</v>
      </c>
      <c r="T86" s="0" t="n">
        <f aca="false">IF(ISBLANK(A86),"",IF($A86=T$2,$C86,T85))</f>
        <v>44.76</v>
      </c>
      <c r="U86" s="0" t="n">
        <f aca="false">IF(ISBLANK(A86),"",IF($A86=U$2,$C86,U85))</f>
        <v>23.06</v>
      </c>
      <c r="V86" s="0" t="n">
        <f aca="false">IF(ISBLANK(A86),"",IF($A86=V$2,$C86,V85))</f>
        <v>51.8</v>
      </c>
      <c r="W86" s="0" t="n">
        <f aca="false">IF(ISBLANK(A86),"",IF($A86=W$2,$C86,W85))</f>
        <v>0</v>
      </c>
    </row>
    <row r="87" customFormat="false" ht="12.8" hidden="false" customHeight="false" outlineLevel="0" collapsed="false">
      <c r="A87" s="0" t="n">
        <v>679</v>
      </c>
      <c r="B87" s="0" t="n">
        <v>-100</v>
      </c>
      <c r="C87" s="0" t="n">
        <v>51.9</v>
      </c>
      <c r="D87" s="0" t="s">
        <v>96</v>
      </c>
      <c r="H87" s="8" t="n">
        <f aca="false">IF(ISBLANK(D87),,LEFT(D87,LEN(D87)-6)*1)</f>
        <v>38720.8125347222</v>
      </c>
      <c r="I87" s="9" t="n">
        <f aca="false">IF(ISBLANK(A87),"",-B87*C87)</f>
        <v>5190</v>
      </c>
      <c r="J87" s="9" t="n">
        <f aca="false">IF(ISBLANK(A87),"",-SUM(I$3:I87))</f>
        <v>-13576.6996212121</v>
      </c>
      <c r="K87" s="0" t="n">
        <f aca="false">IF(ISBLANK(A87),"",SUMPRODUCT(O87:R87,T87:W87)-J87)</f>
        <v>40.6996212121103</v>
      </c>
      <c r="L87" s="0" t="n">
        <f aca="false">IF(ISBLANK(A87),"",K87/$M$1)</f>
        <v>0.000678327020201838</v>
      </c>
      <c r="M87" s="0" t="n">
        <f aca="false">IF(ISBLANK(A87),"",K87/($M$1+SUM(K$3:K86)))</f>
        <v>0.000777305489514095</v>
      </c>
      <c r="N87" s="0" t="n">
        <f aca="false">IF(ISBLANK(A87),"",IF(H88=0,NETWORKDAYS($H$3,H87,holiday!$B$2:$B$10),IF(DAY(H87)&lt;DAY(H88),NETWORKDAYS($H$3,H87,holiday!$B$2:$B$10),0)))</f>
        <v>0</v>
      </c>
      <c r="O87" s="0" t="n">
        <f aca="false">IF(ISBLANK(A87),"",SUMIF($A$3:$A87,O$2,$B$3:$B87))</f>
        <v>200</v>
      </c>
      <c r="P87" s="0" t="n">
        <f aca="false">IF(ISBLANK(A87),"",SUMIF($A$3:$A87,P$2,$B$3:$B87))</f>
        <v>-300</v>
      </c>
      <c r="Q87" s="0" t="n">
        <f aca="false">IF(ISBLANK(A87),"",SUMIF($A$3:$A87,Q$2,$B$3:$B87))</f>
        <v>-300</v>
      </c>
      <c r="R87" s="0" t="n">
        <f aca="false">IF(ISBLANK(A87),"",SUMIF($A$3:$A87,R$2,$B$3:$B87))</f>
        <v>0</v>
      </c>
      <c r="T87" s="0" t="n">
        <f aca="false">IF(ISBLANK(A87),"",IF($A87=T$2,$C87,T86))</f>
        <v>44.76</v>
      </c>
      <c r="U87" s="0" t="n">
        <f aca="false">IF(ISBLANK(A87),"",IF($A87=U$2,$C87,U86))</f>
        <v>23.06</v>
      </c>
      <c r="V87" s="0" t="n">
        <f aca="false">IF(ISBLANK(A87),"",IF($A87=V$2,$C87,V86))</f>
        <v>51.9</v>
      </c>
      <c r="W87" s="0" t="n">
        <f aca="false">IF(ISBLANK(A87),"",IF($A87=W$2,$C87,W86))</f>
        <v>0</v>
      </c>
    </row>
    <row r="88" customFormat="false" ht="12.8" hidden="false" customHeight="false" outlineLevel="0" collapsed="false">
      <c r="A88" s="0" t="n">
        <v>679</v>
      </c>
      <c r="B88" s="0" t="n">
        <v>-100</v>
      </c>
      <c r="C88" s="0" t="n">
        <v>51.9</v>
      </c>
      <c r="D88" s="0" t="s">
        <v>96</v>
      </c>
      <c r="H88" s="8" t="n">
        <f aca="false">IF(ISBLANK(D88),,LEFT(D88,LEN(D88)-6)*1)</f>
        <v>38720.8125347222</v>
      </c>
      <c r="I88" s="9" t="n">
        <f aca="false">IF(ISBLANK(A88),"",-B88*C88)</f>
        <v>5190</v>
      </c>
      <c r="J88" s="9" t="n">
        <f aca="false">IF(ISBLANK(A88),"",-SUM(I$3:I88))</f>
        <v>-18766.6996212121</v>
      </c>
      <c r="K88" s="0" t="n">
        <f aca="false">IF(ISBLANK(A88),"",SUMPRODUCT(O88:R88,T88:W88)-J88)</f>
        <v>40.6996212121085</v>
      </c>
      <c r="L88" s="0" t="n">
        <f aca="false">IF(ISBLANK(A88),"",K88/$M$1)</f>
        <v>0.000678327020201808</v>
      </c>
      <c r="M88" s="0" t="n">
        <f aca="false">IF(ISBLANK(A88),"",K88/($M$1+SUM(K$3:K87)))</f>
        <v>0.000776701754976202</v>
      </c>
      <c r="N88" s="0" t="n">
        <f aca="false">IF(ISBLANK(A88),"",IF(H89=0,NETWORKDAYS($H$3,H88,holiday!$B$2:$B$10),IF(DAY(H88)&lt;DAY(H89),NETWORKDAYS($H$3,H88,holiday!$B$2:$B$10),0)))</f>
        <v>0</v>
      </c>
      <c r="O88" s="0" t="n">
        <f aca="false">IF(ISBLANK(A88),"",SUMIF($A$3:$A88,O$2,$B$3:$B88))</f>
        <v>200</v>
      </c>
      <c r="P88" s="0" t="n">
        <f aca="false">IF(ISBLANK(A88),"",SUMIF($A$3:$A88,P$2,$B$3:$B88))</f>
        <v>-300</v>
      </c>
      <c r="Q88" s="0" t="n">
        <f aca="false">IF(ISBLANK(A88),"",SUMIF($A$3:$A88,Q$2,$B$3:$B88))</f>
        <v>-400</v>
      </c>
      <c r="R88" s="0" t="n">
        <f aca="false">IF(ISBLANK(A88),"",SUMIF($A$3:$A88,R$2,$B$3:$B88))</f>
        <v>0</v>
      </c>
      <c r="T88" s="0" t="n">
        <f aca="false">IF(ISBLANK(A88),"",IF($A88=T$2,$C88,T87))</f>
        <v>44.76</v>
      </c>
      <c r="U88" s="0" t="n">
        <f aca="false">IF(ISBLANK(A88),"",IF($A88=U$2,$C88,U87))</f>
        <v>23.06</v>
      </c>
      <c r="V88" s="0" t="n">
        <f aca="false">IF(ISBLANK(A88),"",IF($A88=V$2,$C88,V87))</f>
        <v>51.9</v>
      </c>
      <c r="W88" s="0" t="n">
        <f aca="false">IF(ISBLANK(A88),"",IF($A88=W$2,$C88,W87))</f>
        <v>0</v>
      </c>
    </row>
    <row r="89" customFormat="false" ht="12.8" hidden="false" customHeight="false" outlineLevel="0" collapsed="false">
      <c r="A89" s="0" t="n">
        <v>8370</v>
      </c>
      <c r="B89" s="0" t="n">
        <v>100</v>
      </c>
      <c r="C89" s="0" t="n">
        <v>44.9</v>
      </c>
      <c r="D89" s="0" t="s">
        <v>97</v>
      </c>
      <c r="H89" s="8" t="n">
        <f aca="false">IF(ISBLANK(D89),,LEFT(D89,LEN(D89)-6)*1)</f>
        <v>38720.814212963</v>
      </c>
      <c r="I89" s="9" t="n">
        <f aca="false">IF(ISBLANK(A89),"",-B89*C89)</f>
        <v>-4490</v>
      </c>
      <c r="J89" s="9" t="n">
        <f aca="false">IF(ISBLANK(A89),"",-SUM(I$3:I89))</f>
        <v>-14276.6996212121</v>
      </c>
      <c r="K89" s="0" t="n">
        <f aca="false">IF(ISBLANK(A89),"",SUMPRODUCT(O89:R89,T89:W89)-J89)</f>
        <v>68.6996212121085</v>
      </c>
      <c r="L89" s="0" t="n">
        <f aca="false">IF(ISBLANK(A89),"",K89/$M$1)</f>
        <v>0.00114499368686847</v>
      </c>
      <c r="M89" s="0" t="n">
        <f aca="false">IF(ISBLANK(A89),"",K89/($M$1+SUM(K$3:K88)))</f>
        <v>0.00131002949951776</v>
      </c>
      <c r="N89" s="0" t="n">
        <f aca="false">IF(ISBLANK(A89),"",IF(H90=0,NETWORKDAYS($H$3,H89,holiday!$B$2:$B$10),IF(DAY(H89)&lt;DAY(H90),NETWORKDAYS($H$3,H89,holiday!$B$2:$B$10),0)))</f>
        <v>0</v>
      </c>
      <c r="O89" s="0" t="n">
        <f aca="false">IF(ISBLANK(A89),"",SUMIF($A$3:$A89,O$2,$B$3:$B89))</f>
        <v>300</v>
      </c>
      <c r="P89" s="0" t="n">
        <f aca="false">IF(ISBLANK(A89),"",SUMIF($A$3:$A89,P$2,$B$3:$B89))</f>
        <v>-300</v>
      </c>
      <c r="Q89" s="0" t="n">
        <f aca="false">IF(ISBLANK(A89),"",SUMIF($A$3:$A89,Q$2,$B$3:$B89))</f>
        <v>-400</v>
      </c>
      <c r="R89" s="0" t="n">
        <f aca="false">IF(ISBLANK(A89),"",SUMIF($A$3:$A89,R$2,$B$3:$B89))</f>
        <v>0</v>
      </c>
      <c r="T89" s="0" t="n">
        <f aca="false">IF(ISBLANK(A89),"",IF($A89=T$2,$C89,T88))</f>
        <v>44.9</v>
      </c>
      <c r="U89" s="0" t="n">
        <f aca="false">IF(ISBLANK(A89),"",IF($A89=U$2,$C89,U88))</f>
        <v>23.06</v>
      </c>
      <c r="V89" s="0" t="n">
        <f aca="false">IF(ISBLANK(A89),"",IF($A89=V$2,$C89,V88))</f>
        <v>51.9</v>
      </c>
      <c r="W89" s="0" t="n">
        <f aca="false">IF(ISBLANK(A89),"",IF($A89=W$2,$C89,W88))</f>
        <v>0</v>
      </c>
    </row>
    <row r="90" customFormat="false" ht="12.8" hidden="false" customHeight="false" outlineLevel="0" collapsed="false">
      <c r="A90" s="0" t="n">
        <v>8370</v>
      </c>
      <c r="B90" s="0" t="n">
        <v>-100</v>
      </c>
      <c r="C90" s="0" t="n">
        <v>44.96</v>
      </c>
      <c r="D90" s="0" t="s">
        <v>98</v>
      </c>
      <c r="H90" s="8" t="n">
        <f aca="false">IF(ISBLANK(D90),,LEFT(D90,LEN(D90)-6)*1)</f>
        <v>38720.8142361111</v>
      </c>
      <c r="I90" s="9" t="n">
        <f aca="false">IF(ISBLANK(A90),"",-B90*C90)</f>
        <v>4496</v>
      </c>
      <c r="J90" s="9" t="n">
        <f aca="false">IF(ISBLANK(A90),"",-SUM(I$3:I90))</f>
        <v>-18772.6996212121</v>
      </c>
      <c r="K90" s="0" t="n">
        <f aca="false">IF(ISBLANK(A90),"",SUMPRODUCT(O90:R90,T90:W90)-J90)</f>
        <v>86.6996212121085</v>
      </c>
      <c r="L90" s="0" t="n">
        <f aca="false">IF(ISBLANK(A90),"",K90/$M$1)</f>
        <v>0.00144499368686847</v>
      </c>
      <c r="M90" s="0" t="n">
        <f aca="false">IF(ISBLANK(A90),"",K90/($M$1+SUM(K$3:K89)))</f>
        <v>0.00165110756259497</v>
      </c>
      <c r="N90" s="0" t="n">
        <f aca="false">IF(ISBLANK(A90),"",IF(H91=0,NETWORKDAYS($H$3,H90,holiday!$B$2:$B$10),IF(DAY(H90)&lt;DAY(H91),NETWORKDAYS($H$3,H90,holiday!$B$2:$B$10),0)))</f>
        <v>0</v>
      </c>
      <c r="O90" s="0" t="n">
        <f aca="false">IF(ISBLANK(A90),"",SUMIF($A$3:$A90,O$2,$B$3:$B90))</f>
        <v>200</v>
      </c>
      <c r="P90" s="0" t="n">
        <f aca="false">IF(ISBLANK(A90),"",SUMIF($A$3:$A90,P$2,$B$3:$B90))</f>
        <v>-300</v>
      </c>
      <c r="Q90" s="0" t="n">
        <f aca="false">IF(ISBLANK(A90),"",SUMIF($A$3:$A90,Q$2,$B$3:$B90))</f>
        <v>-400</v>
      </c>
      <c r="R90" s="0" t="n">
        <f aca="false">IF(ISBLANK(A90),"",SUMIF($A$3:$A90,R$2,$B$3:$B90))</f>
        <v>0</v>
      </c>
      <c r="T90" s="0" t="n">
        <f aca="false">IF(ISBLANK(A90),"",IF($A90=T$2,$C90,T89))</f>
        <v>44.96</v>
      </c>
      <c r="U90" s="0" t="n">
        <f aca="false">IF(ISBLANK(A90),"",IF($A90=U$2,$C90,U89))</f>
        <v>23.06</v>
      </c>
      <c r="V90" s="0" t="n">
        <f aca="false">IF(ISBLANK(A90),"",IF($A90=V$2,$C90,V89))</f>
        <v>51.9</v>
      </c>
      <c r="W90" s="0" t="n">
        <f aca="false">IF(ISBLANK(A90),"",IF($A90=W$2,$C90,W89))</f>
        <v>0</v>
      </c>
    </row>
    <row r="91" customFormat="false" ht="12.8" hidden="false" customHeight="false" outlineLevel="0" collapsed="false">
      <c r="A91" s="0" t="n">
        <v>8370</v>
      </c>
      <c r="B91" s="0" t="n">
        <v>-100</v>
      </c>
      <c r="C91" s="0" t="n">
        <v>44.99</v>
      </c>
      <c r="D91" s="0" t="s">
        <v>99</v>
      </c>
      <c r="H91" s="8" t="n">
        <f aca="false">IF(ISBLANK(D91),,LEFT(D91,LEN(D91)-6)*1)</f>
        <v>38720.8155439815</v>
      </c>
      <c r="I91" s="9" t="n">
        <f aca="false">IF(ISBLANK(A91),"",-B91*C91)</f>
        <v>4499</v>
      </c>
      <c r="J91" s="9" t="n">
        <f aca="false">IF(ISBLANK(A91),"",-SUM(I$3:I91))</f>
        <v>-23271.6996212121</v>
      </c>
      <c r="K91" s="0" t="n">
        <f aca="false">IF(ISBLANK(A91),"",SUMPRODUCT(O91:R91,T91:W91)-J91)</f>
        <v>92.6996212121085</v>
      </c>
      <c r="L91" s="0" t="n">
        <f aca="false">IF(ISBLANK(A91),"",K91/$M$1)</f>
        <v>0.00154499368686847</v>
      </c>
      <c r="M91" s="0" t="n">
        <f aca="false">IF(ISBLANK(A91),"",K91/($M$1+SUM(K$3:K90)))</f>
        <v>0.00176246154736046</v>
      </c>
      <c r="N91" s="0" t="n">
        <f aca="false">IF(ISBLANK(A91),"",IF(H92=0,NETWORKDAYS($H$3,H91,holiday!$B$2:$B$10),IF(DAY(H91)&lt;DAY(H92),NETWORKDAYS($H$3,H91,holiday!$B$2:$B$10),0)))</f>
        <v>0</v>
      </c>
      <c r="O91" s="0" t="n">
        <f aca="false">IF(ISBLANK(A91),"",SUMIF($A$3:$A91,O$2,$B$3:$B91))</f>
        <v>100</v>
      </c>
      <c r="P91" s="0" t="n">
        <f aca="false">IF(ISBLANK(A91),"",SUMIF($A$3:$A91,P$2,$B$3:$B91))</f>
        <v>-300</v>
      </c>
      <c r="Q91" s="0" t="n">
        <f aca="false">IF(ISBLANK(A91),"",SUMIF($A$3:$A91,Q$2,$B$3:$B91))</f>
        <v>-400</v>
      </c>
      <c r="R91" s="0" t="n">
        <f aca="false">IF(ISBLANK(A91),"",SUMIF($A$3:$A91,R$2,$B$3:$B91))</f>
        <v>0</v>
      </c>
      <c r="T91" s="0" t="n">
        <f aca="false">IF(ISBLANK(A91),"",IF($A91=T$2,$C91,T90))</f>
        <v>44.99</v>
      </c>
      <c r="U91" s="0" t="n">
        <f aca="false">IF(ISBLANK(A91),"",IF($A91=U$2,$C91,U90))</f>
        <v>23.06</v>
      </c>
      <c r="V91" s="0" t="n">
        <f aca="false">IF(ISBLANK(A91),"",IF($A91=V$2,$C91,V90))</f>
        <v>51.9</v>
      </c>
      <c r="W91" s="0" t="n">
        <f aca="false">IF(ISBLANK(A91),"",IF($A91=W$2,$C91,W90))</f>
        <v>0</v>
      </c>
    </row>
    <row r="92" customFormat="false" ht="12.8" hidden="false" customHeight="false" outlineLevel="0" collapsed="false">
      <c r="A92" s="0" t="n">
        <v>980</v>
      </c>
      <c r="B92" s="0" t="n">
        <v>100</v>
      </c>
      <c r="C92" s="0" t="n">
        <v>23.1</v>
      </c>
      <c r="D92" s="0" t="s">
        <v>100</v>
      </c>
      <c r="H92" s="8" t="n">
        <f aca="false">IF(ISBLANK(D92),,LEFT(D92,LEN(D92)-6)*1)</f>
        <v>38720.8214351852</v>
      </c>
      <c r="I92" s="9" t="n">
        <f aca="false">IF(ISBLANK(A92),"",-B92*C92)</f>
        <v>-2310</v>
      </c>
      <c r="J92" s="9" t="n">
        <f aca="false">IF(ISBLANK(A92),"",-SUM(I$3:I92))</f>
        <v>-20961.6996212121</v>
      </c>
      <c r="K92" s="0" t="n">
        <f aca="false">IF(ISBLANK(A92),"",SUMPRODUCT(O92:R92,T92:W92)-J92)</f>
        <v>80.6996212121085</v>
      </c>
      <c r="L92" s="0" t="n">
        <f aca="false">IF(ISBLANK(A92),"",K92/$M$1)</f>
        <v>0.00134499368686847</v>
      </c>
      <c r="M92" s="0" t="n">
        <f aca="false">IF(ISBLANK(A92),"",K92/($M$1+SUM(K$3:K91)))</f>
        <v>0.00153161084775311</v>
      </c>
      <c r="N92" s="0" t="n">
        <f aca="false">IF(ISBLANK(A92),"",IF(H93=0,NETWORKDAYS($H$3,H92,holiday!$B$2:$B$10),IF(DAY(H92)&lt;DAY(H93),NETWORKDAYS($H$3,H92,holiday!$B$2:$B$10),0)))</f>
        <v>0</v>
      </c>
      <c r="O92" s="0" t="n">
        <f aca="false">IF(ISBLANK(A92),"",SUMIF($A$3:$A92,O$2,$B$3:$B92))</f>
        <v>100</v>
      </c>
      <c r="P92" s="0" t="n">
        <f aca="false">IF(ISBLANK(A92),"",SUMIF($A$3:$A92,P$2,$B$3:$B92))</f>
        <v>-200</v>
      </c>
      <c r="Q92" s="0" t="n">
        <f aca="false">IF(ISBLANK(A92),"",SUMIF($A$3:$A92,Q$2,$B$3:$B92))</f>
        <v>-400</v>
      </c>
      <c r="R92" s="0" t="n">
        <f aca="false">IF(ISBLANK(A92),"",SUMIF($A$3:$A92,R$2,$B$3:$B92))</f>
        <v>0</v>
      </c>
      <c r="T92" s="0" t="n">
        <f aca="false">IF(ISBLANK(A92),"",IF($A92=T$2,$C92,T91))</f>
        <v>44.99</v>
      </c>
      <c r="U92" s="0" t="n">
        <f aca="false">IF(ISBLANK(A92),"",IF($A92=U$2,$C92,U91))</f>
        <v>23.1</v>
      </c>
      <c r="V92" s="0" t="n">
        <f aca="false">IF(ISBLANK(A92),"",IF($A92=V$2,$C92,V91))</f>
        <v>51.9</v>
      </c>
      <c r="W92" s="0" t="n">
        <f aca="false">IF(ISBLANK(A92),"",IF($A92=W$2,$C92,W91))</f>
        <v>0</v>
      </c>
    </row>
    <row r="93" customFormat="false" ht="12.8" hidden="false" customHeight="false" outlineLevel="0" collapsed="false">
      <c r="A93" s="0" t="n">
        <v>980</v>
      </c>
      <c r="B93" s="0" t="n">
        <v>100</v>
      </c>
      <c r="C93" s="0" t="n">
        <v>23.1</v>
      </c>
      <c r="D93" s="0" t="s">
        <v>101</v>
      </c>
      <c r="H93" s="8" t="n">
        <f aca="false">IF(ISBLANK(D93),,LEFT(D93,LEN(D93)-6)*1)</f>
        <v>38720.8225115741</v>
      </c>
      <c r="I93" s="9" t="n">
        <f aca="false">IF(ISBLANK(A93),"",-B93*C93)</f>
        <v>-2310</v>
      </c>
      <c r="J93" s="9" t="n">
        <f aca="false">IF(ISBLANK(A93),"",-SUM(I$3:I93))</f>
        <v>-18651.6996212121</v>
      </c>
      <c r="K93" s="0" t="n">
        <f aca="false">IF(ISBLANK(A93),"",SUMPRODUCT(O93:R93,T93:W93)-J93)</f>
        <v>80.6996212121085</v>
      </c>
      <c r="L93" s="0" t="n">
        <f aca="false">IF(ISBLANK(A93),"",K93/$M$1)</f>
        <v>0.00134499368686847</v>
      </c>
      <c r="M93" s="0" t="n">
        <f aca="false">IF(ISBLANK(A93),"",K93/($M$1+SUM(K$3:K92)))</f>
        <v>0.00152926860337106</v>
      </c>
      <c r="N93" s="0" t="n">
        <f aca="false">IF(ISBLANK(A93),"",IF(H94=0,NETWORKDAYS($H$3,H93,holiday!$B$2:$B$10),IF(DAY(H93)&lt;DAY(H94),NETWORKDAYS($H$3,H93,holiday!$B$2:$B$10),0)))</f>
        <v>0</v>
      </c>
      <c r="O93" s="0" t="n">
        <f aca="false">IF(ISBLANK(A93),"",SUMIF($A$3:$A93,O$2,$B$3:$B93))</f>
        <v>100</v>
      </c>
      <c r="P93" s="0" t="n">
        <f aca="false">IF(ISBLANK(A93),"",SUMIF($A$3:$A93,P$2,$B$3:$B93))</f>
        <v>-100</v>
      </c>
      <c r="Q93" s="0" t="n">
        <f aca="false">IF(ISBLANK(A93),"",SUMIF($A$3:$A93,Q$2,$B$3:$B93))</f>
        <v>-400</v>
      </c>
      <c r="R93" s="0" t="n">
        <f aca="false">IF(ISBLANK(A93),"",SUMIF($A$3:$A93,R$2,$B$3:$B93))</f>
        <v>0</v>
      </c>
      <c r="T93" s="0" t="n">
        <f aca="false">IF(ISBLANK(A93),"",IF($A93=T$2,$C93,T92))</f>
        <v>44.99</v>
      </c>
      <c r="U93" s="0" t="n">
        <f aca="false">IF(ISBLANK(A93),"",IF($A93=U$2,$C93,U92))</f>
        <v>23.1</v>
      </c>
      <c r="V93" s="0" t="n">
        <f aca="false">IF(ISBLANK(A93),"",IF($A93=V$2,$C93,V92))</f>
        <v>51.9</v>
      </c>
      <c r="W93" s="0" t="n">
        <f aca="false">IF(ISBLANK(A93),"",IF($A93=W$2,$C93,W92))</f>
        <v>0</v>
      </c>
    </row>
    <row r="94" customFormat="false" ht="12.8" hidden="false" customHeight="false" outlineLevel="0" collapsed="false">
      <c r="A94" s="0" t="n">
        <v>980</v>
      </c>
      <c r="B94" s="0" t="n">
        <v>100</v>
      </c>
      <c r="C94" s="0" t="n">
        <v>22.98</v>
      </c>
      <c r="D94" s="0" t="s">
        <v>102</v>
      </c>
      <c r="H94" s="8" t="n">
        <f aca="false">IF(ISBLANK(D94),,LEFT(D94,LEN(D94)-6)*1)</f>
        <v>38720.8230787037</v>
      </c>
      <c r="I94" s="9" t="n">
        <f aca="false">IF(ISBLANK(A94),"",-B94*C94)</f>
        <v>-2298</v>
      </c>
      <c r="J94" s="9" t="n">
        <f aca="false">IF(ISBLANK(A94),"",-SUM(I$3:I94))</f>
        <v>-16353.6996212121</v>
      </c>
      <c r="K94" s="0" t="n">
        <f aca="false">IF(ISBLANK(A94),"",SUMPRODUCT(O94:R94,T94:W94)-J94)</f>
        <v>92.6996212121085</v>
      </c>
      <c r="L94" s="0" t="n">
        <f aca="false">IF(ISBLANK(A94),"",K94/$M$1)</f>
        <v>0.00154499368686847</v>
      </c>
      <c r="M94" s="0" t="n">
        <f aca="false">IF(ISBLANK(A94),"",K94/($M$1+SUM(K$3:K93)))</f>
        <v>0.00175398788795324</v>
      </c>
      <c r="N94" s="0" t="n">
        <f aca="false">IF(ISBLANK(A94),"",IF(H95=0,NETWORKDAYS($H$3,H94,holiday!$B$2:$B$10),IF(DAY(H94)&lt;DAY(H95),NETWORKDAYS($H$3,H94,holiday!$B$2:$B$10),0)))</f>
        <v>0</v>
      </c>
      <c r="O94" s="0" t="n">
        <f aca="false">IF(ISBLANK(A94),"",SUMIF($A$3:$A94,O$2,$B$3:$B94))</f>
        <v>100</v>
      </c>
      <c r="P94" s="0" t="n">
        <f aca="false">IF(ISBLANK(A94),"",SUMIF($A$3:$A94,P$2,$B$3:$B94))</f>
        <v>0</v>
      </c>
      <c r="Q94" s="0" t="n">
        <f aca="false">IF(ISBLANK(A94),"",SUMIF($A$3:$A94,Q$2,$B$3:$B94))</f>
        <v>-400</v>
      </c>
      <c r="R94" s="0" t="n">
        <f aca="false">IF(ISBLANK(A94),"",SUMIF($A$3:$A94,R$2,$B$3:$B94))</f>
        <v>0</v>
      </c>
      <c r="T94" s="0" t="n">
        <f aca="false">IF(ISBLANK(A94),"",IF($A94=T$2,$C94,T93))</f>
        <v>44.99</v>
      </c>
      <c r="U94" s="0" t="n">
        <f aca="false">IF(ISBLANK(A94),"",IF($A94=U$2,$C94,U93))</f>
        <v>22.98</v>
      </c>
      <c r="V94" s="0" t="n">
        <f aca="false">IF(ISBLANK(A94),"",IF($A94=V$2,$C94,V93))</f>
        <v>51.9</v>
      </c>
      <c r="W94" s="0" t="n">
        <f aca="false">IF(ISBLANK(A94),"",IF($A94=W$2,$C94,W93))</f>
        <v>0</v>
      </c>
    </row>
    <row r="95" customFormat="false" ht="12.8" hidden="false" customHeight="false" outlineLevel="0" collapsed="false">
      <c r="A95" s="0" t="n">
        <v>8370</v>
      </c>
      <c r="B95" s="0" t="n">
        <v>-100</v>
      </c>
      <c r="C95" s="0" t="n">
        <v>47.62</v>
      </c>
      <c r="D95" s="0" t="s">
        <v>103</v>
      </c>
      <c r="H95" s="8" t="n">
        <f aca="false">IF(ISBLANK(D95),,LEFT(D95,LEN(D95)-6)*1)</f>
        <v>38720.8236574074</v>
      </c>
      <c r="I95" s="9" t="n">
        <f aca="false">IF(ISBLANK(A95),"",-B95*C95)</f>
        <v>4762</v>
      </c>
      <c r="J95" s="9" t="n">
        <f aca="false">IF(ISBLANK(A95),"",-SUM(I$3:I95))</f>
        <v>-21115.6996212121</v>
      </c>
      <c r="K95" s="0" t="n">
        <f aca="false">IF(ISBLANK(A95),"",SUMPRODUCT(O95:R95,T95:W95)-J95)</f>
        <v>355.699621212108</v>
      </c>
      <c r="L95" s="0" t="n">
        <f aca="false">IF(ISBLANK(A95),"",K95/$M$1)</f>
        <v>0.00592832702020181</v>
      </c>
      <c r="M95" s="0" t="n">
        <f aca="false">IF(ISBLANK(A95),"",K95/($M$1+SUM(K$3:K94)))</f>
        <v>0.00671847883279964</v>
      </c>
      <c r="N95" s="0" t="n">
        <f aca="false">IF(ISBLANK(A95),"",IF(H96=0,NETWORKDAYS($H$3,H95,holiday!$B$2:$B$10),IF(DAY(H95)&lt;DAY(H96),NETWORKDAYS($H$3,H95,holiday!$B$2:$B$10),0)))</f>
        <v>0</v>
      </c>
      <c r="O95" s="0" t="n">
        <f aca="false">IF(ISBLANK(A95),"",SUMIF($A$3:$A95,O$2,$B$3:$B95))</f>
        <v>0</v>
      </c>
      <c r="P95" s="0" t="n">
        <f aca="false">IF(ISBLANK(A95),"",SUMIF($A$3:$A95,P$2,$B$3:$B95))</f>
        <v>0</v>
      </c>
      <c r="Q95" s="0" t="n">
        <f aca="false">IF(ISBLANK(A95),"",SUMIF($A$3:$A95,Q$2,$B$3:$B95))</f>
        <v>-400</v>
      </c>
      <c r="R95" s="0" t="n">
        <f aca="false">IF(ISBLANK(A95),"",SUMIF($A$3:$A95,R$2,$B$3:$B95))</f>
        <v>0</v>
      </c>
      <c r="T95" s="0" t="n">
        <f aca="false">IF(ISBLANK(A95),"",IF($A95=T$2,$C95,T94))</f>
        <v>47.62</v>
      </c>
      <c r="U95" s="0" t="n">
        <f aca="false">IF(ISBLANK(A95),"",IF($A95=U$2,$C95,U94))</f>
        <v>22.98</v>
      </c>
      <c r="V95" s="0" t="n">
        <f aca="false">IF(ISBLANK(A95),"",IF($A95=V$2,$C95,V94))</f>
        <v>51.9</v>
      </c>
      <c r="W95" s="0" t="n">
        <f aca="false">IF(ISBLANK(A95),"",IF($A95=W$2,$C95,W94))</f>
        <v>0</v>
      </c>
    </row>
    <row r="96" customFormat="false" ht="12.8" hidden="false" customHeight="false" outlineLevel="0" collapsed="false">
      <c r="A96" s="0" t="n">
        <v>980</v>
      </c>
      <c r="B96" s="0" t="n">
        <v>100</v>
      </c>
      <c r="C96" s="0" t="n">
        <v>23.1</v>
      </c>
      <c r="D96" s="0" t="s">
        <v>104</v>
      </c>
      <c r="H96" s="8" t="n">
        <f aca="false">IF(ISBLANK(D96),,LEFT(D96,LEN(D96)-6)*1)</f>
        <v>38720.8240277778</v>
      </c>
      <c r="I96" s="9" t="n">
        <f aca="false">IF(ISBLANK(A96),"",-B96*C96)</f>
        <v>-2310</v>
      </c>
      <c r="J96" s="9" t="n">
        <f aca="false">IF(ISBLANK(A96),"",-SUM(I$3:I96))</f>
        <v>-18805.6996212121</v>
      </c>
      <c r="K96" s="0" t="n">
        <f aca="false">IF(ISBLANK(A96),"",SUMPRODUCT(O96:R96,T96:W96)-J96)</f>
        <v>355.699621212108</v>
      </c>
      <c r="L96" s="0" t="n">
        <f aca="false">IF(ISBLANK(A96),"",K96/$M$1)</f>
        <v>0.00592832702020181</v>
      </c>
      <c r="M96" s="0" t="n">
        <f aca="false">IF(ISBLANK(A96),"",K96/($M$1+SUM(K$3:K95)))</f>
        <v>0.00667364210954895</v>
      </c>
      <c r="N96" s="0" t="n">
        <f aca="false">IF(ISBLANK(A96),"",IF(H97=0,NETWORKDAYS($H$3,H96,holiday!$B$2:$B$10),IF(DAY(H96)&lt;DAY(H97),NETWORKDAYS($H$3,H96,holiday!$B$2:$B$10),0)))</f>
        <v>0</v>
      </c>
      <c r="O96" s="0" t="n">
        <f aca="false">IF(ISBLANK(A96),"",SUMIF($A$3:$A96,O$2,$B$3:$B96))</f>
        <v>0</v>
      </c>
      <c r="P96" s="0" t="n">
        <f aca="false">IF(ISBLANK(A96),"",SUMIF($A$3:$A96,P$2,$B$3:$B96))</f>
        <v>100</v>
      </c>
      <c r="Q96" s="0" t="n">
        <f aca="false">IF(ISBLANK(A96),"",SUMIF($A$3:$A96,Q$2,$B$3:$B96))</f>
        <v>-400</v>
      </c>
      <c r="R96" s="0" t="n">
        <f aca="false">IF(ISBLANK(A96),"",SUMIF($A$3:$A96,R$2,$B$3:$B96))</f>
        <v>0</v>
      </c>
      <c r="T96" s="0" t="n">
        <f aca="false">IF(ISBLANK(A96),"",IF($A96=T$2,$C96,T95))</f>
        <v>47.62</v>
      </c>
      <c r="U96" s="0" t="n">
        <f aca="false">IF(ISBLANK(A96),"",IF($A96=U$2,$C96,U95))</f>
        <v>23.1</v>
      </c>
      <c r="V96" s="0" t="n">
        <f aca="false">IF(ISBLANK(A96),"",IF($A96=V$2,$C96,V95))</f>
        <v>51.9</v>
      </c>
      <c r="W96" s="0" t="n">
        <f aca="false">IF(ISBLANK(A96),"",IF($A96=W$2,$C96,W95))</f>
        <v>0</v>
      </c>
    </row>
    <row r="97" customFormat="false" ht="12.8" hidden="false" customHeight="false" outlineLevel="0" collapsed="false">
      <c r="A97" s="0" t="n">
        <v>980</v>
      </c>
      <c r="B97" s="0" t="n">
        <v>100</v>
      </c>
      <c r="C97" s="0" t="n">
        <v>23.1</v>
      </c>
      <c r="D97" s="0" t="s">
        <v>105</v>
      </c>
      <c r="H97" s="8" t="n">
        <f aca="false">IF(ISBLANK(D97),,LEFT(D97,LEN(D97)-6)*1)</f>
        <v>38720.8249537037</v>
      </c>
      <c r="I97" s="9" t="n">
        <f aca="false">IF(ISBLANK(A97),"",-B97*C97)</f>
        <v>-2310</v>
      </c>
      <c r="J97" s="9" t="n">
        <f aca="false">IF(ISBLANK(A97),"",-SUM(I$3:I97))</f>
        <v>-16495.6996212121</v>
      </c>
      <c r="K97" s="0" t="n">
        <f aca="false">IF(ISBLANK(A97),"",SUMPRODUCT(O97:R97,T97:W97)-J97)</f>
        <v>355.699621212108</v>
      </c>
      <c r="L97" s="0" t="n">
        <f aca="false">IF(ISBLANK(A97),"",K97/$M$1)</f>
        <v>0.00592832702020181</v>
      </c>
      <c r="M97" s="0" t="n">
        <f aca="false">IF(ISBLANK(A97),"",K97/($M$1+SUM(K$3:K96)))</f>
        <v>0.00662939986743262</v>
      </c>
      <c r="N97" s="0" t="n">
        <f aca="false">IF(ISBLANK(A97),"",IF(H98=0,NETWORKDAYS($H$3,H97,holiday!$B$2:$B$10),IF(DAY(H97)&lt;DAY(H98),NETWORKDAYS($H$3,H97,holiday!$B$2:$B$10),0)))</f>
        <v>0</v>
      </c>
      <c r="O97" s="0" t="n">
        <f aca="false">IF(ISBLANK(A97),"",SUMIF($A$3:$A97,O$2,$B$3:$B97))</f>
        <v>0</v>
      </c>
      <c r="P97" s="0" t="n">
        <f aca="false">IF(ISBLANK(A97),"",SUMIF($A$3:$A97,P$2,$B$3:$B97))</f>
        <v>200</v>
      </c>
      <c r="Q97" s="0" t="n">
        <f aca="false">IF(ISBLANK(A97),"",SUMIF($A$3:$A97,Q$2,$B$3:$B97))</f>
        <v>-400</v>
      </c>
      <c r="R97" s="0" t="n">
        <f aca="false">IF(ISBLANK(A97),"",SUMIF($A$3:$A97,R$2,$B$3:$B97))</f>
        <v>0</v>
      </c>
      <c r="T97" s="0" t="n">
        <f aca="false">IF(ISBLANK(A97),"",IF($A97=T$2,$C97,T96))</f>
        <v>47.62</v>
      </c>
      <c r="U97" s="0" t="n">
        <f aca="false">IF(ISBLANK(A97),"",IF($A97=U$2,$C97,U96))</f>
        <v>23.1</v>
      </c>
      <c r="V97" s="0" t="n">
        <f aca="false">IF(ISBLANK(A97),"",IF($A97=V$2,$C97,V96))</f>
        <v>51.9</v>
      </c>
      <c r="W97" s="0" t="n">
        <f aca="false">IF(ISBLANK(A97),"",IF($A97=W$2,$C97,W96))</f>
        <v>0</v>
      </c>
    </row>
    <row r="98" customFormat="false" ht="12.8" hidden="false" customHeight="false" outlineLevel="0" collapsed="false">
      <c r="A98" s="0" t="n">
        <v>679</v>
      </c>
      <c r="B98" s="0" t="n">
        <v>100</v>
      </c>
      <c r="C98" s="0" t="n">
        <v>52.06</v>
      </c>
      <c r="D98" s="0" t="s">
        <v>106</v>
      </c>
      <c r="H98" s="8" t="n">
        <f aca="false">IF(ISBLANK(D98),,LEFT(D98,LEN(D98)-6)*1)</f>
        <v>38720.826400463</v>
      </c>
      <c r="I98" s="9" t="n">
        <f aca="false">IF(ISBLANK(A98),"",-B98*C98)</f>
        <v>-5206</v>
      </c>
      <c r="J98" s="9" t="n">
        <f aca="false">IF(ISBLANK(A98),"",-SUM(I$3:I98))</f>
        <v>-11289.6996212121</v>
      </c>
      <c r="K98" s="0" t="n">
        <f aca="false">IF(ISBLANK(A98),"",SUMPRODUCT(O98:R98,T98:W98)-J98)</f>
        <v>291.699621212108</v>
      </c>
      <c r="L98" s="0" t="n">
        <f aca="false">IF(ISBLANK(A98),"",K98/$M$1)</f>
        <v>0.00486166035353514</v>
      </c>
      <c r="M98" s="0" t="n">
        <f aca="false">IF(ISBLANK(A98),"",K98/($M$1+SUM(K$3:K97)))</f>
        <v>0.00540078722098155</v>
      </c>
      <c r="N98" s="0" t="n">
        <f aca="false">IF(ISBLANK(A98),"",IF(H99=0,NETWORKDAYS($H$3,H98,holiday!$B$2:$B$10),IF(DAY(H98)&lt;DAY(H99),NETWORKDAYS($H$3,H98,holiday!$B$2:$B$10),0)))</f>
        <v>0</v>
      </c>
      <c r="O98" s="0" t="n">
        <f aca="false">IF(ISBLANK(A98),"",SUMIF($A$3:$A98,O$2,$B$3:$B98))</f>
        <v>0</v>
      </c>
      <c r="P98" s="0" t="n">
        <f aca="false">IF(ISBLANK(A98),"",SUMIF($A$3:$A98,P$2,$B$3:$B98))</f>
        <v>200</v>
      </c>
      <c r="Q98" s="0" t="n">
        <f aca="false">IF(ISBLANK(A98),"",SUMIF($A$3:$A98,Q$2,$B$3:$B98))</f>
        <v>-300</v>
      </c>
      <c r="R98" s="0" t="n">
        <f aca="false">IF(ISBLANK(A98),"",SUMIF($A$3:$A98,R$2,$B$3:$B98))</f>
        <v>0</v>
      </c>
      <c r="T98" s="0" t="n">
        <f aca="false">IF(ISBLANK(A98),"",IF($A98=T$2,$C98,T97))</f>
        <v>47.62</v>
      </c>
      <c r="U98" s="0" t="n">
        <f aca="false">IF(ISBLANK(A98),"",IF($A98=U$2,$C98,U97))</f>
        <v>23.1</v>
      </c>
      <c r="V98" s="0" t="n">
        <f aca="false">IF(ISBLANK(A98),"",IF($A98=V$2,$C98,V97))</f>
        <v>52.06</v>
      </c>
      <c r="W98" s="0" t="n">
        <f aca="false">IF(ISBLANK(A98),"",IF($A98=W$2,$C98,W97))</f>
        <v>0</v>
      </c>
    </row>
    <row r="99" customFormat="false" ht="12.8" hidden="false" customHeight="false" outlineLevel="0" collapsed="false">
      <c r="A99" s="0" t="n">
        <v>679</v>
      </c>
      <c r="B99" s="0" t="n">
        <v>100</v>
      </c>
      <c r="C99" s="0" t="n">
        <v>52.06</v>
      </c>
      <c r="D99" s="0" t="s">
        <v>107</v>
      </c>
      <c r="H99" s="8" t="n">
        <f aca="false">IF(ISBLANK(D99),,LEFT(D99,LEN(D99)-6)*1)</f>
        <v>38720.8264236111</v>
      </c>
      <c r="I99" s="9" t="n">
        <f aca="false">IF(ISBLANK(A99),"",-B99*C99)</f>
        <v>-5206</v>
      </c>
      <c r="J99" s="9" t="n">
        <f aca="false">IF(ISBLANK(A99),"",-SUM(I$3:I99))</f>
        <v>-6083.69962121211</v>
      </c>
      <c r="K99" s="0" t="n">
        <f aca="false">IF(ISBLANK(A99),"",SUMPRODUCT(O99:R99,T99:W99)-J99)</f>
        <v>291.699621212108</v>
      </c>
      <c r="L99" s="0" t="n">
        <f aca="false">IF(ISBLANK(A99),"",K99/$M$1)</f>
        <v>0.00486166035353514</v>
      </c>
      <c r="M99" s="0" t="n">
        <f aca="false">IF(ISBLANK(A99),"",K99/($M$1+SUM(K$3:K98)))</f>
        <v>0.00537177540502013</v>
      </c>
      <c r="N99" s="0" t="n">
        <f aca="false">IF(ISBLANK(A99),"",IF(H100=0,NETWORKDAYS($H$3,H99,holiday!$B$2:$B$10),IF(DAY(H99)&lt;DAY(H100),NETWORKDAYS($H$3,H99,holiday!$B$2:$B$10),0)))</f>
        <v>0</v>
      </c>
      <c r="O99" s="0" t="n">
        <f aca="false">IF(ISBLANK(A99),"",SUMIF($A$3:$A99,O$2,$B$3:$B99))</f>
        <v>0</v>
      </c>
      <c r="P99" s="0" t="n">
        <f aca="false">IF(ISBLANK(A99),"",SUMIF($A$3:$A99,P$2,$B$3:$B99))</f>
        <v>200</v>
      </c>
      <c r="Q99" s="0" t="n">
        <f aca="false">IF(ISBLANK(A99),"",SUMIF($A$3:$A99,Q$2,$B$3:$B99))</f>
        <v>-200</v>
      </c>
      <c r="R99" s="0" t="n">
        <f aca="false">IF(ISBLANK(A99),"",SUMIF($A$3:$A99,R$2,$B$3:$B99))</f>
        <v>0</v>
      </c>
      <c r="T99" s="0" t="n">
        <f aca="false">IF(ISBLANK(A99),"",IF($A99=T$2,$C99,T98))</f>
        <v>47.62</v>
      </c>
      <c r="U99" s="0" t="n">
        <f aca="false">IF(ISBLANK(A99),"",IF($A99=U$2,$C99,U98))</f>
        <v>23.1</v>
      </c>
      <c r="V99" s="0" t="n">
        <f aca="false">IF(ISBLANK(A99),"",IF($A99=V$2,$C99,V98))</f>
        <v>52.06</v>
      </c>
      <c r="W99" s="0" t="n">
        <f aca="false">IF(ISBLANK(A99),"",IF($A99=W$2,$C99,W98))</f>
        <v>0</v>
      </c>
    </row>
    <row r="100" customFormat="false" ht="12.8" hidden="false" customHeight="false" outlineLevel="0" collapsed="false">
      <c r="A100" s="0" t="n">
        <v>679</v>
      </c>
      <c r="B100" s="0" t="n">
        <v>100</v>
      </c>
      <c r="C100" s="0" t="n">
        <v>52.06</v>
      </c>
      <c r="D100" s="0" t="s">
        <v>108</v>
      </c>
      <c r="H100" s="8" t="n">
        <f aca="false">IF(ISBLANK(D100),,LEFT(D100,LEN(D100)-6)*1)</f>
        <v>38720.8264351852</v>
      </c>
      <c r="I100" s="9" t="n">
        <f aca="false">IF(ISBLANK(A100),"",-B100*C100)</f>
        <v>-5206</v>
      </c>
      <c r="J100" s="9" t="n">
        <f aca="false">IF(ISBLANK(A100),"",-SUM(I$3:I100))</f>
        <v>-877.699621212108</v>
      </c>
      <c r="K100" s="0" t="n">
        <f aca="false">IF(ISBLANK(A100),"",SUMPRODUCT(O100:R100,T100:W100)-J100)</f>
        <v>291.699621212108</v>
      </c>
      <c r="L100" s="0" t="n">
        <f aca="false">IF(ISBLANK(A100),"",K100/$M$1)</f>
        <v>0.00486166035353514</v>
      </c>
      <c r="M100" s="0" t="n">
        <f aca="false">IF(ISBLANK(A100),"",K100/($M$1+SUM(K$3:K99)))</f>
        <v>0.00534307361359541</v>
      </c>
      <c r="N100" s="0" t="n">
        <f aca="false">IF(ISBLANK(A100),"",IF(H101=0,NETWORKDAYS($H$3,H100,holiday!$B$2:$B$10),IF(DAY(H100)&lt;DAY(H101),NETWORKDAYS($H$3,H100,holiday!$B$2:$B$10),0)))</f>
        <v>0</v>
      </c>
      <c r="O100" s="0" t="n">
        <f aca="false">IF(ISBLANK(A100),"",SUMIF($A$3:$A100,O$2,$B$3:$B100))</f>
        <v>0</v>
      </c>
      <c r="P100" s="0" t="n">
        <f aca="false">IF(ISBLANK(A100),"",SUMIF($A$3:$A100,P$2,$B$3:$B100))</f>
        <v>200</v>
      </c>
      <c r="Q100" s="0" t="n">
        <f aca="false">IF(ISBLANK(A100),"",SUMIF($A$3:$A100,Q$2,$B$3:$B100))</f>
        <v>-100</v>
      </c>
      <c r="R100" s="0" t="n">
        <f aca="false">IF(ISBLANK(A100),"",SUMIF($A$3:$A100,R$2,$B$3:$B100))</f>
        <v>0</v>
      </c>
      <c r="T100" s="0" t="n">
        <f aca="false">IF(ISBLANK(A100),"",IF($A100=T$2,$C100,T99))</f>
        <v>47.62</v>
      </c>
      <c r="U100" s="0" t="n">
        <f aca="false">IF(ISBLANK(A100),"",IF($A100=U$2,$C100,U99))</f>
        <v>23.1</v>
      </c>
      <c r="V100" s="0" t="n">
        <f aca="false">IF(ISBLANK(A100),"",IF($A100=V$2,$C100,V99))</f>
        <v>52.06</v>
      </c>
      <c r="W100" s="0" t="n">
        <f aca="false">IF(ISBLANK(A100),"",IF($A100=W$2,$C100,W99))</f>
        <v>0</v>
      </c>
    </row>
    <row r="101" customFormat="false" ht="12.8" hidden="false" customHeight="false" outlineLevel="0" collapsed="false">
      <c r="A101" s="0" t="n">
        <v>679</v>
      </c>
      <c r="B101" s="0" t="n">
        <v>-100</v>
      </c>
      <c r="C101" s="0" t="n">
        <v>52.55</v>
      </c>
      <c r="D101" s="0" t="s">
        <v>109</v>
      </c>
      <c r="H101" s="8" t="n">
        <f aca="false">IF(ISBLANK(D101),,LEFT(D101,LEN(D101)-6)*1)</f>
        <v>38720.8271875</v>
      </c>
      <c r="I101" s="9" t="n">
        <f aca="false">IF(ISBLANK(A101),"",-B101*C101)</f>
        <v>5255</v>
      </c>
      <c r="J101" s="9" t="n">
        <f aca="false">IF(ISBLANK(A101),"",-SUM(I$3:I101))</f>
        <v>-6132.69962121211</v>
      </c>
      <c r="K101" s="0" t="n">
        <f aca="false">IF(ISBLANK(A101),"",SUMPRODUCT(O101:R101,T101:W101)-J101)</f>
        <v>242.699621212108</v>
      </c>
      <c r="L101" s="0" t="n">
        <f aca="false">IF(ISBLANK(A101),"",K101/$M$1)</f>
        <v>0.00404499368686848</v>
      </c>
      <c r="M101" s="0" t="n">
        <f aca="false">IF(ISBLANK(A101),"",K101/($M$1+SUM(K$3:K100)))</f>
        <v>0.00442191205468419</v>
      </c>
      <c r="N101" s="0" t="n">
        <f aca="false">IF(ISBLANK(A101),"",IF(H102=0,NETWORKDAYS($H$3,H101,holiday!$B$2:$B$10),IF(DAY(H101)&lt;DAY(H102),NETWORKDAYS($H$3,H101,holiday!$B$2:$B$10),0)))</f>
        <v>0</v>
      </c>
      <c r="O101" s="0" t="n">
        <f aca="false">IF(ISBLANK(A101),"",SUMIF($A$3:$A101,O$2,$B$3:$B101))</f>
        <v>0</v>
      </c>
      <c r="P101" s="0" t="n">
        <f aca="false">IF(ISBLANK(A101),"",SUMIF($A$3:$A101,P$2,$B$3:$B101))</f>
        <v>200</v>
      </c>
      <c r="Q101" s="0" t="n">
        <f aca="false">IF(ISBLANK(A101),"",SUMIF($A$3:$A101,Q$2,$B$3:$B101))</f>
        <v>-200</v>
      </c>
      <c r="R101" s="0" t="n">
        <f aca="false">IF(ISBLANK(A101),"",SUMIF($A$3:$A101,R$2,$B$3:$B101))</f>
        <v>0</v>
      </c>
      <c r="T101" s="0" t="n">
        <f aca="false">IF(ISBLANK(A101),"",IF($A101=T$2,$C101,T100))</f>
        <v>47.62</v>
      </c>
      <c r="U101" s="0" t="n">
        <f aca="false">IF(ISBLANK(A101),"",IF($A101=U$2,$C101,U100))</f>
        <v>23.1</v>
      </c>
      <c r="V101" s="0" t="n">
        <f aca="false">IF(ISBLANK(A101),"",IF($A101=V$2,$C101,V100))</f>
        <v>52.55</v>
      </c>
      <c r="W101" s="0" t="n">
        <f aca="false">IF(ISBLANK(A101),"",IF($A101=W$2,$C101,W100))</f>
        <v>0</v>
      </c>
    </row>
    <row r="102" customFormat="false" ht="12.8" hidden="false" customHeight="false" outlineLevel="0" collapsed="false">
      <c r="A102" s="0" t="n">
        <v>8370</v>
      </c>
      <c r="B102" s="0" t="n">
        <v>100</v>
      </c>
      <c r="C102" s="0" t="n">
        <v>45.09</v>
      </c>
      <c r="D102" s="0" t="s">
        <v>110</v>
      </c>
      <c r="H102" s="8" t="n">
        <f aca="false">IF(ISBLANK(D102),,LEFT(D102,LEN(D102)-6)*1)</f>
        <v>38720.8334259259</v>
      </c>
      <c r="I102" s="9" t="n">
        <f aca="false">IF(ISBLANK(A102),"",-B102*C102)</f>
        <v>-4509</v>
      </c>
      <c r="J102" s="9" t="n">
        <f aca="false">IF(ISBLANK(A102),"",-SUM(I$3:I102))</f>
        <v>-1623.69962121211</v>
      </c>
      <c r="K102" s="0" t="n">
        <f aca="false">IF(ISBLANK(A102),"",SUMPRODUCT(O102:R102,T102:W102)-J102)</f>
        <v>242.699621212108</v>
      </c>
      <c r="L102" s="0" t="n">
        <f aca="false">IF(ISBLANK(A102),"",K102/$M$1)</f>
        <v>0.00404499368686848</v>
      </c>
      <c r="M102" s="0" t="n">
        <f aca="false">IF(ISBLANK(A102),"",K102/($M$1+SUM(K$3:K101)))</f>
        <v>0.00440244483081672</v>
      </c>
      <c r="N102" s="0" t="n">
        <f aca="false">IF(ISBLANK(A102),"",IF(H103=0,NETWORKDAYS($H$3,H102,holiday!$B$2:$B$10),IF(DAY(H102)&lt;DAY(H103),NETWORKDAYS($H$3,H102,holiday!$B$2:$B$10),0)))</f>
        <v>0</v>
      </c>
      <c r="O102" s="0" t="n">
        <f aca="false">IF(ISBLANK(A102),"",SUMIF($A$3:$A102,O$2,$B$3:$B102))</f>
        <v>100</v>
      </c>
      <c r="P102" s="0" t="n">
        <f aca="false">IF(ISBLANK(A102),"",SUMIF($A$3:$A102,P$2,$B$3:$B102))</f>
        <v>200</v>
      </c>
      <c r="Q102" s="0" t="n">
        <f aca="false">IF(ISBLANK(A102),"",SUMIF($A$3:$A102,Q$2,$B$3:$B102))</f>
        <v>-200</v>
      </c>
      <c r="R102" s="0" t="n">
        <f aca="false">IF(ISBLANK(A102),"",SUMIF($A$3:$A102,R$2,$B$3:$B102))</f>
        <v>0</v>
      </c>
      <c r="T102" s="0" t="n">
        <f aca="false">IF(ISBLANK(A102),"",IF($A102=T$2,$C102,T101))</f>
        <v>45.09</v>
      </c>
      <c r="U102" s="0" t="n">
        <f aca="false">IF(ISBLANK(A102),"",IF($A102=U$2,$C102,U101))</f>
        <v>23.1</v>
      </c>
      <c r="V102" s="0" t="n">
        <f aca="false">IF(ISBLANK(A102),"",IF($A102=V$2,$C102,V101))</f>
        <v>52.55</v>
      </c>
      <c r="W102" s="0" t="n">
        <f aca="false">IF(ISBLANK(A102),"",IF($A102=W$2,$C102,W101))</f>
        <v>0</v>
      </c>
    </row>
    <row r="103" customFormat="false" ht="12.8" hidden="false" customHeight="false" outlineLevel="0" collapsed="false">
      <c r="A103" s="0" t="n">
        <v>8370</v>
      </c>
      <c r="B103" s="0" t="n">
        <v>100</v>
      </c>
      <c r="C103" s="0" t="n">
        <v>45.42</v>
      </c>
      <c r="D103" s="0" t="s">
        <v>111</v>
      </c>
      <c r="H103" s="8" t="n">
        <f aca="false">IF(ISBLANK(D103),,LEFT(D103,LEN(D103)-6)*1)</f>
        <v>38720.8383796296</v>
      </c>
      <c r="I103" s="9" t="n">
        <f aca="false">IF(ISBLANK(A103),"",-B103*C103)</f>
        <v>-4542</v>
      </c>
      <c r="J103" s="9" t="n">
        <f aca="false">IF(ISBLANK(A103),"",-SUM(I$3:I103))</f>
        <v>2918.30037878789</v>
      </c>
      <c r="K103" s="0" t="n">
        <f aca="false">IF(ISBLANK(A103),"",SUMPRODUCT(O103:R103,T103:W103)-J103)</f>
        <v>275.699621212108</v>
      </c>
      <c r="L103" s="0" t="n">
        <f aca="false">IF(ISBLANK(A103),"",K103/$M$1)</f>
        <v>0.00459499368686847</v>
      </c>
      <c r="M103" s="0" t="n">
        <f aca="false">IF(ISBLANK(A103),"",K103/($M$1+SUM(K$3:K102)))</f>
        <v>0.00497912732466024</v>
      </c>
      <c r="N103" s="0" t="n">
        <f aca="false">IF(ISBLANK(A103),"",IF(H104=0,NETWORKDAYS($H$3,H103,holiday!$B$2:$B$10),IF(DAY(H103)&lt;DAY(H104),NETWORKDAYS($H$3,H103,holiday!$B$2:$B$10),0)))</f>
        <v>0</v>
      </c>
      <c r="O103" s="0" t="n">
        <f aca="false">IF(ISBLANK(A103),"",SUMIF($A$3:$A103,O$2,$B$3:$B103))</f>
        <v>200</v>
      </c>
      <c r="P103" s="0" t="n">
        <f aca="false">IF(ISBLANK(A103),"",SUMIF($A$3:$A103,P$2,$B$3:$B103))</f>
        <v>200</v>
      </c>
      <c r="Q103" s="0" t="n">
        <f aca="false">IF(ISBLANK(A103),"",SUMIF($A$3:$A103,Q$2,$B$3:$B103))</f>
        <v>-200</v>
      </c>
      <c r="R103" s="0" t="n">
        <f aca="false">IF(ISBLANK(A103),"",SUMIF($A$3:$A103,R$2,$B$3:$B103))</f>
        <v>0</v>
      </c>
      <c r="T103" s="0" t="n">
        <f aca="false">IF(ISBLANK(A103),"",IF($A103=T$2,$C103,T102))</f>
        <v>45.42</v>
      </c>
      <c r="U103" s="0" t="n">
        <f aca="false">IF(ISBLANK(A103),"",IF($A103=U$2,$C103,U102))</f>
        <v>23.1</v>
      </c>
      <c r="V103" s="0" t="n">
        <f aca="false">IF(ISBLANK(A103),"",IF($A103=V$2,$C103,V102))</f>
        <v>52.55</v>
      </c>
      <c r="W103" s="0" t="n">
        <f aca="false">IF(ISBLANK(A103),"",IF($A103=W$2,$C103,W102))</f>
        <v>0</v>
      </c>
    </row>
    <row r="104" customFormat="false" ht="12.8" hidden="false" customHeight="false" outlineLevel="0" collapsed="false">
      <c r="A104" s="0" t="n">
        <v>8370</v>
      </c>
      <c r="B104" s="0" t="n">
        <v>100</v>
      </c>
      <c r="C104" s="0" t="n">
        <v>45.44</v>
      </c>
      <c r="D104" s="0" t="s">
        <v>112</v>
      </c>
      <c r="H104" s="8" t="n">
        <f aca="false">IF(ISBLANK(D104),,LEFT(D104,LEN(D104)-6)*1)</f>
        <v>38720.8388425926</v>
      </c>
      <c r="I104" s="9" t="n">
        <f aca="false">IF(ISBLANK(A104),"",-B104*C104)</f>
        <v>-4544</v>
      </c>
      <c r="J104" s="9" t="n">
        <f aca="false">IF(ISBLANK(A104),"",-SUM(I$3:I104))</f>
        <v>7462.30037878789</v>
      </c>
      <c r="K104" s="0" t="n">
        <f aca="false">IF(ISBLANK(A104),"",SUMPRODUCT(O104:R104,T104:W104)-J104)</f>
        <v>279.699621212108</v>
      </c>
      <c r="L104" s="0" t="n">
        <f aca="false">IF(ISBLANK(A104),"",K104/$M$1)</f>
        <v>0.00466166035353514</v>
      </c>
      <c r="M104" s="0" t="n">
        <f aca="false">IF(ISBLANK(A104),"",K104/($M$1+SUM(K$3:K103)))</f>
        <v>0.00502634042205556</v>
      </c>
      <c r="N104" s="0" t="n">
        <f aca="false">IF(ISBLANK(A104),"",IF(H105=0,NETWORKDAYS($H$3,H104,holiday!$B$2:$B$10),IF(DAY(H104)&lt;DAY(H105),NETWORKDAYS($H$3,H104,holiday!$B$2:$B$10),0)))</f>
        <v>0</v>
      </c>
      <c r="O104" s="0" t="n">
        <f aca="false">IF(ISBLANK(A104),"",SUMIF($A$3:$A104,O$2,$B$3:$B104))</f>
        <v>300</v>
      </c>
      <c r="P104" s="0" t="n">
        <f aca="false">IF(ISBLANK(A104),"",SUMIF($A$3:$A104,P$2,$B$3:$B104))</f>
        <v>200</v>
      </c>
      <c r="Q104" s="0" t="n">
        <f aca="false">IF(ISBLANK(A104),"",SUMIF($A$3:$A104,Q$2,$B$3:$B104))</f>
        <v>-200</v>
      </c>
      <c r="R104" s="0" t="n">
        <f aca="false">IF(ISBLANK(A104),"",SUMIF($A$3:$A104,R$2,$B$3:$B104))</f>
        <v>0</v>
      </c>
      <c r="T104" s="0" t="n">
        <f aca="false">IF(ISBLANK(A104),"",IF($A104=T$2,$C104,T103))</f>
        <v>45.44</v>
      </c>
      <c r="U104" s="0" t="n">
        <f aca="false">IF(ISBLANK(A104),"",IF($A104=U$2,$C104,U103))</f>
        <v>23.1</v>
      </c>
      <c r="V104" s="0" t="n">
        <f aca="false">IF(ISBLANK(A104),"",IF($A104=V$2,$C104,V103))</f>
        <v>52.55</v>
      </c>
      <c r="W104" s="0" t="n">
        <f aca="false">IF(ISBLANK(A104),"",IF($A104=W$2,$C104,W103))</f>
        <v>0</v>
      </c>
    </row>
    <row r="105" customFormat="false" ht="12.8" hidden="false" customHeight="false" outlineLevel="0" collapsed="false">
      <c r="A105" s="0" t="n">
        <v>980</v>
      </c>
      <c r="B105" s="0" t="n">
        <v>100</v>
      </c>
      <c r="C105" s="0" t="n">
        <v>23.18</v>
      </c>
      <c r="D105" s="0" t="s">
        <v>113</v>
      </c>
      <c r="H105" s="8" t="n">
        <f aca="false">IF(ISBLANK(D105),,LEFT(D105,LEN(D105)-6)*1)</f>
        <v>38720.8499421296</v>
      </c>
      <c r="I105" s="9" t="n">
        <f aca="false">IF(ISBLANK(A105),"",-B105*C105)</f>
        <v>-2318</v>
      </c>
      <c r="J105" s="9" t="n">
        <f aca="false">IF(ISBLANK(A105),"",-SUM(I$3:I105))</f>
        <v>9780.30037878789</v>
      </c>
      <c r="K105" s="0" t="n">
        <f aca="false">IF(ISBLANK(A105),"",SUMPRODUCT(O105:R105,T105:W105)-J105)</f>
        <v>295.699621212108</v>
      </c>
      <c r="L105" s="0" t="n">
        <f aca="false">IF(ISBLANK(A105),"",K105/$M$1)</f>
        <v>0.00492832702020181</v>
      </c>
      <c r="M105" s="0" t="n">
        <f aca="false">IF(ISBLANK(A105),"",K105/($M$1+SUM(K$3:K104)))</f>
        <v>0.00528729259682846</v>
      </c>
      <c r="N105" s="0" t="n">
        <f aca="false">IF(ISBLANK(A105),"",IF(H106=0,NETWORKDAYS($H$3,H105,holiday!$B$2:$B$10),IF(DAY(H105)&lt;DAY(H106),NETWORKDAYS($H$3,H105,holiday!$B$2:$B$10),0)))</f>
        <v>0</v>
      </c>
      <c r="O105" s="0" t="n">
        <f aca="false">IF(ISBLANK(A105),"",SUMIF($A$3:$A105,O$2,$B$3:$B105))</f>
        <v>300</v>
      </c>
      <c r="P105" s="0" t="n">
        <f aca="false">IF(ISBLANK(A105),"",SUMIF($A$3:$A105,P$2,$B$3:$B105))</f>
        <v>300</v>
      </c>
      <c r="Q105" s="0" t="n">
        <f aca="false">IF(ISBLANK(A105),"",SUMIF($A$3:$A105,Q$2,$B$3:$B105))</f>
        <v>-200</v>
      </c>
      <c r="R105" s="0" t="n">
        <f aca="false">IF(ISBLANK(A105),"",SUMIF($A$3:$A105,R$2,$B$3:$B105))</f>
        <v>0</v>
      </c>
      <c r="T105" s="0" t="n">
        <f aca="false">IF(ISBLANK(A105),"",IF($A105=T$2,$C105,T104))</f>
        <v>45.44</v>
      </c>
      <c r="U105" s="0" t="n">
        <f aca="false">IF(ISBLANK(A105),"",IF($A105=U$2,$C105,U104))</f>
        <v>23.18</v>
      </c>
      <c r="V105" s="0" t="n">
        <f aca="false">IF(ISBLANK(A105),"",IF($A105=V$2,$C105,V104))</f>
        <v>52.55</v>
      </c>
      <c r="W105" s="0" t="n">
        <f aca="false">IF(ISBLANK(A105),"",IF($A105=W$2,$C105,W104))</f>
        <v>0</v>
      </c>
    </row>
    <row r="106" customFormat="false" ht="12.8" hidden="false" customHeight="false" outlineLevel="0" collapsed="false">
      <c r="A106" s="0" t="n">
        <v>679</v>
      </c>
      <c r="B106" s="0" t="n">
        <v>-100</v>
      </c>
      <c r="C106" s="0" t="n">
        <v>52.39</v>
      </c>
      <c r="D106" s="0" t="s">
        <v>114</v>
      </c>
      <c r="H106" s="8" t="n">
        <f aca="false">IF(ISBLANK(D106),,LEFT(D106,LEN(D106)-6)*1)</f>
        <v>38720.8504166667</v>
      </c>
      <c r="I106" s="9" t="n">
        <f aca="false">IF(ISBLANK(A106),"",-B106*C106)</f>
        <v>5239</v>
      </c>
      <c r="J106" s="9" t="n">
        <f aca="false">IF(ISBLANK(A106),"",-SUM(I$3:I106))</f>
        <v>4541.30037878789</v>
      </c>
      <c r="K106" s="0" t="n">
        <f aca="false">IF(ISBLANK(A106),"",SUMPRODUCT(O106:R106,T106:W106)-J106)</f>
        <v>327.699621212108</v>
      </c>
      <c r="L106" s="0" t="n">
        <f aca="false">IF(ISBLANK(A106),"",K106/$M$1)</f>
        <v>0.00546166035353514</v>
      </c>
      <c r="M106" s="0" t="n">
        <f aca="false">IF(ISBLANK(A106),"",K106/($M$1+SUM(K$3:K105)))</f>
        <v>0.00582865463818373</v>
      </c>
      <c r="N106" s="0" t="n">
        <f aca="false">IF(ISBLANK(A106),"",IF(H107=0,NETWORKDAYS($H$3,H106,holiday!$B$2:$B$10),IF(DAY(H106)&lt;DAY(H107),NETWORKDAYS($H$3,H106,holiday!$B$2:$B$10),0)))</f>
        <v>0</v>
      </c>
      <c r="O106" s="0" t="n">
        <f aca="false">IF(ISBLANK(A106),"",SUMIF($A$3:$A106,O$2,$B$3:$B106))</f>
        <v>300</v>
      </c>
      <c r="P106" s="0" t="n">
        <f aca="false">IF(ISBLANK(A106),"",SUMIF($A$3:$A106,P$2,$B$3:$B106))</f>
        <v>300</v>
      </c>
      <c r="Q106" s="0" t="n">
        <f aca="false">IF(ISBLANK(A106),"",SUMIF($A$3:$A106,Q$2,$B$3:$B106))</f>
        <v>-300</v>
      </c>
      <c r="R106" s="0" t="n">
        <f aca="false">IF(ISBLANK(A106),"",SUMIF($A$3:$A106,R$2,$B$3:$B106))</f>
        <v>0</v>
      </c>
      <c r="T106" s="0" t="n">
        <f aca="false">IF(ISBLANK(A106),"",IF($A106=T$2,$C106,T105))</f>
        <v>45.44</v>
      </c>
      <c r="U106" s="0" t="n">
        <f aca="false">IF(ISBLANK(A106),"",IF($A106=U$2,$C106,U105))</f>
        <v>23.18</v>
      </c>
      <c r="V106" s="0" t="n">
        <f aca="false">IF(ISBLANK(A106),"",IF($A106=V$2,$C106,V105))</f>
        <v>52.39</v>
      </c>
      <c r="W106" s="0" t="n">
        <f aca="false">IF(ISBLANK(A106),"",IF($A106=W$2,$C106,W105))</f>
        <v>0</v>
      </c>
    </row>
    <row r="107" customFormat="false" ht="12.8" hidden="false" customHeight="false" outlineLevel="0" collapsed="false">
      <c r="A107" s="0" t="n">
        <v>980</v>
      </c>
      <c r="B107" s="0" t="n">
        <v>100</v>
      </c>
      <c r="C107" s="0" t="n">
        <v>23.19</v>
      </c>
      <c r="D107" s="0" t="s">
        <v>115</v>
      </c>
      <c r="H107" s="8" t="n">
        <f aca="false">IF(ISBLANK(D107),,LEFT(D107,LEN(D107)-6)*1)</f>
        <v>38720.8507523148</v>
      </c>
      <c r="I107" s="9" t="n">
        <f aca="false">IF(ISBLANK(A107),"",-B107*C107)</f>
        <v>-2319</v>
      </c>
      <c r="J107" s="9" t="n">
        <f aca="false">IF(ISBLANK(A107),"",-SUM(I$3:I107))</f>
        <v>6860.30037878789</v>
      </c>
      <c r="K107" s="0" t="n">
        <f aca="false">IF(ISBLANK(A107),"",SUMPRODUCT(O107:R107,T107:W107)-J107)</f>
        <v>330.699621212108</v>
      </c>
      <c r="L107" s="0" t="n">
        <f aca="false">IF(ISBLANK(A107),"",K107/$M$1)</f>
        <v>0.00551166035353514</v>
      </c>
      <c r="M107" s="0" t="n">
        <f aca="false">IF(ISBLANK(A107),"",K107/($M$1+SUM(K$3:K106)))</f>
        <v>0.00584792881263414</v>
      </c>
      <c r="N107" s="0" t="n">
        <f aca="false">IF(ISBLANK(A107),"",IF(H108=0,NETWORKDAYS($H$3,H107,holiday!$B$2:$B$10),IF(DAY(H107)&lt;DAY(H108),NETWORKDAYS($H$3,H107,holiday!$B$2:$B$10),0)))</f>
        <v>0</v>
      </c>
      <c r="O107" s="0" t="n">
        <f aca="false">IF(ISBLANK(A107),"",SUMIF($A$3:$A107,O$2,$B$3:$B107))</f>
        <v>300</v>
      </c>
      <c r="P107" s="0" t="n">
        <f aca="false">IF(ISBLANK(A107),"",SUMIF($A$3:$A107,P$2,$B$3:$B107))</f>
        <v>400</v>
      </c>
      <c r="Q107" s="0" t="n">
        <f aca="false">IF(ISBLANK(A107),"",SUMIF($A$3:$A107,Q$2,$B$3:$B107))</f>
        <v>-300</v>
      </c>
      <c r="R107" s="0" t="n">
        <f aca="false">IF(ISBLANK(A107),"",SUMIF($A$3:$A107,R$2,$B$3:$B107))</f>
        <v>0</v>
      </c>
      <c r="T107" s="0" t="n">
        <f aca="false">IF(ISBLANK(A107),"",IF($A107=T$2,$C107,T106))</f>
        <v>45.44</v>
      </c>
      <c r="U107" s="0" t="n">
        <f aca="false">IF(ISBLANK(A107),"",IF($A107=U$2,$C107,U106))</f>
        <v>23.19</v>
      </c>
      <c r="V107" s="0" t="n">
        <f aca="false">IF(ISBLANK(A107),"",IF($A107=V$2,$C107,V106))</f>
        <v>52.39</v>
      </c>
      <c r="W107" s="0" t="n">
        <f aca="false">IF(ISBLANK(A107),"",IF($A107=W$2,$C107,W106))</f>
        <v>0</v>
      </c>
    </row>
    <row r="108" customFormat="false" ht="12.8" hidden="false" customHeight="false" outlineLevel="0" collapsed="false">
      <c r="A108" s="0" t="n">
        <v>980</v>
      </c>
      <c r="B108" s="0" t="n">
        <v>100</v>
      </c>
      <c r="C108" s="0" t="n">
        <v>23.19</v>
      </c>
      <c r="D108" s="0" t="s">
        <v>116</v>
      </c>
      <c r="H108" s="8" t="n">
        <f aca="false">IF(ISBLANK(D108),,LEFT(D108,LEN(D108)-6)*1)</f>
        <v>38720.8522569444</v>
      </c>
      <c r="I108" s="9" t="n">
        <f aca="false">IF(ISBLANK(A108),"",-B108*C108)</f>
        <v>-2319</v>
      </c>
      <c r="J108" s="9" t="n">
        <f aca="false">IF(ISBLANK(A108),"",-SUM(I$3:I108))</f>
        <v>9179.30037878789</v>
      </c>
      <c r="K108" s="0" t="n">
        <f aca="false">IF(ISBLANK(A108),"",SUMPRODUCT(O108:R108,T108:W108)-J108)</f>
        <v>330.699621212108</v>
      </c>
      <c r="L108" s="0" t="n">
        <f aca="false">IF(ISBLANK(A108),"",K108/$M$1)</f>
        <v>0.00551166035353514</v>
      </c>
      <c r="M108" s="0" t="n">
        <f aca="false">IF(ISBLANK(A108),"",K108/($M$1+SUM(K$3:K107)))</f>
        <v>0.00581392936757091</v>
      </c>
      <c r="N108" s="0" t="n">
        <f aca="false">IF(ISBLANK(A108),"",IF(H109=0,NETWORKDAYS($H$3,H108,holiday!$B$2:$B$10),IF(DAY(H108)&lt;DAY(H109),NETWORKDAYS($H$3,H108,holiday!$B$2:$B$10),0)))</f>
        <v>0</v>
      </c>
      <c r="O108" s="0" t="n">
        <f aca="false">IF(ISBLANK(A108),"",SUMIF($A$3:$A108,O$2,$B$3:$B108))</f>
        <v>300</v>
      </c>
      <c r="P108" s="0" t="n">
        <f aca="false">IF(ISBLANK(A108),"",SUMIF($A$3:$A108,P$2,$B$3:$B108))</f>
        <v>500</v>
      </c>
      <c r="Q108" s="0" t="n">
        <f aca="false">IF(ISBLANK(A108),"",SUMIF($A$3:$A108,Q$2,$B$3:$B108))</f>
        <v>-300</v>
      </c>
      <c r="R108" s="0" t="n">
        <f aca="false">IF(ISBLANK(A108),"",SUMIF($A$3:$A108,R$2,$B$3:$B108))</f>
        <v>0</v>
      </c>
      <c r="T108" s="0" t="n">
        <f aca="false">IF(ISBLANK(A108),"",IF($A108=T$2,$C108,T107))</f>
        <v>45.44</v>
      </c>
      <c r="U108" s="0" t="n">
        <f aca="false">IF(ISBLANK(A108),"",IF($A108=U$2,$C108,U107))</f>
        <v>23.19</v>
      </c>
      <c r="V108" s="0" t="n">
        <f aca="false">IF(ISBLANK(A108),"",IF($A108=V$2,$C108,V107))</f>
        <v>52.39</v>
      </c>
      <c r="W108" s="0" t="n">
        <f aca="false">IF(ISBLANK(A108),"",IF($A108=W$2,$C108,W107))</f>
        <v>0</v>
      </c>
    </row>
    <row r="109" customFormat="false" ht="12.8" hidden="false" customHeight="false" outlineLevel="0" collapsed="false">
      <c r="A109" s="0" t="n">
        <v>8370</v>
      </c>
      <c r="B109" s="0" t="n">
        <v>100</v>
      </c>
      <c r="C109" s="0" t="n">
        <v>45.6</v>
      </c>
      <c r="D109" s="0" t="s">
        <v>117</v>
      </c>
      <c r="H109" s="8" t="n">
        <f aca="false">IF(ISBLANK(D109),,LEFT(D109,LEN(D109)-6)*1)</f>
        <v>38720.8535532407</v>
      </c>
      <c r="I109" s="9" t="n">
        <f aca="false">IF(ISBLANK(A109),"",-B109*C109)</f>
        <v>-4560</v>
      </c>
      <c r="J109" s="9" t="n">
        <f aca="false">IF(ISBLANK(A109),"",-SUM(I$3:I109))</f>
        <v>13739.3003787879</v>
      </c>
      <c r="K109" s="0" t="n">
        <f aca="false">IF(ISBLANK(A109),"",SUMPRODUCT(O109:R109,T109:W109)-J109)</f>
        <v>378.699621212108</v>
      </c>
      <c r="L109" s="0" t="n">
        <f aca="false">IF(ISBLANK(A109),"",K109/$M$1)</f>
        <v>0.00631166035353514</v>
      </c>
      <c r="M109" s="0" t="n">
        <f aca="false">IF(ISBLANK(A109),"",K109/($M$1+SUM(K$3:K108)))</f>
        <v>0.00661931850496123</v>
      </c>
      <c r="N109" s="0" t="n">
        <f aca="false">IF(ISBLANK(A109),"",IF(H110=0,NETWORKDAYS($H$3,H109,holiday!$B$2:$B$10),IF(DAY(H109)&lt;DAY(H110),NETWORKDAYS($H$3,H109,holiday!$B$2:$B$10),0)))</f>
        <v>0</v>
      </c>
      <c r="O109" s="0" t="n">
        <f aca="false">IF(ISBLANK(A109),"",SUMIF($A$3:$A109,O$2,$B$3:$B109))</f>
        <v>400</v>
      </c>
      <c r="P109" s="0" t="n">
        <f aca="false">IF(ISBLANK(A109),"",SUMIF($A$3:$A109,P$2,$B$3:$B109))</f>
        <v>500</v>
      </c>
      <c r="Q109" s="0" t="n">
        <f aca="false">IF(ISBLANK(A109),"",SUMIF($A$3:$A109,Q$2,$B$3:$B109))</f>
        <v>-300</v>
      </c>
      <c r="R109" s="0" t="n">
        <f aca="false">IF(ISBLANK(A109),"",SUMIF($A$3:$A109,R$2,$B$3:$B109))</f>
        <v>0</v>
      </c>
      <c r="T109" s="0" t="n">
        <f aca="false">IF(ISBLANK(A109),"",IF($A109=T$2,$C109,T108))</f>
        <v>45.6</v>
      </c>
      <c r="U109" s="0" t="n">
        <f aca="false">IF(ISBLANK(A109),"",IF($A109=U$2,$C109,U108))</f>
        <v>23.19</v>
      </c>
      <c r="V109" s="0" t="n">
        <f aca="false">IF(ISBLANK(A109),"",IF($A109=V$2,$C109,V108))</f>
        <v>52.39</v>
      </c>
      <c r="W109" s="0" t="n">
        <f aca="false">IF(ISBLANK(A109),"",IF($A109=W$2,$C109,W108))</f>
        <v>0</v>
      </c>
    </row>
    <row r="110" customFormat="false" ht="12.8" hidden="false" customHeight="false" outlineLevel="0" collapsed="false">
      <c r="A110" s="0" t="n">
        <v>980</v>
      </c>
      <c r="B110" s="0" t="n">
        <v>-100</v>
      </c>
      <c r="C110" s="0" t="n">
        <v>23.18</v>
      </c>
      <c r="D110" s="0" t="s">
        <v>118</v>
      </c>
      <c r="H110" s="8" t="n">
        <f aca="false">IF(ISBLANK(D110),,LEFT(D110,LEN(D110)-6)*1)</f>
        <v>38720.8540972222</v>
      </c>
      <c r="I110" s="9" t="n">
        <f aca="false">IF(ISBLANK(A110),"",-B110*C110)</f>
        <v>2318</v>
      </c>
      <c r="J110" s="9" t="n">
        <f aca="false">IF(ISBLANK(A110),"",-SUM(I$3:I110))</f>
        <v>11421.3003787879</v>
      </c>
      <c r="K110" s="0" t="n">
        <f aca="false">IF(ISBLANK(A110),"",SUMPRODUCT(O110:R110,T110:W110)-J110)</f>
        <v>373.699621212108</v>
      </c>
      <c r="L110" s="0" t="n">
        <f aca="false">IF(ISBLANK(A110),"",K110/$M$1)</f>
        <v>0.00622832702020181</v>
      </c>
      <c r="M110" s="0" t="n">
        <f aca="false">IF(ISBLANK(A110),"",K110/($M$1+SUM(K$3:K109)))</f>
        <v>0.00648897057457272</v>
      </c>
      <c r="N110" s="0" t="n">
        <f aca="false">IF(ISBLANK(A110),"",IF(H111=0,NETWORKDAYS($H$3,H110,holiday!$B$2:$B$10),IF(DAY(H110)&lt;DAY(H111),NETWORKDAYS($H$3,H110,holiday!$B$2:$B$10),0)))</f>
        <v>0</v>
      </c>
      <c r="O110" s="0" t="n">
        <f aca="false">IF(ISBLANK(A110),"",SUMIF($A$3:$A110,O$2,$B$3:$B110))</f>
        <v>400</v>
      </c>
      <c r="P110" s="0" t="n">
        <f aca="false">IF(ISBLANK(A110),"",SUMIF($A$3:$A110,P$2,$B$3:$B110))</f>
        <v>400</v>
      </c>
      <c r="Q110" s="0" t="n">
        <f aca="false">IF(ISBLANK(A110),"",SUMIF($A$3:$A110,Q$2,$B$3:$B110))</f>
        <v>-300</v>
      </c>
      <c r="R110" s="0" t="n">
        <f aca="false">IF(ISBLANK(A110),"",SUMIF($A$3:$A110,R$2,$B$3:$B110))</f>
        <v>0</v>
      </c>
      <c r="T110" s="0" t="n">
        <f aca="false">IF(ISBLANK(A110),"",IF($A110=T$2,$C110,T109))</f>
        <v>45.6</v>
      </c>
      <c r="U110" s="0" t="n">
        <f aca="false">IF(ISBLANK(A110),"",IF($A110=U$2,$C110,U109))</f>
        <v>23.18</v>
      </c>
      <c r="V110" s="0" t="n">
        <f aca="false">IF(ISBLANK(A110),"",IF($A110=V$2,$C110,V109))</f>
        <v>52.39</v>
      </c>
      <c r="W110" s="0" t="n">
        <f aca="false">IF(ISBLANK(A110),"",IF($A110=W$2,$C110,W109))</f>
        <v>0</v>
      </c>
    </row>
    <row r="111" customFormat="false" ht="12.8" hidden="false" customHeight="false" outlineLevel="0" collapsed="false">
      <c r="A111" s="0" t="n">
        <v>679</v>
      </c>
      <c r="B111" s="0" t="n">
        <v>100</v>
      </c>
      <c r="C111" s="0" t="n">
        <v>52.52</v>
      </c>
      <c r="D111" s="0" t="s">
        <v>119</v>
      </c>
      <c r="H111" s="8" t="n">
        <f aca="false">IF(ISBLANK(D111),,LEFT(D111,LEN(D111)-6)*1)</f>
        <v>38720.8581481481</v>
      </c>
      <c r="I111" s="9" t="n">
        <f aca="false">IF(ISBLANK(A111),"",-B111*C111)</f>
        <v>-5252</v>
      </c>
      <c r="J111" s="9" t="n">
        <f aca="false">IF(ISBLANK(A111),"",-SUM(I$3:I111))</f>
        <v>16673.3003787879</v>
      </c>
      <c r="K111" s="0" t="n">
        <f aca="false">IF(ISBLANK(A111),"",SUMPRODUCT(O111:R111,T111:W111)-J111)</f>
        <v>334.699621212108</v>
      </c>
      <c r="L111" s="0" t="n">
        <f aca="false">IF(ISBLANK(A111),"",K111/$M$1)</f>
        <v>0.00557832702020181</v>
      </c>
      <c r="M111" s="0" t="n">
        <f aca="false">IF(ISBLANK(A111),"",K111/($M$1+SUM(K$3:K110)))</f>
        <v>0.00577430005660273</v>
      </c>
      <c r="N111" s="0" t="n">
        <f aca="false">IF(ISBLANK(A111),"",IF(H112=0,NETWORKDAYS($H$3,H111,holiday!$B$2:$B$10),IF(DAY(H111)&lt;DAY(H112),NETWORKDAYS($H$3,H111,holiday!$B$2:$B$10),0)))</f>
        <v>0</v>
      </c>
      <c r="O111" s="0" t="n">
        <f aca="false">IF(ISBLANK(A111),"",SUMIF($A$3:$A111,O$2,$B$3:$B111))</f>
        <v>400</v>
      </c>
      <c r="P111" s="0" t="n">
        <f aca="false">IF(ISBLANK(A111),"",SUMIF($A$3:$A111,P$2,$B$3:$B111))</f>
        <v>400</v>
      </c>
      <c r="Q111" s="0" t="n">
        <f aca="false">IF(ISBLANK(A111),"",SUMIF($A$3:$A111,Q$2,$B$3:$B111))</f>
        <v>-200</v>
      </c>
      <c r="R111" s="0" t="n">
        <f aca="false">IF(ISBLANK(A111),"",SUMIF($A$3:$A111,R$2,$B$3:$B111))</f>
        <v>0</v>
      </c>
      <c r="T111" s="0" t="n">
        <f aca="false">IF(ISBLANK(A111),"",IF($A111=T$2,$C111,T110))</f>
        <v>45.6</v>
      </c>
      <c r="U111" s="0" t="n">
        <f aca="false">IF(ISBLANK(A111),"",IF($A111=U$2,$C111,U110))</f>
        <v>23.18</v>
      </c>
      <c r="V111" s="0" t="n">
        <f aca="false">IF(ISBLANK(A111),"",IF($A111=V$2,$C111,V110))</f>
        <v>52.52</v>
      </c>
      <c r="W111" s="0" t="n">
        <f aca="false">IF(ISBLANK(A111),"",IF($A111=W$2,$C111,W110))</f>
        <v>0</v>
      </c>
    </row>
    <row r="112" customFormat="false" ht="12.8" hidden="false" customHeight="false" outlineLevel="0" collapsed="false">
      <c r="A112" s="0" t="n">
        <v>980</v>
      </c>
      <c r="B112" s="0" t="n">
        <v>-100</v>
      </c>
      <c r="C112" s="0" t="n">
        <v>23.19</v>
      </c>
      <c r="D112" s="0" t="s">
        <v>120</v>
      </c>
      <c r="H112" s="8" t="n">
        <f aca="false">IF(ISBLANK(D112),,LEFT(D112,LEN(D112)-6)*1)</f>
        <v>38720.8592708333</v>
      </c>
      <c r="I112" s="9" t="n">
        <f aca="false">IF(ISBLANK(A112),"",-B112*C112)</f>
        <v>2319</v>
      </c>
      <c r="J112" s="9" t="n">
        <f aca="false">IF(ISBLANK(A112),"",-SUM(I$3:I112))</f>
        <v>14354.3003787879</v>
      </c>
      <c r="K112" s="0" t="n">
        <f aca="false">IF(ISBLANK(A112),"",SUMPRODUCT(O112:R112,T112:W112)-J112)</f>
        <v>338.699621212108</v>
      </c>
      <c r="L112" s="0" t="n">
        <f aca="false">IF(ISBLANK(A112),"",K112/$M$1)</f>
        <v>0.00564499368686847</v>
      </c>
      <c r="M112" s="0" t="n">
        <f aca="false">IF(ISBLANK(A112),"",K112/($M$1+SUM(K$3:K111)))</f>
        <v>0.00580976149373156</v>
      </c>
      <c r="N112" s="0" t="n">
        <f aca="false">IF(ISBLANK(A112),"",IF(H113=0,NETWORKDAYS($H$3,H112,holiday!$B$2:$B$10),IF(DAY(H112)&lt;DAY(H113),NETWORKDAYS($H$3,H112,holiday!$B$2:$B$10),0)))</f>
        <v>0</v>
      </c>
      <c r="O112" s="0" t="n">
        <f aca="false">IF(ISBLANK(A112),"",SUMIF($A$3:$A112,O$2,$B$3:$B112))</f>
        <v>400</v>
      </c>
      <c r="P112" s="0" t="n">
        <f aca="false">IF(ISBLANK(A112),"",SUMIF($A$3:$A112,P$2,$B$3:$B112))</f>
        <v>300</v>
      </c>
      <c r="Q112" s="0" t="n">
        <f aca="false">IF(ISBLANK(A112),"",SUMIF($A$3:$A112,Q$2,$B$3:$B112))</f>
        <v>-200</v>
      </c>
      <c r="R112" s="0" t="n">
        <f aca="false">IF(ISBLANK(A112),"",SUMIF($A$3:$A112,R$2,$B$3:$B112))</f>
        <v>0</v>
      </c>
      <c r="T112" s="0" t="n">
        <f aca="false">IF(ISBLANK(A112),"",IF($A112=T$2,$C112,T111))</f>
        <v>45.6</v>
      </c>
      <c r="U112" s="0" t="n">
        <f aca="false">IF(ISBLANK(A112),"",IF($A112=U$2,$C112,U111))</f>
        <v>23.19</v>
      </c>
      <c r="V112" s="0" t="n">
        <f aca="false">IF(ISBLANK(A112),"",IF($A112=V$2,$C112,V111))</f>
        <v>52.52</v>
      </c>
      <c r="W112" s="0" t="n">
        <f aca="false">IF(ISBLANK(A112),"",IF($A112=W$2,$C112,W111))</f>
        <v>0</v>
      </c>
    </row>
    <row r="113" customFormat="false" ht="12.8" hidden="false" customHeight="false" outlineLevel="0" collapsed="false">
      <c r="A113" s="0" t="n">
        <v>980</v>
      </c>
      <c r="B113" s="0" t="n">
        <v>-100</v>
      </c>
      <c r="C113" s="0" t="n">
        <v>23.25</v>
      </c>
      <c r="D113" s="0" t="s">
        <v>121</v>
      </c>
      <c r="H113" s="8" t="n">
        <f aca="false">IF(ISBLANK(D113),,LEFT(D113,LEN(D113)-6)*1)</f>
        <v>38720.8619328704</v>
      </c>
      <c r="I113" s="9" t="n">
        <f aca="false">IF(ISBLANK(A113),"",-B113*C113)</f>
        <v>2325</v>
      </c>
      <c r="J113" s="9" t="n">
        <f aca="false">IF(ISBLANK(A113),"",-SUM(I$3:I113))</f>
        <v>12029.3003787879</v>
      </c>
      <c r="K113" s="0" t="n">
        <f aca="false">IF(ISBLANK(A113),"",SUMPRODUCT(O113:R113,T113:W113)-J113)</f>
        <v>356.699621212108</v>
      </c>
      <c r="L113" s="0" t="n">
        <f aca="false">IF(ISBLANK(A113),"",K113/$M$1)</f>
        <v>0.00594499368686847</v>
      </c>
      <c r="M113" s="0" t="n">
        <f aca="false">IF(ISBLANK(A113),"",K113/($M$1+SUM(K$3:K112)))</f>
        <v>0.00608317618298404</v>
      </c>
      <c r="N113" s="0" t="n">
        <f aca="false">IF(ISBLANK(A113),"",IF(H114=0,NETWORKDAYS($H$3,H113,holiday!$B$2:$B$10),IF(DAY(H113)&lt;DAY(H114),NETWORKDAYS($H$3,H113,holiday!$B$2:$B$10),0)))</f>
        <v>0</v>
      </c>
      <c r="O113" s="0" t="n">
        <f aca="false">IF(ISBLANK(A113),"",SUMIF($A$3:$A113,O$2,$B$3:$B113))</f>
        <v>400</v>
      </c>
      <c r="P113" s="0" t="n">
        <f aca="false">IF(ISBLANK(A113),"",SUMIF($A$3:$A113,P$2,$B$3:$B113))</f>
        <v>200</v>
      </c>
      <c r="Q113" s="0" t="n">
        <f aca="false">IF(ISBLANK(A113),"",SUMIF($A$3:$A113,Q$2,$B$3:$B113))</f>
        <v>-200</v>
      </c>
      <c r="R113" s="0" t="n">
        <f aca="false">IF(ISBLANK(A113),"",SUMIF($A$3:$A113,R$2,$B$3:$B113))</f>
        <v>0</v>
      </c>
      <c r="T113" s="0" t="n">
        <f aca="false">IF(ISBLANK(A113),"",IF($A113=T$2,$C113,T112))</f>
        <v>45.6</v>
      </c>
      <c r="U113" s="0" t="n">
        <f aca="false">IF(ISBLANK(A113),"",IF($A113=U$2,$C113,U112))</f>
        <v>23.25</v>
      </c>
      <c r="V113" s="0" t="n">
        <f aca="false">IF(ISBLANK(A113),"",IF($A113=V$2,$C113,V112))</f>
        <v>52.52</v>
      </c>
      <c r="W113" s="0" t="n">
        <f aca="false">IF(ISBLANK(A113),"",IF($A113=W$2,$C113,W112))</f>
        <v>0</v>
      </c>
    </row>
    <row r="114" customFormat="false" ht="12.8" hidden="false" customHeight="false" outlineLevel="0" collapsed="false">
      <c r="A114" s="0" t="n">
        <v>679</v>
      </c>
      <c r="B114" s="0" t="n">
        <v>100</v>
      </c>
      <c r="C114" s="0" t="n">
        <v>52.5</v>
      </c>
      <c r="D114" s="0" t="s">
        <v>122</v>
      </c>
      <c r="H114" s="8" t="n">
        <f aca="false">IF(ISBLANK(D114),,LEFT(D114,LEN(D114)-6)*1)</f>
        <v>38720.86625</v>
      </c>
      <c r="I114" s="9" t="n">
        <f aca="false">IF(ISBLANK(A114),"",-B114*C114)</f>
        <v>-5250</v>
      </c>
      <c r="J114" s="9" t="n">
        <f aca="false">IF(ISBLANK(A114),"",-SUM(I$3:I114))</f>
        <v>17279.3003787879</v>
      </c>
      <c r="K114" s="0" t="n">
        <f aca="false">IF(ISBLANK(A114),"",SUMPRODUCT(O114:R114,T114:W114)-J114)</f>
        <v>360.699621212108</v>
      </c>
      <c r="L114" s="0" t="n">
        <f aca="false">IF(ISBLANK(A114),"",K114/$M$1)</f>
        <v>0.00601166035353514</v>
      </c>
      <c r="M114" s="0" t="n">
        <f aca="false">IF(ISBLANK(A114),"",K114/($M$1+SUM(K$3:K113)))</f>
        <v>0.00611419866899259</v>
      </c>
      <c r="N114" s="0" t="n">
        <f aca="false">IF(ISBLANK(A114),"",IF(H115=0,NETWORKDAYS($H$3,H114,holiday!$B$2:$B$10),IF(DAY(H114)&lt;DAY(H115),NETWORKDAYS($H$3,H114,holiday!$B$2:$B$10),0)))</f>
        <v>0</v>
      </c>
      <c r="O114" s="0" t="n">
        <f aca="false">IF(ISBLANK(A114),"",SUMIF($A$3:$A114,O$2,$B$3:$B114))</f>
        <v>400</v>
      </c>
      <c r="P114" s="0" t="n">
        <f aca="false">IF(ISBLANK(A114),"",SUMIF($A$3:$A114,P$2,$B$3:$B114))</f>
        <v>200</v>
      </c>
      <c r="Q114" s="0" t="n">
        <f aca="false">IF(ISBLANK(A114),"",SUMIF($A$3:$A114,Q$2,$B$3:$B114))</f>
        <v>-100</v>
      </c>
      <c r="R114" s="0" t="n">
        <f aca="false">IF(ISBLANK(A114),"",SUMIF($A$3:$A114,R$2,$B$3:$B114))</f>
        <v>0</v>
      </c>
      <c r="T114" s="0" t="n">
        <f aca="false">IF(ISBLANK(A114),"",IF($A114=T$2,$C114,T113))</f>
        <v>45.6</v>
      </c>
      <c r="U114" s="0" t="n">
        <f aca="false">IF(ISBLANK(A114),"",IF($A114=U$2,$C114,U113))</f>
        <v>23.25</v>
      </c>
      <c r="V114" s="0" t="n">
        <f aca="false">IF(ISBLANK(A114),"",IF($A114=V$2,$C114,V113))</f>
        <v>52.5</v>
      </c>
      <c r="W114" s="0" t="n">
        <f aca="false">IF(ISBLANK(A114),"",IF($A114=W$2,$C114,W113))</f>
        <v>0</v>
      </c>
    </row>
    <row r="115" customFormat="false" ht="12.8" hidden="false" customHeight="false" outlineLevel="0" collapsed="false">
      <c r="A115" s="0" t="n">
        <v>980</v>
      </c>
      <c r="B115" s="0" t="n">
        <v>-100</v>
      </c>
      <c r="C115" s="0" t="n">
        <v>23.284</v>
      </c>
      <c r="D115" s="0" t="s">
        <v>123</v>
      </c>
      <c r="H115" s="8" t="n">
        <f aca="false">IF(ISBLANK(D115),,LEFT(D115,LEN(D115)-6)*1)</f>
        <v>38720.8708680556</v>
      </c>
      <c r="I115" s="9" t="n">
        <f aca="false">IF(ISBLANK(A115),"",-B115*C115)</f>
        <v>2328.4</v>
      </c>
      <c r="J115" s="9" t="n">
        <f aca="false">IF(ISBLANK(A115),"",-SUM(I$3:I115))</f>
        <v>14950.9003787879</v>
      </c>
      <c r="K115" s="0" t="n">
        <f aca="false">IF(ISBLANK(A115),"",SUMPRODUCT(O115:R115,T115:W115)-J115)</f>
        <v>367.49962121211</v>
      </c>
      <c r="L115" s="0" t="n">
        <f aca="false">IF(ISBLANK(A115),"",K115/$M$1)</f>
        <v>0.00612499368686849</v>
      </c>
      <c r="M115" s="0" t="n">
        <f aca="false">IF(ISBLANK(A115),"",K115/($M$1+SUM(K$3:K114)))</f>
        <v>0.00619160835686993</v>
      </c>
      <c r="N115" s="0" t="n">
        <f aca="false">IF(ISBLANK(A115),"",IF(H116=0,NETWORKDAYS($H$3,H115,holiday!$B$2:$B$10),IF(DAY(H115)&lt;DAY(H116),NETWORKDAYS($H$3,H115,holiday!$B$2:$B$10),0)))</f>
        <v>0</v>
      </c>
      <c r="O115" s="0" t="n">
        <f aca="false">IF(ISBLANK(A115),"",SUMIF($A$3:$A115,O$2,$B$3:$B115))</f>
        <v>400</v>
      </c>
      <c r="P115" s="0" t="n">
        <f aca="false">IF(ISBLANK(A115),"",SUMIF($A$3:$A115,P$2,$B$3:$B115))</f>
        <v>100</v>
      </c>
      <c r="Q115" s="0" t="n">
        <f aca="false">IF(ISBLANK(A115),"",SUMIF($A$3:$A115,Q$2,$B$3:$B115))</f>
        <v>-100</v>
      </c>
      <c r="R115" s="0" t="n">
        <f aca="false">IF(ISBLANK(A115),"",SUMIF($A$3:$A115,R$2,$B$3:$B115))</f>
        <v>0</v>
      </c>
      <c r="T115" s="0" t="n">
        <f aca="false">IF(ISBLANK(A115),"",IF($A115=T$2,$C115,T114))</f>
        <v>45.6</v>
      </c>
      <c r="U115" s="0" t="n">
        <f aca="false">IF(ISBLANK(A115),"",IF($A115=U$2,$C115,U114))</f>
        <v>23.284</v>
      </c>
      <c r="V115" s="0" t="n">
        <f aca="false">IF(ISBLANK(A115),"",IF($A115=V$2,$C115,V114))</f>
        <v>52.5</v>
      </c>
      <c r="W115" s="0" t="n">
        <f aca="false">IF(ISBLANK(A115),"",IF($A115=W$2,$C115,W114))</f>
        <v>0</v>
      </c>
    </row>
    <row r="116" customFormat="false" ht="12.8" hidden="false" customHeight="false" outlineLevel="0" collapsed="false">
      <c r="A116" s="0" t="n">
        <v>980</v>
      </c>
      <c r="B116" s="0" t="n">
        <v>-100</v>
      </c>
      <c r="C116" s="0" t="n">
        <v>23.24</v>
      </c>
      <c r="D116" s="0" t="s">
        <v>124</v>
      </c>
      <c r="H116" s="8" t="n">
        <f aca="false">IF(ISBLANK(D116),,LEFT(D116,LEN(D116)-6)*1)</f>
        <v>38720.8716435185</v>
      </c>
      <c r="I116" s="9" t="n">
        <f aca="false">IF(ISBLANK(A116),"",-B116*C116)</f>
        <v>2324</v>
      </c>
      <c r="J116" s="9" t="n">
        <f aca="false">IF(ISBLANK(A116),"",-SUM(I$3:I116))</f>
        <v>12626.9003787879</v>
      </c>
      <c r="K116" s="0" t="n">
        <f aca="false">IF(ISBLANK(A116),"",SUMPRODUCT(O116:R116,T116:W116)-J116)</f>
        <v>411.099621212108</v>
      </c>
      <c r="L116" s="0" t="n">
        <f aca="false">IF(ISBLANK(A116),"",K116/$M$1)</f>
        <v>0.00685166035353514</v>
      </c>
      <c r="M116" s="0" t="n">
        <f aca="false">IF(ISBLANK(A116),"",K116/($M$1+SUM(K$3:K115)))</f>
        <v>0.00688355786547368</v>
      </c>
      <c r="N116" s="0" t="n">
        <f aca="false">IF(ISBLANK(A116),"",IF(H117=0,NETWORKDAYS($H$3,H116,holiday!$B$2:$B$10),IF(DAY(H116)&lt;DAY(H117),NETWORKDAYS($H$3,H116,holiday!$B$2:$B$10),0)))</f>
        <v>1</v>
      </c>
      <c r="O116" s="0" t="n">
        <f aca="false">IF(ISBLANK(A116),"",SUMIF($A$3:$A116,O$2,$B$3:$B116))</f>
        <v>400</v>
      </c>
      <c r="P116" s="0" t="n">
        <f aca="false">IF(ISBLANK(A116),"",SUMIF($A$3:$A116,P$2,$B$3:$B116))</f>
        <v>0</v>
      </c>
      <c r="Q116" s="0" t="n">
        <f aca="false">IF(ISBLANK(A116),"",SUMIF($A$3:$A116,Q$2,$B$3:$B116))</f>
        <v>-100</v>
      </c>
      <c r="R116" s="0" t="n">
        <f aca="false">IF(ISBLANK(A116),"",SUMIF($A$3:$A116,R$2,$B$3:$B116))</f>
        <v>0</v>
      </c>
      <c r="T116" s="0" t="n">
        <v>45.74</v>
      </c>
      <c r="U116" s="0" t="n">
        <f aca="false">IF(ISBLANK(A116),"",IF($A116=U$2,$C116,U115))</f>
        <v>23.24</v>
      </c>
      <c r="V116" s="0" t="n">
        <v>52.58</v>
      </c>
      <c r="W116" s="0" t="n">
        <f aca="false">IF(ISBLANK(A116),"",IF($A116=W$2,$C116,W115))</f>
        <v>0</v>
      </c>
    </row>
    <row r="117" customFormat="false" ht="12.8" hidden="false" customHeight="false" outlineLevel="0" collapsed="false">
      <c r="A117" s="0" t="n">
        <v>679</v>
      </c>
      <c r="B117" s="0" t="n">
        <v>0</v>
      </c>
      <c r="C117" s="0" t="n">
        <v>52.1066666666666</v>
      </c>
      <c r="D117" s="0" t="s">
        <v>125</v>
      </c>
      <c r="H117" s="8" t="n">
        <f aca="false">IF(ISBLANK(D117),,LEFT(D117,LEN(D117)-6)*1)</f>
        <v>38721.8750810185</v>
      </c>
      <c r="I117" s="9" t="n">
        <f aca="false">IF(ISBLANK(A117),"",-B117*C117)</f>
        <v>-0</v>
      </c>
      <c r="J117" s="9" t="n">
        <f aca="false">IF(ISBLANK(A117),"",-SUM(I$3:I117))</f>
        <v>12626.9003787879</v>
      </c>
      <c r="K117" s="0" t="n">
        <f aca="false">IF(ISBLANK(A117),"",SUMPRODUCT(O117:R117,T117:W117)-J117)</f>
        <v>458.432954545448</v>
      </c>
      <c r="L117" s="0" t="n">
        <f aca="false">IF(ISBLANK(A117),"",K117/$M$1)</f>
        <v>0.00764054924242413</v>
      </c>
      <c r="M117" s="0" t="n">
        <f aca="false">IF(ISBLANK(A117),"",K117/($M$1+SUM(K$3:K116)))</f>
        <v>0.00762364160323276</v>
      </c>
      <c r="N117" s="0" t="n">
        <f aca="false">IF(ISBLANK(A117),"",IF(H118=0,NETWORKDAYS($H$3,H117,holiday!$B$2:$B$10),IF(DAY(H117)&lt;DAY(H118),NETWORKDAYS($H$3,H117,holiday!$B$2:$B$10),0)))</f>
        <v>0</v>
      </c>
      <c r="O117" s="0" t="n">
        <f aca="false">IF(ISBLANK(A117),"",SUMIF($A$3:$A117,O$2,$B$3:$B117))</f>
        <v>400</v>
      </c>
      <c r="P117" s="0" t="n">
        <f aca="false">IF(ISBLANK(A117),"",SUMIF($A$3:$A117,P$2,$B$3:$B117))</f>
        <v>0</v>
      </c>
      <c r="Q117" s="0" t="n">
        <f aca="false">IF(ISBLANK(A117),"",SUMIF($A$3:$A117,Q$2,$B$3:$B117))</f>
        <v>-100</v>
      </c>
      <c r="R117" s="0" t="n">
        <f aca="false">IF(ISBLANK(A117),"",SUMIF($A$3:$A117,R$2,$B$3:$B117))</f>
        <v>0</v>
      </c>
      <c r="T117" s="0" t="n">
        <f aca="false">IF(ISBLANK(A117),"",IF($A117=T$2,$C117,T116))</f>
        <v>45.74</v>
      </c>
      <c r="U117" s="0" t="n">
        <f aca="false">IF(ISBLANK(A117),"",IF($A117=U$2,$C117,U116))</f>
        <v>23.24</v>
      </c>
      <c r="V117" s="0" t="n">
        <f aca="false">IF(ISBLANK(A117),"",IF($A117=V$2,$C117,V116))</f>
        <v>52.1066666666666</v>
      </c>
      <c r="W117" s="0" t="n">
        <f aca="false">IF(ISBLANK(A117),"",IF($A117=W$2,$C117,W116))</f>
        <v>0</v>
      </c>
    </row>
    <row r="118" customFormat="false" ht="12.8" hidden="false" customHeight="false" outlineLevel="0" collapsed="false">
      <c r="A118" s="0" t="n">
        <v>679</v>
      </c>
      <c r="B118" s="0" t="n">
        <v>0</v>
      </c>
      <c r="C118" s="0" t="n">
        <v>66.48</v>
      </c>
      <c r="D118" s="0" t="s">
        <v>126</v>
      </c>
      <c r="H118" s="8" t="n">
        <f aca="false">IF(ISBLANK(D118),,LEFT(D118,LEN(D118)-6)*1)</f>
        <v>38721.8861342593</v>
      </c>
      <c r="I118" s="9" t="n">
        <f aca="false">IF(ISBLANK(A118),"",-B118*C118)</f>
        <v>-0</v>
      </c>
      <c r="J118" s="9" t="n">
        <f aca="false">IF(ISBLANK(A118),"",-SUM(I$3:I118))</f>
        <v>12626.9003787879</v>
      </c>
      <c r="K118" s="0" t="n">
        <f aca="false">IF(ISBLANK(A118),"",SUMPRODUCT(O118:R118,T118:W118)-J118)</f>
        <v>-978.900378787892</v>
      </c>
      <c r="L118" s="0" t="n">
        <f aca="false">IF(ISBLANK(A118),"",K118/$M$1)</f>
        <v>-0.0163150063131315</v>
      </c>
      <c r="M118" s="0" t="n">
        <f aca="false">IF(ISBLANK(A118),"",K118/($M$1+SUM(K$3:K117)))</f>
        <v>-0.0161557375649771</v>
      </c>
      <c r="N118" s="0" t="n">
        <f aca="false">IF(ISBLANK(A118),"",IF(H119=0,NETWORKDAYS($H$3,H118,holiday!$B$2:$B$10),IF(DAY(H118)&lt;DAY(H119),NETWORKDAYS($H$3,H118,holiday!$B$2:$B$10),0)))</f>
        <v>0</v>
      </c>
      <c r="O118" s="0" t="n">
        <f aca="false">IF(ISBLANK(A118),"",SUMIF($A$3:$A118,O$2,$B$3:$B118))</f>
        <v>400</v>
      </c>
      <c r="P118" s="0" t="n">
        <f aca="false">IF(ISBLANK(A118),"",SUMIF($A$3:$A118,P$2,$B$3:$B118))</f>
        <v>0</v>
      </c>
      <c r="Q118" s="0" t="n">
        <f aca="false">IF(ISBLANK(A118),"",SUMIF($A$3:$A118,Q$2,$B$3:$B118))</f>
        <v>-100</v>
      </c>
      <c r="R118" s="0" t="n">
        <f aca="false">IF(ISBLANK(A118),"",SUMIF($A$3:$A118,R$2,$B$3:$B118))</f>
        <v>0</v>
      </c>
      <c r="T118" s="0" t="n">
        <f aca="false">IF(ISBLANK(A118),"",IF($A118=T$2,$C118,T117))</f>
        <v>45.74</v>
      </c>
      <c r="U118" s="0" t="n">
        <f aca="false">IF(ISBLANK(A118),"",IF($A118=U$2,$C118,U117))</f>
        <v>23.24</v>
      </c>
      <c r="V118" s="0" t="n">
        <f aca="false">IF(ISBLANK(A118),"",IF($A118=V$2,$C118,V117))</f>
        <v>66.48</v>
      </c>
      <c r="W118" s="0" t="n">
        <f aca="false">IF(ISBLANK(A118),"",IF($A118=W$2,$C118,W117))</f>
        <v>0</v>
      </c>
    </row>
    <row r="119" customFormat="false" ht="12.8" hidden="false" customHeight="false" outlineLevel="0" collapsed="false">
      <c r="A119" s="0" t="n">
        <v>8370</v>
      </c>
      <c r="B119" s="0" t="n">
        <v>0</v>
      </c>
      <c r="C119" s="0" t="n">
        <v>58.77</v>
      </c>
      <c r="D119" s="0" t="s">
        <v>127</v>
      </c>
      <c r="H119" s="8" t="n">
        <f aca="false">IF(ISBLANK(D119),,LEFT(D119,LEN(D119)-6)*1)</f>
        <v>38721.9339930556</v>
      </c>
      <c r="I119" s="9" t="n">
        <f aca="false">IF(ISBLANK(A119),"",-B119*C119)</f>
        <v>-0</v>
      </c>
      <c r="J119" s="9" t="n">
        <f aca="false">IF(ISBLANK(A119),"",-SUM(I$3:I119))</f>
        <v>12626.9003787879</v>
      </c>
      <c r="K119" s="0" t="n">
        <f aca="false">IF(ISBLANK(A119),"",SUMPRODUCT(O119:R119,T119:W119)-J119)</f>
        <v>4233.09962121211</v>
      </c>
      <c r="L119" s="0" t="n">
        <f aca="false">IF(ISBLANK(A119),"",K119/$M$1)</f>
        <v>0.0705516603535351</v>
      </c>
      <c r="M119" s="0" t="n">
        <f aca="false">IF(ISBLANK(A119),"",K119/($M$1+SUM(K$3:K118)))</f>
        <v>0.0710101492169807</v>
      </c>
      <c r="N119" s="0" t="n">
        <f aca="false">IF(ISBLANK(A119),"",IF(H120=0,NETWORKDAYS($H$3,H119,holiday!$B$2:$B$10),IF(DAY(H119)&lt;DAY(H120),NETWORKDAYS($H$3,H119,holiday!$B$2:$B$10),0)))</f>
        <v>0</v>
      </c>
      <c r="O119" s="0" t="n">
        <f aca="false">IF(ISBLANK(A119),"",SUMIF($A$3:$A119,O$2,$B$3:$B119))</f>
        <v>400</v>
      </c>
      <c r="P119" s="0" t="n">
        <f aca="false">IF(ISBLANK(A119),"",SUMIF($A$3:$A119,P$2,$B$3:$B119))</f>
        <v>0</v>
      </c>
      <c r="Q119" s="0" t="n">
        <f aca="false">IF(ISBLANK(A119),"",SUMIF($A$3:$A119,Q$2,$B$3:$B119))</f>
        <v>-100</v>
      </c>
      <c r="R119" s="0" t="n">
        <f aca="false">IF(ISBLANK(A119),"",SUMIF($A$3:$A119,R$2,$B$3:$B119))</f>
        <v>0</v>
      </c>
      <c r="T119" s="0" t="n">
        <f aca="false">IF(ISBLANK(A119),"",IF($A119=T$2,$C119,T118))</f>
        <v>58.77</v>
      </c>
      <c r="U119" s="0" t="n">
        <f aca="false">IF(ISBLANK(A119),"",IF($A119=U$2,$C119,U118))</f>
        <v>23.24</v>
      </c>
      <c r="V119" s="0" t="n">
        <f aca="false">IF(ISBLANK(A119),"",IF($A119=V$2,$C119,V118))</f>
        <v>66.48</v>
      </c>
      <c r="W119" s="0" t="n">
        <f aca="false">IF(ISBLANK(A119),"",IF($A119=W$2,$C119,W118))</f>
        <v>0</v>
      </c>
    </row>
    <row r="120" customFormat="false" ht="12.8" hidden="false" customHeight="false" outlineLevel="0" collapsed="false">
      <c r="A120" s="0" t="n">
        <v>679</v>
      </c>
      <c r="B120" s="0" t="n">
        <v>100</v>
      </c>
      <c r="C120" s="0" t="n">
        <v>52.35</v>
      </c>
      <c r="D120" s="0" t="s">
        <v>128</v>
      </c>
      <c r="H120" s="8" t="n">
        <f aca="false">IF(ISBLANK(D120),,LEFT(D120,LEN(D120)-6)*1)</f>
        <v>38721.6122916667</v>
      </c>
      <c r="I120" s="9" t="n">
        <f aca="false">IF(ISBLANK(A120),"",-B120*C120)</f>
        <v>-5235</v>
      </c>
      <c r="J120" s="9" t="n">
        <f aca="false">IF(ISBLANK(A120),"",-SUM(I$3:I120))</f>
        <v>17861.9003787879</v>
      </c>
      <c r="K120" s="0" t="n">
        <f aca="false">IF(ISBLANK(A120),"",SUMPRODUCT(O120:R120,T120:W120)-J120)</f>
        <v>5646.09962121211</v>
      </c>
      <c r="L120" s="0" t="n">
        <f aca="false">IF(ISBLANK(A120),"",K120/$M$1)</f>
        <v>0.0941016603535352</v>
      </c>
      <c r="M120" s="0" t="n">
        <f aca="false">IF(ISBLANK(A120),"",K120/($M$1+SUM(K$3:K119)))</f>
        <v>0.0884335147818843</v>
      </c>
      <c r="N120" s="0" t="n">
        <f aca="false">IF(ISBLANK(A120),"",IF(H121=0,NETWORKDAYS($H$3,H120,holiday!$B$2:$B$10),IF(DAY(H120)&lt;DAY(H121),NETWORKDAYS($H$3,H120,holiday!$B$2:$B$10),0)))</f>
        <v>0</v>
      </c>
      <c r="O120" s="0" t="n">
        <f aca="false">IF(ISBLANK(A120),"",SUMIF($A$3:$A120,O$2,$B$3:$B120))</f>
        <v>400</v>
      </c>
      <c r="P120" s="0" t="n">
        <f aca="false">IF(ISBLANK(A120),"",SUMIF($A$3:$A120,P$2,$B$3:$B120))</f>
        <v>0</v>
      </c>
      <c r="Q120" s="0" t="n">
        <f aca="false">IF(ISBLANK(A120),"",SUMIF($A$3:$A120,Q$2,$B$3:$B120))</f>
        <v>0</v>
      </c>
      <c r="R120" s="0" t="n">
        <f aca="false">IF(ISBLANK(A120),"",SUMIF($A$3:$A120,R$2,$B$3:$B120))</f>
        <v>0</v>
      </c>
      <c r="T120" s="0" t="n">
        <f aca="false">IF(ISBLANK(A120),"",IF($A120=T$2,$C120,T119))</f>
        <v>58.77</v>
      </c>
      <c r="U120" s="0" t="n">
        <f aca="false">IF(ISBLANK(A120),"",IF($A120=U$2,$C120,U119))</f>
        <v>23.24</v>
      </c>
      <c r="V120" s="0" t="n">
        <f aca="false">IF(ISBLANK(A120),"",IF($A120=V$2,$C120,V119))</f>
        <v>52.35</v>
      </c>
      <c r="W120" s="0" t="n">
        <f aca="false">IF(ISBLANK(A120),"",IF($A120=W$2,$C120,W119))</f>
        <v>0</v>
      </c>
    </row>
    <row r="121" customFormat="false" ht="12.8" hidden="false" customHeight="false" outlineLevel="0" collapsed="false">
      <c r="A121" s="0" t="n">
        <v>980</v>
      </c>
      <c r="B121" s="0" t="n">
        <v>100</v>
      </c>
      <c r="C121" s="0" t="n">
        <v>22.99</v>
      </c>
      <c r="D121" s="0" t="s">
        <v>129</v>
      </c>
      <c r="H121" s="8" t="n">
        <f aca="false">IF(ISBLANK(D121),,LEFT(D121,LEN(D121)-6)*1)</f>
        <v>38721.6171759259</v>
      </c>
      <c r="I121" s="9" t="n">
        <f aca="false">IF(ISBLANK(A121),"",-B121*C121)</f>
        <v>-2299</v>
      </c>
      <c r="J121" s="9" t="n">
        <f aca="false">IF(ISBLANK(A121),"",-SUM(I$3:I121))</f>
        <v>20160.9003787879</v>
      </c>
      <c r="K121" s="0" t="n">
        <f aca="false">IF(ISBLANK(A121),"",SUMPRODUCT(O121:R121,T121:W121)-J121)</f>
        <v>5646.09962121211</v>
      </c>
      <c r="L121" s="0" t="n">
        <f aca="false">IF(ISBLANK(A121),"",K121/$M$1)</f>
        <v>0.0941016603535352</v>
      </c>
      <c r="M121" s="0" t="n">
        <f aca="false">IF(ISBLANK(A121),"",K121/($M$1+SUM(K$3:K120)))</f>
        <v>0.0812484305020742</v>
      </c>
      <c r="N121" s="0" t="n">
        <f aca="false">IF(ISBLANK(A121),"",IF(H122=0,NETWORKDAYS($H$3,H121,holiday!$B$2:$B$10),IF(DAY(H121)&lt;DAY(H122),NETWORKDAYS($H$3,H121,holiday!$B$2:$B$10),0)))</f>
        <v>0</v>
      </c>
      <c r="O121" s="0" t="n">
        <f aca="false">IF(ISBLANK(A121),"",SUMIF($A$3:$A121,O$2,$B$3:$B121))</f>
        <v>400</v>
      </c>
      <c r="P121" s="0" t="n">
        <f aca="false">IF(ISBLANK(A121),"",SUMIF($A$3:$A121,P$2,$B$3:$B121))</f>
        <v>100</v>
      </c>
      <c r="Q121" s="0" t="n">
        <f aca="false">IF(ISBLANK(A121),"",SUMIF($A$3:$A121,Q$2,$B$3:$B121))</f>
        <v>0</v>
      </c>
      <c r="R121" s="0" t="n">
        <f aca="false">IF(ISBLANK(A121),"",SUMIF($A$3:$A121,R$2,$B$3:$B121))</f>
        <v>0</v>
      </c>
      <c r="T121" s="0" t="n">
        <f aca="false">IF(ISBLANK(A121),"",IF($A121=T$2,$C121,T120))</f>
        <v>58.77</v>
      </c>
      <c r="U121" s="0" t="n">
        <f aca="false">IF(ISBLANK(A121),"",IF($A121=U$2,$C121,U120))</f>
        <v>22.99</v>
      </c>
      <c r="V121" s="0" t="n">
        <f aca="false">IF(ISBLANK(A121),"",IF($A121=V$2,$C121,V120))</f>
        <v>52.35</v>
      </c>
      <c r="W121" s="0" t="n">
        <f aca="false">IF(ISBLANK(A121),"",IF($A121=W$2,$C121,W120))</f>
        <v>0</v>
      </c>
    </row>
    <row r="122" customFormat="false" ht="12.8" hidden="false" customHeight="false" outlineLevel="0" collapsed="false">
      <c r="A122" s="0" t="n">
        <v>679</v>
      </c>
      <c r="B122" s="0" t="n">
        <v>100</v>
      </c>
      <c r="C122" s="0" t="n">
        <v>52.49</v>
      </c>
      <c r="D122" s="0" t="s">
        <v>130</v>
      </c>
      <c r="H122" s="8" t="n">
        <f aca="false">IF(ISBLANK(D122),,LEFT(D122,LEN(D122)-6)*1)</f>
        <v>38721.6175694444</v>
      </c>
      <c r="I122" s="9" t="n">
        <f aca="false">IF(ISBLANK(A122),"",-B122*C122)</f>
        <v>-5249</v>
      </c>
      <c r="J122" s="9" t="n">
        <f aca="false">IF(ISBLANK(A122),"",-SUM(I$3:I122))</f>
        <v>25409.9003787879</v>
      </c>
      <c r="K122" s="0" t="n">
        <f aca="false">IF(ISBLANK(A122),"",SUMPRODUCT(O122:R122,T122:W122)-J122)</f>
        <v>5646.09962121211</v>
      </c>
      <c r="L122" s="0" t="n">
        <f aca="false">IF(ISBLANK(A122),"",K122/$M$1)</f>
        <v>0.0941016603535352</v>
      </c>
      <c r="M122" s="0" t="n">
        <f aca="false">IF(ISBLANK(A122),"",K122/($M$1+SUM(K$3:K121)))</f>
        <v>0.0751431661864672</v>
      </c>
      <c r="N122" s="0" t="n">
        <f aca="false">IF(ISBLANK(A122),"",IF(H123=0,NETWORKDAYS($H$3,H122,holiday!$B$2:$B$10),IF(DAY(H122)&lt;DAY(H123),NETWORKDAYS($H$3,H122,holiday!$B$2:$B$10),0)))</f>
        <v>0</v>
      </c>
      <c r="O122" s="0" t="n">
        <f aca="false">IF(ISBLANK(A122),"",SUMIF($A$3:$A122,O$2,$B$3:$B122))</f>
        <v>400</v>
      </c>
      <c r="P122" s="0" t="n">
        <f aca="false">IF(ISBLANK(A122),"",SUMIF($A$3:$A122,P$2,$B$3:$B122))</f>
        <v>100</v>
      </c>
      <c r="Q122" s="0" t="n">
        <f aca="false">IF(ISBLANK(A122),"",SUMIF($A$3:$A122,Q$2,$B$3:$B122))</f>
        <v>100</v>
      </c>
      <c r="R122" s="0" t="n">
        <f aca="false">IF(ISBLANK(A122),"",SUMIF($A$3:$A122,R$2,$B$3:$B122))</f>
        <v>0</v>
      </c>
      <c r="T122" s="0" t="n">
        <f aca="false">IF(ISBLANK(A122),"",IF($A122=T$2,$C122,T121))</f>
        <v>58.77</v>
      </c>
      <c r="U122" s="0" t="n">
        <f aca="false">IF(ISBLANK(A122),"",IF($A122=U$2,$C122,U121))</f>
        <v>22.99</v>
      </c>
      <c r="V122" s="0" t="n">
        <f aca="false">IF(ISBLANK(A122),"",IF($A122=V$2,$C122,V121))</f>
        <v>52.49</v>
      </c>
      <c r="W122" s="0" t="n">
        <f aca="false">IF(ISBLANK(A122),"",IF($A122=W$2,$C122,W121))</f>
        <v>0</v>
      </c>
    </row>
    <row r="123" customFormat="false" ht="12.8" hidden="false" customHeight="false" outlineLevel="0" collapsed="false">
      <c r="A123" s="0" t="n">
        <v>8370</v>
      </c>
      <c r="B123" s="0" t="n">
        <v>-100</v>
      </c>
      <c r="C123" s="0" t="n">
        <v>47.09</v>
      </c>
      <c r="D123" s="0" t="s">
        <v>131</v>
      </c>
      <c r="H123" s="8" t="n">
        <f aca="false">IF(ISBLANK(D123),,LEFT(D123,LEN(D123)-6)*1)</f>
        <v>38721.6188888889</v>
      </c>
      <c r="I123" s="9" t="n">
        <f aca="false">IF(ISBLANK(A123),"",-B123*C123)</f>
        <v>4709</v>
      </c>
      <c r="J123" s="9" t="n">
        <f aca="false">IF(ISBLANK(A123),"",-SUM(I$3:I123))</f>
        <v>20700.9003787879</v>
      </c>
      <c r="K123" s="0" t="n">
        <f aca="false">IF(ISBLANK(A123),"",SUMPRODUCT(O123:R123,T123:W123)-J123)</f>
        <v>974.09962121211</v>
      </c>
      <c r="L123" s="0" t="n">
        <f aca="false">IF(ISBLANK(A123),"",K123/$M$1)</f>
        <v>0.0162349936868685</v>
      </c>
      <c r="M123" s="0" t="n">
        <f aca="false">IF(ISBLANK(A123),"",K123/($M$1+SUM(K$3:K122)))</f>
        <v>0.0120580763453399</v>
      </c>
      <c r="N123" s="0" t="n">
        <f aca="false">IF(ISBLANK(A123),"",IF(H124=0,NETWORKDAYS($H$3,H123,holiday!$B$2:$B$10),IF(DAY(H123)&lt;DAY(H124),NETWORKDAYS($H$3,H123,holiday!$B$2:$B$10),0)))</f>
        <v>0</v>
      </c>
      <c r="O123" s="0" t="n">
        <f aca="false">IF(ISBLANK(A123),"",SUMIF($A$3:$A123,O$2,$B$3:$B123))</f>
        <v>300</v>
      </c>
      <c r="P123" s="0" t="n">
        <f aca="false">IF(ISBLANK(A123),"",SUMIF($A$3:$A123,P$2,$B$3:$B123))</f>
        <v>100</v>
      </c>
      <c r="Q123" s="0" t="n">
        <f aca="false">IF(ISBLANK(A123),"",SUMIF($A$3:$A123,Q$2,$B$3:$B123))</f>
        <v>100</v>
      </c>
      <c r="R123" s="0" t="n">
        <f aca="false">IF(ISBLANK(A123),"",SUMIF($A$3:$A123,R$2,$B$3:$B123))</f>
        <v>0</v>
      </c>
      <c r="T123" s="0" t="n">
        <f aca="false">IF(ISBLANK(A123),"",IF($A123=T$2,$C123,T122))</f>
        <v>47.09</v>
      </c>
      <c r="U123" s="0" t="n">
        <f aca="false">IF(ISBLANK(A123),"",IF($A123=U$2,$C123,U122))</f>
        <v>22.99</v>
      </c>
      <c r="V123" s="0" t="n">
        <f aca="false">IF(ISBLANK(A123),"",IF($A123=V$2,$C123,V122))</f>
        <v>52.49</v>
      </c>
      <c r="W123" s="0" t="n">
        <f aca="false">IF(ISBLANK(A123),"",IF($A123=W$2,$C123,W122))</f>
        <v>0</v>
      </c>
    </row>
    <row r="124" customFormat="false" ht="12.8" hidden="false" customHeight="false" outlineLevel="0" collapsed="false">
      <c r="A124" s="0" t="n">
        <v>8370</v>
      </c>
      <c r="B124" s="0" t="n">
        <v>100</v>
      </c>
      <c r="C124" s="0" t="n">
        <v>46.975</v>
      </c>
      <c r="D124" s="0" t="s">
        <v>132</v>
      </c>
      <c r="H124" s="8" t="n">
        <f aca="false">IF(ISBLANK(D124),,LEFT(D124,LEN(D124)-6)*1)</f>
        <v>38721.6190046296</v>
      </c>
      <c r="I124" s="9" t="n">
        <f aca="false">IF(ISBLANK(A124),"",-B124*C124)</f>
        <v>-4697.5</v>
      </c>
      <c r="J124" s="9" t="n">
        <f aca="false">IF(ISBLANK(A124),"",-SUM(I$3:I124))</f>
        <v>25398.4003787879</v>
      </c>
      <c r="K124" s="0" t="n">
        <f aca="false">IF(ISBLANK(A124),"",SUMPRODUCT(O124:R124,T124:W124)-J124)</f>
        <v>939.59962121211</v>
      </c>
      <c r="L124" s="0" t="n">
        <f aca="false">IF(ISBLANK(A124),"",K124/$M$1)</f>
        <v>0.0156599936868685</v>
      </c>
      <c r="M124" s="0" t="n">
        <f aca="false">IF(ISBLANK(A124),"",K124/($M$1+SUM(K$3:K123)))</f>
        <v>0.0114924349144378</v>
      </c>
      <c r="N124" s="0" t="n">
        <f aca="false">IF(ISBLANK(A124),"",IF(H125=0,NETWORKDAYS($H$3,H124,holiday!$B$2:$B$10),IF(DAY(H124)&lt;DAY(H125),NETWORKDAYS($H$3,H124,holiday!$B$2:$B$10),0)))</f>
        <v>0</v>
      </c>
      <c r="O124" s="0" t="n">
        <f aca="false">IF(ISBLANK(A124),"",SUMIF($A$3:$A124,O$2,$B$3:$B124))</f>
        <v>400</v>
      </c>
      <c r="P124" s="0" t="n">
        <f aca="false">IF(ISBLANK(A124),"",SUMIF($A$3:$A124,P$2,$B$3:$B124))</f>
        <v>100</v>
      </c>
      <c r="Q124" s="0" t="n">
        <f aca="false">IF(ISBLANK(A124),"",SUMIF($A$3:$A124,Q$2,$B$3:$B124))</f>
        <v>100</v>
      </c>
      <c r="R124" s="0" t="n">
        <f aca="false">IF(ISBLANK(A124),"",SUMIF($A$3:$A124,R$2,$B$3:$B124))</f>
        <v>0</v>
      </c>
      <c r="T124" s="0" t="n">
        <f aca="false">IF(ISBLANK(A124),"",IF($A124=T$2,$C124,T123))</f>
        <v>46.975</v>
      </c>
      <c r="U124" s="0" t="n">
        <f aca="false">IF(ISBLANK(A124),"",IF($A124=U$2,$C124,U123))</f>
        <v>22.99</v>
      </c>
      <c r="V124" s="0" t="n">
        <f aca="false">IF(ISBLANK(A124),"",IF($A124=V$2,$C124,V123))</f>
        <v>52.49</v>
      </c>
      <c r="W124" s="0" t="n">
        <f aca="false">IF(ISBLANK(A124),"",IF($A124=W$2,$C124,W123))</f>
        <v>0</v>
      </c>
    </row>
    <row r="125" customFormat="false" ht="12.8" hidden="false" customHeight="false" outlineLevel="0" collapsed="false">
      <c r="A125" s="0" t="n">
        <v>679</v>
      </c>
      <c r="B125" s="0" t="n">
        <v>-100</v>
      </c>
      <c r="C125" s="0" t="n">
        <v>52.32</v>
      </c>
      <c r="D125" s="0" t="s">
        <v>133</v>
      </c>
      <c r="H125" s="8" t="n">
        <f aca="false">IF(ISBLANK(D125),,LEFT(D125,LEN(D125)-6)*1)</f>
        <v>38721.6215509259</v>
      </c>
      <c r="I125" s="9" t="n">
        <f aca="false">IF(ISBLANK(A125),"",-B125*C125)</f>
        <v>5232</v>
      </c>
      <c r="J125" s="9" t="n">
        <f aca="false">IF(ISBLANK(A125),"",-SUM(I$3:I125))</f>
        <v>20166.4003787879</v>
      </c>
      <c r="K125" s="0" t="n">
        <f aca="false">IF(ISBLANK(A125),"",SUMPRODUCT(O125:R125,T125:W125)-J125)</f>
        <v>922.59962121211</v>
      </c>
      <c r="L125" s="0" t="n">
        <f aca="false">IF(ISBLANK(A125),"",K125/$M$1)</f>
        <v>0.0153766603535352</v>
      </c>
      <c r="M125" s="0" t="n">
        <f aca="false">IF(ISBLANK(A125),"",K125/($M$1+SUM(K$3:K124)))</f>
        <v>0.01115629148776</v>
      </c>
      <c r="N125" s="0" t="n">
        <f aca="false">IF(ISBLANK(A125),"",IF(H126=0,NETWORKDAYS($H$3,H125,holiday!$B$2:$B$10),IF(DAY(H125)&lt;DAY(H126),NETWORKDAYS($H$3,H125,holiday!$B$2:$B$10),0)))</f>
        <v>0</v>
      </c>
      <c r="O125" s="0" t="n">
        <f aca="false">IF(ISBLANK(A125),"",SUMIF($A$3:$A125,O$2,$B$3:$B125))</f>
        <v>400</v>
      </c>
      <c r="P125" s="0" t="n">
        <f aca="false">IF(ISBLANK(A125),"",SUMIF($A$3:$A125,P$2,$B$3:$B125))</f>
        <v>100</v>
      </c>
      <c r="Q125" s="0" t="n">
        <f aca="false">IF(ISBLANK(A125),"",SUMIF($A$3:$A125,Q$2,$B$3:$B125))</f>
        <v>0</v>
      </c>
      <c r="R125" s="0" t="n">
        <f aca="false">IF(ISBLANK(A125),"",SUMIF($A$3:$A125,R$2,$B$3:$B125))</f>
        <v>0</v>
      </c>
      <c r="T125" s="0" t="n">
        <f aca="false">IF(ISBLANK(A125),"",IF($A125=T$2,$C125,T124))</f>
        <v>46.975</v>
      </c>
      <c r="U125" s="0" t="n">
        <f aca="false">IF(ISBLANK(A125),"",IF($A125=U$2,$C125,U124))</f>
        <v>22.99</v>
      </c>
      <c r="V125" s="0" t="n">
        <f aca="false">IF(ISBLANK(A125),"",IF($A125=V$2,$C125,V124))</f>
        <v>52.32</v>
      </c>
      <c r="W125" s="0" t="n">
        <f aca="false">IF(ISBLANK(A125),"",IF($A125=W$2,$C125,W124))</f>
        <v>0</v>
      </c>
    </row>
    <row r="126" customFormat="false" ht="12.8" hidden="false" customHeight="false" outlineLevel="0" collapsed="false">
      <c r="A126" s="0" t="n">
        <v>8370</v>
      </c>
      <c r="B126" s="0" t="n">
        <v>-100</v>
      </c>
      <c r="C126" s="0" t="n">
        <v>47.32</v>
      </c>
      <c r="D126" s="0" t="s">
        <v>134</v>
      </c>
      <c r="H126" s="8" t="n">
        <f aca="false">IF(ISBLANK(D126),,LEFT(D126,LEN(D126)-6)*1)</f>
        <v>38721.6245138889</v>
      </c>
      <c r="I126" s="9" t="n">
        <f aca="false">IF(ISBLANK(A126),"",-B126*C126)</f>
        <v>4732</v>
      </c>
      <c r="J126" s="9" t="n">
        <f aca="false">IF(ISBLANK(A126),"",-SUM(I$3:I126))</f>
        <v>15434.4003787879</v>
      </c>
      <c r="K126" s="0" t="n">
        <f aca="false">IF(ISBLANK(A126),"",SUMPRODUCT(O126:R126,T126:W126)-J126)</f>
        <v>1060.59962121211</v>
      </c>
      <c r="L126" s="0" t="n">
        <f aca="false">IF(ISBLANK(A126),"",K126/$M$1)</f>
        <v>0.0176766603535352</v>
      </c>
      <c r="M126" s="0" t="n">
        <f aca="false">IF(ISBLANK(A126),"",K126/($M$1+SUM(K$3:K125)))</f>
        <v>0.0126835188924539</v>
      </c>
      <c r="N126" s="0" t="n">
        <f aca="false">IF(ISBLANK(A126),"",IF(H127=0,NETWORKDAYS($H$3,H126,holiday!$B$2:$B$10),IF(DAY(H126)&lt;DAY(H127),NETWORKDAYS($H$3,H126,holiday!$B$2:$B$10),0)))</f>
        <v>0</v>
      </c>
      <c r="O126" s="0" t="n">
        <f aca="false">IF(ISBLANK(A126),"",SUMIF($A$3:$A126,O$2,$B$3:$B126))</f>
        <v>300</v>
      </c>
      <c r="P126" s="0" t="n">
        <f aca="false">IF(ISBLANK(A126),"",SUMIF($A$3:$A126,P$2,$B$3:$B126))</f>
        <v>100</v>
      </c>
      <c r="Q126" s="0" t="n">
        <f aca="false">IF(ISBLANK(A126),"",SUMIF($A$3:$A126,Q$2,$B$3:$B126))</f>
        <v>0</v>
      </c>
      <c r="R126" s="0" t="n">
        <f aca="false">IF(ISBLANK(A126),"",SUMIF($A$3:$A126,R$2,$B$3:$B126))</f>
        <v>0</v>
      </c>
      <c r="T126" s="0" t="n">
        <f aca="false">IF(ISBLANK(A126),"",IF($A126=T$2,$C126,T125))</f>
        <v>47.32</v>
      </c>
      <c r="U126" s="0" t="n">
        <f aca="false">IF(ISBLANK(A126),"",IF($A126=U$2,$C126,U125))</f>
        <v>22.99</v>
      </c>
      <c r="V126" s="0" t="n">
        <f aca="false">IF(ISBLANK(A126),"",IF($A126=V$2,$C126,V125))</f>
        <v>52.32</v>
      </c>
      <c r="W126" s="0" t="n">
        <f aca="false">IF(ISBLANK(A126),"",IF($A126=W$2,$C126,W125))</f>
        <v>0</v>
      </c>
    </row>
    <row r="127" customFormat="false" ht="12.8" hidden="false" customHeight="false" outlineLevel="0" collapsed="false">
      <c r="A127" s="0" t="n">
        <v>980</v>
      </c>
      <c r="B127" s="0" t="n">
        <v>-100</v>
      </c>
      <c r="C127" s="0" t="n">
        <v>22.96</v>
      </c>
      <c r="D127" s="0" t="s">
        <v>135</v>
      </c>
      <c r="H127" s="8" t="n">
        <f aca="false">IF(ISBLANK(D127),,LEFT(D127,LEN(D127)-6)*1)</f>
        <v>38721.6312384259</v>
      </c>
      <c r="I127" s="9" t="n">
        <f aca="false">IF(ISBLANK(A127),"",-B127*C127)</f>
        <v>2296</v>
      </c>
      <c r="J127" s="9" t="n">
        <f aca="false">IF(ISBLANK(A127),"",-SUM(I$3:I127))</f>
        <v>13138.4003787879</v>
      </c>
      <c r="K127" s="0" t="n">
        <f aca="false">IF(ISBLANK(A127),"",SUMPRODUCT(O127:R127,T127:W127)-J127)</f>
        <v>1057.59962121211</v>
      </c>
      <c r="L127" s="0" t="n">
        <f aca="false">IF(ISBLANK(A127),"",K127/$M$1)</f>
        <v>0.0176266603535352</v>
      </c>
      <c r="M127" s="0" t="n">
        <f aca="false">IF(ISBLANK(A127),"",K127/($M$1+SUM(K$3:K126)))</f>
        <v>0.0124892349875626</v>
      </c>
      <c r="N127" s="0" t="n">
        <f aca="false">IF(ISBLANK(A127),"",IF(H128=0,NETWORKDAYS($H$3,H127,holiday!$B$2:$B$10),IF(DAY(H127)&lt;DAY(H128),NETWORKDAYS($H$3,H127,holiday!$B$2:$B$10),0)))</f>
        <v>0</v>
      </c>
      <c r="O127" s="0" t="n">
        <f aca="false">IF(ISBLANK(A127),"",SUMIF($A$3:$A127,O$2,$B$3:$B127))</f>
        <v>300</v>
      </c>
      <c r="P127" s="0" t="n">
        <f aca="false">IF(ISBLANK(A127),"",SUMIF($A$3:$A127,P$2,$B$3:$B127))</f>
        <v>0</v>
      </c>
      <c r="Q127" s="0" t="n">
        <f aca="false">IF(ISBLANK(A127),"",SUMIF($A$3:$A127,Q$2,$B$3:$B127))</f>
        <v>0</v>
      </c>
      <c r="R127" s="0" t="n">
        <f aca="false">IF(ISBLANK(A127),"",SUMIF($A$3:$A127,R$2,$B$3:$B127))</f>
        <v>0</v>
      </c>
      <c r="T127" s="0" t="n">
        <f aca="false">IF(ISBLANK(A127),"",IF($A127=T$2,$C127,T126))</f>
        <v>47.32</v>
      </c>
      <c r="U127" s="0" t="n">
        <f aca="false">IF(ISBLANK(A127),"",IF($A127=U$2,$C127,U126))</f>
        <v>22.96</v>
      </c>
      <c r="V127" s="0" t="n">
        <f aca="false">IF(ISBLANK(A127),"",IF($A127=V$2,$C127,V126))</f>
        <v>52.32</v>
      </c>
      <c r="W127" s="0" t="n">
        <f aca="false">IF(ISBLANK(A127),"",IF($A127=W$2,$C127,W126))</f>
        <v>0</v>
      </c>
    </row>
    <row r="128" customFormat="false" ht="12.8" hidden="false" customHeight="false" outlineLevel="0" collapsed="false">
      <c r="A128" s="0" t="n">
        <v>980</v>
      </c>
      <c r="B128" s="0" t="n">
        <v>-100</v>
      </c>
      <c r="C128" s="0" t="n">
        <v>22.96</v>
      </c>
      <c r="D128" s="0" t="s">
        <v>136</v>
      </c>
      <c r="H128" s="8" t="n">
        <f aca="false">IF(ISBLANK(D128),,LEFT(D128,LEN(D128)-6)*1)</f>
        <v>38721.6334606481</v>
      </c>
      <c r="I128" s="9" t="n">
        <f aca="false">IF(ISBLANK(A128),"",-B128*C128)</f>
        <v>2296</v>
      </c>
      <c r="J128" s="9" t="n">
        <f aca="false">IF(ISBLANK(A128),"",-SUM(I$3:I128))</f>
        <v>10842.4003787879</v>
      </c>
      <c r="K128" s="0" t="n">
        <f aca="false">IF(ISBLANK(A128),"",SUMPRODUCT(O128:R128,T128:W128)-J128)</f>
        <v>1057.59962121211</v>
      </c>
      <c r="L128" s="0" t="n">
        <f aca="false">IF(ISBLANK(A128),"",K128/$M$1)</f>
        <v>0.0176266603535352</v>
      </c>
      <c r="M128" s="0" t="n">
        <f aca="false">IF(ISBLANK(A128),"",K128/($M$1+SUM(K$3:K127)))</f>
        <v>0.0123351780502793</v>
      </c>
      <c r="N128" s="0" t="n">
        <f aca="false">IF(ISBLANK(A128),"",IF(H129=0,NETWORKDAYS($H$3,H128,holiday!$B$2:$B$10),IF(DAY(H128)&lt;DAY(H129),NETWORKDAYS($H$3,H128,holiday!$B$2:$B$10),0)))</f>
        <v>0</v>
      </c>
      <c r="O128" s="0" t="n">
        <f aca="false">IF(ISBLANK(A128),"",SUMIF($A$3:$A128,O$2,$B$3:$B128))</f>
        <v>300</v>
      </c>
      <c r="P128" s="0" t="n">
        <f aca="false">IF(ISBLANK(A128),"",SUMIF($A$3:$A128,P$2,$B$3:$B128))</f>
        <v>-100</v>
      </c>
      <c r="Q128" s="0" t="n">
        <f aca="false">IF(ISBLANK(A128),"",SUMIF($A$3:$A128,Q$2,$B$3:$B128))</f>
        <v>0</v>
      </c>
      <c r="R128" s="0" t="n">
        <f aca="false">IF(ISBLANK(A128),"",SUMIF($A$3:$A128,R$2,$B$3:$B128))</f>
        <v>0</v>
      </c>
      <c r="T128" s="0" t="n">
        <f aca="false">IF(ISBLANK(A128),"",IF($A128=T$2,$C128,T127))</f>
        <v>47.32</v>
      </c>
      <c r="U128" s="0" t="n">
        <f aca="false">IF(ISBLANK(A128),"",IF($A128=U$2,$C128,U127))</f>
        <v>22.96</v>
      </c>
      <c r="V128" s="0" t="n">
        <f aca="false">IF(ISBLANK(A128),"",IF($A128=V$2,$C128,V127))</f>
        <v>52.32</v>
      </c>
      <c r="W128" s="0" t="n">
        <f aca="false">IF(ISBLANK(A128),"",IF($A128=W$2,$C128,W127))</f>
        <v>0</v>
      </c>
    </row>
    <row r="129" customFormat="false" ht="12.8" hidden="false" customHeight="false" outlineLevel="0" collapsed="false">
      <c r="A129" s="0" t="n">
        <v>679</v>
      </c>
      <c r="B129" s="0" t="n">
        <v>-100</v>
      </c>
      <c r="C129" s="0" t="n">
        <v>52.3300980392156</v>
      </c>
      <c r="D129" s="0" t="s">
        <v>137</v>
      </c>
      <c r="H129" s="8" t="n">
        <f aca="false">IF(ISBLANK(D129),,LEFT(D129,LEN(D129)-6)*1)</f>
        <v>38721.6393402778</v>
      </c>
      <c r="I129" s="9" t="n">
        <f aca="false">IF(ISBLANK(A129),"",-B129*C129)</f>
        <v>5233.00980392156</v>
      </c>
      <c r="J129" s="9" t="n">
        <f aca="false">IF(ISBLANK(A129),"",-SUM(I$3:I129))</f>
        <v>5609.39057486633</v>
      </c>
      <c r="K129" s="0" t="n">
        <f aca="false">IF(ISBLANK(A129),"",SUMPRODUCT(O129:R129,T129:W129)-J129)</f>
        <v>1057.59962121211</v>
      </c>
      <c r="L129" s="0" t="n">
        <f aca="false">IF(ISBLANK(A129),"",K129/$M$1)</f>
        <v>0.0176266603535352</v>
      </c>
      <c r="M129" s="0" t="n">
        <f aca="false">IF(ISBLANK(A129),"",K129/($M$1+SUM(K$3:K128)))</f>
        <v>0.0121848754421795</v>
      </c>
      <c r="N129" s="0" t="n">
        <f aca="false">IF(ISBLANK(A129),"",IF(H130=0,NETWORKDAYS($H$3,H129,holiday!$B$2:$B$10),IF(DAY(H129)&lt;DAY(H130),NETWORKDAYS($H$3,H129,holiday!$B$2:$B$10),0)))</f>
        <v>0</v>
      </c>
      <c r="O129" s="0" t="n">
        <f aca="false">IF(ISBLANK(A129),"",SUMIF($A$3:$A129,O$2,$B$3:$B129))</f>
        <v>300</v>
      </c>
      <c r="P129" s="0" t="n">
        <f aca="false">IF(ISBLANK(A129),"",SUMIF($A$3:$A129,P$2,$B$3:$B129))</f>
        <v>-100</v>
      </c>
      <c r="Q129" s="0" t="n">
        <f aca="false">IF(ISBLANK(A129),"",SUMIF($A$3:$A129,Q$2,$B$3:$B129))</f>
        <v>-100</v>
      </c>
      <c r="R129" s="0" t="n">
        <f aca="false">IF(ISBLANK(A129),"",SUMIF($A$3:$A129,R$2,$B$3:$B129))</f>
        <v>0</v>
      </c>
      <c r="T129" s="0" t="n">
        <f aca="false">IF(ISBLANK(A129),"",IF($A129=T$2,$C129,T128))</f>
        <v>47.32</v>
      </c>
      <c r="U129" s="0" t="n">
        <f aca="false">IF(ISBLANK(A129),"",IF($A129=U$2,$C129,U128))</f>
        <v>22.96</v>
      </c>
      <c r="V129" s="0" t="n">
        <f aca="false">IF(ISBLANK(A129),"",IF($A129=V$2,$C129,V128))</f>
        <v>52.3300980392156</v>
      </c>
      <c r="W129" s="0" t="n">
        <f aca="false">IF(ISBLANK(A129),"",IF($A129=W$2,$C129,W128))</f>
        <v>0</v>
      </c>
    </row>
    <row r="130" customFormat="false" ht="12.8" hidden="false" customHeight="false" outlineLevel="0" collapsed="false">
      <c r="A130" s="0" t="n">
        <v>980</v>
      </c>
      <c r="B130" s="0" t="n">
        <v>100</v>
      </c>
      <c r="C130" s="0" t="n">
        <v>22.94</v>
      </c>
      <c r="D130" s="0" t="s">
        <v>138</v>
      </c>
      <c r="H130" s="8" t="n">
        <f aca="false">IF(ISBLANK(D130),,LEFT(D130,LEN(D130)-6)*1)</f>
        <v>38721.6452314815</v>
      </c>
      <c r="I130" s="9" t="n">
        <f aca="false">IF(ISBLANK(A130),"",-B130*C130)</f>
        <v>-2294</v>
      </c>
      <c r="J130" s="9" t="n">
        <f aca="false">IF(ISBLANK(A130),"",-SUM(I$3:I130))</f>
        <v>7903.39057486633</v>
      </c>
      <c r="K130" s="0" t="n">
        <f aca="false">IF(ISBLANK(A130),"",SUMPRODUCT(O130:R130,T130:W130)-J130)</f>
        <v>1059.59962121211</v>
      </c>
      <c r="L130" s="0" t="n">
        <f aca="false">IF(ISBLANK(A130),"",K130/$M$1)</f>
        <v>0.0176599936868685</v>
      </c>
      <c r="M130" s="0" t="n">
        <f aca="false">IF(ISBLANK(A130),"",K130/($M$1+SUM(K$3:K129)))</f>
        <v>0.01206095669808</v>
      </c>
      <c r="N130" s="0" t="n">
        <f aca="false">IF(ISBLANK(A130),"",IF(H131=0,NETWORKDAYS($H$3,H130,holiday!$B$2:$B$10),IF(DAY(H130)&lt;DAY(H131),NETWORKDAYS($H$3,H130,holiday!$B$2:$B$10),0)))</f>
        <v>0</v>
      </c>
      <c r="O130" s="0" t="n">
        <f aca="false">IF(ISBLANK(A130),"",SUMIF($A$3:$A130,O$2,$B$3:$B130))</f>
        <v>300</v>
      </c>
      <c r="P130" s="0" t="n">
        <f aca="false">IF(ISBLANK(A130),"",SUMIF($A$3:$A130,P$2,$B$3:$B130))</f>
        <v>0</v>
      </c>
      <c r="Q130" s="0" t="n">
        <f aca="false">IF(ISBLANK(A130),"",SUMIF($A$3:$A130,Q$2,$B$3:$B130))</f>
        <v>-100</v>
      </c>
      <c r="R130" s="0" t="n">
        <f aca="false">IF(ISBLANK(A130),"",SUMIF($A$3:$A130,R$2,$B$3:$B130))</f>
        <v>0</v>
      </c>
      <c r="T130" s="0" t="n">
        <f aca="false">IF(ISBLANK(A130),"",IF($A130=T$2,$C130,T129))</f>
        <v>47.32</v>
      </c>
      <c r="U130" s="0" t="n">
        <f aca="false">IF(ISBLANK(A130),"",IF($A130=U$2,$C130,U129))</f>
        <v>22.94</v>
      </c>
      <c r="V130" s="0" t="n">
        <f aca="false">IF(ISBLANK(A130),"",IF($A130=V$2,$C130,V129))</f>
        <v>52.3300980392156</v>
      </c>
      <c r="W130" s="0" t="n">
        <f aca="false">IF(ISBLANK(A130),"",IF($A130=W$2,$C130,W129))</f>
        <v>0</v>
      </c>
    </row>
    <row r="131" customFormat="false" ht="12.8" hidden="false" customHeight="false" outlineLevel="0" collapsed="false">
      <c r="A131" s="0" t="n">
        <v>980</v>
      </c>
      <c r="B131" s="0" t="n">
        <v>-100</v>
      </c>
      <c r="C131" s="0" t="n">
        <v>22.83</v>
      </c>
      <c r="D131" s="0" t="s">
        <v>139</v>
      </c>
      <c r="H131" s="8" t="n">
        <f aca="false">IF(ISBLANK(D131),,LEFT(D131,LEN(D131)-6)*1)</f>
        <v>38721.6573958333</v>
      </c>
      <c r="I131" s="9" t="n">
        <f aca="false">IF(ISBLANK(A131),"",-B131*C131)</f>
        <v>2283</v>
      </c>
      <c r="J131" s="9" t="n">
        <f aca="false">IF(ISBLANK(A131),"",-SUM(I$3:I131))</f>
        <v>5620.39057486633</v>
      </c>
      <c r="K131" s="0" t="n">
        <f aca="false">IF(ISBLANK(A131),"",SUMPRODUCT(O131:R131,T131:W131)-J131)</f>
        <v>1059.59962121211</v>
      </c>
      <c r="L131" s="0" t="n">
        <f aca="false">IF(ISBLANK(A131),"",K131/$M$1)</f>
        <v>0.0176599936868685</v>
      </c>
      <c r="M131" s="0" t="n">
        <f aca="false">IF(ISBLANK(A131),"",K131/($M$1+SUM(K$3:K130)))</f>
        <v>0.0119172235805141</v>
      </c>
      <c r="N131" s="0" t="n">
        <f aca="false">IF(ISBLANK(A131),"",IF(H132=0,NETWORKDAYS($H$3,H131,holiday!$B$2:$B$10),IF(DAY(H131)&lt;DAY(H132),NETWORKDAYS($H$3,H131,holiday!$B$2:$B$10),0)))</f>
        <v>0</v>
      </c>
      <c r="O131" s="0" t="n">
        <f aca="false">IF(ISBLANK(A131),"",SUMIF($A$3:$A131,O$2,$B$3:$B131))</f>
        <v>300</v>
      </c>
      <c r="P131" s="0" t="n">
        <f aca="false">IF(ISBLANK(A131),"",SUMIF($A$3:$A131,P$2,$B$3:$B131))</f>
        <v>-100</v>
      </c>
      <c r="Q131" s="0" t="n">
        <f aca="false">IF(ISBLANK(A131),"",SUMIF($A$3:$A131,Q$2,$B$3:$B131))</f>
        <v>-100</v>
      </c>
      <c r="R131" s="0" t="n">
        <f aca="false">IF(ISBLANK(A131),"",SUMIF($A$3:$A131,R$2,$B$3:$B131))</f>
        <v>0</v>
      </c>
      <c r="T131" s="0" t="n">
        <f aca="false">IF(ISBLANK(A131),"",IF($A131=T$2,$C131,T130))</f>
        <v>47.32</v>
      </c>
      <c r="U131" s="0" t="n">
        <f aca="false">IF(ISBLANK(A131),"",IF($A131=U$2,$C131,U130))</f>
        <v>22.83</v>
      </c>
      <c r="V131" s="0" t="n">
        <f aca="false">IF(ISBLANK(A131),"",IF($A131=V$2,$C131,V130))</f>
        <v>52.3300980392156</v>
      </c>
      <c r="W131" s="0" t="n">
        <f aca="false">IF(ISBLANK(A131),"",IF($A131=W$2,$C131,W130))</f>
        <v>0</v>
      </c>
    </row>
    <row r="132" customFormat="false" ht="12.8" hidden="false" customHeight="false" outlineLevel="0" collapsed="false">
      <c r="A132" s="0" t="n">
        <v>679</v>
      </c>
      <c r="B132" s="0" t="n">
        <v>-100</v>
      </c>
      <c r="C132" s="0" t="n">
        <v>52.14</v>
      </c>
      <c r="D132" s="0" t="s">
        <v>140</v>
      </c>
      <c r="H132" s="8" t="n">
        <f aca="false">IF(ISBLANK(D132),,LEFT(D132,LEN(D132)-6)*1)</f>
        <v>38721.6586111111</v>
      </c>
      <c r="I132" s="9" t="n">
        <f aca="false">IF(ISBLANK(A132),"",-B132*C132)</f>
        <v>5214</v>
      </c>
      <c r="J132" s="9" t="n">
        <f aca="false">IF(ISBLANK(A132),"",-SUM(I$3:I132))</f>
        <v>406.39057486633</v>
      </c>
      <c r="K132" s="0" t="n">
        <f aca="false">IF(ISBLANK(A132),"",SUMPRODUCT(O132:R132,T132:W132)-J132)</f>
        <v>1078.60942513367</v>
      </c>
      <c r="L132" s="0" t="n">
        <f aca="false">IF(ISBLANK(A132),"",K132/$M$1)</f>
        <v>0.0179768237522278</v>
      </c>
      <c r="M132" s="0" t="n">
        <f aca="false">IF(ISBLANK(A132),"",K132/($M$1+SUM(K$3:K131)))</f>
        <v>0.0119881595921248</v>
      </c>
      <c r="N132" s="0" t="n">
        <f aca="false">IF(ISBLANK(A132),"",IF(H133=0,NETWORKDAYS($H$3,H132,holiday!$B$2:$B$10),IF(DAY(H132)&lt;DAY(H133),NETWORKDAYS($H$3,H132,holiday!$B$2:$B$10),0)))</f>
        <v>0</v>
      </c>
      <c r="O132" s="0" t="n">
        <f aca="false">IF(ISBLANK(A132),"",SUMIF($A$3:$A132,O$2,$B$3:$B132))</f>
        <v>300</v>
      </c>
      <c r="P132" s="0" t="n">
        <f aca="false">IF(ISBLANK(A132),"",SUMIF($A$3:$A132,P$2,$B$3:$B132))</f>
        <v>-100</v>
      </c>
      <c r="Q132" s="0" t="n">
        <f aca="false">IF(ISBLANK(A132),"",SUMIF($A$3:$A132,Q$2,$B$3:$B132))</f>
        <v>-200</v>
      </c>
      <c r="R132" s="0" t="n">
        <f aca="false">IF(ISBLANK(A132),"",SUMIF($A$3:$A132,R$2,$B$3:$B132))</f>
        <v>0</v>
      </c>
      <c r="T132" s="0" t="n">
        <f aca="false">IF(ISBLANK(A132),"",IF($A132=T$2,$C132,T131))</f>
        <v>47.32</v>
      </c>
      <c r="U132" s="0" t="n">
        <f aca="false">IF(ISBLANK(A132),"",IF($A132=U$2,$C132,U131))</f>
        <v>22.83</v>
      </c>
      <c r="V132" s="0" t="n">
        <f aca="false">IF(ISBLANK(A132),"",IF($A132=V$2,$C132,V131))</f>
        <v>52.14</v>
      </c>
      <c r="W132" s="0" t="n">
        <f aca="false">IF(ISBLANK(A132),"",IF($A132=W$2,$C132,W131))</f>
        <v>0</v>
      </c>
    </row>
    <row r="133" customFormat="false" ht="12.8" hidden="false" customHeight="false" outlineLevel="0" collapsed="false">
      <c r="A133" s="0" t="n">
        <v>8370</v>
      </c>
      <c r="B133" s="0" t="n">
        <v>-100</v>
      </c>
      <c r="C133" s="0" t="n">
        <v>47.7</v>
      </c>
      <c r="D133" s="0" t="s">
        <v>141</v>
      </c>
      <c r="H133" s="8" t="n">
        <f aca="false">IF(ISBLANK(D133),,LEFT(D133,LEN(D133)-6)*1)</f>
        <v>38721.6641319444</v>
      </c>
      <c r="I133" s="9" t="n">
        <f aca="false">IF(ISBLANK(A133),"",-B133*C133)</f>
        <v>4770</v>
      </c>
      <c r="J133" s="9" t="n">
        <f aca="false">IF(ISBLANK(A133),"",-SUM(I$3:I133))</f>
        <v>-4363.60942513367</v>
      </c>
      <c r="K133" s="0" t="n">
        <f aca="false">IF(ISBLANK(A133),"",SUMPRODUCT(O133:R133,T133:W133)-J133)</f>
        <v>1192.60942513367</v>
      </c>
      <c r="L133" s="0" t="n">
        <f aca="false">IF(ISBLANK(A133),"",K133/$M$1)</f>
        <v>0.0198768237522278</v>
      </c>
      <c r="M133" s="0" t="n">
        <f aca="false">IF(ISBLANK(A133),"",K133/($M$1+SUM(K$3:K132)))</f>
        <v>0.0130981847216156</v>
      </c>
      <c r="N133" s="0" t="n">
        <f aca="false">IF(ISBLANK(A133),"",IF(H134=0,NETWORKDAYS($H$3,H133,holiday!$B$2:$B$10),IF(DAY(H133)&lt;DAY(H134),NETWORKDAYS($H$3,H133,holiday!$B$2:$B$10),0)))</f>
        <v>0</v>
      </c>
      <c r="O133" s="0" t="n">
        <f aca="false">IF(ISBLANK(A133),"",SUMIF($A$3:$A133,O$2,$B$3:$B133))</f>
        <v>200</v>
      </c>
      <c r="P133" s="0" t="n">
        <f aca="false">IF(ISBLANK(A133),"",SUMIF($A$3:$A133,P$2,$B$3:$B133))</f>
        <v>-100</v>
      </c>
      <c r="Q133" s="0" t="n">
        <f aca="false">IF(ISBLANK(A133),"",SUMIF($A$3:$A133,Q$2,$B$3:$B133))</f>
        <v>-200</v>
      </c>
      <c r="R133" s="0" t="n">
        <f aca="false">IF(ISBLANK(A133),"",SUMIF($A$3:$A133,R$2,$B$3:$B133))</f>
        <v>0</v>
      </c>
      <c r="T133" s="0" t="n">
        <f aca="false">IF(ISBLANK(A133),"",IF($A133=T$2,$C133,T132))</f>
        <v>47.7</v>
      </c>
      <c r="U133" s="0" t="n">
        <f aca="false">IF(ISBLANK(A133),"",IF($A133=U$2,$C133,U132))</f>
        <v>22.83</v>
      </c>
      <c r="V133" s="0" t="n">
        <f aca="false">IF(ISBLANK(A133),"",IF($A133=V$2,$C133,V132))</f>
        <v>52.14</v>
      </c>
      <c r="W133" s="0" t="n">
        <f aca="false">IF(ISBLANK(A133),"",IF($A133=W$2,$C133,W132))</f>
        <v>0</v>
      </c>
    </row>
    <row r="134" customFormat="false" ht="12.8" hidden="false" customHeight="false" outlineLevel="0" collapsed="false">
      <c r="A134" s="0" t="n">
        <v>980</v>
      </c>
      <c r="B134" s="0" t="n">
        <v>100</v>
      </c>
      <c r="C134" s="0" t="n">
        <v>22.85</v>
      </c>
      <c r="D134" s="0" t="s">
        <v>142</v>
      </c>
      <c r="H134" s="8" t="n">
        <f aca="false">IF(ISBLANK(D134),,LEFT(D134,LEN(D134)-6)*1)</f>
        <v>38721.6659606481</v>
      </c>
      <c r="I134" s="9" t="n">
        <f aca="false">IF(ISBLANK(A134),"",-B134*C134)</f>
        <v>-2285</v>
      </c>
      <c r="J134" s="9" t="n">
        <f aca="false">IF(ISBLANK(A134),"",-SUM(I$3:I134))</f>
        <v>-2078.60942513367</v>
      </c>
      <c r="K134" s="0" t="n">
        <f aca="false">IF(ISBLANK(A134),"",SUMPRODUCT(O134:R134,T134:W134)-J134)</f>
        <v>1190.60942513367</v>
      </c>
      <c r="L134" s="0" t="n">
        <f aca="false">IF(ISBLANK(A134),"",K134/$M$1)</f>
        <v>0.0198434904188945</v>
      </c>
      <c r="M134" s="0" t="n">
        <f aca="false">IF(ISBLANK(A134),"",K134/($M$1+SUM(K$3:K133)))</f>
        <v>0.0129071587818437</v>
      </c>
      <c r="N134" s="0" t="n">
        <f aca="false">IF(ISBLANK(A134),"",IF(H135=0,NETWORKDAYS($H$3,H134,holiday!$B$2:$B$10),IF(DAY(H134)&lt;DAY(H135),NETWORKDAYS($H$3,H134,holiday!$B$2:$B$10),0)))</f>
        <v>0</v>
      </c>
      <c r="O134" s="0" t="n">
        <f aca="false">IF(ISBLANK(A134),"",SUMIF($A$3:$A134,O$2,$B$3:$B134))</f>
        <v>200</v>
      </c>
      <c r="P134" s="0" t="n">
        <f aca="false">IF(ISBLANK(A134),"",SUMIF($A$3:$A134,P$2,$B$3:$B134))</f>
        <v>0</v>
      </c>
      <c r="Q134" s="0" t="n">
        <f aca="false">IF(ISBLANK(A134),"",SUMIF($A$3:$A134,Q$2,$B$3:$B134))</f>
        <v>-200</v>
      </c>
      <c r="R134" s="0" t="n">
        <f aca="false">IF(ISBLANK(A134),"",SUMIF($A$3:$A134,R$2,$B$3:$B134))</f>
        <v>0</v>
      </c>
      <c r="T134" s="0" t="n">
        <f aca="false">IF(ISBLANK(A134),"",IF($A134=T$2,$C134,T133))</f>
        <v>47.7</v>
      </c>
      <c r="U134" s="0" t="n">
        <f aca="false">IF(ISBLANK(A134),"",IF($A134=U$2,$C134,U133))</f>
        <v>22.85</v>
      </c>
      <c r="V134" s="0" t="n">
        <f aca="false">IF(ISBLANK(A134),"",IF($A134=V$2,$C134,V133))</f>
        <v>52.14</v>
      </c>
      <c r="W134" s="0" t="n">
        <f aca="false">IF(ISBLANK(A134),"",IF($A134=W$2,$C134,W133))</f>
        <v>0</v>
      </c>
    </row>
    <row r="135" customFormat="false" ht="12.8" hidden="false" customHeight="false" outlineLevel="0" collapsed="false">
      <c r="A135" s="0" t="n">
        <v>980</v>
      </c>
      <c r="B135" s="0" t="n">
        <v>100</v>
      </c>
      <c r="C135" s="0" t="n">
        <v>22.85</v>
      </c>
      <c r="D135" s="0" t="s">
        <v>143</v>
      </c>
      <c r="H135" s="8" t="n">
        <f aca="false">IF(ISBLANK(D135),,LEFT(D135,LEN(D135)-6)*1)</f>
        <v>38721.6659953704</v>
      </c>
      <c r="I135" s="9" t="n">
        <f aca="false">IF(ISBLANK(A135),"",-B135*C135)</f>
        <v>-2285</v>
      </c>
      <c r="J135" s="9" t="n">
        <f aca="false">IF(ISBLANK(A135),"",-SUM(I$3:I135))</f>
        <v>206.39057486633</v>
      </c>
      <c r="K135" s="0" t="n">
        <f aca="false">IF(ISBLANK(A135),"",SUMPRODUCT(O135:R135,T135:W135)-J135)</f>
        <v>1190.60942513367</v>
      </c>
      <c r="L135" s="0" t="n">
        <f aca="false">IF(ISBLANK(A135),"",K135/$M$1)</f>
        <v>0.0198434904188945</v>
      </c>
      <c r="M135" s="0" t="n">
        <f aca="false">IF(ISBLANK(A135),"",K135/($M$1+SUM(K$3:K134)))</f>
        <v>0.0127426868987344</v>
      </c>
      <c r="N135" s="0" t="n">
        <f aca="false">IF(ISBLANK(A135),"",IF(H136=0,NETWORKDAYS($H$3,H135,holiday!$B$2:$B$10),IF(DAY(H135)&lt;DAY(H136),NETWORKDAYS($H$3,H135,holiday!$B$2:$B$10),0)))</f>
        <v>0</v>
      </c>
      <c r="O135" s="0" t="n">
        <f aca="false">IF(ISBLANK(A135),"",SUMIF($A$3:$A135,O$2,$B$3:$B135))</f>
        <v>200</v>
      </c>
      <c r="P135" s="0" t="n">
        <f aca="false">IF(ISBLANK(A135),"",SUMIF($A$3:$A135,P$2,$B$3:$B135))</f>
        <v>100</v>
      </c>
      <c r="Q135" s="0" t="n">
        <f aca="false">IF(ISBLANK(A135),"",SUMIF($A$3:$A135,Q$2,$B$3:$B135))</f>
        <v>-200</v>
      </c>
      <c r="R135" s="0" t="n">
        <f aca="false">IF(ISBLANK(A135),"",SUMIF($A$3:$A135,R$2,$B$3:$B135))</f>
        <v>0</v>
      </c>
      <c r="T135" s="0" t="n">
        <f aca="false">IF(ISBLANK(A135),"",IF($A135=T$2,$C135,T134))</f>
        <v>47.7</v>
      </c>
      <c r="U135" s="0" t="n">
        <f aca="false">IF(ISBLANK(A135),"",IF($A135=U$2,$C135,U134))</f>
        <v>22.85</v>
      </c>
      <c r="V135" s="0" t="n">
        <f aca="false">IF(ISBLANK(A135),"",IF($A135=V$2,$C135,V134))</f>
        <v>52.14</v>
      </c>
      <c r="W135" s="0" t="n">
        <f aca="false">IF(ISBLANK(A135),"",IF($A135=W$2,$C135,W134))</f>
        <v>0</v>
      </c>
    </row>
    <row r="136" customFormat="false" ht="12.8" hidden="false" customHeight="false" outlineLevel="0" collapsed="false">
      <c r="A136" s="0" t="n">
        <v>980</v>
      </c>
      <c r="B136" s="0" t="n">
        <v>100</v>
      </c>
      <c r="C136" s="0" t="n">
        <v>22.85</v>
      </c>
      <c r="D136" s="0" t="s">
        <v>144</v>
      </c>
      <c r="H136" s="8" t="n">
        <f aca="false">IF(ISBLANK(D136),,LEFT(D136,LEN(D136)-6)*1)</f>
        <v>38721.6672337963</v>
      </c>
      <c r="I136" s="9" t="n">
        <f aca="false">IF(ISBLANK(A136),"",-B136*C136)</f>
        <v>-2285</v>
      </c>
      <c r="J136" s="9" t="n">
        <f aca="false">IF(ISBLANK(A136),"",-SUM(I$3:I136))</f>
        <v>2491.39057486633</v>
      </c>
      <c r="K136" s="0" t="n">
        <f aca="false">IF(ISBLANK(A136),"",SUMPRODUCT(O136:R136,T136:W136)-J136)</f>
        <v>1190.60942513367</v>
      </c>
      <c r="L136" s="0" t="n">
        <f aca="false">IF(ISBLANK(A136),"",K136/$M$1)</f>
        <v>0.0198434904188945</v>
      </c>
      <c r="M136" s="0" t="n">
        <f aca="false">IF(ISBLANK(A136),"",K136/($M$1+SUM(K$3:K135)))</f>
        <v>0.0125823539025057</v>
      </c>
      <c r="N136" s="0" t="n">
        <f aca="false">IF(ISBLANK(A136),"",IF(H137=0,NETWORKDAYS($H$3,H136,holiday!$B$2:$B$10),IF(DAY(H136)&lt;DAY(H137),NETWORKDAYS($H$3,H136,holiday!$B$2:$B$10),0)))</f>
        <v>0</v>
      </c>
      <c r="O136" s="0" t="n">
        <f aca="false">IF(ISBLANK(A136),"",SUMIF($A$3:$A136,O$2,$B$3:$B136))</f>
        <v>200</v>
      </c>
      <c r="P136" s="0" t="n">
        <f aca="false">IF(ISBLANK(A136),"",SUMIF($A$3:$A136,P$2,$B$3:$B136))</f>
        <v>200</v>
      </c>
      <c r="Q136" s="0" t="n">
        <f aca="false">IF(ISBLANK(A136),"",SUMIF($A$3:$A136,Q$2,$B$3:$B136))</f>
        <v>-200</v>
      </c>
      <c r="R136" s="0" t="n">
        <f aca="false">IF(ISBLANK(A136),"",SUMIF($A$3:$A136,R$2,$B$3:$B136))</f>
        <v>0</v>
      </c>
      <c r="T136" s="0" t="n">
        <f aca="false">IF(ISBLANK(A136),"",IF($A136=T$2,$C136,T135))</f>
        <v>47.7</v>
      </c>
      <c r="U136" s="0" t="n">
        <f aca="false">IF(ISBLANK(A136),"",IF($A136=U$2,$C136,U135))</f>
        <v>22.85</v>
      </c>
      <c r="V136" s="0" t="n">
        <f aca="false">IF(ISBLANK(A136),"",IF($A136=V$2,$C136,V135))</f>
        <v>52.14</v>
      </c>
      <c r="W136" s="0" t="n">
        <f aca="false">IF(ISBLANK(A136),"",IF($A136=W$2,$C136,W135))</f>
        <v>0</v>
      </c>
    </row>
    <row r="137" customFormat="false" ht="12.8" hidden="false" customHeight="false" outlineLevel="0" collapsed="false">
      <c r="A137" s="0" t="n">
        <v>980</v>
      </c>
      <c r="B137" s="0" t="n">
        <v>100</v>
      </c>
      <c r="C137" s="0" t="n">
        <v>22.85</v>
      </c>
      <c r="D137" s="0" t="s">
        <v>145</v>
      </c>
      <c r="H137" s="8" t="n">
        <f aca="false">IF(ISBLANK(D137),,LEFT(D137,LEN(D137)-6)*1)</f>
        <v>38721.6673958333</v>
      </c>
      <c r="I137" s="9" t="n">
        <f aca="false">IF(ISBLANK(A137),"",-B137*C137)</f>
        <v>-2285</v>
      </c>
      <c r="J137" s="9" t="n">
        <f aca="false">IF(ISBLANK(A137),"",-SUM(I$3:I137))</f>
        <v>4776.39057486633</v>
      </c>
      <c r="K137" s="0" t="n">
        <f aca="false">IF(ISBLANK(A137),"",SUMPRODUCT(O137:R137,T137:W137)-J137)</f>
        <v>1190.60942513367</v>
      </c>
      <c r="L137" s="0" t="n">
        <f aca="false">IF(ISBLANK(A137),"",K137/$M$1)</f>
        <v>0.0198434904188945</v>
      </c>
      <c r="M137" s="0" t="n">
        <f aca="false">IF(ISBLANK(A137),"",K137/($M$1+SUM(K$3:K136)))</f>
        <v>0.0124260055036642</v>
      </c>
      <c r="N137" s="0" t="n">
        <f aca="false">IF(ISBLANK(A137),"",IF(H138=0,NETWORKDAYS($H$3,H137,holiday!$B$2:$B$10),IF(DAY(H137)&lt;DAY(H138),NETWORKDAYS($H$3,H137,holiday!$B$2:$B$10),0)))</f>
        <v>0</v>
      </c>
      <c r="O137" s="0" t="n">
        <f aca="false">IF(ISBLANK(A137),"",SUMIF($A$3:$A137,O$2,$B$3:$B137))</f>
        <v>200</v>
      </c>
      <c r="P137" s="0" t="n">
        <f aca="false">IF(ISBLANK(A137),"",SUMIF($A$3:$A137,P$2,$B$3:$B137))</f>
        <v>300</v>
      </c>
      <c r="Q137" s="0" t="n">
        <f aca="false">IF(ISBLANK(A137),"",SUMIF($A$3:$A137,Q$2,$B$3:$B137))</f>
        <v>-200</v>
      </c>
      <c r="R137" s="0" t="n">
        <f aca="false">IF(ISBLANK(A137),"",SUMIF($A$3:$A137,R$2,$B$3:$B137))</f>
        <v>0</v>
      </c>
      <c r="T137" s="0" t="n">
        <f aca="false">IF(ISBLANK(A137),"",IF($A137=T$2,$C137,T136))</f>
        <v>47.7</v>
      </c>
      <c r="U137" s="0" t="n">
        <f aca="false">IF(ISBLANK(A137),"",IF($A137=U$2,$C137,U136))</f>
        <v>22.85</v>
      </c>
      <c r="V137" s="0" t="n">
        <f aca="false">IF(ISBLANK(A137),"",IF($A137=V$2,$C137,V136))</f>
        <v>52.14</v>
      </c>
      <c r="W137" s="0" t="n">
        <f aca="false">IF(ISBLANK(A137),"",IF($A137=W$2,$C137,W136))</f>
        <v>0</v>
      </c>
    </row>
    <row r="138" customFormat="false" ht="12.8" hidden="false" customHeight="false" outlineLevel="0" collapsed="false">
      <c r="A138" s="0" t="n">
        <v>8370</v>
      </c>
      <c r="B138" s="0" t="n">
        <v>-100</v>
      </c>
      <c r="C138" s="0" t="n">
        <v>47.7</v>
      </c>
      <c r="D138" s="0" t="s">
        <v>146</v>
      </c>
      <c r="H138" s="8" t="n">
        <f aca="false">IF(ISBLANK(D138),,LEFT(D138,LEN(D138)-6)*1)</f>
        <v>38721.6680555556</v>
      </c>
      <c r="I138" s="9" t="n">
        <f aca="false">IF(ISBLANK(A138),"",-B138*C138)</f>
        <v>4770</v>
      </c>
      <c r="J138" s="9" t="n">
        <f aca="false">IF(ISBLANK(A138),"",-SUM(I$3:I138))</f>
        <v>6.3905748663301</v>
      </c>
      <c r="K138" s="0" t="n">
        <f aca="false">IF(ISBLANK(A138),"",SUMPRODUCT(O138:R138,T138:W138)-J138)</f>
        <v>1190.60942513367</v>
      </c>
      <c r="L138" s="0" t="n">
        <f aca="false">IF(ISBLANK(A138),"",K138/$M$1)</f>
        <v>0.0198434904188945</v>
      </c>
      <c r="M138" s="0" t="n">
        <f aca="false">IF(ISBLANK(A138),"",K138/($M$1+SUM(K$3:K137)))</f>
        <v>0.0122734949874015</v>
      </c>
      <c r="N138" s="0" t="n">
        <f aca="false">IF(ISBLANK(A138),"",IF(H139=0,NETWORKDAYS($H$3,H138,holiday!$B$2:$B$10),IF(DAY(H138)&lt;DAY(H139),NETWORKDAYS($H$3,H138,holiday!$B$2:$B$10),0)))</f>
        <v>0</v>
      </c>
      <c r="O138" s="0" t="n">
        <f aca="false">IF(ISBLANK(A138),"",SUMIF($A$3:$A138,O$2,$B$3:$B138))</f>
        <v>100</v>
      </c>
      <c r="P138" s="0" t="n">
        <f aca="false">IF(ISBLANK(A138),"",SUMIF($A$3:$A138,P$2,$B$3:$B138))</f>
        <v>300</v>
      </c>
      <c r="Q138" s="0" t="n">
        <f aca="false">IF(ISBLANK(A138),"",SUMIF($A$3:$A138,Q$2,$B$3:$B138))</f>
        <v>-200</v>
      </c>
      <c r="R138" s="0" t="n">
        <f aca="false">IF(ISBLANK(A138),"",SUMIF($A$3:$A138,R$2,$B$3:$B138))</f>
        <v>0</v>
      </c>
      <c r="T138" s="0" t="n">
        <f aca="false">IF(ISBLANK(A138),"",IF($A138=T$2,$C138,T137))</f>
        <v>47.7</v>
      </c>
      <c r="U138" s="0" t="n">
        <f aca="false">IF(ISBLANK(A138),"",IF($A138=U$2,$C138,U137))</f>
        <v>22.85</v>
      </c>
      <c r="V138" s="0" t="n">
        <f aca="false">IF(ISBLANK(A138),"",IF($A138=V$2,$C138,V137))</f>
        <v>52.14</v>
      </c>
      <c r="W138" s="0" t="n">
        <f aca="false">IF(ISBLANK(A138),"",IF($A138=W$2,$C138,W137))</f>
        <v>0</v>
      </c>
    </row>
    <row r="139" customFormat="false" ht="12.8" hidden="false" customHeight="false" outlineLevel="0" collapsed="false">
      <c r="A139" s="0" t="n">
        <v>980</v>
      </c>
      <c r="B139" s="0" t="n">
        <v>100</v>
      </c>
      <c r="C139" s="0" t="n">
        <v>22.85</v>
      </c>
      <c r="D139" s="0" t="s">
        <v>147</v>
      </c>
      <c r="H139" s="8" t="n">
        <f aca="false">IF(ISBLANK(D139),,LEFT(D139,LEN(D139)-6)*1)</f>
        <v>38721.6687731481</v>
      </c>
      <c r="I139" s="9" t="n">
        <f aca="false">IF(ISBLANK(A139),"",-B139*C139)</f>
        <v>-2285</v>
      </c>
      <c r="J139" s="9" t="n">
        <f aca="false">IF(ISBLANK(A139),"",-SUM(I$3:I139))</f>
        <v>2291.39057486633</v>
      </c>
      <c r="K139" s="0" t="n">
        <f aca="false">IF(ISBLANK(A139),"",SUMPRODUCT(O139:R139,T139:W139)-J139)</f>
        <v>1190.60942513367</v>
      </c>
      <c r="L139" s="0" t="n">
        <f aca="false">IF(ISBLANK(A139),"",K139/$M$1)</f>
        <v>0.0198434904188945</v>
      </c>
      <c r="M139" s="0" t="n">
        <f aca="false">IF(ISBLANK(A139),"",K139/($M$1+SUM(K$3:K138)))</f>
        <v>0.0121246827543916</v>
      </c>
      <c r="N139" s="0" t="n">
        <f aca="false">IF(ISBLANK(A139),"",IF(H140=0,NETWORKDAYS($H$3,H139,holiday!$B$2:$B$10),IF(DAY(H139)&lt;DAY(H140),NETWORKDAYS($H$3,H139,holiday!$B$2:$B$10),0)))</f>
        <v>0</v>
      </c>
      <c r="O139" s="0" t="n">
        <f aca="false">IF(ISBLANK(A139),"",SUMIF($A$3:$A139,O$2,$B$3:$B139))</f>
        <v>100</v>
      </c>
      <c r="P139" s="0" t="n">
        <f aca="false">IF(ISBLANK(A139),"",SUMIF($A$3:$A139,P$2,$B$3:$B139))</f>
        <v>400</v>
      </c>
      <c r="Q139" s="0" t="n">
        <f aca="false">IF(ISBLANK(A139),"",SUMIF($A$3:$A139,Q$2,$B$3:$B139))</f>
        <v>-200</v>
      </c>
      <c r="R139" s="0" t="n">
        <f aca="false">IF(ISBLANK(A139),"",SUMIF($A$3:$A139,R$2,$B$3:$B139))</f>
        <v>0</v>
      </c>
      <c r="T139" s="0" t="n">
        <f aca="false">IF(ISBLANK(A139),"",IF($A139=T$2,$C139,T138))</f>
        <v>47.7</v>
      </c>
      <c r="U139" s="0" t="n">
        <f aca="false">IF(ISBLANK(A139),"",IF($A139=U$2,$C139,U138))</f>
        <v>22.85</v>
      </c>
      <c r="V139" s="0" t="n">
        <f aca="false">IF(ISBLANK(A139),"",IF($A139=V$2,$C139,V138))</f>
        <v>52.14</v>
      </c>
      <c r="W139" s="0" t="n">
        <f aca="false">IF(ISBLANK(A139),"",IF($A139=W$2,$C139,W138))</f>
        <v>0</v>
      </c>
    </row>
    <row r="140" customFormat="false" ht="12.8" hidden="false" customHeight="false" outlineLevel="0" collapsed="false">
      <c r="A140" s="0" t="n">
        <v>980</v>
      </c>
      <c r="B140" s="0" t="n">
        <v>-100</v>
      </c>
      <c r="C140" s="0" t="n">
        <v>22.84</v>
      </c>
      <c r="D140" s="0" t="s">
        <v>148</v>
      </c>
      <c r="H140" s="8" t="n">
        <f aca="false">IF(ISBLANK(D140),,LEFT(D140,LEN(D140)-6)*1)</f>
        <v>38721.6708796296</v>
      </c>
      <c r="I140" s="9" t="n">
        <f aca="false">IF(ISBLANK(A140),"",-B140*C140)</f>
        <v>2284</v>
      </c>
      <c r="J140" s="9" t="n">
        <f aca="false">IF(ISBLANK(A140),"",-SUM(I$3:I140))</f>
        <v>7.3905748663301</v>
      </c>
      <c r="K140" s="0" t="n">
        <f aca="false">IF(ISBLANK(A140),"",SUMPRODUCT(O140:R140,T140:W140)-J140)</f>
        <v>1186.60942513367</v>
      </c>
      <c r="L140" s="0" t="n">
        <f aca="false">IF(ISBLANK(A140),"",K140/$M$1)</f>
        <v>0.0197768237522278</v>
      </c>
      <c r="M140" s="0" t="n">
        <f aca="false">IF(ISBLANK(A140),"",K140/($M$1+SUM(K$3:K139)))</f>
        <v>0.0119391894942482</v>
      </c>
      <c r="N140" s="0" t="n">
        <f aca="false">IF(ISBLANK(A140),"",IF(H141=0,NETWORKDAYS($H$3,H140,holiday!$B$2:$B$10),IF(DAY(H140)&lt;DAY(H141),NETWORKDAYS($H$3,H140,holiday!$B$2:$B$10),0)))</f>
        <v>0</v>
      </c>
      <c r="O140" s="0" t="n">
        <f aca="false">IF(ISBLANK(A140),"",SUMIF($A$3:$A140,O$2,$B$3:$B140))</f>
        <v>100</v>
      </c>
      <c r="P140" s="0" t="n">
        <f aca="false">IF(ISBLANK(A140),"",SUMIF($A$3:$A140,P$2,$B$3:$B140))</f>
        <v>300</v>
      </c>
      <c r="Q140" s="0" t="n">
        <f aca="false">IF(ISBLANK(A140),"",SUMIF($A$3:$A140,Q$2,$B$3:$B140))</f>
        <v>-200</v>
      </c>
      <c r="R140" s="0" t="n">
        <f aca="false">IF(ISBLANK(A140),"",SUMIF($A$3:$A140,R$2,$B$3:$B140))</f>
        <v>0</v>
      </c>
      <c r="T140" s="0" t="n">
        <f aca="false">IF(ISBLANK(A140),"",IF($A140=T$2,$C140,T139))</f>
        <v>47.7</v>
      </c>
      <c r="U140" s="0" t="n">
        <f aca="false">IF(ISBLANK(A140),"",IF($A140=U$2,$C140,U139))</f>
        <v>22.84</v>
      </c>
      <c r="V140" s="0" t="n">
        <f aca="false">IF(ISBLANK(A140),"",IF($A140=V$2,$C140,V139))</f>
        <v>52.14</v>
      </c>
      <c r="W140" s="0" t="n">
        <f aca="false">IF(ISBLANK(A140),"",IF($A140=W$2,$C140,W139))</f>
        <v>0</v>
      </c>
    </row>
    <row r="141" customFormat="false" ht="12.8" hidden="false" customHeight="false" outlineLevel="0" collapsed="false">
      <c r="A141" s="0" t="n">
        <v>980</v>
      </c>
      <c r="B141" s="0" t="n">
        <v>-100</v>
      </c>
      <c r="C141" s="0" t="n">
        <v>22.84</v>
      </c>
      <c r="D141" s="0" t="s">
        <v>149</v>
      </c>
      <c r="H141" s="8" t="n">
        <f aca="false">IF(ISBLANK(D141),,LEFT(D141,LEN(D141)-6)*1)</f>
        <v>38721.6712384259</v>
      </c>
      <c r="I141" s="9" t="n">
        <f aca="false">IF(ISBLANK(A141),"",-B141*C141)</f>
        <v>2284</v>
      </c>
      <c r="J141" s="9" t="n">
        <f aca="false">IF(ISBLANK(A141),"",-SUM(I$3:I141))</f>
        <v>-2276.60942513367</v>
      </c>
      <c r="K141" s="0" t="n">
        <f aca="false">IF(ISBLANK(A141),"",SUMPRODUCT(O141:R141,T141:W141)-J141)</f>
        <v>1186.60942513367</v>
      </c>
      <c r="L141" s="0" t="n">
        <f aca="false">IF(ISBLANK(A141),"",K141/$M$1)</f>
        <v>0.0197768237522278</v>
      </c>
      <c r="M141" s="0" t="n">
        <f aca="false">IF(ISBLANK(A141),"",K141/($M$1+SUM(K$3:K140)))</f>
        <v>0.0117983270320969</v>
      </c>
      <c r="N141" s="0" t="n">
        <f aca="false">IF(ISBLANK(A141),"",IF(H142=0,NETWORKDAYS($H$3,H141,holiday!$B$2:$B$10),IF(DAY(H141)&lt;DAY(H142),NETWORKDAYS($H$3,H141,holiday!$B$2:$B$10),0)))</f>
        <v>0</v>
      </c>
      <c r="O141" s="0" t="n">
        <f aca="false">IF(ISBLANK(A141),"",SUMIF($A$3:$A141,O$2,$B$3:$B141))</f>
        <v>100</v>
      </c>
      <c r="P141" s="0" t="n">
        <f aca="false">IF(ISBLANK(A141),"",SUMIF($A$3:$A141,P$2,$B$3:$B141))</f>
        <v>200</v>
      </c>
      <c r="Q141" s="0" t="n">
        <f aca="false">IF(ISBLANK(A141),"",SUMIF($A$3:$A141,Q$2,$B$3:$B141))</f>
        <v>-200</v>
      </c>
      <c r="R141" s="0" t="n">
        <f aca="false">IF(ISBLANK(A141),"",SUMIF($A$3:$A141,R$2,$B$3:$B141))</f>
        <v>0</v>
      </c>
      <c r="T141" s="0" t="n">
        <f aca="false">IF(ISBLANK(A141),"",IF($A141=T$2,$C141,T140))</f>
        <v>47.7</v>
      </c>
      <c r="U141" s="0" t="n">
        <f aca="false">IF(ISBLANK(A141),"",IF($A141=U$2,$C141,U140))</f>
        <v>22.84</v>
      </c>
      <c r="V141" s="0" t="n">
        <f aca="false">IF(ISBLANK(A141),"",IF($A141=V$2,$C141,V140))</f>
        <v>52.14</v>
      </c>
      <c r="W141" s="0" t="n">
        <f aca="false">IF(ISBLANK(A141),"",IF($A141=W$2,$C141,W140))</f>
        <v>0</v>
      </c>
    </row>
    <row r="142" customFormat="false" ht="12.8" hidden="false" customHeight="false" outlineLevel="0" collapsed="false">
      <c r="A142" s="0" t="n">
        <v>980</v>
      </c>
      <c r="B142" s="0" t="n">
        <v>-100</v>
      </c>
      <c r="C142" s="0" t="n">
        <v>22.84</v>
      </c>
      <c r="D142" s="0" t="s">
        <v>150</v>
      </c>
      <c r="H142" s="8" t="n">
        <f aca="false">IF(ISBLANK(D142),,LEFT(D142,LEN(D142)-6)*1)</f>
        <v>38721.6752777778</v>
      </c>
      <c r="I142" s="9" t="n">
        <f aca="false">IF(ISBLANK(A142),"",-B142*C142)</f>
        <v>2284</v>
      </c>
      <c r="J142" s="9" t="n">
        <f aca="false">IF(ISBLANK(A142),"",-SUM(I$3:I142))</f>
        <v>-4560.60942513367</v>
      </c>
      <c r="K142" s="0" t="n">
        <f aca="false">IF(ISBLANK(A142),"",SUMPRODUCT(O142:R142,T142:W142)-J142)</f>
        <v>1186.60942513367</v>
      </c>
      <c r="L142" s="0" t="n">
        <f aca="false">IF(ISBLANK(A142),"",K142/$M$1)</f>
        <v>0.0197768237522278</v>
      </c>
      <c r="M142" s="0" t="n">
        <f aca="false">IF(ISBLANK(A142),"",K142/($M$1+SUM(K$3:K141)))</f>
        <v>0.0116607496937704</v>
      </c>
      <c r="N142" s="0" t="n">
        <f aca="false">IF(ISBLANK(A142),"",IF(H143=0,NETWORKDAYS($H$3,H142,holiday!$B$2:$B$10),IF(DAY(H142)&lt;DAY(H143),NETWORKDAYS($H$3,H142,holiday!$B$2:$B$10),0)))</f>
        <v>0</v>
      </c>
      <c r="O142" s="0" t="n">
        <f aca="false">IF(ISBLANK(A142),"",SUMIF($A$3:$A142,O$2,$B$3:$B142))</f>
        <v>100</v>
      </c>
      <c r="P142" s="0" t="n">
        <f aca="false">IF(ISBLANK(A142),"",SUMIF($A$3:$A142,P$2,$B$3:$B142))</f>
        <v>100</v>
      </c>
      <c r="Q142" s="0" t="n">
        <f aca="false">IF(ISBLANK(A142),"",SUMIF($A$3:$A142,Q$2,$B$3:$B142))</f>
        <v>-200</v>
      </c>
      <c r="R142" s="0" t="n">
        <f aca="false">IF(ISBLANK(A142),"",SUMIF($A$3:$A142,R$2,$B$3:$B142))</f>
        <v>0</v>
      </c>
      <c r="T142" s="0" t="n">
        <f aca="false">IF(ISBLANK(A142),"",IF($A142=T$2,$C142,T141))</f>
        <v>47.7</v>
      </c>
      <c r="U142" s="0" t="n">
        <f aca="false">IF(ISBLANK(A142),"",IF($A142=U$2,$C142,U141))</f>
        <v>22.84</v>
      </c>
      <c r="V142" s="0" t="n">
        <f aca="false">IF(ISBLANK(A142),"",IF($A142=V$2,$C142,V141))</f>
        <v>52.14</v>
      </c>
      <c r="W142" s="0" t="n">
        <f aca="false">IF(ISBLANK(A142),"",IF($A142=W$2,$C142,W141))</f>
        <v>0</v>
      </c>
    </row>
    <row r="143" customFormat="false" ht="12.8" hidden="false" customHeight="false" outlineLevel="0" collapsed="false">
      <c r="A143" s="0" t="n">
        <v>679</v>
      </c>
      <c r="B143" s="0" t="n">
        <v>-100</v>
      </c>
      <c r="C143" s="0" t="n">
        <v>52.14</v>
      </c>
      <c r="D143" s="0" t="s">
        <v>151</v>
      </c>
      <c r="H143" s="8" t="n">
        <f aca="false">IF(ISBLANK(D143),,LEFT(D143,LEN(D143)-6)*1)</f>
        <v>38721.6754861111</v>
      </c>
      <c r="I143" s="9" t="n">
        <f aca="false">IF(ISBLANK(A143),"",-B143*C143)</f>
        <v>5214</v>
      </c>
      <c r="J143" s="9" t="n">
        <f aca="false">IF(ISBLANK(A143),"",-SUM(I$3:I143))</f>
        <v>-9774.60942513367</v>
      </c>
      <c r="K143" s="0" t="n">
        <f aca="false">IF(ISBLANK(A143),"",SUMPRODUCT(O143:R143,T143:W143)-J143)</f>
        <v>1186.60942513367</v>
      </c>
      <c r="L143" s="0" t="n">
        <f aca="false">IF(ISBLANK(A143),"",K143/$M$1)</f>
        <v>0.0197768237522278</v>
      </c>
      <c r="M143" s="0" t="n">
        <f aca="false">IF(ISBLANK(A143),"",K143/($M$1+SUM(K$3:K142)))</f>
        <v>0.0115263438828679</v>
      </c>
      <c r="N143" s="0" t="n">
        <f aca="false">IF(ISBLANK(A143),"",IF(H144=0,NETWORKDAYS($H$3,H143,holiday!$B$2:$B$10),IF(DAY(H143)&lt;DAY(H144),NETWORKDAYS($H$3,H143,holiday!$B$2:$B$10),0)))</f>
        <v>0</v>
      </c>
      <c r="O143" s="0" t="n">
        <f aca="false">IF(ISBLANK(A143),"",SUMIF($A$3:$A143,O$2,$B$3:$B143))</f>
        <v>100</v>
      </c>
      <c r="P143" s="0" t="n">
        <f aca="false">IF(ISBLANK(A143),"",SUMIF($A$3:$A143,P$2,$B$3:$B143))</f>
        <v>100</v>
      </c>
      <c r="Q143" s="0" t="n">
        <f aca="false">IF(ISBLANK(A143),"",SUMIF($A$3:$A143,Q$2,$B$3:$B143))</f>
        <v>-300</v>
      </c>
      <c r="R143" s="0" t="n">
        <f aca="false">IF(ISBLANK(A143),"",SUMIF($A$3:$A143,R$2,$B$3:$B143))</f>
        <v>0</v>
      </c>
      <c r="T143" s="0" t="n">
        <f aca="false">IF(ISBLANK(A143),"",IF($A143=T$2,$C143,T142))</f>
        <v>47.7</v>
      </c>
      <c r="U143" s="0" t="n">
        <f aca="false">IF(ISBLANK(A143),"",IF($A143=U$2,$C143,U142))</f>
        <v>22.84</v>
      </c>
      <c r="V143" s="0" t="n">
        <f aca="false">IF(ISBLANK(A143),"",IF($A143=V$2,$C143,V142))</f>
        <v>52.14</v>
      </c>
      <c r="W143" s="0" t="n">
        <f aca="false">IF(ISBLANK(A143),"",IF($A143=W$2,$C143,W142))</f>
        <v>0</v>
      </c>
    </row>
    <row r="144" customFormat="false" ht="12.8" hidden="false" customHeight="false" outlineLevel="0" collapsed="false">
      <c r="A144" s="0" t="n">
        <v>980</v>
      </c>
      <c r="B144" s="0" t="n">
        <v>-100</v>
      </c>
      <c r="C144" s="0" t="n">
        <v>22.84</v>
      </c>
      <c r="D144" s="0" t="s">
        <v>152</v>
      </c>
      <c r="H144" s="8" t="n">
        <f aca="false">IF(ISBLANK(D144),,LEFT(D144,LEN(D144)-6)*1)</f>
        <v>38721.6764236111</v>
      </c>
      <c r="I144" s="9" t="n">
        <f aca="false">IF(ISBLANK(A144),"",-B144*C144)</f>
        <v>2284</v>
      </c>
      <c r="J144" s="9" t="n">
        <f aca="false">IF(ISBLANK(A144),"",-SUM(I$3:I144))</f>
        <v>-12058.6094251337</v>
      </c>
      <c r="K144" s="0" t="n">
        <f aca="false">IF(ISBLANK(A144),"",SUMPRODUCT(O144:R144,T144:W144)-J144)</f>
        <v>1186.60942513367</v>
      </c>
      <c r="L144" s="0" t="n">
        <f aca="false">IF(ISBLANK(A144),"",K144/$M$1)</f>
        <v>0.0197768237522278</v>
      </c>
      <c r="M144" s="0" t="n">
        <f aca="false">IF(ISBLANK(A144),"",K144/($M$1+SUM(K$3:K143)))</f>
        <v>0.0113950011807133</v>
      </c>
      <c r="N144" s="0" t="n">
        <f aca="false">IF(ISBLANK(A144),"",IF(H145=0,NETWORKDAYS($H$3,H144,holiday!$B$2:$B$10),IF(DAY(H144)&lt;DAY(H145),NETWORKDAYS($H$3,H144,holiday!$B$2:$B$10),0)))</f>
        <v>0</v>
      </c>
      <c r="O144" s="0" t="n">
        <f aca="false">IF(ISBLANK(A144),"",SUMIF($A$3:$A144,O$2,$B$3:$B144))</f>
        <v>100</v>
      </c>
      <c r="P144" s="0" t="n">
        <f aca="false">IF(ISBLANK(A144),"",SUMIF($A$3:$A144,P$2,$B$3:$B144))</f>
        <v>0</v>
      </c>
      <c r="Q144" s="0" t="n">
        <f aca="false">IF(ISBLANK(A144),"",SUMIF($A$3:$A144,Q$2,$B$3:$B144))</f>
        <v>-300</v>
      </c>
      <c r="R144" s="0" t="n">
        <f aca="false">IF(ISBLANK(A144),"",SUMIF($A$3:$A144,R$2,$B$3:$B144))</f>
        <v>0</v>
      </c>
      <c r="T144" s="0" t="n">
        <f aca="false">IF(ISBLANK(A144),"",IF($A144=T$2,$C144,T143))</f>
        <v>47.7</v>
      </c>
      <c r="U144" s="0" t="n">
        <f aca="false">IF(ISBLANK(A144),"",IF($A144=U$2,$C144,U143))</f>
        <v>22.84</v>
      </c>
      <c r="V144" s="0" t="n">
        <f aca="false">IF(ISBLANK(A144),"",IF($A144=V$2,$C144,V143))</f>
        <v>52.14</v>
      </c>
      <c r="W144" s="0" t="n">
        <f aca="false">IF(ISBLANK(A144),"",IF($A144=W$2,$C144,W143))</f>
        <v>0</v>
      </c>
    </row>
    <row r="145" customFormat="false" ht="12.8" hidden="false" customHeight="false" outlineLevel="0" collapsed="false">
      <c r="A145" s="0" t="n">
        <v>980</v>
      </c>
      <c r="B145" s="0" t="n">
        <v>-100</v>
      </c>
      <c r="C145" s="0" t="n">
        <v>22.84</v>
      </c>
      <c r="D145" s="0" t="s">
        <v>153</v>
      </c>
      <c r="H145" s="8" t="n">
        <f aca="false">IF(ISBLANK(D145),,LEFT(D145,LEN(D145)-6)*1)</f>
        <v>38721.6766203704</v>
      </c>
      <c r="I145" s="9" t="n">
        <f aca="false">IF(ISBLANK(A145),"",-B145*C145)</f>
        <v>2284</v>
      </c>
      <c r="J145" s="9" t="n">
        <f aca="false">IF(ISBLANK(A145),"",-SUM(I$3:I145))</f>
        <v>-14342.6094251337</v>
      </c>
      <c r="K145" s="0" t="n">
        <f aca="false">IF(ISBLANK(A145),"",SUMPRODUCT(O145:R145,T145:W145)-J145)</f>
        <v>1186.60942513367</v>
      </c>
      <c r="L145" s="0" t="n">
        <f aca="false">IF(ISBLANK(A145),"",K145/$M$1)</f>
        <v>0.0197768237522278</v>
      </c>
      <c r="M145" s="0" t="n">
        <f aca="false">IF(ISBLANK(A145),"",K145/($M$1+SUM(K$3:K144)))</f>
        <v>0.0112666180546776</v>
      </c>
      <c r="N145" s="0" t="n">
        <f aca="false">IF(ISBLANK(A145),"",IF(H146=0,NETWORKDAYS($H$3,H145,holiday!$B$2:$B$10),IF(DAY(H145)&lt;DAY(H146),NETWORKDAYS($H$3,H145,holiday!$B$2:$B$10),0)))</f>
        <v>0</v>
      </c>
      <c r="O145" s="0" t="n">
        <f aca="false">IF(ISBLANK(A145),"",SUMIF($A$3:$A145,O$2,$B$3:$B145))</f>
        <v>100</v>
      </c>
      <c r="P145" s="0" t="n">
        <f aca="false">IF(ISBLANK(A145),"",SUMIF($A$3:$A145,P$2,$B$3:$B145))</f>
        <v>-100</v>
      </c>
      <c r="Q145" s="0" t="n">
        <f aca="false">IF(ISBLANK(A145),"",SUMIF($A$3:$A145,Q$2,$B$3:$B145))</f>
        <v>-300</v>
      </c>
      <c r="R145" s="0" t="n">
        <f aca="false">IF(ISBLANK(A145),"",SUMIF($A$3:$A145,R$2,$B$3:$B145))</f>
        <v>0</v>
      </c>
      <c r="T145" s="0" t="n">
        <f aca="false">IF(ISBLANK(A145),"",IF($A145=T$2,$C145,T144))</f>
        <v>47.7</v>
      </c>
      <c r="U145" s="0" t="n">
        <f aca="false">IF(ISBLANK(A145),"",IF($A145=U$2,$C145,U144))</f>
        <v>22.84</v>
      </c>
      <c r="V145" s="0" t="n">
        <f aca="false">IF(ISBLANK(A145),"",IF($A145=V$2,$C145,V144))</f>
        <v>52.14</v>
      </c>
      <c r="W145" s="0" t="n">
        <f aca="false">IF(ISBLANK(A145),"",IF($A145=W$2,$C145,W144))</f>
        <v>0</v>
      </c>
    </row>
    <row r="146" customFormat="false" ht="12.8" hidden="false" customHeight="false" outlineLevel="0" collapsed="false">
      <c r="A146" s="0" t="n">
        <v>8370</v>
      </c>
      <c r="B146" s="0" t="n">
        <v>100</v>
      </c>
      <c r="C146" s="0" t="n">
        <v>47.39</v>
      </c>
      <c r="D146" s="0" t="s">
        <v>154</v>
      </c>
      <c r="H146" s="8" t="n">
        <f aca="false">IF(ISBLANK(D146),,LEFT(D146,LEN(D146)-6)*1)</f>
        <v>38721.6794328704</v>
      </c>
      <c r="I146" s="9" t="n">
        <f aca="false">IF(ISBLANK(A146),"",-B146*C146)</f>
        <v>-4739</v>
      </c>
      <c r="J146" s="9" t="n">
        <f aca="false">IF(ISBLANK(A146),"",-SUM(I$3:I146))</f>
        <v>-9603.60942513367</v>
      </c>
      <c r="K146" s="0" t="n">
        <f aca="false">IF(ISBLANK(A146),"",SUMPRODUCT(O146:R146,T146:W146)-J146)</f>
        <v>1155.60942513367</v>
      </c>
      <c r="L146" s="0" t="n">
        <f aca="false">IF(ISBLANK(A146),"",K146/$M$1)</f>
        <v>0.0192601570855611</v>
      </c>
      <c r="M146" s="0" t="n">
        <f aca="false">IF(ISBLANK(A146),"",K146/($M$1+SUM(K$3:K145)))</f>
        <v>0.0108500360715118</v>
      </c>
      <c r="N146" s="0" t="n">
        <f aca="false">IF(ISBLANK(A146),"",IF(H147=0,NETWORKDAYS($H$3,H146,holiday!$B$2:$B$10),IF(DAY(H146)&lt;DAY(H147),NETWORKDAYS($H$3,H146,holiday!$B$2:$B$10),0)))</f>
        <v>0</v>
      </c>
      <c r="O146" s="0" t="n">
        <f aca="false">IF(ISBLANK(A146),"",SUMIF($A$3:$A146,O$2,$B$3:$B146))</f>
        <v>200</v>
      </c>
      <c r="P146" s="0" t="n">
        <f aca="false">IF(ISBLANK(A146),"",SUMIF($A$3:$A146,P$2,$B$3:$B146))</f>
        <v>-100</v>
      </c>
      <c r="Q146" s="0" t="n">
        <f aca="false">IF(ISBLANK(A146),"",SUMIF($A$3:$A146,Q$2,$B$3:$B146))</f>
        <v>-300</v>
      </c>
      <c r="R146" s="0" t="n">
        <f aca="false">IF(ISBLANK(A146),"",SUMIF($A$3:$A146,R$2,$B$3:$B146))</f>
        <v>0</v>
      </c>
      <c r="T146" s="0" t="n">
        <f aca="false">IF(ISBLANK(A146),"",IF($A146=T$2,$C146,T145))</f>
        <v>47.39</v>
      </c>
      <c r="U146" s="0" t="n">
        <f aca="false">IF(ISBLANK(A146),"",IF($A146=U$2,$C146,U145))</f>
        <v>22.84</v>
      </c>
      <c r="V146" s="0" t="n">
        <f aca="false">IF(ISBLANK(A146),"",IF($A146=V$2,$C146,V145))</f>
        <v>52.14</v>
      </c>
      <c r="W146" s="0" t="n">
        <f aca="false">IF(ISBLANK(A146),"",IF($A146=W$2,$C146,W145))</f>
        <v>0</v>
      </c>
    </row>
    <row r="147" customFormat="false" ht="12.8" hidden="false" customHeight="false" outlineLevel="0" collapsed="false">
      <c r="A147" s="0" t="n">
        <v>980</v>
      </c>
      <c r="B147" s="0" t="n">
        <v>-100</v>
      </c>
      <c r="C147" s="0" t="n">
        <v>22.84</v>
      </c>
      <c r="D147" s="0" t="s">
        <v>155</v>
      </c>
      <c r="H147" s="8" t="n">
        <f aca="false">IF(ISBLANK(D147),,LEFT(D147,LEN(D147)-6)*1)</f>
        <v>38721.680150463</v>
      </c>
      <c r="I147" s="9" t="n">
        <f aca="false">IF(ISBLANK(A147),"",-B147*C147)</f>
        <v>2284</v>
      </c>
      <c r="J147" s="9" t="n">
        <f aca="false">IF(ISBLANK(A147),"",-SUM(I$3:I147))</f>
        <v>-11887.6094251337</v>
      </c>
      <c r="K147" s="0" t="n">
        <f aca="false">IF(ISBLANK(A147),"",SUMPRODUCT(O147:R147,T147:W147)-J147)</f>
        <v>1155.60942513367</v>
      </c>
      <c r="L147" s="0" t="n">
        <f aca="false">IF(ISBLANK(A147),"",K147/$M$1)</f>
        <v>0.0192601570855611</v>
      </c>
      <c r="M147" s="0" t="n">
        <f aca="false">IF(ISBLANK(A147),"",K147/($M$1+SUM(K$3:K146)))</f>
        <v>0.0107335763806059</v>
      </c>
      <c r="N147" s="0" t="n">
        <f aca="false">IF(ISBLANK(A147),"",IF(H148=0,NETWORKDAYS($H$3,H147,holiday!$B$2:$B$10),IF(DAY(H147)&lt;DAY(H148),NETWORKDAYS($H$3,H147,holiday!$B$2:$B$10),0)))</f>
        <v>0</v>
      </c>
      <c r="O147" s="0" t="n">
        <f aca="false">IF(ISBLANK(A147),"",SUMIF($A$3:$A147,O$2,$B$3:$B147))</f>
        <v>200</v>
      </c>
      <c r="P147" s="0" t="n">
        <f aca="false">IF(ISBLANK(A147),"",SUMIF($A$3:$A147,P$2,$B$3:$B147))</f>
        <v>-200</v>
      </c>
      <c r="Q147" s="0" t="n">
        <f aca="false">IF(ISBLANK(A147),"",SUMIF($A$3:$A147,Q$2,$B$3:$B147))</f>
        <v>-300</v>
      </c>
      <c r="R147" s="0" t="n">
        <f aca="false">IF(ISBLANK(A147),"",SUMIF($A$3:$A147,R$2,$B$3:$B147))</f>
        <v>0</v>
      </c>
      <c r="T147" s="0" t="n">
        <f aca="false">IF(ISBLANK(A147),"",IF($A147=T$2,$C147,T146))</f>
        <v>47.39</v>
      </c>
      <c r="U147" s="0" t="n">
        <f aca="false">IF(ISBLANK(A147),"",IF($A147=U$2,$C147,U146))</f>
        <v>22.84</v>
      </c>
      <c r="V147" s="0" t="n">
        <f aca="false">IF(ISBLANK(A147),"",IF($A147=V$2,$C147,V146))</f>
        <v>52.14</v>
      </c>
      <c r="W147" s="0" t="n">
        <f aca="false">IF(ISBLANK(A147),"",IF($A147=W$2,$C147,W146))</f>
        <v>0</v>
      </c>
    </row>
    <row r="148" customFormat="false" ht="12.8" hidden="false" customHeight="false" outlineLevel="0" collapsed="false">
      <c r="A148" s="0" t="n">
        <v>980</v>
      </c>
      <c r="B148" s="0" t="n">
        <v>-100</v>
      </c>
      <c r="C148" s="0" t="n">
        <v>22.84</v>
      </c>
      <c r="D148" s="0" t="s">
        <v>156</v>
      </c>
      <c r="H148" s="8" t="n">
        <f aca="false">IF(ISBLANK(D148),,LEFT(D148,LEN(D148)-6)*1)</f>
        <v>38721.6808217593</v>
      </c>
      <c r="I148" s="9" t="n">
        <f aca="false">IF(ISBLANK(A148),"",-B148*C148)</f>
        <v>2284</v>
      </c>
      <c r="J148" s="9" t="n">
        <f aca="false">IF(ISBLANK(A148),"",-SUM(I$3:I148))</f>
        <v>-14171.6094251337</v>
      </c>
      <c r="K148" s="0" t="n">
        <f aca="false">IF(ISBLANK(A148),"",SUMPRODUCT(O148:R148,T148:W148)-J148)</f>
        <v>1155.60942513367</v>
      </c>
      <c r="L148" s="0" t="n">
        <f aca="false">IF(ISBLANK(A148),"",K148/$M$1)</f>
        <v>0.0192601570855611</v>
      </c>
      <c r="M148" s="0" t="n">
        <f aca="false">IF(ISBLANK(A148),"",K148/($M$1+SUM(K$3:K147)))</f>
        <v>0.010619590198084</v>
      </c>
      <c r="N148" s="0" t="n">
        <f aca="false">IF(ISBLANK(A148),"",IF(H149=0,NETWORKDAYS($H$3,H148,holiday!$B$2:$B$10),IF(DAY(H148)&lt;DAY(H149),NETWORKDAYS($H$3,H148,holiday!$B$2:$B$10),0)))</f>
        <v>0</v>
      </c>
      <c r="O148" s="0" t="n">
        <f aca="false">IF(ISBLANK(A148),"",SUMIF($A$3:$A148,O$2,$B$3:$B148))</f>
        <v>200</v>
      </c>
      <c r="P148" s="0" t="n">
        <f aca="false">IF(ISBLANK(A148),"",SUMIF($A$3:$A148,P$2,$B$3:$B148))</f>
        <v>-300</v>
      </c>
      <c r="Q148" s="0" t="n">
        <f aca="false">IF(ISBLANK(A148),"",SUMIF($A$3:$A148,Q$2,$B$3:$B148))</f>
        <v>-300</v>
      </c>
      <c r="R148" s="0" t="n">
        <f aca="false">IF(ISBLANK(A148),"",SUMIF($A$3:$A148,R$2,$B$3:$B148))</f>
        <v>0</v>
      </c>
      <c r="T148" s="0" t="n">
        <f aca="false">IF(ISBLANK(A148),"",IF($A148=T$2,$C148,T147))</f>
        <v>47.39</v>
      </c>
      <c r="U148" s="0" t="n">
        <f aca="false">IF(ISBLANK(A148),"",IF($A148=U$2,$C148,U147))</f>
        <v>22.84</v>
      </c>
      <c r="V148" s="0" t="n">
        <f aca="false">IF(ISBLANK(A148),"",IF($A148=V$2,$C148,V147))</f>
        <v>52.14</v>
      </c>
      <c r="W148" s="0" t="n">
        <f aca="false">IF(ISBLANK(A148),"",IF($A148=W$2,$C148,W147))</f>
        <v>0</v>
      </c>
    </row>
    <row r="149" customFormat="false" ht="12.8" hidden="false" customHeight="false" outlineLevel="0" collapsed="false">
      <c r="A149" s="0" t="n">
        <v>980</v>
      </c>
      <c r="B149" s="0" t="n">
        <v>-100</v>
      </c>
      <c r="C149" s="0" t="n">
        <v>22.84</v>
      </c>
      <c r="D149" s="0" t="s">
        <v>157</v>
      </c>
      <c r="H149" s="8" t="n">
        <f aca="false">IF(ISBLANK(D149),,LEFT(D149,LEN(D149)-6)*1)</f>
        <v>38721.6846180556</v>
      </c>
      <c r="I149" s="9" t="n">
        <f aca="false">IF(ISBLANK(A149),"",-B149*C149)</f>
        <v>2284</v>
      </c>
      <c r="J149" s="9" t="n">
        <f aca="false">IF(ISBLANK(A149),"",-SUM(I$3:I149))</f>
        <v>-16455.6094251337</v>
      </c>
      <c r="K149" s="0" t="n">
        <f aca="false">IF(ISBLANK(A149),"",SUMPRODUCT(O149:R149,T149:W149)-J149)</f>
        <v>1155.60942513367</v>
      </c>
      <c r="L149" s="0" t="n">
        <f aca="false">IF(ISBLANK(A149),"",K149/$M$1)</f>
        <v>0.0192601570855611</v>
      </c>
      <c r="M149" s="0" t="n">
        <f aca="false">IF(ISBLANK(A149),"",K149/($M$1+SUM(K$3:K148)))</f>
        <v>0.0105079995490712</v>
      </c>
      <c r="N149" s="0" t="n">
        <f aca="false">IF(ISBLANK(A149),"",IF(H150=0,NETWORKDAYS($H$3,H149,holiday!$B$2:$B$10),IF(DAY(H149)&lt;DAY(H150),NETWORKDAYS($H$3,H149,holiday!$B$2:$B$10),0)))</f>
        <v>0</v>
      </c>
      <c r="O149" s="0" t="n">
        <f aca="false">IF(ISBLANK(A149),"",SUMIF($A$3:$A149,O$2,$B$3:$B149))</f>
        <v>200</v>
      </c>
      <c r="P149" s="0" t="n">
        <f aca="false">IF(ISBLANK(A149),"",SUMIF($A$3:$A149,P$2,$B$3:$B149))</f>
        <v>-400</v>
      </c>
      <c r="Q149" s="0" t="n">
        <f aca="false">IF(ISBLANK(A149),"",SUMIF($A$3:$A149,Q$2,$B$3:$B149))</f>
        <v>-300</v>
      </c>
      <c r="R149" s="0" t="n">
        <f aca="false">IF(ISBLANK(A149),"",SUMIF($A$3:$A149,R$2,$B$3:$B149))</f>
        <v>0</v>
      </c>
      <c r="T149" s="0" t="n">
        <f aca="false">IF(ISBLANK(A149),"",IF($A149=T$2,$C149,T148))</f>
        <v>47.39</v>
      </c>
      <c r="U149" s="0" t="n">
        <f aca="false">IF(ISBLANK(A149),"",IF($A149=U$2,$C149,U148))</f>
        <v>22.84</v>
      </c>
      <c r="V149" s="0" t="n">
        <f aca="false">IF(ISBLANK(A149),"",IF($A149=V$2,$C149,V148))</f>
        <v>52.14</v>
      </c>
      <c r="W149" s="0" t="n">
        <f aca="false">IF(ISBLANK(A149),"",IF($A149=W$2,$C149,W148))</f>
        <v>0</v>
      </c>
    </row>
    <row r="150" customFormat="false" ht="12.8" hidden="false" customHeight="false" outlineLevel="0" collapsed="false">
      <c r="A150" s="0" t="n">
        <v>679</v>
      </c>
      <c r="B150" s="0" t="n">
        <v>-100</v>
      </c>
      <c r="C150" s="0" t="n">
        <v>52.24</v>
      </c>
      <c r="D150" s="0" t="s">
        <v>158</v>
      </c>
      <c r="H150" s="8" t="n">
        <f aca="false">IF(ISBLANK(D150),,LEFT(D150,LEN(D150)-6)*1)</f>
        <v>38721.6875578704</v>
      </c>
      <c r="I150" s="9" t="n">
        <f aca="false">IF(ISBLANK(A150),"",-B150*C150)</f>
        <v>5224</v>
      </c>
      <c r="J150" s="9" t="n">
        <f aca="false">IF(ISBLANK(A150),"",-SUM(I$3:I150))</f>
        <v>-21679.6094251337</v>
      </c>
      <c r="K150" s="0" t="n">
        <f aca="false">IF(ISBLANK(A150),"",SUMPRODUCT(O150:R150,T150:W150)-J150)</f>
        <v>1125.60942513367</v>
      </c>
      <c r="L150" s="0" t="n">
        <f aca="false">IF(ISBLANK(A150),"",K150/$M$1)</f>
        <v>0.0187601570855612</v>
      </c>
      <c r="M150" s="0" t="n">
        <f aca="false">IF(ISBLANK(A150),"",K150/($M$1+SUM(K$3:K149)))</f>
        <v>0.0101287752656502</v>
      </c>
      <c r="N150" s="0" t="n">
        <f aca="false">IF(ISBLANK(A150),"",IF(H151=0,NETWORKDAYS($H$3,H150,holiday!$B$2:$B$10),IF(DAY(H150)&lt;DAY(H151),NETWORKDAYS($H$3,H150,holiday!$B$2:$B$10),0)))</f>
        <v>0</v>
      </c>
      <c r="O150" s="0" t="n">
        <f aca="false">IF(ISBLANK(A150),"",SUMIF($A$3:$A150,O$2,$B$3:$B150))</f>
        <v>200</v>
      </c>
      <c r="P150" s="0" t="n">
        <f aca="false">IF(ISBLANK(A150),"",SUMIF($A$3:$A150,P$2,$B$3:$B150))</f>
        <v>-400</v>
      </c>
      <c r="Q150" s="0" t="n">
        <f aca="false">IF(ISBLANK(A150),"",SUMIF($A$3:$A150,Q$2,$B$3:$B150))</f>
        <v>-400</v>
      </c>
      <c r="R150" s="0" t="n">
        <f aca="false">IF(ISBLANK(A150),"",SUMIF($A$3:$A150,R$2,$B$3:$B150))</f>
        <v>0</v>
      </c>
      <c r="T150" s="0" t="n">
        <f aca="false">IF(ISBLANK(A150),"",IF($A150=T$2,$C150,T149))</f>
        <v>47.39</v>
      </c>
      <c r="U150" s="0" t="n">
        <f aca="false">IF(ISBLANK(A150),"",IF($A150=U$2,$C150,U149))</f>
        <v>22.84</v>
      </c>
      <c r="V150" s="0" t="n">
        <f aca="false">IF(ISBLANK(A150),"",IF($A150=V$2,$C150,V149))</f>
        <v>52.24</v>
      </c>
      <c r="W150" s="0" t="n">
        <f aca="false">IF(ISBLANK(A150),"",IF($A150=W$2,$C150,W149))</f>
        <v>0</v>
      </c>
    </row>
    <row r="151" customFormat="false" ht="12.8" hidden="false" customHeight="false" outlineLevel="0" collapsed="false">
      <c r="A151" s="0" t="n">
        <v>8370</v>
      </c>
      <c r="B151" s="0" t="n">
        <v>100</v>
      </c>
      <c r="C151" s="0" t="n">
        <v>47.135</v>
      </c>
      <c r="D151" s="0" t="s">
        <v>159</v>
      </c>
      <c r="H151" s="8" t="n">
        <f aca="false">IF(ISBLANK(D151),,LEFT(D151,LEN(D151)-6)*1)</f>
        <v>38721.6880092593</v>
      </c>
      <c r="I151" s="9" t="n">
        <f aca="false">IF(ISBLANK(A151),"",-B151*C151)</f>
        <v>-4713.5</v>
      </c>
      <c r="J151" s="9" t="n">
        <f aca="false">IF(ISBLANK(A151),"",-SUM(I$3:I151))</f>
        <v>-16966.1094251337</v>
      </c>
      <c r="K151" s="0" t="n">
        <f aca="false">IF(ISBLANK(A151),"",SUMPRODUCT(O151:R151,T151:W151)-J151)</f>
        <v>1074.60942513367</v>
      </c>
      <c r="L151" s="0" t="n">
        <f aca="false">IF(ISBLANK(A151),"",K151/$M$1)</f>
        <v>0.0179101570855612</v>
      </c>
      <c r="M151" s="0" t="n">
        <f aca="false">IF(ISBLANK(A151),"",K151/($M$1+SUM(K$3:K150)))</f>
        <v>0.00957289106156357</v>
      </c>
      <c r="N151" s="0" t="n">
        <f aca="false">IF(ISBLANK(A151),"",IF(H152=0,NETWORKDAYS($H$3,H151,holiday!$B$2:$B$10),IF(DAY(H151)&lt;DAY(H152),NETWORKDAYS($H$3,H151,holiday!$B$2:$B$10),0)))</f>
        <v>0</v>
      </c>
      <c r="O151" s="0" t="n">
        <f aca="false">IF(ISBLANK(A151),"",SUMIF($A$3:$A151,O$2,$B$3:$B151))</f>
        <v>300</v>
      </c>
      <c r="P151" s="0" t="n">
        <f aca="false">IF(ISBLANK(A151),"",SUMIF($A$3:$A151,P$2,$B$3:$B151))</f>
        <v>-400</v>
      </c>
      <c r="Q151" s="0" t="n">
        <f aca="false">IF(ISBLANK(A151),"",SUMIF($A$3:$A151,Q$2,$B$3:$B151))</f>
        <v>-400</v>
      </c>
      <c r="R151" s="0" t="n">
        <f aca="false">IF(ISBLANK(A151),"",SUMIF($A$3:$A151,R$2,$B$3:$B151))</f>
        <v>0</v>
      </c>
      <c r="T151" s="0" t="n">
        <f aca="false">IF(ISBLANK(A151),"",IF($A151=T$2,$C151,T150))</f>
        <v>47.135</v>
      </c>
      <c r="U151" s="0" t="n">
        <f aca="false">IF(ISBLANK(A151),"",IF($A151=U$2,$C151,U150))</f>
        <v>22.84</v>
      </c>
      <c r="V151" s="0" t="n">
        <f aca="false">IF(ISBLANK(A151),"",IF($A151=V$2,$C151,V150))</f>
        <v>52.24</v>
      </c>
      <c r="W151" s="0" t="n">
        <f aca="false">IF(ISBLANK(A151),"",IF($A151=W$2,$C151,W150))</f>
        <v>0</v>
      </c>
    </row>
    <row r="152" customFormat="false" ht="12.8" hidden="false" customHeight="false" outlineLevel="0" collapsed="false">
      <c r="A152" s="0" t="n">
        <v>980</v>
      </c>
      <c r="B152" s="0" t="n">
        <v>-100</v>
      </c>
      <c r="C152" s="0" t="n">
        <v>22.84</v>
      </c>
      <c r="D152" s="0" t="s">
        <v>160</v>
      </c>
      <c r="H152" s="8" t="n">
        <f aca="false">IF(ISBLANK(D152),,LEFT(D152,LEN(D152)-6)*1)</f>
        <v>38721.6913773148</v>
      </c>
      <c r="I152" s="9" t="n">
        <f aca="false">IF(ISBLANK(A152),"",-B152*C152)</f>
        <v>2284</v>
      </c>
      <c r="J152" s="9" t="n">
        <f aca="false">IF(ISBLANK(A152),"",-SUM(I$3:I152))</f>
        <v>-19250.1094251337</v>
      </c>
      <c r="K152" s="0" t="n">
        <f aca="false">IF(ISBLANK(A152),"",SUMPRODUCT(O152:R152,T152:W152)-J152)</f>
        <v>1074.60942513367</v>
      </c>
      <c r="L152" s="0" t="n">
        <f aca="false">IF(ISBLANK(A152),"",K152/$M$1)</f>
        <v>0.0179101570855612</v>
      </c>
      <c r="M152" s="0" t="n">
        <f aca="false">IF(ISBLANK(A152),"",K152/($M$1+SUM(K$3:K151)))</f>
        <v>0.00948211976204878</v>
      </c>
      <c r="N152" s="0" t="n">
        <f aca="false">IF(ISBLANK(A152),"",IF(H153=0,NETWORKDAYS($H$3,H152,holiday!$B$2:$B$10),IF(DAY(H152)&lt;DAY(H153),NETWORKDAYS($H$3,H152,holiday!$B$2:$B$10),0)))</f>
        <v>0</v>
      </c>
      <c r="O152" s="0" t="n">
        <f aca="false">IF(ISBLANK(A152),"",SUMIF($A$3:$A152,O$2,$B$3:$B152))</f>
        <v>300</v>
      </c>
      <c r="P152" s="0" t="n">
        <f aca="false">IF(ISBLANK(A152),"",SUMIF($A$3:$A152,P$2,$B$3:$B152))</f>
        <v>-500</v>
      </c>
      <c r="Q152" s="0" t="n">
        <f aca="false">IF(ISBLANK(A152),"",SUMIF($A$3:$A152,Q$2,$B$3:$B152))</f>
        <v>-400</v>
      </c>
      <c r="R152" s="0" t="n">
        <f aca="false">IF(ISBLANK(A152),"",SUMIF($A$3:$A152,R$2,$B$3:$B152))</f>
        <v>0</v>
      </c>
      <c r="T152" s="0" t="n">
        <f aca="false">IF(ISBLANK(A152),"",IF($A152=T$2,$C152,T151))</f>
        <v>47.135</v>
      </c>
      <c r="U152" s="0" t="n">
        <f aca="false">IF(ISBLANK(A152),"",IF($A152=U$2,$C152,U151))</f>
        <v>22.84</v>
      </c>
      <c r="V152" s="0" t="n">
        <f aca="false">IF(ISBLANK(A152),"",IF($A152=V$2,$C152,V151))</f>
        <v>52.24</v>
      </c>
      <c r="W152" s="0" t="n">
        <f aca="false">IF(ISBLANK(A152),"",IF($A152=W$2,$C152,W151))</f>
        <v>0</v>
      </c>
    </row>
    <row r="153" customFormat="false" ht="12.8" hidden="false" customHeight="false" outlineLevel="0" collapsed="false">
      <c r="A153" s="0" t="n">
        <v>679</v>
      </c>
      <c r="B153" s="0" t="n">
        <v>-100</v>
      </c>
      <c r="C153" s="0" t="n">
        <v>52.21</v>
      </c>
      <c r="D153" s="0" t="s">
        <v>161</v>
      </c>
      <c r="H153" s="8" t="n">
        <f aca="false">IF(ISBLANK(D153),,LEFT(D153,LEN(D153)-6)*1)</f>
        <v>38721.6939467593</v>
      </c>
      <c r="I153" s="9" t="n">
        <f aca="false">IF(ISBLANK(A153),"",-B153*C153)</f>
        <v>5221</v>
      </c>
      <c r="J153" s="9" t="n">
        <f aca="false">IF(ISBLANK(A153),"",-SUM(I$3:I153))</f>
        <v>-24471.1094251337</v>
      </c>
      <c r="K153" s="0" t="n">
        <f aca="false">IF(ISBLANK(A153),"",SUMPRODUCT(O153:R153,T153:W153)-J153)</f>
        <v>1086.60942513367</v>
      </c>
      <c r="L153" s="0" t="n">
        <f aca="false">IF(ISBLANK(A153),"",K153/$M$1)</f>
        <v>0.0181101570855611</v>
      </c>
      <c r="M153" s="0" t="n">
        <f aca="false">IF(ISBLANK(A153),"",K153/($M$1+SUM(K$3:K152)))</f>
        <v>0.00949794450390093</v>
      </c>
      <c r="N153" s="0" t="n">
        <f aca="false">IF(ISBLANK(A153),"",IF(H154=0,NETWORKDAYS($H$3,H153,holiday!$B$2:$B$10),IF(DAY(H153)&lt;DAY(H154),NETWORKDAYS($H$3,H153,holiday!$B$2:$B$10),0)))</f>
        <v>0</v>
      </c>
      <c r="O153" s="0" t="n">
        <f aca="false">IF(ISBLANK(A153),"",SUMIF($A$3:$A153,O$2,$B$3:$B153))</f>
        <v>300</v>
      </c>
      <c r="P153" s="0" t="n">
        <f aca="false">IF(ISBLANK(A153),"",SUMIF($A$3:$A153,P$2,$B$3:$B153))</f>
        <v>-500</v>
      </c>
      <c r="Q153" s="0" t="n">
        <f aca="false">IF(ISBLANK(A153),"",SUMIF($A$3:$A153,Q$2,$B$3:$B153))</f>
        <v>-500</v>
      </c>
      <c r="R153" s="0" t="n">
        <f aca="false">IF(ISBLANK(A153),"",SUMIF($A$3:$A153,R$2,$B$3:$B153))</f>
        <v>0</v>
      </c>
      <c r="T153" s="0" t="n">
        <f aca="false">IF(ISBLANK(A153),"",IF($A153=T$2,$C153,T152))</f>
        <v>47.135</v>
      </c>
      <c r="U153" s="0" t="n">
        <f aca="false">IF(ISBLANK(A153),"",IF($A153=U$2,$C153,U152))</f>
        <v>22.84</v>
      </c>
      <c r="V153" s="0" t="n">
        <f aca="false">IF(ISBLANK(A153),"",IF($A153=V$2,$C153,V152))</f>
        <v>52.21</v>
      </c>
      <c r="W153" s="0" t="n">
        <f aca="false">IF(ISBLANK(A153),"",IF($A153=W$2,$C153,W152))</f>
        <v>0</v>
      </c>
    </row>
    <row r="154" customFormat="false" ht="12.8" hidden="false" customHeight="false" outlineLevel="0" collapsed="false">
      <c r="A154" s="0" t="n">
        <v>8370</v>
      </c>
      <c r="B154" s="0" t="n">
        <v>100</v>
      </c>
      <c r="C154" s="0" t="n">
        <v>47.5733333333333</v>
      </c>
      <c r="D154" s="0" t="s">
        <v>162</v>
      </c>
      <c r="H154" s="8" t="n">
        <f aca="false">IF(ISBLANK(D154),,LEFT(D154,LEN(D154)-6)*1)</f>
        <v>38721.6979050926</v>
      </c>
      <c r="I154" s="9" t="n">
        <f aca="false">IF(ISBLANK(A154),"",-B154*C154)</f>
        <v>-4757.33333333333</v>
      </c>
      <c r="J154" s="9" t="n">
        <f aca="false">IF(ISBLANK(A154),"",-SUM(I$3:I154))</f>
        <v>-19713.7760918003</v>
      </c>
      <c r="K154" s="0" t="n">
        <f aca="false">IF(ISBLANK(A154),"",SUMPRODUCT(O154:R154,T154:W154)-J154)</f>
        <v>1218.10942513366</v>
      </c>
      <c r="L154" s="0" t="n">
        <f aca="false">IF(ISBLANK(A154),"",K154/$M$1)</f>
        <v>0.0203018237522277</v>
      </c>
      <c r="M154" s="0" t="n">
        <f aca="false">IF(ISBLANK(A154),"",K154/($M$1+SUM(K$3:K153)))</f>
        <v>0.0105471961915548</v>
      </c>
      <c r="N154" s="0" t="n">
        <f aca="false">IF(ISBLANK(A154),"",IF(H155=0,NETWORKDAYS($H$3,H154,holiday!$B$2:$B$10),IF(DAY(H154)&lt;DAY(H155),NETWORKDAYS($H$3,H154,holiday!$B$2:$B$10),0)))</f>
        <v>0</v>
      </c>
      <c r="O154" s="0" t="n">
        <f aca="false">IF(ISBLANK(A154),"",SUMIF($A$3:$A154,O$2,$B$3:$B154))</f>
        <v>400</v>
      </c>
      <c r="P154" s="0" t="n">
        <f aca="false">IF(ISBLANK(A154),"",SUMIF($A$3:$A154,P$2,$B$3:$B154))</f>
        <v>-500</v>
      </c>
      <c r="Q154" s="0" t="n">
        <f aca="false">IF(ISBLANK(A154),"",SUMIF($A$3:$A154,Q$2,$B$3:$B154))</f>
        <v>-500</v>
      </c>
      <c r="R154" s="0" t="n">
        <f aca="false">IF(ISBLANK(A154),"",SUMIF($A$3:$A154,R$2,$B$3:$B154))</f>
        <v>0</v>
      </c>
      <c r="T154" s="0" t="n">
        <f aca="false">IF(ISBLANK(A154),"",IF($A154=T$2,$C154,T153))</f>
        <v>47.5733333333333</v>
      </c>
      <c r="U154" s="0" t="n">
        <f aca="false">IF(ISBLANK(A154),"",IF($A154=U$2,$C154,U153))</f>
        <v>22.84</v>
      </c>
      <c r="V154" s="0" t="n">
        <f aca="false">IF(ISBLANK(A154),"",IF($A154=V$2,$C154,V153))</f>
        <v>52.21</v>
      </c>
      <c r="W154" s="0" t="n">
        <f aca="false">IF(ISBLANK(A154),"",IF($A154=W$2,$C154,W153))</f>
        <v>0</v>
      </c>
    </row>
    <row r="155" customFormat="false" ht="12.8" hidden="false" customHeight="false" outlineLevel="0" collapsed="false">
      <c r="A155" s="0" t="n">
        <v>8370</v>
      </c>
      <c r="B155" s="0" t="n">
        <v>100</v>
      </c>
      <c r="C155" s="0" t="n">
        <v>47.645</v>
      </c>
      <c r="D155" s="0" t="s">
        <v>163</v>
      </c>
      <c r="H155" s="8" t="n">
        <f aca="false">IF(ISBLANK(D155),,LEFT(D155,LEN(D155)-6)*1)</f>
        <v>38721.7056365741</v>
      </c>
      <c r="I155" s="9" t="n">
        <f aca="false">IF(ISBLANK(A155),"",-B155*C155)</f>
        <v>-4764.5</v>
      </c>
      <c r="J155" s="9" t="n">
        <f aca="false">IF(ISBLANK(A155),"",-SUM(I$3:I155))</f>
        <v>-14949.2760918003</v>
      </c>
      <c r="K155" s="0" t="n">
        <f aca="false">IF(ISBLANK(A155),"",SUMPRODUCT(O155:R155,T155:W155)-J155)</f>
        <v>1246.77609180034</v>
      </c>
      <c r="L155" s="0" t="n">
        <f aca="false">IF(ISBLANK(A155),"",K155/$M$1)</f>
        <v>0.0207796015300057</v>
      </c>
      <c r="M155" s="0" t="n">
        <f aca="false">IF(ISBLANK(A155),"",K155/($M$1+SUM(K$3:K154)))</f>
        <v>0.0106827381956292</v>
      </c>
      <c r="N155" s="0" t="n">
        <f aca="false">IF(ISBLANK(A155),"",IF(H156=0,NETWORKDAYS($H$3,H155,holiday!$B$2:$B$10),IF(DAY(H155)&lt;DAY(H156),NETWORKDAYS($H$3,H155,holiday!$B$2:$B$10),0)))</f>
        <v>0</v>
      </c>
      <c r="O155" s="0" t="n">
        <f aca="false">IF(ISBLANK(A155),"",SUMIF($A$3:$A155,O$2,$B$3:$B155))</f>
        <v>500</v>
      </c>
      <c r="P155" s="0" t="n">
        <f aca="false">IF(ISBLANK(A155),"",SUMIF($A$3:$A155,P$2,$B$3:$B155))</f>
        <v>-500</v>
      </c>
      <c r="Q155" s="0" t="n">
        <f aca="false">IF(ISBLANK(A155),"",SUMIF($A$3:$A155,Q$2,$B$3:$B155))</f>
        <v>-500</v>
      </c>
      <c r="R155" s="0" t="n">
        <f aca="false">IF(ISBLANK(A155),"",SUMIF($A$3:$A155,R$2,$B$3:$B155))</f>
        <v>0</v>
      </c>
      <c r="T155" s="0" t="n">
        <f aca="false">IF(ISBLANK(A155),"",IF($A155=T$2,$C155,T154))</f>
        <v>47.645</v>
      </c>
      <c r="U155" s="0" t="n">
        <f aca="false">IF(ISBLANK(A155),"",IF($A155=U$2,$C155,U154))</f>
        <v>22.84</v>
      </c>
      <c r="V155" s="0" t="n">
        <f aca="false">IF(ISBLANK(A155),"",IF($A155=V$2,$C155,V154))</f>
        <v>52.21</v>
      </c>
      <c r="W155" s="0" t="n">
        <f aca="false">IF(ISBLANK(A155),"",IF($A155=W$2,$C155,W154))</f>
        <v>0</v>
      </c>
    </row>
    <row r="156" customFormat="false" ht="12.8" hidden="false" customHeight="false" outlineLevel="0" collapsed="false">
      <c r="A156" s="0" t="n">
        <v>980</v>
      </c>
      <c r="B156" s="0" t="n">
        <v>-100</v>
      </c>
      <c r="C156" s="0" t="n">
        <v>22.84</v>
      </c>
      <c r="D156" s="0" t="s">
        <v>164</v>
      </c>
      <c r="H156" s="8" t="n">
        <f aca="false">IF(ISBLANK(D156),,LEFT(D156,LEN(D156)-6)*1)</f>
        <v>38721.7059837963</v>
      </c>
      <c r="I156" s="9" t="n">
        <f aca="false">IF(ISBLANK(A156),"",-B156*C156)</f>
        <v>2284</v>
      </c>
      <c r="J156" s="9" t="n">
        <f aca="false">IF(ISBLANK(A156),"",-SUM(I$3:I156))</f>
        <v>-17233.2760918003</v>
      </c>
      <c r="K156" s="0" t="n">
        <f aca="false">IF(ISBLANK(A156),"",SUMPRODUCT(O156:R156,T156:W156)-J156)</f>
        <v>1246.77609180034</v>
      </c>
      <c r="L156" s="0" t="n">
        <f aca="false">IF(ISBLANK(A156),"",K156/$M$1)</f>
        <v>0.0207796015300057</v>
      </c>
      <c r="M156" s="0" t="n">
        <f aca="false">IF(ISBLANK(A156),"",K156/($M$1+SUM(K$3:K155)))</f>
        <v>0.0105698235379988</v>
      </c>
      <c r="N156" s="0" t="n">
        <f aca="false">IF(ISBLANK(A156),"",IF(H157=0,NETWORKDAYS($H$3,H156,holiday!$B$2:$B$10),IF(DAY(H156)&lt;DAY(H157),NETWORKDAYS($H$3,H156,holiday!$B$2:$B$10),0)))</f>
        <v>0</v>
      </c>
      <c r="O156" s="0" t="n">
        <f aca="false">IF(ISBLANK(A156),"",SUMIF($A$3:$A156,O$2,$B$3:$B156))</f>
        <v>500</v>
      </c>
      <c r="P156" s="0" t="n">
        <f aca="false">IF(ISBLANK(A156),"",SUMIF($A$3:$A156,P$2,$B$3:$B156))</f>
        <v>-600</v>
      </c>
      <c r="Q156" s="0" t="n">
        <f aca="false">IF(ISBLANK(A156),"",SUMIF($A$3:$A156,Q$2,$B$3:$B156))</f>
        <v>-500</v>
      </c>
      <c r="R156" s="0" t="n">
        <f aca="false">IF(ISBLANK(A156),"",SUMIF($A$3:$A156,R$2,$B$3:$B156))</f>
        <v>0</v>
      </c>
      <c r="T156" s="0" t="n">
        <f aca="false">IF(ISBLANK(A156),"",IF($A156=T$2,$C156,T155))</f>
        <v>47.645</v>
      </c>
      <c r="U156" s="0" t="n">
        <f aca="false">IF(ISBLANK(A156),"",IF($A156=U$2,$C156,U155))</f>
        <v>22.84</v>
      </c>
      <c r="V156" s="0" t="n">
        <f aca="false">IF(ISBLANK(A156),"",IF($A156=V$2,$C156,V155))</f>
        <v>52.21</v>
      </c>
      <c r="W156" s="0" t="n">
        <f aca="false">IF(ISBLANK(A156),"",IF($A156=W$2,$C156,W155))</f>
        <v>0</v>
      </c>
    </row>
    <row r="157" customFormat="false" ht="12.8" hidden="false" customHeight="false" outlineLevel="0" collapsed="false">
      <c r="A157" s="0" t="n">
        <v>8370</v>
      </c>
      <c r="B157" s="0" t="n">
        <v>-100</v>
      </c>
      <c r="C157" s="0" t="n">
        <v>47.84</v>
      </c>
      <c r="D157" s="0" t="s">
        <v>165</v>
      </c>
      <c r="H157" s="8" t="n">
        <f aca="false">IF(ISBLANK(D157),,LEFT(D157,LEN(D157)-6)*1)</f>
        <v>38721.7065046296</v>
      </c>
      <c r="I157" s="9" t="n">
        <f aca="false">IF(ISBLANK(A157),"",-B157*C157)</f>
        <v>4784</v>
      </c>
      <c r="J157" s="9" t="n">
        <f aca="false">IF(ISBLANK(A157),"",-SUM(I$3:I157))</f>
        <v>-22017.2760918003</v>
      </c>
      <c r="K157" s="0" t="n">
        <f aca="false">IF(ISBLANK(A157),"",SUMPRODUCT(O157:R157,T157:W157)-J157)</f>
        <v>1344.27609180034</v>
      </c>
      <c r="L157" s="0" t="n">
        <f aca="false">IF(ISBLANK(A157),"",K157/$M$1)</f>
        <v>0.0224046015300057</v>
      </c>
      <c r="M157" s="0" t="n">
        <f aca="false">IF(ISBLANK(A157),"",K157/($M$1+SUM(K$3:K156)))</f>
        <v>0.0112772035717016</v>
      </c>
      <c r="N157" s="0" t="n">
        <f aca="false">IF(ISBLANK(A157),"",IF(H158=0,NETWORKDAYS($H$3,H157,holiday!$B$2:$B$10),IF(DAY(H157)&lt;DAY(H158),NETWORKDAYS($H$3,H157,holiday!$B$2:$B$10),0)))</f>
        <v>0</v>
      </c>
      <c r="O157" s="0" t="n">
        <f aca="false">IF(ISBLANK(A157),"",SUMIF($A$3:$A157,O$2,$B$3:$B157))</f>
        <v>400</v>
      </c>
      <c r="P157" s="0" t="n">
        <f aca="false">IF(ISBLANK(A157),"",SUMIF($A$3:$A157,P$2,$B$3:$B157))</f>
        <v>-600</v>
      </c>
      <c r="Q157" s="0" t="n">
        <f aca="false">IF(ISBLANK(A157),"",SUMIF($A$3:$A157,Q$2,$B$3:$B157))</f>
        <v>-500</v>
      </c>
      <c r="R157" s="0" t="n">
        <f aca="false">IF(ISBLANK(A157),"",SUMIF($A$3:$A157,R$2,$B$3:$B157))</f>
        <v>0</v>
      </c>
      <c r="T157" s="0" t="n">
        <f aca="false">IF(ISBLANK(A157),"",IF($A157=T$2,$C157,T156))</f>
        <v>47.84</v>
      </c>
      <c r="U157" s="0" t="n">
        <f aca="false">IF(ISBLANK(A157),"",IF($A157=U$2,$C157,U156))</f>
        <v>22.84</v>
      </c>
      <c r="V157" s="0" t="n">
        <f aca="false">IF(ISBLANK(A157),"",IF($A157=V$2,$C157,V156))</f>
        <v>52.21</v>
      </c>
      <c r="W157" s="0" t="n">
        <f aca="false">IF(ISBLANK(A157),"",IF($A157=W$2,$C157,W156))</f>
        <v>0</v>
      </c>
    </row>
    <row r="158" customFormat="false" ht="12.8" hidden="false" customHeight="false" outlineLevel="0" collapsed="false">
      <c r="A158" s="0" t="n">
        <v>980</v>
      </c>
      <c r="B158" s="0" t="n">
        <v>-100</v>
      </c>
      <c r="C158" s="0" t="n">
        <v>22.84</v>
      </c>
      <c r="D158" s="0" t="s">
        <v>166</v>
      </c>
      <c r="H158" s="8" t="n">
        <f aca="false">IF(ISBLANK(D158),,LEFT(D158,LEN(D158)-6)*1)</f>
        <v>38721.706724537</v>
      </c>
      <c r="I158" s="9" t="n">
        <f aca="false">IF(ISBLANK(A158),"",-B158*C158)</f>
        <v>2284</v>
      </c>
      <c r="J158" s="9" t="n">
        <f aca="false">IF(ISBLANK(A158),"",-SUM(I$3:I158))</f>
        <v>-24301.2760918003</v>
      </c>
      <c r="K158" s="0" t="n">
        <f aca="false">IF(ISBLANK(A158),"",SUMPRODUCT(O158:R158,T158:W158)-J158)</f>
        <v>1344.27609180034</v>
      </c>
      <c r="L158" s="0" t="n">
        <f aca="false">IF(ISBLANK(A158),"",K158/$M$1)</f>
        <v>0.0224046015300057</v>
      </c>
      <c r="M158" s="0" t="n">
        <f aca="false">IF(ISBLANK(A158),"",K158/($M$1+SUM(K$3:K157)))</f>
        <v>0.0111514464400779</v>
      </c>
      <c r="N158" s="0" t="n">
        <f aca="false">IF(ISBLANK(A158),"",IF(H159=0,NETWORKDAYS($H$3,H158,holiday!$B$2:$B$10),IF(DAY(H158)&lt;DAY(H159),NETWORKDAYS($H$3,H158,holiday!$B$2:$B$10),0)))</f>
        <v>0</v>
      </c>
      <c r="O158" s="0" t="n">
        <f aca="false">IF(ISBLANK(A158),"",SUMIF($A$3:$A158,O$2,$B$3:$B158))</f>
        <v>400</v>
      </c>
      <c r="P158" s="0" t="n">
        <f aca="false">IF(ISBLANK(A158),"",SUMIF($A$3:$A158,P$2,$B$3:$B158))</f>
        <v>-700</v>
      </c>
      <c r="Q158" s="0" t="n">
        <f aca="false">IF(ISBLANK(A158),"",SUMIF($A$3:$A158,Q$2,$B$3:$B158))</f>
        <v>-500</v>
      </c>
      <c r="R158" s="0" t="n">
        <f aca="false">IF(ISBLANK(A158),"",SUMIF($A$3:$A158,R$2,$B$3:$B158))</f>
        <v>0</v>
      </c>
      <c r="T158" s="0" t="n">
        <f aca="false">IF(ISBLANK(A158),"",IF($A158=T$2,$C158,T157))</f>
        <v>47.84</v>
      </c>
      <c r="U158" s="0" t="n">
        <f aca="false">IF(ISBLANK(A158),"",IF($A158=U$2,$C158,U157))</f>
        <v>22.84</v>
      </c>
      <c r="V158" s="0" t="n">
        <f aca="false">IF(ISBLANK(A158),"",IF($A158=V$2,$C158,V157))</f>
        <v>52.21</v>
      </c>
      <c r="W158" s="0" t="n">
        <f aca="false">IF(ISBLANK(A158),"",IF($A158=W$2,$C158,W157))</f>
        <v>0</v>
      </c>
    </row>
    <row r="159" customFormat="false" ht="12.8" hidden="false" customHeight="false" outlineLevel="0" collapsed="false">
      <c r="A159" s="0" t="n">
        <v>8370</v>
      </c>
      <c r="B159" s="0" t="n">
        <v>-100</v>
      </c>
      <c r="C159" s="0" t="n">
        <v>47.94</v>
      </c>
      <c r="D159" s="0" t="s">
        <v>167</v>
      </c>
      <c r="H159" s="8" t="n">
        <f aca="false">IF(ISBLANK(D159),,LEFT(D159,LEN(D159)-6)*1)</f>
        <v>38721.7077662037</v>
      </c>
      <c r="I159" s="9" t="n">
        <f aca="false">IF(ISBLANK(A159),"",-B159*C159)</f>
        <v>4794</v>
      </c>
      <c r="J159" s="9" t="n">
        <f aca="false">IF(ISBLANK(A159),"",-SUM(I$3:I159))</f>
        <v>-29095.2760918003</v>
      </c>
      <c r="K159" s="0" t="n">
        <f aca="false">IF(ISBLANK(A159),"",SUMPRODUCT(O159:R159,T159:W159)-J159)</f>
        <v>1384.27609180034</v>
      </c>
      <c r="L159" s="0" t="n">
        <f aca="false">IF(ISBLANK(A159),"",K159/$M$1)</f>
        <v>0.0230712681966723</v>
      </c>
      <c r="M159" s="0" t="n">
        <f aca="false">IF(ISBLANK(A159),"",K159/($M$1+SUM(K$3:K158)))</f>
        <v>0.0113566237808558</v>
      </c>
      <c r="N159" s="0" t="n">
        <f aca="false">IF(ISBLANK(A159),"",IF(H160=0,NETWORKDAYS($H$3,H159,holiday!$B$2:$B$10),IF(DAY(H159)&lt;DAY(H160),NETWORKDAYS($H$3,H159,holiday!$B$2:$B$10),0)))</f>
        <v>0</v>
      </c>
      <c r="O159" s="0" t="n">
        <f aca="false">IF(ISBLANK(A159),"",SUMIF($A$3:$A159,O$2,$B$3:$B159))</f>
        <v>300</v>
      </c>
      <c r="P159" s="0" t="n">
        <f aca="false">IF(ISBLANK(A159),"",SUMIF($A$3:$A159,P$2,$B$3:$B159))</f>
        <v>-700</v>
      </c>
      <c r="Q159" s="0" t="n">
        <f aca="false">IF(ISBLANK(A159),"",SUMIF($A$3:$A159,Q$2,$B$3:$B159))</f>
        <v>-500</v>
      </c>
      <c r="R159" s="0" t="n">
        <f aca="false">IF(ISBLANK(A159),"",SUMIF($A$3:$A159,R$2,$B$3:$B159))</f>
        <v>0</v>
      </c>
      <c r="T159" s="0" t="n">
        <f aca="false">IF(ISBLANK(A159),"",IF($A159=T$2,$C159,T158))</f>
        <v>47.94</v>
      </c>
      <c r="U159" s="0" t="n">
        <f aca="false">IF(ISBLANK(A159),"",IF($A159=U$2,$C159,U158))</f>
        <v>22.84</v>
      </c>
      <c r="V159" s="0" t="n">
        <f aca="false">IF(ISBLANK(A159),"",IF($A159=V$2,$C159,V158))</f>
        <v>52.21</v>
      </c>
      <c r="W159" s="0" t="n">
        <f aca="false">IF(ISBLANK(A159),"",IF($A159=W$2,$C159,W158))</f>
        <v>0</v>
      </c>
    </row>
    <row r="160" customFormat="false" ht="12.8" hidden="false" customHeight="false" outlineLevel="0" collapsed="false">
      <c r="A160" s="0" t="n">
        <v>8370</v>
      </c>
      <c r="B160" s="0" t="n">
        <v>100</v>
      </c>
      <c r="C160" s="0" t="n">
        <v>47.765</v>
      </c>
      <c r="D160" s="0" t="s">
        <v>168</v>
      </c>
      <c r="H160" s="8" t="n">
        <f aca="false">IF(ISBLANK(D160),,LEFT(D160,LEN(D160)-6)*1)</f>
        <v>38721.7082175926</v>
      </c>
      <c r="I160" s="9" t="n">
        <f aca="false">IF(ISBLANK(A160),"",-B160*C160)</f>
        <v>-4776.5</v>
      </c>
      <c r="J160" s="9" t="n">
        <f aca="false">IF(ISBLANK(A160),"",-SUM(I$3:I160))</f>
        <v>-24318.7760918003</v>
      </c>
      <c r="K160" s="0" t="n">
        <f aca="false">IF(ISBLANK(A160),"",SUMPRODUCT(O160:R160,T160:W160)-J160)</f>
        <v>1331.77609180034</v>
      </c>
      <c r="L160" s="0" t="n">
        <f aca="false">IF(ISBLANK(A160),"",K160/$M$1)</f>
        <v>0.0221962681966723</v>
      </c>
      <c r="M160" s="0" t="n">
        <f aca="false">IF(ISBLANK(A160),"",K160/($M$1+SUM(K$3:K159)))</f>
        <v>0.0108032247598194</v>
      </c>
      <c r="N160" s="0" t="n">
        <f aca="false">IF(ISBLANK(A160),"",IF(H161=0,NETWORKDAYS($H$3,H160,holiday!$B$2:$B$10),IF(DAY(H160)&lt;DAY(H161),NETWORKDAYS($H$3,H160,holiday!$B$2:$B$10),0)))</f>
        <v>0</v>
      </c>
      <c r="O160" s="0" t="n">
        <f aca="false">IF(ISBLANK(A160),"",SUMIF($A$3:$A160,O$2,$B$3:$B160))</f>
        <v>400</v>
      </c>
      <c r="P160" s="0" t="n">
        <f aca="false">IF(ISBLANK(A160),"",SUMIF($A$3:$A160,P$2,$B$3:$B160))</f>
        <v>-700</v>
      </c>
      <c r="Q160" s="0" t="n">
        <f aca="false">IF(ISBLANK(A160),"",SUMIF($A$3:$A160,Q$2,$B$3:$B160))</f>
        <v>-500</v>
      </c>
      <c r="R160" s="0" t="n">
        <f aca="false">IF(ISBLANK(A160),"",SUMIF($A$3:$A160,R$2,$B$3:$B160))</f>
        <v>0</v>
      </c>
      <c r="T160" s="0" t="n">
        <f aca="false">IF(ISBLANK(A160),"",IF($A160=T$2,$C160,T159))</f>
        <v>47.765</v>
      </c>
      <c r="U160" s="0" t="n">
        <f aca="false">IF(ISBLANK(A160),"",IF($A160=U$2,$C160,U159))</f>
        <v>22.84</v>
      </c>
      <c r="V160" s="0" t="n">
        <f aca="false">IF(ISBLANK(A160),"",IF($A160=V$2,$C160,V159))</f>
        <v>52.21</v>
      </c>
      <c r="W160" s="0" t="n">
        <f aca="false">IF(ISBLANK(A160),"",IF($A160=W$2,$C160,W159))</f>
        <v>0</v>
      </c>
    </row>
    <row r="161" customFormat="false" ht="12.8" hidden="false" customHeight="false" outlineLevel="0" collapsed="false">
      <c r="A161" s="0" t="n">
        <v>980</v>
      </c>
      <c r="B161" s="0" t="n">
        <v>-100</v>
      </c>
      <c r="C161" s="0" t="n">
        <v>22.84</v>
      </c>
      <c r="D161" s="0" t="s">
        <v>169</v>
      </c>
      <c r="H161" s="8" t="n">
        <f aca="false">IF(ISBLANK(D161),,LEFT(D161,LEN(D161)-6)*1)</f>
        <v>38721.709537037</v>
      </c>
      <c r="I161" s="9" t="n">
        <f aca="false">IF(ISBLANK(A161),"",-B161*C161)</f>
        <v>2284</v>
      </c>
      <c r="J161" s="9" t="n">
        <f aca="false">IF(ISBLANK(A161),"",-SUM(I$3:I161))</f>
        <v>-26602.7760918003</v>
      </c>
      <c r="K161" s="0" t="n">
        <f aca="false">IF(ISBLANK(A161),"",SUMPRODUCT(O161:R161,T161:W161)-J161)</f>
        <v>1331.77609180034</v>
      </c>
      <c r="L161" s="0" t="n">
        <f aca="false">IF(ISBLANK(A161),"",K161/$M$1)</f>
        <v>0.0221962681966723</v>
      </c>
      <c r="M161" s="0" t="n">
        <f aca="false">IF(ISBLANK(A161),"",K161/($M$1+SUM(K$3:K160)))</f>
        <v>0.0106877624597867</v>
      </c>
      <c r="N161" s="0" t="n">
        <f aca="false">IF(ISBLANK(A161),"",IF(H162=0,NETWORKDAYS($H$3,H161,holiday!$B$2:$B$10),IF(DAY(H161)&lt;DAY(H162),NETWORKDAYS($H$3,H161,holiday!$B$2:$B$10),0)))</f>
        <v>0</v>
      </c>
      <c r="O161" s="0" t="n">
        <f aca="false">IF(ISBLANK(A161),"",SUMIF($A$3:$A161,O$2,$B$3:$B161))</f>
        <v>400</v>
      </c>
      <c r="P161" s="0" t="n">
        <f aca="false">IF(ISBLANK(A161),"",SUMIF($A$3:$A161,P$2,$B$3:$B161))</f>
        <v>-800</v>
      </c>
      <c r="Q161" s="0" t="n">
        <f aca="false">IF(ISBLANK(A161),"",SUMIF($A$3:$A161,Q$2,$B$3:$B161))</f>
        <v>-500</v>
      </c>
      <c r="R161" s="0" t="n">
        <f aca="false">IF(ISBLANK(A161),"",SUMIF($A$3:$A161,R$2,$B$3:$B161))</f>
        <v>0</v>
      </c>
      <c r="T161" s="0" t="n">
        <f aca="false">IF(ISBLANK(A161),"",IF($A161=T$2,$C161,T160))</f>
        <v>47.765</v>
      </c>
      <c r="U161" s="0" t="n">
        <f aca="false">IF(ISBLANK(A161),"",IF($A161=U$2,$C161,U160))</f>
        <v>22.84</v>
      </c>
      <c r="V161" s="0" t="n">
        <f aca="false">IF(ISBLANK(A161),"",IF($A161=V$2,$C161,V160))</f>
        <v>52.21</v>
      </c>
      <c r="W161" s="0" t="n">
        <f aca="false">IF(ISBLANK(A161),"",IF($A161=W$2,$C161,W160))</f>
        <v>0</v>
      </c>
    </row>
    <row r="162" customFormat="false" ht="12.8" hidden="false" customHeight="false" outlineLevel="0" collapsed="false">
      <c r="A162" s="0" t="n">
        <v>679</v>
      </c>
      <c r="B162" s="0" t="n">
        <v>100</v>
      </c>
      <c r="C162" s="0" t="n">
        <v>52.16</v>
      </c>
      <c r="D162" s="0" t="s">
        <v>170</v>
      </c>
      <c r="H162" s="8" t="n">
        <f aca="false">IF(ISBLANK(D162),,LEFT(D162,LEN(D162)-6)*1)</f>
        <v>38721.7119444444</v>
      </c>
      <c r="I162" s="9" t="n">
        <f aca="false">IF(ISBLANK(A162),"",-B162*C162)</f>
        <v>-5216</v>
      </c>
      <c r="J162" s="9" t="n">
        <f aca="false">IF(ISBLANK(A162),"",-SUM(I$3:I162))</f>
        <v>-21386.7760918003</v>
      </c>
      <c r="K162" s="0" t="n">
        <f aca="false">IF(ISBLANK(A162),"",SUMPRODUCT(O162:R162,T162:W162)-J162)</f>
        <v>1356.77609180034</v>
      </c>
      <c r="L162" s="0" t="n">
        <f aca="false">IF(ISBLANK(A162),"",K162/$M$1)</f>
        <v>0.022612934863339</v>
      </c>
      <c r="M162" s="0" t="n">
        <f aca="false">IF(ISBLANK(A162),"",K162/($M$1+SUM(K$3:K161)))</f>
        <v>0.010773250386727</v>
      </c>
      <c r="N162" s="0" t="n">
        <f aca="false">IF(ISBLANK(A162),"",IF(H163=0,NETWORKDAYS($H$3,H162,holiday!$B$2:$B$10),IF(DAY(H162)&lt;DAY(H163),NETWORKDAYS($H$3,H162,holiday!$B$2:$B$10),0)))</f>
        <v>0</v>
      </c>
      <c r="O162" s="0" t="n">
        <f aca="false">IF(ISBLANK(A162),"",SUMIF($A$3:$A162,O$2,$B$3:$B162))</f>
        <v>400</v>
      </c>
      <c r="P162" s="0" t="n">
        <f aca="false">IF(ISBLANK(A162),"",SUMIF($A$3:$A162,P$2,$B$3:$B162))</f>
        <v>-800</v>
      </c>
      <c r="Q162" s="0" t="n">
        <f aca="false">IF(ISBLANK(A162),"",SUMIF($A$3:$A162,Q$2,$B$3:$B162))</f>
        <v>-400</v>
      </c>
      <c r="R162" s="0" t="n">
        <f aca="false">IF(ISBLANK(A162),"",SUMIF($A$3:$A162,R$2,$B$3:$B162))</f>
        <v>0</v>
      </c>
      <c r="T162" s="0" t="n">
        <f aca="false">IF(ISBLANK(A162),"",IF($A162=T$2,$C162,T161))</f>
        <v>47.765</v>
      </c>
      <c r="U162" s="0" t="n">
        <f aca="false">IF(ISBLANK(A162),"",IF($A162=U$2,$C162,U161))</f>
        <v>22.84</v>
      </c>
      <c r="V162" s="0" t="n">
        <f aca="false">IF(ISBLANK(A162),"",IF($A162=V$2,$C162,V161))</f>
        <v>52.16</v>
      </c>
      <c r="W162" s="0" t="n">
        <f aca="false">IF(ISBLANK(A162),"",IF($A162=W$2,$C162,W161))</f>
        <v>0</v>
      </c>
    </row>
    <row r="163" customFormat="false" ht="12.8" hidden="false" customHeight="false" outlineLevel="0" collapsed="false">
      <c r="A163" s="0" t="n">
        <v>8370</v>
      </c>
      <c r="B163" s="0" t="n">
        <v>100</v>
      </c>
      <c r="C163" s="0" t="n">
        <v>47.9</v>
      </c>
      <c r="D163" s="0" t="s">
        <v>171</v>
      </c>
      <c r="H163" s="8" t="n">
        <f aca="false">IF(ISBLANK(D163),,LEFT(D163,LEN(D163)-6)*1)</f>
        <v>38721.715162037</v>
      </c>
      <c r="I163" s="9" t="n">
        <f aca="false">IF(ISBLANK(A163),"",-B163*C163)</f>
        <v>-4790</v>
      </c>
      <c r="J163" s="9" t="n">
        <f aca="false">IF(ISBLANK(A163),"",-SUM(I$3:I163))</f>
        <v>-16596.7760918003</v>
      </c>
      <c r="K163" s="0" t="n">
        <f aca="false">IF(ISBLANK(A163),"",SUMPRODUCT(O163:R163,T163:W163)-J163)</f>
        <v>1410.77609180034</v>
      </c>
      <c r="L163" s="0" t="n">
        <f aca="false">IF(ISBLANK(A163),"",K163/$M$1)</f>
        <v>0.023512934863339</v>
      </c>
      <c r="M163" s="0" t="n">
        <f aca="false">IF(ISBLANK(A163),"",K163/($M$1+SUM(K$3:K162)))</f>
        <v>0.0110826322536866</v>
      </c>
      <c r="N163" s="0" t="n">
        <f aca="false">IF(ISBLANK(A163),"",IF(H164=0,NETWORKDAYS($H$3,H163,holiday!$B$2:$B$10),IF(DAY(H163)&lt;DAY(H164),NETWORKDAYS($H$3,H163,holiday!$B$2:$B$10),0)))</f>
        <v>0</v>
      </c>
      <c r="O163" s="0" t="n">
        <f aca="false">IF(ISBLANK(A163),"",SUMIF($A$3:$A163,O$2,$B$3:$B163))</f>
        <v>500</v>
      </c>
      <c r="P163" s="0" t="n">
        <f aca="false">IF(ISBLANK(A163),"",SUMIF($A$3:$A163,P$2,$B$3:$B163))</f>
        <v>-800</v>
      </c>
      <c r="Q163" s="0" t="n">
        <f aca="false">IF(ISBLANK(A163),"",SUMIF($A$3:$A163,Q$2,$B$3:$B163))</f>
        <v>-400</v>
      </c>
      <c r="R163" s="0" t="n">
        <f aca="false">IF(ISBLANK(A163),"",SUMIF($A$3:$A163,R$2,$B$3:$B163))</f>
        <v>0</v>
      </c>
      <c r="T163" s="0" t="n">
        <f aca="false">IF(ISBLANK(A163),"",IF($A163=T$2,$C163,T162))</f>
        <v>47.9</v>
      </c>
      <c r="U163" s="0" t="n">
        <f aca="false">IF(ISBLANK(A163),"",IF($A163=U$2,$C163,U162))</f>
        <v>22.84</v>
      </c>
      <c r="V163" s="0" t="n">
        <f aca="false">IF(ISBLANK(A163),"",IF($A163=V$2,$C163,V162))</f>
        <v>52.16</v>
      </c>
      <c r="W163" s="0" t="n">
        <f aca="false">IF(ISBLANK(A163),"",IF($A163=W$2,$C163,W162))</f>
        <v>0</v>
      </c>
    </row>
    <row r="164" customFormat="false" ht="12.8" hidden="false" customHeight="false" outlineLevel="0" collapsed="false">
      <c r="A164" s="0" t="n">
        <v>980</v>
      </c>
      <c r="B164" s="0" t="n">
        <v>-100</v>
      </c>
      <c r="C164" s="0" t="n">
        <v>22.79</v>
      </c>
      <c r="D164" s="0" t="s">
        <v>172</v>
      </c>
      <c r="H164" s="8" t="n">
        <f aca="false">IF(ISBLANK(D164),,LEFT(D164,LEN(D164)-6)*1)</f>
        <v>38721.7273032407</v>
      </c>
      <c r="I164" s="9" t="n">
        <f aca="false">IF(ISBLANK(A164),"",-B164*C164)</f>
        <v>2279</v>
      </c>
      <c r="J164" s="9" t="n">
        <f aca="false">IF(ISBLANK(A164),"",-SUM(I$3:I164))</f>
        <v>-18875.7760918003</v>
      </c>
      <c r="K164" s="0" t="n">
        <f aca="false">IF(ISBLANK(A164),"",SUMPRODUCT(O164:R164,T164:W164)-J164)</f>
        <v>1450.77609180034</v>
      </c>
      <c r="L164" s="0" t="n">
        <f aca="false">IF(ISBLANK(A164),"",K164/$M$1)</f>
        <v>0.0241796015300057</v>
      </c>
      <c r="M164" s="0" t="n">
        <f aca="false">IF(ISBLANK(A164),"",K164/($M$1+SUM(K$3:K163)))</f>
        <v>0.0112719374736148</v>
      </c>
      <c r="N164" s="0" t="n">
        <f aca="false">IF(ISBLANK(A164),"",IF(H165=0,NETWORKDAYS($H$3,H164,holiday!$B$2:$B$10),IF(DAY(H164)&lt;DAY(H165),NETWORKDAYS($H$3,H164,holiday!$B$2:$B$10),0)))</f>
        <v>0</v>
      </c>
      <c r="O164" s="0" t="n">
        <f aca="false">IF(ISBLANK(A164),"",SUMIF($A$3:$A164,O$2,$B$3:$B164))</f>
        <v>500</v>
      </c>
      <c r="P164" s="0" t="n">
        <f aca="false">IF(ISBLANK(A164),"",SUMIF($A$3:$A164,P$2,$B$3:$B164))</f>
        <v>-900</v>
      </c>
      <c r="Q164" s="0" t="n">
        <f aca="false">IF(ISBLANK(A164),"",SUMIF($A$3:$A164,Q$2,$B$3:$B164))</f>
        <v>-400</v>
      </c>
      <c r="R164" s="0" t="n">
        <f aca="false">IF(ISBLANK(A164),"",SUMIF($A$3:$A164,R$2,$B$3:$B164))</f>
        <v>0</v>
      </c>
      <c r="T164" s="0" t="n">
        <f aca="false">IF(ISBLANK(A164),"",IF($A164=T$2,$C164,T163))</f>
        <v>47.9</v>
      </c>
      <c r="U164" s="0" t="n">
        <f aca="false">IF(ISBLANK(A164),"",IF($A164=U$2,$C164,U163))</f>
        <v>22.79</v>
      </c>
      <c r="V164" s="0" t="n">
        <f aca="false">IF(ISBLANK(A164),"",IF($A164=V$2,$C164,V163))</f>
        <v>52.16</v>
      </c>
      <c r="W164" s="0" t="n">
        <f aca="false">IF(ISBLANK(A164),"",IF($A164=W$2,$C164,W163))</f>
        <v>0</v>
      </c>
    </row>
    <row r="165" customFormat="false" ht="12.8" hidden="false" customHeight="false" outlineLevel="0" collapsed="false">
      <c r="A165" s="0" t="n">
        <v>980</v>
      </c>
      <c r="B165" s="0" t="n">
        <v>-100</v>
      </c>
      <c r="C165" s="0" t="n">
        <v>22.75</v>
      </c>
      <c r="D165" s="0" t="s">
        <v>173</v>
      </c>
      <c r="H165" s="8" t="n">
        <f aca="false">IF(ISBLANK(D165),,LEFT(D165,LEN(D165)-6)*1)</f>
        <v>38721.7324421296</v>
      </c>
      <c r="I165" s="9" t="n">
        <f aca="false">IF(ISBLANK(A165),"",-B165*C165)</f>
        <v>2275</v>
      </c>
      <c r="J165" s="9" t="n">
        <f aca="false">IF(ISBLANK(A165),"",-SUM(I$3:I165))</f>
        <v>-21150.7760918003</v>
      </c>
      <c r="K165" s="0" t="n">
        <f aca="false">IF(ISBLANK(A165),"",SUMPRODUCT(O165:R165,T165:W165)-J165)</f>
        <v>1486.77609180034</v>
      </c>
      <c r="L165" s="0" t="n">
        <f aca="false">IF(ISBLANK(A165),"",K165/$M$1)</f>
        <v>0.0247796015300057</v>
      </c>
      <c r="M165" s="0" t="n">
        <f aca="false">IF(ISBLANK(A165),"",K165/($M$1+SUM(K$3:K164)))</f>
        <v>0.0114228847223371</v>
      </c>
      <c r="N165" s="0" t="n">
        <f aca="false">IF(ISBLANK(A165),"",IF(H166=0,NETWORKDAYS($H$3,H165,holiday!$B$2:$B$10),IF(DAY(H165)&lt;DAY(H166),NETWORKDAYS($H$3,H165,holiday!$B$2:$B$10),0)))</f>
        <v>0</v>
      </c>
      <c r="O165" s="0" t="n">
        <f aca="false">IF(ISBLANK(A165),"",SUMIF($A$3:$A165,O$2,$B$3:$B165))</f>
        <v>500</v>
      </c>
      <c r="P165" s="0" t="n">
        <f aca="false">IF(ISBLANK(A165),"",SUMIF($A$3:$A165,P$2,$B$3:$B165))</f>
        <v>-1000</v>
      </c>
      <c r="Q165" s="0" t="n">
        <f aca="false">IF(ISBLANK(A165),"",SUMIF($A$3:$A165,Q$2,$B$3:$B165))</f>
        <v>-400</v>
      </c>
      <c r="R165" s="0" t="n">
        <f aca="false">IF(ISBLANK(A165),"",SUMIF($A$3:$A165,R$2,$B$3:$B165))</f>
        <v>0</v>
      </c>
      <c r="T165" s="0" t="n">
        <f aca="false">IF(ISBLANK(A165),"",IF($A165=T$2,$C165,T164))</f>
        <v>47.9</v>
      </c>
      <c r="U165" s="0" t="n">
        <f aca="false">IF(ISBLANK(A165),"",IF($A165=U$2,$C165,U164))</f>
        <v>22.75</v>
      </c>
      <c r="V165" s="0" t="n">
        <f aca="false">IF(ISBLANK(A165),"",IF($A165=V$2,$C165,V164))</f>
        <v>52.16</v>
      </c>
      <c r="W165" s="0" t="n">
        <f aca="false">IF(ISBLANK(A165),"",IF($A165=W$2,$C165,W164))</f>
        <v>0</v>
      </c>
    </row>
    <row r="166" customFormat="false" ht="12.8" hidden="false" customHeight="false" outlineLevel="0" collapsed="false">
      <c r="A166" s="0" t="n">
        <v>679</v>
      </c>
      <c r="B166" s="0" t="n">
        <v>100</v>
      </c>
      <c r="C166" s="0" t="n">
        <v>52.1292857142857</v>
      </c>
      <c r="D166" s="0" t="s">
        <v>174</v>
      </c>
      <c r="H166" s="8" t="n">
        <f aca="false">IF(ISBLANK(D166),,LEFT(D166,LEN(D166)-6)*1)</f>
        <v>38721.7331597222</v>
      </c>
      <c r="I166" s="9" t="n">
        <f aca="false">IF(ISBLANK(A166),"",-B166*C166)</f>
        <v>-5212.92857142857</v>
      </c>
      <c r="J166" s="9" t="n">
        <f aca="false">IF(ISBLANK(A166),"",-SUM(I$3:I166))</f>
        <v>-15937.8475203718</v>
      </c>
      <c r="K166" s="0" t="n">
        <f aca="false">IF(ISBLANK(A166),"",SUMPRODUCT(O166:R166,T166:W166)-J166)</f>
        <v>1499.06180608606</v>
      </c>
      <c r="L166" s="0" t="n">
        <f aca="false">IF(ISBLANK(A166),"",K166/$M$1)</f>
        <v>0.0249843634347677</v>
      </c>
      <c r="M166" s="0" t="n">
        <f aca="false">IF(ISBLANK(A166),"",K166/($M$1+SUM(K$3:K165)))</f>
        <v>0.0113872010481724</v>
      </c>
      <c r="N166" s="0" t="n">
        <f aca="false">IF(ISBLANK(A166),"",IF(H167=0,NETWORKDAYS($H$3,H166,holiday!$B$2:$B$10),IF(DAY(H166)&lt;DAY(H167),NETWORKDAYS($H$3,H166,holiday!$B$2:$B$10),0)))</f>
        <v>0</v>
      </c>
      <c r="O166" s="0" t="n">
        <f aca="false">IF(ISBLANK(A166),"",SUMIF($A$3:$A166,O$2,$B$3:$B166))</f>
        <v>500</v>
      </c>
      <c r="P166" s="0" t="n">
        <f aca="false">IF(ISBLANK(A166),"",SUMIF($A$3:$A166,P$2,$B$3:$B166))</f>
        <v>-1000</v>
      </c>
      <c r="Q166" s="0" t="n">
        <f aca="false">IF(ISBLANK(A166),"",SUMIF($A$3:$A166,Q$2,$B$3:$B166))</f>
        <v>-300</v>
      </c>
      <c r="R166" s="0" t="n">
        <f aca="false">IF(ISBLANK(A166),"",SUMIF($A$3:$A166,R$2,$B$3:$B166))</f>
        <v>0</v>
      </c>
      <c r="T166" s="0" t="n">
        <f aca="false">IF(ISBLANK(A166),"",IF($A166=T$2,$C166,T165))</f>
        <v>47.9</v>
      </c>
      <c r="U166" s="0" t="n">
        <f aca="false">IF(ISBLANK(A166),"",IF($A166=U$2,$C166,U165))</f>
        <v>22.75</v>
      </c>
      <c r="V166" s="0" t="n">
        <f aca="false">IF(ISBLANK(A166),"",IF($A166=V$2,$C166,V165))</f>
        <v>52.1292857142857</v>
      </c>
      <c r="W166" s="0" t="n">
        <f aca="false">IF(ISBLANK(A166),"",IF($A166=W$2,$C166,W165))</f>
        <v>0</v>
      </c>
    </row>
    <row r="167" customFormat="false" ht="12.8" hidden="false" customHeight="false" outlineLevel="0" collapsed="false">
      <c r="A167" s="0" t="n">
        <v>980</v>
      </c>
      <c r="B167" s="0" t="n">
        <v>-100</v>
      </c>
      <c r="C167" s="0" t="n">
        <v>22.75</v>
      </c>
      <c r="D167" s="0" t="s">
        <v>175</v>
      </c>
      <c r="H167" s="8" t="n">
        <f aca="false">IF(ISBLANK(D167),,LEFT(D167,LEN(D167)-6)*1)</f>
        <v>38721.733900463</v>
      </c>
      <c r="I167" s="9" t="n">
        <f aca="false">IF(ISBLANK(A167),"",-B167*C167)</f>
        <v>2275</v>
      </c>
      <c r="J167" s="9" t="n">
        <f aca="false">IF(ISBLANK(A167),"",-SUM(I$3:I167))</f>
        <v>-18212.8475203718</v>
      </c>
      <c r="K167" s="0" t="n">
        <f aca="false">IF(ISBLANK(A167),"",SUMPRODUCT(O167:R167,T167:W167)-J167)</f>
        <v>1499.06180608606</v>
      </c>
      <c r="L167" s="0" t="n">
        <f aca="false">IF(ISBLANK(A167),"",K167/$M$1)</f>
        <v>0.0249843634347677</v>
      </c>
      <c r="M167" s="0" t="n">
        <f aca="false">IF(ISBLANK(A167),"",K167/($M$1+SUM(K$3:K166)))</f>
        <v>0.0112589926354329</v>
      </c>
      <c r="N167" s="0" t="n">
        <f aca="false">IF(ISBLANK(A167),"",IF(H168=0,NETWORKDAYS($H$3,H167,holiday!$B$2:$B$10),IF(DAY(H167)&lt;DAY(H168),NETWORKDAYS($H$3,H167,holiday!$B$2:$B$10),0)))</f>
        <v>0</v>
      </c>
      <c r="O167" s="0" t="n">
        <f aca="false">IF(ISBLANK(A167),"",SUMIF($A$3:$A167,O$2,$B$3:$B167))</f>
        <v>500</v>
      </c>
      <c r="P167" s="0" t="n">
        <f aca="false">IF(ISBLANK(A167),"",SUMIF($A$3:$A167,P$2,$B$3:$B167))</f>
        <v>-1100</v>
      </c>
      <c r="Q167" s="0" t="n">
        <f aca="false">IF(ISBLANK(A167),"",SUMIF($A$3:$A167,Q$2,$B$3:$B167))</f>
        <v>-300</v>
      </c>
      <c r="R167" s="0" t="n">
        <f aca="false">IF(ISBLANK(A167),"",SUMIF($A$3:$A167,R$2,$B$3:$B167))</f>
        <v>0</v>
      </c>
      <c r="T167" s="0" t="n">
        <f aca="false">IF(ISBLANK(A167),"",IF($A167=T$2,$C167,T166))</f>
        <v>47.9</v>
      </c>
      <c r="U167" s="0" t="n">
        <f aca="false">IF(ISBLANK(A167),"",IF($A167=U$2,$C167,U166))</f>
        <v>22.75</v>
      </c>
      <c r="V167" s="0" t="n">
        <f aca="false">IF(ISBLANK(A167),"",IF($A167=V$2,$C167,V166))</f>
        <v>52.1292857142857</v>
      </c>
      <c r="W167" s="0" t="n">
        <f aca="false">IF(ISBLANK(A167),"",IF($A167=W$2,$C167,W166))</f>
        <v>0</v>
      </c>
    </row>
    <row r="168" customFormat="false" ht="12.8" hidden="false" customHeight="false" outlineLevel="0" collapsed="false">
      <c r="A168" s="0" t="n">
        <v>980</v>
      </c>
      <c r="B168" s="0" t="n">
        <v>-100</v>
      </c>
      <c r="C168" s="0" t="n">
        <v>22.75</v>
      </c>
      <c r="D168" s="0" t="s">
        <v>176</v>
      </c>
      <c r="H168" s="8" t="n">
        <f aca="false">IF(ISBLANK(D168),,LEFT(D168,LEN(D168)-6)*1)</f>
        <v>38721.7344328704</v>
      </c>
      <c r="I168" s="9" t="n">
        <f aca="false">IF(ISBLANK(A168),"",-B168*C168)</f>
        <v>2275</v>
      </c>
      <c r="J168" s="9" t="n">
        <f aca="false">IF(ISBLANK(A168),"",-SUM(I$3:I168))</f>
        <v>-20487.8475203718</v>
      </c>
      <c r="K168" s="0" t="n">
        <f aca="false">IF(ISBLANK(A168),"",SUMPRODUCT(O168:R168,T168:W168)-J168)</f>
        <v>1499.06180608606</v>
      </c>
      <c r="L168" s="0" t="n">
        <f aca="false">IF(ISBLANK(A168),"",K168/$M$1)</f>
        <v>0.0249843634347677</v>
      </c>
      <c r="M168" s="0" t="n">
        <f aca="false">IF(ISBLANK(A168),"",K168/($M$1+SUM(K$3:K167)))</f>
        <v>0.011133639075081</v>
      </c>
      <c r="N168" s="0" t="n">
        <f aca="false">IF(ISBLANK(A168),"",IF(H169=0,NETWORKDAYS($H$3,H168,holiday!$B$2:$B$10),IF(DAY(H168)&lt;DAY(H169),NETWORKDAYS($H$3,H168,holiday!$B$2:$B$10),0)))</f>
        <v>0</v>
      </c>
      <c r="O168" s="0" t="n">
        <f aca="false">IF(ISBLANK(A168),"",SUMIF($A$3:$A168,O$2,$B$3:$B168))</f>
        <v>500</v>
      </c>
      <c r="P168" s="0" t="n">
        <f aca="false">IF(ISBLANK(A168),"",SUMIF($A$3:$A168,P$2,$B$3:$B168))</f>
        <v>-1200</v>
      </c>
      <c r="Q168" s="0" t="n">
        <f aca="false">IF(ISBLANK(A168),"",SUMIF($A$3:$A168,Q$2,$B$3:$B168))</f>
        <v>-300</v>
      </c>
      <c r="R168" s="0" t="n">
        <f aca="false">IF(ISBLANK(A168),"",SUMIF($A$3:$A168,R$2,$B$3:$B168))</f>
        <v>0</v>
      </c>
      <c r="T168" s="0" t="n">
        <f aca="false">IF(ISBLANK(A168),"",IF($A168=T$2,$C168,T167))</f>
        <v>47.9</v>
      </c>
      <c r="U168" s="0" t="n">
        <f aca="false">IF(ISBLANK(A168),"",IF($A168=U$2,$C168,U167))</f>
        <v>22.75</v>
      </c>
      <c r="V168" s="0" t="n">
        <f aca="false">IF(ISBLANK(A168),"",IF($A168=V$2,$C168,V167))</f>
        <v>52.1292857142857</v>
      </c>
      <c r="W168" s="0" t="n">
        <f aca="false">IF(ISBLANK(A168),"",IF($A168=W$2,$C168,W167))</f>
        <v>0</v>
      </c>
    </row>
    <row r="169" customFormat="false" ht="12.8" hidden="false" customHeight="false" outlineLevel="0" collapsed="false">
      <c r="A169" s="0" t="n">
        <v>980</v>
      </c>
      <c r="B169" s="0" t="n">
        <v>-100</v>
      </c>
      <c r="C169" s="0" t="n">
        <v>22.75</v>
      </c>
      <c r="D169" s="0" t="s">
        <v>177</v>
      </c>
      <c r="H169" s="8" t="n">
        <f aca="false">IF(ISBLANK(D169),,LEFT(D169,LEN(D169)-6)*1)</f>
        <v>38721.7348263889</v>
      </c>
      <c r="I169" s="9" t="n">
        <f aca="false">IF(ISBLANK(A169),"",-B169*C169)</f>
        <v>2275</v>
      </c>
      <c r="J169" s="9" t="n">
        <f aca="false">IF(ISBLANK(A169),"",-SUM(I$3:I169))</f>
        <v>-22762.8475203718</v>
      </c>
      <c r="K169" s="0" t="n">
        <f aca="false">IF(ISBLANK(A169),"",SUMPRODUCT(O169:R169,T169:W169)-J169)</f>
        <v>1499.06180608606</v>
      </c>
      <c r="L169" s="0" t="n">
        <f aca="false">IF(ISBLANK(A169),"",K169/$M$1)</f>
        <v>0.0249843634347677</v>
      </c>
      <c r="M169" s="0" t="n">
        <f aca="false">IF(ISBLANK(A169),"",K169/($M$1+SUM(K$3:K168)))</f>
        <v>0.0110110460623833</v>
      </c>
      <c r="N169" s="0" t="n">
        <f aca="false">IF(ISBLANK(A169),"",IF(H170=0,NETWORKDAYS($H$3,H169,holiday!$B$2:$B$10),IF(DAY(H169)&lt;DAY(H170),NETWORKDAYS($H$3,H169,holiday!$B$2:$B$10),0)))</f>
        <v>0</v>
      </c>
      <c r="O169" s="0" t="n">
        <f aca="false">IF(ISBLANK(A169),"",SUMIF($A$3:$A169,O$2,$B$3:$B169))</f>
        <v>500</v>
      </c>
      <c r="P169" s="0" t="n">
        <f aca="false">IF(ISBLANK(A169),"",SUMIF($A$3:$A169,P$2,$B$3:$B169))</f>
        <v>-1300</v>
      </c>
      <c r="Q169" s="0" t="n">
        <f aca="false">IF(ISBLANK(A169),"",SUMIF($A$3:$A169,Q$2,$B$3:$B169))</f>
        <v>-300</v>
      </c>
      <c r="R169" s="0" t="n">
        <f aca="false">IF(ISBLANK(A169),"",SUMIF($A$3:$A169,R$2,$B$3:$B169))</f>
        <v>0</v>
      </c>
      <c r="T169" s="0" t="n">
        <f aca="false">IF(ISBLANK(A169),"",IF($A169=T$2,$C169,T168))</f>
        <v>47.9</v>
      </c>
      <c r="U169" s="0" t="n">
        <f aca="false">IF(ISBLANK(A169),"",IF($A169=U$2,$C169,U168))</f>
        <v>22.75</v>
      </c>
      <c r="V169" s="0" t="n">
        <f aca="false">IF(ISBLANK(A169),"",IF($A169=V$2,$C169,V168))</f>
        <v>52.1292857142857</v>
      </c>
      <c r="W169" s="0" t="n">
        <f aca="false">IF(ISBLANK(A169),"",IF($A169=W$2,$C169,W168))</f>
        <v>0</v>
      </c>
    </row>
    <row r="170" customFormat="false" ht="12.8" hidden="false" customHeight="false" outlineLevel="0" collapsed="false">
      <c r="A170" s="0" t="n">
        <v>980</v>
      </c>
      <c r="B170" s="0" t="n">
        <v>-100</v>
      </c>
      <c r="C170" s="0" t="n">
        <v>22.9</v>
      </c>
      <c r="D170" s="0" t="s">
        <v>178</v>
      </c>
      <c r="H170" s="8" t="n">
        <f aca="false">IF(ISBLANK(D170),,LEFT(D170,LEN(D170)-6)*1)</f>
        <v>38721.7356481481</v>
      </c>
      <c r="I170" s="9" t="n">
        <f aca="false">IF(ISBLANK(A170),"",-B170*C170)</f>
        <v>2290</v>
      </c>
      <c r="J170" s="9" t="n">
        <f aca="false">IF(ISBLANK(A170),"",-SUM(I$3:I170))</f>
        <v>-25052.8475203718</v>
      </c>
      <c r="K170" s="0" t="n">
        <f aca="false">IF(ISBLANK(A170),"",SUMPRODUCT(O170:R170,T170:W170)-J170)</f>
        <v>1304.06180608607</v>
      </c>
      <c r="L170" s="0" t="n">
        <f aca="false">IF(ISBLANK(A170),"",K170/$M$1)</f>
        <v>0.0217343634347678</v>
      </c>
      <c r="M170" s="0" t="n">
        <f aca="false">IF(ISBLANK(A170),"",K170/($M$1+SUM(K$3:K169)))</f>
        <v>0.00947439124583125</v>
      </c>
      <c r="N170" s="0" t="n">
        <f aca="false">IF(ISBLANK(A170),"",IF(H171=0,NETWORKDAYS($H$3,H170,holiday!$B$2:$B$10),IF(DAY(H170)&lt;DAY(H171),NETWORKDAYS($H$3,H170,holiday!$B$2:$B$10),0)))</f>
        <v>0</v>
      </c>
      <c r="O170" s="0" t="n">
        <f aca="false">IF(ISBLANK(A170),"",SUMIF($A$3:$A170,O$2,$B$3:$B170))</f>
        <v>500</v>
      </c>
      <c r="P170" s="0" t="n">
        <f aca="false">IF(ISBLANK(A170),"",SUMIF($A$3:$A170,P$2,$B$3:$B170))</f>
        <v>-1400</v>
      </c>
      <c r="Q170" s="0" t="n">
        <f aca="false">IF(ISBLANK(A170),"",SUMIF($A$3:$A170,Q$2,$B$3:$B170))</f>
        <v>-300</v>
      </c>
      <c r="R170" s="0" t="n">
        <f aca="false">IF(ISBLANK(A170),"",SUMIF($A$3:$A170,R$2,$B$3:$B170))</f>
        <v>0</v>
      </c>
      <c r="T170" s="0" t="n">
        <f aca="false">IF(ISBLANK(A170),"",IF($A170=T$2,$C170,T169))</f>
        <v>47.9</v>
      </c>
      <c r="U170" s="0" t="n">
        <f aca="false">IF(ISBLANK(A170),"",IF($A170=U$2,$C170,U169))</f>
        <v>22.9</v>
      </c>
      <c r="V170" s="0" t="n">
        <f aca="false">IF(ISBLANK(A170),"",IF($A170=V$2,$C170,V169))</f>
        <v>52.1292857142857</v>
      </c>
      <c r="W170" s="0" t="n">
        <f aca="false">IF(ISBLANK(A170),"",IF($A170=W$2,$C170,W169))</f>
        <v>0</v>
      </c>
    </row>
    <row r="171" customFormat="false" ht="12.8" hidden="false" customHeight="false" outlineLevel="0" collapsed="false">
      <c r="A171" s="0" t="n">
        <v>8370</v>
      </c>
      <c r="B171" s="0" t="n">
        <v>100</v>
      </c>
      <c r="C171" s="0" t="n">
        <v>47.64</v>
      </c>
      <c r="D171" s="0" t="s">
        <v>179</v>
      </c>
      <c r="H171" s="8" t="n">
        <f aca="false">IF(ISBLANK(D171),,LEFT(D171,LEN(D171)-6)*1)</f>
        <v>38721.7364583333</v>
      </c>
      <c r="I171" s="9" t="n">
        <f aca="false">IF(ISBLANK(A171),"",-B171*C171)</f>
        <v>-4764</v>
      </c>
      <c r="J171" s="9" t="n">
        <f aca="false">IF(ISBLANK(A171),"",-SUM(I$3:I171))</f>
        <v>-20288.8475203718</v>
      </c>
      <c r="K171" s="0" t="n">
        <f aca="false">IF(ISBLANK(A171),"",SUMPRODUCT(O171:R171,T171:W171)-J171)</f>
        <v>1174.06180608607</v>
      </c>
      <c r="L171" s="0" t="n">
        <f aca="false">IF(ISBLANK(A171),"",K171/$M$1)</f>
        <v>0.0195676967681011</v>
      </c>
      <c r="M171" s="0" t="n">
        <f aca="false">IF(ISBLANK(A171),"",K171/($M$1+SUM(K$3:K170)))</f>
        <v>0.00844984599549413</v>
      </c>
      <c r="N171" s="0" t="n">
        <f aca="false">IF(ISBLANK(A171),"",IF(H172=0,NETWORKDAYS($H$3,H171,holiday!$B$2:$B$10),IF(DAY(H171)&lt;DAY(H172),NETWORKDAYS($H$3,H171,holiday!$B$2:$B$10),0)))</f>
        <v>0</v>
      </c>
      <c r="O171" s="0" t="n">
        <f aca="false">IF(ISBLANK(A171),"",SUMIF($A$3:$A171,O$2,$B$3:$B171))</f>
        <v>600</v>
      </c>
      <c r="P171" s="0" t="n">
        <f aca="false">IF(ISBLANK(A171),"",SUMIF($A$3:$A171,P$2,$B$3:$B171))</f>
        <v>-1400</v>
      </c>
      <c r="Q171" s="0" t="n">
        <f aca="false">IF(ISBLANK(A171),"",SUMIF($A$3:$A171,Q$2,$B$3:$B171))</f>
        <v>-300</v>
      </c>
      <c r="R171" s="0" t="n">
        <f aca="false">IF(ISBLANK(A171),"",SUMIF($A$3:$A171,R$2,$B$3:$B171))</f>
        <v>0</v>
      </c>
      <c r="T171" s="0" t="n">
        <f aca="false">IF(ISBLANK(A171),"",IF($A171=T$2,$C171,T170))</f>
        <v>47.64</v>
      </c>
      <c r="U171" s="0" t="n">
        <f aca="false">IF(ISBLANK(A171),"",IF($A171=U$2,$C171,U170))</f>
        <v>22.9</v>
      </c>
      <c r="V171" s="0" t="n">
        <f aca="false">IF(ISBLANK(A171),"",IF($A171=V$2,$C171,V170))</f>
        <v>52.1292857142857</v>
      </c>
      <c r="W171" s="0" t="n">
        <f aca="false">IF(ISBLANK(A171),"",IF($A171=W$2,$C171,W170))</f>
        <v>0</v>
      </c>
    </row>
    <row r="172" customFormat="false" ht="12.8" hidden="false" customHeight="false" outlineLevel="0" collapsed="false">
      <c r="A172" s="0" t="n">
        <v>8370</v>
      </c>
      <c r="B172" s="0" t="n">
        <v>-100</v>
      </c>
      <c r="C172" s="0" t="n">
        <v>47.85</v>
      </c>
      <c r="D172" s="0" t="s">
        <v>180</v>
      </c>
      <c r="H172" s="8" t="n">
        <f aca="false">IF(ISBLANK(D172),,LEFT(D172,LEN(D172)-6)*1)</f>
        <v>38721.7379513889</v>
      </c>
      <c r="I172" s="9" t="n">
        <f aca="false">IF(ISBLANK(A172),"",-B172*C172)</f>
        <v>4785</v>
      </c>
      <c r="J172" s="9" t="n">
        <f aca="false">IF(ISBLANK(A172),"",-SUM(I$3:I172))</f>
        <v>-25073.8475203718</v>
      </c>
      <c r="K172" s="0" t="n">
        <f aca="false">IF(ISBLANK(A172),"",SUMPRODUCT(O172:R172,T172:W172)-J172)</f>
        <v>1300.06180608607</v>
      </c>
      <c r="L172" s="0" t="n">
        <f aca="false">IF(ISBLANK(A172),"",K172/$M$1)</f>
        <v>0.0216676967681011</v>
      </c>
      <c r="M172" s="0" t="n">
        <f aca="false">IF(ISBLANK(A172),"",K172/($M$1+SUM(K$3:K171)))</f>
        <v>0.00927828116785561</v>
      </c>
      <c r="N172" s="0" t="n">
        <f aca="false">IF(ISBLANK(A172),"",IF(H173=0,NETWORKDAYS($H$3,H172,holiday!$B$2:$B$10),IF(DAY(H172)&lt;DAY(H173),NETWORKDAYS($H$3,H172,holiday!$B$2:$B$10),0)))</f>
        <v>0</v>
      </c>
      <c r="O172" s="0" t="n">
        <f aca="false">IF(ISBLANK(A172),"",SUMIF($A$3:$A172,O$2,$B$3:$B172))</f>
        <v>500</v>
      </c>
      <c r="P172" s="0" t="n">
        <f aca="false">IF(ISBLANK(A172),"",SUMIF($A$3:$A172,P$2,$B$3:$B172))</f>
        <v>-1400</v>
      </c>
      <c r="Q172" s="0" t="n">
        <f aca="false">IF(ISBLANK(A172),"",SUMIF($A$3:$A172,Q$2,$B$3:$B172))</f>
        <v>-300</v>
      </c>
      <c r="R172" s="0" t="n">
        <f aca="false">IF(ISBLANK(A172),"",SUMIF($A$3:$A172,R$2,$B$3:$B172))</f>
        <v>0</v>
      </c>
      <c r="T172" s="0" t="n">
        <f aca="false">IF(ISBLANK(A172),"",IF($A172=T$2,$C172,T171))</f>
        <v>47.85</v>
      </c>
      <c r="U172" s="0" t="n">
        <f aca="false">IF(ISBLANK(A172),"",IF($A172=U$2,$C172,U171))</f>
        <v>22.9</v>
      </c>
      <c r="V172" s="0" t="n">
        <f aca="false">IF(ISBLANK(A172),"",IF($A172=V$2,$C172,V171))</f>
        <v>52.1292857142857</v>
      </c>
      <c r="W172" s="0" t="n">
        <f aca="false">IF(ISBLANK(A172),"",IF($A172=W$2,$C172,W171))</f>
        <v>0</v>
      </c>
    </row>
    <row r="173" customFormat="false" ht="12.8" hidden="false" customHeight="false" outlineLevel="0" collapsed="false">
      <c r="A173" s="0" t="n">
        <v>980</v>
      </c>
      <c r="B173" s="0" t="n">
        <v>-100</v>
      </c>
      <c r="C173" s="0" t="n">
        <v>22.75</v>
      </c>
      <c r="D173" s="0" t="s">
        <v>181</v>
      </c>
      <c r="H173" s="8" t="n">
        <f aca="false">IF(ISBLANK(D173),,LEFT(D173,LEN(D173)-6)*1)</f>
        <v>38721.7398148148</v>
      </c>
      <c r="I173" s="9" t="n">
        <f aca="false">IF(ISBLANK(A173),"",-B173*C173)</f>
        <v>2275</v>
      </c>
      <c r="J173" s="9" t="n">
        <f aca="false">IF(ISBLANK(A173),"",-SUM(I$3:I173))</f>
        <v>-27348.8475203718</v>
      </c>
      <c r="K173" s="0" t="n">
        <f aca="false">IF(ISBLANK(A173),"",SUMPRODUCT(O173:R173,T173:W173)-J173)</f>
        <v>1510.06180608606</v>
      </c>
      <c r="L173" s="0" t="n">
        <f aca="false">IF(ISBLANK(A173),"",K173/$M$1)</f>
        <v>0.025167696768101</v>
      </c>
      <c r="M173" s="0" t="n">
        <f aca="false">IF(ISBLANK(A173),"",K173/($M$1+SUM(K$3:K172)))</f>
        <v>0.010677936284056</v>
      </c>
      <c r="N173" s="0" t="n">
        <f aca="false">IF(ISBLANK(A173),"",IF(H174=0,NETWORKDAYS($H$3,H173,holiday!$B$2:$B$10),IF(DAY(H173)&lt;DAY(H174),NETWORKDAYS($H$3,H173,holiday!$B$2:$B$10),0)))</f>
        <v>0</v>
      </c>
      <c r="O173" s="0" t="n">
        <f aca="false">IF(ISBLANK(A173),"",SUMIF($A$3:$A173,O$2,$B$3:$B173))</f>
        <v>500</v>
      </c>
      <c r="P173" s="0" t="n">
        <f aca="false">IF(ISBLANK(A173),"",SUMIF($A$3:$A173,P$2,$B$3:$B173))</f>
        <v>-1500</v>
      </c>
      <c r="Q173" s="0" t="n">
        <f aca="false">IF(ISBLANK(A173),"",SUMIF($A$3:$A173,Q$2,$B$3:$B173))</f>
        <v>-300</v>
      </c>
      <c r="R173" s="0" t="n">
        <f aca="false">IF(ISBLANK(A173),"",SUMIF($A$3:$A173,R$2,$B$3:$B173))</f>
        <v>0</v>
      </c>
      <c r="T173" s="0" t="n">
        <f aca="false">IF(ISBLANK(A173),"",IF($A173=T$2,$C173,T172))</f>
        <v>47.85</v>
      </c>
      <c r="U173" s="0" t="n">
        <f aca="false">IF(ISBLANK(A173),"",IF($A173=U$2,$C173,U172))</f>
        <v>22.75</v>
      </c>
      <c r="V173" s="0" t="n">
        <f aca="false">IF(ISBLANK(A173),"",IF($A173=V$2,$C173,V172))</f>
        <v>52.1292857142857</v>
      </c>
      <c r="W173" s="0" t="n">
        <f aca="false">IF(ISBLANK(A173),"",IF($A173=W$2,$C173,W172))</f>
        <v>0</v>
      </c>
    </row>
    <row r="174" customFormat="false" ht="12.8" hidden="false" customHeight="false" outlineLevel="0" collapsed="false">
      <c r="A174" s="0" t="n">
        <v>8370</v>
      </c>
      <c r="B174" s="0" t="n">
        <v>100</v>
      </c>
      <c r="C174" s="0" t="n">
        <v>47.87</v>
      </c>
      <c r="D174" s="0" t="s">
        <v>182</v>
      </c>
      <c r="H174" s="8" t="n">
        <f aca="false">IF(ISBLANK(D174),,LEFT(D174,LEN(D174)-6)*1)</f>
        <v>38721.7475462963</v>
      </c>
      <c r="I174" s="9" t="n">
        <f aca="false">IF(ISBLANK(A174),"",-B174*C174)</f>
        <v>-4787</v>
      </c>
      <c r="J174" s="9" t="n">
        <f aca="false">IF(ISBLANK(A174),"",-SUM(I$3:I174))</f>
        <v>-22561.8475203718</v>
      </c>
      <c r="K174" s="0" t="n">
        <f aca="false">IF(ISBLANK(A174),"",SUMPRODUCT(O174:R174,T174:W174)-J174)</f>
        <v>1520.06180608606</v>
      </c>
      <c r="L174" s="0" t="n">
        <f aca="false">IF(ISBLANK(A174),"",K174/$M$1)</f>
        <v>0.0253343634347677</v>
      </c>
      <c r="M174" s="0" t="n">
        <f aca="false">IF(ISBLANK(A174),"",K174/($M$1+SUM(K$3:K173)))</f>
        <v>0.0106350874137821</v>
      </c>
      <c r="N174" s="0" t="n">
        <f aca="false">IF(ISBLANK(A174),"",IF(H175=0,NETWORKDAYS($H$3,H174,holiday!$B$2:$B$10),IF(DAY(H174)&lt;DAY(H175),NETWORKDAYS($H$3,H174,holiday!$B$2:$B$10),0)))</f>
        <v>0</v>
      </c>
      <c r="O174" s="0" t="n">
        <f aca="false">IF(ISBLANK(A174),"",SUMIF($A$3:$A174,O$2,$B$3:$B174))</f>
        <v>600</v>
      </c>
      <c r="P174" s="0" t="n">
        <f aca="false">IF(ISBLANK(A174),"",SUMIF($A$3:$A174,P$2,$B$3:$B174))</f>
        <v>-1500</v>
      </c>
      <c r="Q174" s="0" t="n">
        <f aca="false">IF(ISBLANK(A174),"",SUMIF($A$3:$A174,Q$2,$B$3:$B174))</f>
        <v>-300</v>
      </c>
      <c r="R174" s="0" t="n">
        <f aca="false">IF(ISBLANK(A174),"",SUMIF($A$3:$A174,R$2,$B$3:$B174))</f>
        <v>0</v>
      </c>
      <c r="T174" s="0" t="n">
        <f aca="false">IF(ISBLANK(A174),"",IF($A174=T$2,$C174,T173))</f>
        <v>47.87</v>
      </c>
      <c r="U174" s="0" t="n">
        <f aca="false">IF(ISBLANK(A174),"",IF($A174=U$2,$C174,U173))</f>
        <v>22.75</v>
      </c>
      <c r="V174" s="0" t="n">
        <f aca="false">IF(ISBLANK(A174),"",IF($A174=V$2,$C174,V173))</f>
        <v>52.1292857142857</v>
      </c>
      <c r="W174" s="0" t="n">
        <f aca="false">IF(ISBLANK(A174),"",IF($A174=W$2,$C174,W173))</f>
        <v>0</v>
      </c>
    </row>
    <row r="175" customFormat="false" ht="12.8" hidden="false" customHeight="false" outlineLevel="0" collapsed="false">
      <c r="A175" s="0" t="n">
        <v>8370</v>
      </c>
      <c r="B175" s="0" t="n">
        <v>100</v>
      </c>
      <c r="C175" s="0" t="n">
        <v>47.89</v>
      </c>
      <c r="D175" s="0" t="s">
        <v>183</v>
      </c>
      <c r="H175" s="8" t="n">
        <f aca="false">IF(ISBLANK(D175),,LEFT(D175,LEN(D175)-6)*1)</f>
        <v>38721.7544328704</v>
      </c>
      <c r="I175" s="9" t="n">
        <f aca="false">IF(ISBLANK(A175),"",-B175*C175)</f>
        <v>-4789</v>
      </c>
      <c r="J175" s="9" t="n">
        <f aca="false">IF(ISBLANK(A175),"",-SUM(I$3:I175))</f>
        <v>-17772.8475203718</v>
      </c>
      <c r="K175" s="0" t="n">
        <f aca="false">IF(ISBLANK(A175),"",SUMPRODUCT(O175:R175,T175:W175)-J175)</f>
        <v>1532.06180608606</v>
      </c>
      <c r="L175" s="0" t="n">
        <f aca="false">IF(ISBLANK(A175),"",K175/$M$1)</f>
        <v>0.0255343634347677</v>
      </c>
      <c r="M175" s="0" t="n">
        <f aca="false">IF(ISBLANK(A175),"",K175/($M$1+SUM(K$3:K174)))</f>
        <v>0.0106062468538997</v>
      </c>
      <c r="N175" s="0" t="n">
        <f aca="false">IF(ISBLANK(A175),"",IF(H176=0,NETWORKDAYS($H$3,H175,holiday!$B$2:$B$10),IF(DAY(H175)&lt;DAY(H176),NETWORKDAYS($H$3,H175,holiday!$B$2:$B$10),0)))</f>
        <v>0</v>
      </c>
      <c r="O175" s="0" t="n">
        <f aca="false">IF(ISBLANK(A175),"",SUMIF($A$3:$A175,O$2,$B$3:$B175))</f>
        <v>700</v>
      </c>
      <c r="P175" s="0" t="n">
        <f aca="false">IF(ISBLANK(A175),"",SUMIF($A$3:$A175,P$2,$B$3:$B175))</f>
        <v>-1500</v>
      </c>
      <c r="Q175" s="0" t="n">
        <f aca="false">IF(ISBLANK(A175),"",SUMIF($A$3:$A175,Q$2,$B$3:$B175))</f>
        <v>-300</v>
      </c>
      <c r="R175" s="0" t="n">
        <f aca="false">IF(ISBLANK(A175),"",SUMIF($A$3:$A175,R$2,$B$3:$B175))</f>
        <v>0</v>
      </c>
      <c r="T175" s="0" t="n">
        <f aca="false">IF(ISBLANK(A175),"",IF($A175=T$2,$C175,T174))</f>
        <v>47.89</v>
      </c>
      <c r="U175" s="0" t="n">
        <f aca="false">IF(ISBLANK(A175),"",IF($A175=U$2,$C175,U174))</f>
        <v>22.75</v>
      </c>
      <c r="V175" s="0" t="n">
        <f aca="false">IF(ISBLANK(A175),"",IF($A175=V$2,$C175,V174))</f>
        <v>52.1292857142857</v>
      </c>
      <c r="W175" s="0" t="n">
        <f aca="false">IF(ISBLANK(A175),"",IF($A175=W$2,$C175,W174))</f>
        <v>0</v>
      </c>
    </row>
    <row r="176" customFormat="false" ht="12.8" hidden="false" customHeight="false" outlineLevel="0" collapsed="false">
      <c r="A176" s="0" t="n">
        <v>8370</v>
      </c>
      <c r="B176" s="0" t="n">
        <v>100</v>
      </c>
      <c r="C176" s="0" t="n">
        <v>47.87</v>
      </c>
      <c r="D176" s="0" t="s">
        <v>184</v>
      </c>
      <c r="H176" s="8" t="n">
        <f aca="false">IF(ISBLANK(D176),,LEFT(D176,LEN(D176)-6)*1)</f>
        <v>38721.7567592593</v>
      </c>
      <c r="I176" s="9" t="n">
        <f aca="false">IF(ISBLANK(A176),"",-B176*C176)</f>
        <v>-4787</v>
      </c>
      <c r="J176" s="9" t="n">
        <f aca="false">IF(ISBLANK(A176),"",-SUM(I$3:I176))</f>
        <v>-12985.8475203718</v>
      </c>
      <c r="K176" s="0" t="n">
        <f aca="false">IF(ISBLANK(A176),"",SUMPRODUCT(O176:R176,T176:W176)-J176)</f>
        <v>1518.06180608606</v>
      </c>
      <c r="L176" s="0" t="n">
        <f aca="false">IF(ISBLANK(A176),"",K176/$M$1)</f>
        <v>0.0253010301014344</v>
      </c>
      <c r="M176" s="0" t="n">
        <f aca="false">IF(ISBLANK(A176),"",K176/($M$1+SUM(K$3:K175)))</f>
        <v>0.0103990321352511</v>
      </c>
      <c r="N176" s="0" t="n">
        <f aca="false">IF(ISBLANK(A176),"",IF(H177=0,NETWORKDAYS($H$3,H176,holiday!$B$2:$B$10),IF(DAY(H176)&lt;DAY(H177),NETWORKDAYS($H$3,H176,holiday!$B$2:$B$10),0)))</f>
        <v>0</v>
      </c>
      <c r="O176" s="0" t="n">
        <f aca="false">IF(ISBLANK(A176),"",SUMIF($A$3:$A176,O$2,$B$3:$B176))</f>
        <v>800</v>
      </c>
      <c r="P176" s="0" t="n">
        <f aca="false">IF(ISBLANK(A176),"",SUMIF($A$3:$A176,P$2,$B$3:$B176))</f>
        <v>-1500</v>
      </c>
      <c r="Q176" s="0" t="n">
        <f aca="false">IF(ISBLANK(A176),"",SUMIF($A$3:$A176,Q$2,$B$3:$B176))</f>
        <v>-300</v>
      </c>
      <c r="R176" s="0" t="n">
        <f aca="false">IF(ISBLANK(A176),"",SUMIF($A$3:$A176,R$2,$B$3:$B176))</f>
        <v>0</v>
      </c>
      <c r="T176" s="0" t="n">
        <f aca="false">IF(ISBLANK(A176),"",IF($A176=T$2,$C176,T175))</f>
        <v>47.87</v>
      </c>
      <c r="U176" s="0" t="n">
        <f aca="false">IF(ISBLANK(A176),"",IF($A176=U$2,$C176,U175))</f>
        <v>22.75</v>
      </c>
      <c r="V176" s="0" t="n">
        <f aca="false">IF(ISBLANK(A176),"",IF($A176=V$2,$C176,V175))</f>
        <v>52.1292857142857</v>
      </c>
      <c r="W176" s="0" t="n">
        <f aca="false">IF(ISBLANK(A176),"",IF($A176=W$2,$C176,W175))</f>
        <v>0</v>
      </c>
    </row>
    <row r="177" customFormat="false" ht="12.8" hidden="false" customHeight="false" outlineLevel="0" collapsed="false">
      <c r="A177" s="0" t="n">
        <v>8370</v>
      </c>
      <c r="B177" s="0" t="n">
        <v>100</v>
      </c>
      <c r="C177" s="0" t="n">
        <v>47.84</v>
      </c>
      <c r="D177" s="0" t="s">
        <v>185</v>
      </c>
      <c r="H177" s="8" t="n">
        <f aca="false">IF(ISBLANK(D177),,LEFT(D177,LEN(D177)-6)*1)</f>
        <v>38721.7577662037</v>
      </c>
      <c r="I177" s="9" t="n">
        <f aca="false">IF(ISBLANK(A177),"",-B177*C177)</f>
        <v>-4784</v>
      </c>
      <c r="J177" s="9" t="n">
        <f aca="false">IF(ISBLANK(A177),"",-SUM(I$3:I177))</f>
        <v>-8201.84752037177</v>
      </c>
      <c r="K177" s="0" t="n">
        <f aca="false">IF(ISBLANK(A177),"",SUMPRODUCT(O177:R177,T177:W177)-J177)</f>
        <v>1494.06180608606</v>
      </c>
      <c r="L177" s="0" t="n">
        <f aca="false">IF(ISBLANK(A177),"",K177/$M$1)</f>
        <v>0.0249010301014344</v>
      </c>
      <c r="M177" s="0" t="n">
        <f aca="false">IF(ISBLANK(A177),"",K177/($M$1+SUM(K$3:K176)))</f>
        <v>0.0101292924164663</v>
      </c>
      <c r="N177" s="0" t="n">
        <f aca="false">IF(ISBLANK(A177),"",IF(H178=0,NETWORKDAYS($H$3,H177,holiday!$B$2:$B$10),IF(DAY(H177)&lt;DAY(H178),NETWORKDAYS($H$3,H177,holiday!$B$2:$B$10),0)))</f>
        <v>0</v>
      </c>
      <c r="O177" s="0" t="n">
        <f aca="false">IF(ISBLANK(A177),"",SUMIF($A$3:$A177,O$2,$B$3:$B177))</f>
        <v>900</v>
      </c>
      <c r="P177" s="0" t="n">
        <f aca="false">IF(ISBLANK(A177),"",SUMIF($A$3:$A177,P$2,$B$3:$B177))</f>
        <v>-1500</v>
      </c>
      <c r="Q177" s="0" t="n">
        <f aca="false">IF(ISBLANK(A177),"",SUMIF($A$3:$A177,Q$2,$B$3:$B177))</f>
        <v>-300</v>
      </c>
      <c r="R177" s="0" t="n">
        <f aca="false">IF(ISBLANK(A177),"",SUMIF($A$3:$A177,R$2,$B$3:$B177))</f>
        <v>0</v>
      </c>
      <c r="T177" s="0" t="n">
        <f aca="false">IF(ISBLANK(A177),"",IF($A177=T$2,$C177,T176))</f>
        <v>47.84</v>
      </c>
      <c r="U177" s="0" t="n">
        <f aca="false">IF(ISBLANK(A177),"",IF($A177=U$2,$C177,U176))</f>
        <v>22.75</v>
      </c>
      <c r="V177" s="0" t="n">
        <f aca="false">IF(ISBLANK(A177),"",IF($A177=V$2,$C177,V176))</f>
        <v>52.1292857142857</v>
      </c>
      <c r="W177" s="0" t="n">
        <f aca="false">IF(ISBLANK(A177),"",IF($A177=W$2,$C177,W176))</f>
        <v>0</v>
      </c>
    </row>
    <row r="178" customFormat="false" ht="12.8" hidden="false" customHeight="false" outlineLevel="0" collapsed="false">
      <c r="A178" s="0" t="n">
        <v>8370</v>
      </c>
      <c r="B178" s="0" t="n">
        <v>100</v>
      </c>
      <c r="C178" s="0" t="n">
        <v>47.89</v>
      </c>
      <c r="D178" s="0" t="s">
        <v>186</v>
      </c>
      <c r="H178" s="8" t="n">
        <f aca="false">IF(ISBLANK(D178),,LEFT(D178,LEN(D178)-6)*1)</f>
        <v>38721.760474537</v>
      </c>
      <c r="I178" s="9" t="n">
        <f aca="false">IF(ISBLANK(A178),"",-B178*C178)</f>
        <v>-4789</v>
      </c>
      <c r="J178" s="9" t="n">
        <f aca="false">IF(ISBLANK(A178),"",-SUM(I$3:I178))</f>
        <v>-3412.84752037177</v>
      </c>
      <c r="K178" s="0" t="n">
        <f aca="false">IF(ISBLANK(A178),"",SUMPRODUCT(O178:R178,T178:W178)-J178)</f>
        <v>1539.06180608606</v>
      </c>
      <c r="L178" s="0" t="n">
        <f aca="false">IF(ISBLANK(A178),"",K178/$M$1)</f>
        <v>0.0256510301014344</v>
      </c>
      <c r="M178" s="0" t="n">
        <f aca="false">IF(ISBLANK(A178),"",K178/($M$1+SUM(K$3:K177)))</f>
        <v>0.0103297459470626</v>
      </c>
      <c r="N178" s="0" t="n">
        <f aca="false">IF(ISBLANK(A178),"",IF(H179=0,NETWORKDAYS($H$3,H178,holiday!$B$2:$B$10),IF(DAY(H178)&lt;DAY(H179),NETWORKDAYS($H$3,H178,holiday!$B$2:$B$10),0)))</f>
        <v>0</v>
      </c>
      <c r="O178" s="0" t="n">
        <f aca="false">IF(ISBLANK(A178),"",SUMIF($A$3:$A178,O$2,$B$3:$B178))</f>
        <v>1000</v>
      </c>
      <c r="P178" s="0" t="n">
        <f aca="false">IF(ISBLANK(A178),"",SUMIF($A$3:$A178,P$2,$B$3:$B178))</f>
        <v>-1500</v>
      </c>
      <c r="Q178" s="0" t="n">
        <f aca="false">IF(ISBLANK(A178),"",SUMIF($A$3:$A178,Q$2,$B$3:$B178))</f>
        <v>-300</v>
      </c>
      <c r="R178" s="0" t="n">
        <f aca="false">IF(ISBLANK(A178),"",SUMIF($A$3:$A178,R$2,$B$3:$B178))</f>
        <v>0</v>
      </c>
      <c r="T178" s="0" t="n">
        <f aca="false">IF(ISBLANK(A178),"",IF($A178=T$2,$C178,T177))</f>
        <v>47.89</v>
      </c>
      <c r="U178" s="0" t="n">
        <f aca="false">IF(ISBLANK(A178),"",IF($A178=U$2,$C178,U177))</f>
        <v>22.75</v>
      </c>
      <c r="V178" s="0" t="n">
        <f aca="false">IF(ISBLANK(A178),"",IF($A178=V$2,$C178,V177))</f>
        <v>52.1292857142857</v>
      </c>
      <c r="W178" s="0" t="n">
        <f aca="false">IF(ISBLANK(A178),"",IF($A178=W$2,$C178,W177))</f>
        <v>0</v>
      </c>
    </row>
    <row r="179" customFormat="false" ht="12.8" hidden="false" customHeight="false" outlineLevel="0" collapsed="false">
      <c r="A179" s="0" t="n">
        <v>980</v>
      </c>
      <c r="B179" s="0" t="n">
        <v>-100</v>
      </c>
      <c r="C179" s="0" t="n">
        <v>22.74</v>
      </c>
      <c r="D179" s="0" t="s">
        <v>187</v>
      </c>
      <c r="H179" s="8" t="n">
        <f aca="false">IF(ISBLANK(D179),,LEFT(D179,LEN(D179)-6)*1)</f>
        <v>38721.7609143518</v>
      </c>
      <c r="I179" s="9" t="n">
        <f aca="false">IF(ISBLANK(A179),"",-B179*C179)</f>
        <v>2274</v>
      </c>
      <c r="J179" s="9" t="n">
        <f aca="false">IF(ISBLANK(A179),"",-SUM(I$3:I179))</f>
        <v>-5686.84752037177</v>
      </c>
      <c r="K179" s="0" t="n">
        <f aca="false">IF(ISBLANK(A179),"",SUMPRODUCT(O179:R179,T179:W179)-J179)</f>
        <v>1554.06180608606</v>
      </c>
      <c r="L179" s="0" t="n">
        <f aca="false">IF(ISBLANK(A179),"",K179/$M$1)</f>
        <v>0.0259010301014344</v>
      </c>
      <c r="M179" s="0" t="n">
        <f aca="false">IF(ISBLANK(A179),"",K179/($M$1+SUM(K$3:K178)))</f>
        <v>0.010323779667812</v>
      </c>
      <c r="N179" s="0" t="n">
        <f aca="false">IF(ISBLANK(A179),"",IF(H180=0,NETWORKDAYS($H$3,H179,holiday!$B$2:$B$10),IF(DAY(H179)&lt;DAY(H180),NETWORKDAYS($H$3,H179,holiday!$B$2:$B$10),0)))</f>
        <v>0</v>
      </c>
      <c r="O179" s="0" t="n">
        <f aca="false">IF(ISBLANK(A179),"",SUMIF($A$3:$A179,O$2,$B$3:$B179))</f>
        <v>1000</v>
      </c>
      <c r="P179" s="0" t="n">
        <f aca="false">IF(ISBLANK(A179),"",SUMIF($A$3:$A179,P$2,$B$3:$B179))</f>
        <v>-1600</v>
      </c>
      <c r="Q179" s="0" t="n">
        <f aca="false">IF(ISBLANK(A179),"",SUMIF($A$3:$A179,Q$2,$B$3:$B179))</f>
        <v>-300</v>
      </c>
      <c r="R179" s="0" t="n">
        <f aca="false">IF(ISBLANK(A179),"",SUMIF($A$3:$A179,R$2,$B$3:$B179))</f>
        <v>0</v>
      </c>
      <c r="T179" s="0" t="n">
        <f aca="false">IF(ISBLANK(A179),"",IF($A179=T$2,$C179,T178))</f>
        <v>47.89</v>
      </c>
      <c r="U179" s="0" t="n">
        <f aca="false">IF(ISBLANK(A179),"",IF($A179=U$2,$C179,U178))</f>
        <v>22.74</v>
      </c>
      <c r="V179" s="0" t="n">
        <f aca="false">IF(ISBLANK(A179),"",IF($A179=V$2,$C179,V178))</f>
        <v>52.1292857142857</v>
      </c>
      <c r="W179" s="0" t="n">
        <f aca="false">IF(ISBLANK(A179),"",IF($A179=W$2,$C179,W178))</f>
        <v>0</v>
      </c>
    </row>
    <row r="180" customFormat="false" ht="12.8" hidden="false" customHeight="false" outlineLevel="0" collapsed="false">
      <c r="A180" s="0" t="n">
        <v>679</v>
      </c>
      <c r="B180" s="0" t="n">
        <v>-100</v>
      </c>
      <c r="C180" s="0" t="n">
        <v>52.08</v>
      </c>
      <c r="D180" s="0" t="s">
        <v>188</v>
      </c>
      <c r="H180" s="8" t="n">
        <f aca="false">IF(ISBLANK(D180),,LEFT(D180,LEN(D180)-6)*1)</f>
        <v>38721.764537037</v>
      </c>
      <c r="I180" s="9" t="n">
        <f aca="false">IF(ISBLANK(A180),"",-B180*C180)</f>
        <v>5208</v>
      </c>
      <c r="J180" s="9" t="n">
        <f aca="false">IF(ISBLANK(A180),"",-SUM(I$3:I180))</f>
        <v>-10894.8475203718</v>
      </c>
      <c r="K180" s="0" t="n">
        <f aca="false">IF(ISBLANK(A180),"",SUMPRODUCT(O180:R180,T180:W180)-J180)</f>
        <v>1568.84752037177</v>
      </c>
      <c r="L180" s="0" t="n">
        <f aca="false">IF(ISBLANK(A180),"",K180/$M$1)</f>
        <v>0.0261474586728629</v>
      </c>
      <c r="M180" s="0" t="n">
        <f aca="false">IF(ISBLANK(A180),"",K180/($M$1+SUM(K$3:K179)))</f>
        <v>0.0103155075402539</v>
      </c>
      <c r="N180" s="0" t="n">
        <f aca="false">IF(ISBLANK(A180),"",IF(H181=0,NETWORKDAYS($H$3,H180,holiday!$B$2:$B$10),IF(DAY(H180)&lt;DAY(H181),NETWORKDAYS($H$3,H180,holiday!$B$2:$B$10),0)))</f>
        <v>0</v>
      </c>
      <c r="O180" s="0" t="n">
        <f aca="false">IF(ISBLANK(A180),"",SUMIF($A$3:$A180,O$2,$B$3:$B180))</f>
        <v>1000</v>
      </c>
      <c r="P180" s="0" t="n">
        <f aca="false">IF(ISBLANK(A180),"",SUMIF($A$3:$A180,P$2,$B$3:$B180))</f>
        <v>-1600</v>
      </c>
      <c r="Q180" s="0" t="n">
        <f aca="false">IF(ISBLANK(A180),"",SUMIF($A$3:$A180,Q$2,$B$3:$B180))</f>
        <v>-400</v>
      </c>
      <c r="R180" s="0" t="n">
        <f aca="false">IF(ISBLANK(A180),"",SUMIF($A$3:$A180,R$2,$B$3:$B180))</f>
        <v>0</v>
      </c>
      <c r="T180" s="0" t="n">
        <f aca="false">IF(ISBLANK(A180),"",IF($A180=T$2,$C180,T179))</f>
        <v>47.89</v>
      </c>
      <c r="U180" s="0" t="n">
        <f aca="false">IF(ISBLANK(A180),"",IF($A180=U$2,$C180,U179))</f>
        <v>22.74</v>
      </c>
      <c r="V180" s="0" t="n">
        <f aca="false">IF(ISBLANK(A180),"",IF($A180=V$2,$C180,V179))</f>
        <v>52.08</v>
      </c>
      <c r="W180" s="0" t="n">
        <f aca="false">IF(ISBLANK(A180),"",IF($A180=W$2,$C180,W179))</f>
        <v>0</v>
      </c>
    </row>
    <row r="181" customFormat="false" ht="12.8" hidden="false" customHeight="false" outlineLevel="0" collapsed="false">
      <c r="A181" s="0" t="n">
        <v>679</v>
      </c>
      <c r="B181" s="0" t="n">
        <v>-100</v>
      </c>
      <c r="C181" s="0" t="n">
        <v>52.08</v>
      </c>
      <c r="D181" s="0" t="s">
        <v>189</v>
      </c>
      <c r="H181" s="8" t="n">
        <f aca="false">IF(ISBLANK(D181),,LEFT(D181,LEN(D181)-6)*1)</f>
        <v>38721.7664236111</v>
      </c>
      <c r="I181" s="9" t="n">
        <f aca="false">IF(ISBLANK(A181),"",-B181*C181)</f>
        <v>5208</v>
      </c>
      <c r="J181" s="9" t="n">
        <f aca="false">IF(ISBLANK(A181),"",-SUM(I$3:I181))</f>
        <v>-16102.8475203718</v>
      </c>
      <c r="K181" s="0" t="n">
        <f aca="false">IF(ISBLANK(A181),"",SUMPRODUCT(O181:R181,T181:W181)-J181)</f>
        <v>1568.84752037177</v>
      </c>
      <c r="L181" s="0" t="n">
        <f aca="false">IF(ISBLANK(A181),"",K181/$M$1)</f>
        <v>0.0261474586728629</v>
      </c>
      <c r="M181" s="0" t="n">
        <f aca="false">IF(ISBLANK(A181),"",K181/($M$1+SUM(K$3:K180)))</f>
        <v>0.0102101843070471</v>
      </c>
      <c r="N181" s="0" t="n">
        <f aca="false">IF(ISBLANK(A181),"",IF(H182=0,NETWORKDAYS($H$3,H181,holiday!$B$2:$B$10),IF(DAY(H181)&lt;DAY(H182),NETWORKDAYS($H$3,H181,holiday!$B$2:$B$10),0)))</f>
        <v>0</v>
      </c>
      <c r="O181" s="0" t="n">
        <f aca="false">IF(ISBLANK(A181),"",SUMIF($A$3:$A181,O$2,$B$3:$B181))</f>
        <v>1000</v>
      </c>
      <c r="P181" s="0" t="n">
        <f aca="false">IF(ISBLANK(A181),"",SUMIF($A$3:$A181,P$2,$B$3:$B181))</f>
        <v>-1600</v>
      </c>
      <c r="Q181" s="0" t="n">
        <f aca="false">IF(ISBLANK(A181),"",SUMIF($A$3:$A181,Q$2,$B$3:$B181))</f>
        <v>-500</v>
      </c>
      <c r="R181" s="0" t="n">
        <f aca="false">IF(ISBLANK(A181),"",SUMIF($A$3:$A181,R$2,$B$3:$B181))</f>
        <v>0</v>
      </c>
      <c r="T181" s="0" t="n">
        <f aca="false">IF(ISBLANK(A181),"",IF($A181=T$2,$C181,T180))</f>
        <v>47.89</v>
      </c>
      <c r="U181" s="0" t="n">
        <f aca="false">IF(ISBLANK(A181),"",IF($A181=U$2,$C181,U180))</f>
        <v>22.74</v>
      </c>
      <c r="V181" s="0" t="n">
        <f aca="false">IF(ISBLANK(A181),"",IF($A181=V$2,$C181,V180))</f>
        <v>52.08</v>
      </c>
      <c r="W181" s="0" t="n">
        <f aca="false">IF(ISBLANK(A181),"",IF($A181=W$2,$C181,W180))</f>
        <v>0</v>
      </c>
    </row>
    <row r="182" customFormat="false" ht="12.8" hidden="false" customHeight="false" outlineLevel="0" collapsed="false">
      <c r="A182" s="0" t="n">
        <v>980</v>
      </c>
      <c r="B182" s="0" t="n">
        <v>-100</v>
      </c>
      <c r="C182" s="0" t="n">
        <v>22.75</v>
      </c>
      <c r="D182" s="0" t="s">
        <v>190</v>
      </c>
      <c r="H182" s="8" t="n">
        <f aca="false">IF(ISBLANK(D182),,LEFT(D182,LEN(D182)-6)*1)</f>
        <v>38721.7672800926</v>
      </c>
      <c r="I182" s="9" t="n">
        <f aca="false">IF(ISBLANK(A182),"",-B182*C182)</f>
        <v>2275</v>
      </c>
      <c r="J182" s="9" t="n">
        <f aca="false">IF(ISBLANK(A182),"",-SUM(I$3:I182))</f>
        <v>-18377.8475203718</v>
      </c>
      <c r="K182" s="0" t="n">
        <f aca="false">IF(ISBLANK(A182),"",SUMPRODUCT(O182:R182,T182:W182)-J182)</f>
        <v>1552.84752037177</v>
      </c>
      <c r="L182" s="0" t="n">
        <f aca="false">IF(ISBLANK(A182),"",K182/$M$1)</f>
        <v>0.0258807920061962</v>
      </c>
      <c r="M182" s="0" t="n">
        <f aca="false">IF(ISBLANK(A182),"",K182/($M$1+SUM(K$3:K181)))</f>
        <v>0.0100039132379012</v>
      </c>
      <c r="N182" s="0" t="n">
        <f aca="false">IF(ISBLANK(A182),"",IF(H183=0,NETWORKDAYS($H$3,H182,holiday!$B$2:$B$10),IF(DAY(H182)&lt;DAY(H183),NETWORKDAYS($H$3,H182,holiday!$B$2:$B$10),0)))</f>
        <v>0</v>
      </c>
      <c r="O182" s="0" t="n">
        <f aca="false">IF(ISBLANK(A182),"",SUMIF($A$3:$A182,O$2,$B$3:$B182))</f>
        <v>1000</v>
      </c>
      <c r="P182" s="0" t="n">
        <f aca="false">IF(ISBLANK(A182),"",SUMIF($A$3:$A182,P$2,$B$3:$B182))</f>
        <v>-1700</v>
      </c>
      <c r="Q182" s="0" t="n">
        <f aca="false">IF(ISBLANK(A182),"",SUMIF($A$3:$A182,Q$2,$B$3:$B182))</f>
        <v>-500</v>
      </c>
      <c r="R182" s="0" t="n">
        <f aca="false">IF(ISBLANK(A182),"",SUMIF($A$3:$A182,R$2,$B$3:$B182))</f>
        <v>0</v>
      </c>
      <c r="T182" s="0" t="n">
        <f aca="false">IF(ISBLANK(A182),"",IF($A182=T$2,$C182,T181))</f>
        <v>47.89</v>
      </c>
      <c r="U182" s="0" t="n">
        <f aca="false">IF(ISBLANK(A182),"",IF($A182=U$2,$C182,U181))</f>
        <v>22.75</v>
      </c>
      <c r="V182" s="0" t="n">
        <f aca="false">IF(ISBLANK(A182),"",IF($A182=V$2,$C182,V181))</f>
        <v>52.08</v>
      </c>
      <c r="W182" s="0" t="n">
        <f aca="false">IF(ISBLANK(A182),"",IF($A182=W$2,$C182,W181))</f>
        <v>0</v>
      </c>
    </row>
    <row r="183" customFormat="false" ht="12.8" hidden="false" customHeight="false" outlineLevel="0" collapsed="false">
      <c r="A183" s="0" t="n">
        <v>980</v>
      </c>
      <c r="B183" s="0" t="n">
        <v>-100</v>
      </c>
      <c r="C183" s="0" t="n">
        <v>22.75</v>
      </c>
      <c r="D183" s="0" t="s">
        <v>191</v>
      </c>
      <c r="H183" s="8" t="n">
        <f aca="false">IF(ISBLANK(D183),,LEFT(D183,LEN(D183)-6)*1)</f>
        <v>38721.7676967593</v>
      </c>
      <c r="I183" s="9" t="n">
        <f aca="false">IF(ISBLANK(A183),"",-B183*C183)</f>
        <v>2275</v>
      </c>
      <c r="J183" s="9" t="n">
        <f aca="false">IF(ISBLANK(A183),"",-SUM(I$3:I183))</f>
        <v>-20652.8475203718</v>
      </c>
      <c r="K183" s="0" t="n">
        <f aca="false">IF(ISBLANK(A183),"",SUMPRODUCT(O183:R183,T183:W183)-J183)</f>
        <v>1552.84752037177</v>
      </c>
      <c r="L183" s="0" t="n">
        <f aca="false">IF(ISBLANK(A183),"",K183/$M$1)</f>
        <v>0.0258807920061962</v>
      </c>
      <c r="M183" s="0" t="n">
        <f aca="false">IF(ISBLANK(A183),"",K183/($M$1+SUM(K$3:K182)))</f>
        <v>0.00990482621580187</v>
      </c>
      <c r="N183" s="0" t="n">
        <f aca="false">IF(ISBLANK(A183),"",IF(H184=0,NETWORKDAYS($H$3,H183,holiday!$B$2:$B$10),IF(DAY(H183)&lt;DAY(H184),NETWORKDAYS($H$3,H183,holiday!$B$2:$B$10),0)))</f>
        <v>0</v>
      </c>
      <c r="O183" s="0" t="n">
        <f aca="false">IF(ISBLANK(A183),"",SUMIF($A$3:$A183,O$2,$B$3:$B183))</f>
        <v>1000</v>
      </c>
      <c r="P183" s="0" t="n">
        <f aca="false">IF(ISBLANK(A183),"",SUMIF($A$3:$A183,P$2,$B$3:$B183))</f>
        <v>-1800</v>
      </c>
      <c r="Q183" s="0" t="n">
        <f aca="false">IF(ISBLANK(A183),"",SUMIF($A$3:$A183,Q$2,$B$3:$B183))</f>
        <v>-500</v>
      </c>
      <c r="R183" s="0" t="n">
        <f aca="false">IF(ISBLANK(A183),"",SUMIF($A$3:$A183,R$2,$B$3:$B183))</f>
        <v>0</v>
      </c>
      <c r="T183" s="0" t="n">
        <f aca="false">IF(ISBLANK(A183),"",IF($A183=T$2,$C183,T182))</f>
        <v>47.89</v>
      </c>
      <c r="U183" s="0" t="n">
        <f aca="false">IF(ISBLANK(A183),"",IF($A183=U$2,$C183,U182))</f>
        <v>22.75</v>
      </c>
      <c r="V183" s="0" t="n">
        <f aca="false">IF(ISBLANK(A183),"",IF($A183=V$2,$C183,V182))</f>
        <v>52.08</v>
      </c>
      <c r="W183" s="0" t="n">
        <f aca="false">IF(ISBLANK(A183),"",IF($A183=W$2,$C183,W182))</f>
        <v>0</v>
      </c>
    </row>
    <row r="184" customFormat="false" ht="12.8" hidden="false" customHeight="false" outlineLevel="0" collapsed="false">
      <c r="A184" s="0" t="n">
        <v>8370</v>
      </c>
      <c r="B184" s="0" t="n">
        <v>-100</v>
      </c>
      <c r="C184" s="0" t="n">
        <v>48.05</v>
      </c>
      <c r="D184" s="0" t="s">
        <v>192</v>
      </c>
      <c r="H184" s="8" t="n">
        <f aca="false">IF(ISBLANK(D184),,LEFT(D184,LEN(D184)-6)*1)</f>
        <v>38721.7678819444</v>
      </c>
      <c r="I184" s="9" t="n">
        <f aca="false">IF(ISBLANK(A184),"",-B184*C184)</f>
        <v>4805</v>
      </c>
      <c r="J184" s="9" t="n">
        <f aca="false">IF(ISBLANK(A184),"",-SUM(I$3:I184))</f>
        <v>-25457.8475203718</v>
      </c>
      <c r="K184" s="0" t="n">
        <f aca="false">IF(ISBLANK(A184),"",SUMPRODUCT(O184:R184,T184:W184)-J184)</f>
        <v>1712.84752037177</v>
      </c>
      <c r="L184" s="0" t="n">
        <f aca="false">IF(ISBLANK(A184),"",K184/$M$1)</f>
        <v>0.0285474586728629</v>
      </c>
      <c r="M184" s="0" t="n">
        <f aca="false">IF(ISBLANK(A184),"",K184/($M$1+SUM(K$3:K183)))</f>
        <v>0.0108182323001125</v>
      </c>
      <c r="N184" s="0" t="n">
        <f aca="false">IF(ISBLANK(A184),"",IF(H185=0,NETWORKDAYS($H$3,H184,holiday!$B$2:$B$10),IF(DAY(H184)&lt;DAY(H185),NETWORKDAYS($H$3,H184,holiday!$B$2:$B$10),0)))</f>
        <v>0</v>
      </c>
      <c r="O184" s="0" t="n">
        <f aca="false">IF(ISBLANK(A184),"",SUMIF($A$3:$A184,O$2,$B$3:$B184))</f>
        <v>900</v>
      </c>
      <c r="P184" s="0" t="n">
        <f aca="false">IF(ISBLANK(A184),"",SUMIF($A$3:$A184,P$2,$B$3:$B184))</f>
        <v>-1800</v>
      </c>
      <c r="Q184" s="0" t="n">
        <f aca="false">IF(ISBLANK(A184),"",SUMIF($A$3:$A184,Q$2,$B$3:$B184))</f>
        <v>-500</v>
      </c>
      <c r="R184" s="0" t="n">
        <f aca="false">IF(ISBLANK(A184),"",SUMIF($A$3:$A184,R$2,$B$3:$B184))</f>
        <v>0</v>
      </c>
      <c r="T184" s="0" t="n">
        <f aca="false">IF(ISBLANK(A184),"",IF($A184=T$2,$C184,T183))</f>
        <v>48.05</v>
      </c>
      <c r="U184" s="0" t="n">
        <f aca="false">IF(ISBLANK(A184),"",IF($A184=U$2,$C184,U183))</f>
        <v>22.75</v>
      </c>
      <c r="V184" s="0" t="n">
        <f aca="false">IF(ISBLANK(A184),"",IF($A184=V$2,$C184,V183))</f>
        <v>52.08</v>
      </c>
      <c r="W184" s="0" t="n">
        <f aca="false">IF(ISBLANK(A184),"",IF($A184=W$2,$C184,W183))</f>
        <v>0</v>
      </c>
    </row>
    <row r="185" customFormat="false" ht="12.8" hidden="false" customHeight="false" outlineLevel="0" collapsed="false">
      <c r="A185" s="0" t="n">
        <v>980</v>
      </c>
      <c r="B185" s="0" t="n">
        <v>-100</v>
      </c>
      <c r="C185" s="0" t="n">
        <v>22.72</v>
      </c>
      <c r="D185" s="0" t="s">
        <v>193</v>
      </c>
      <c r="H185" s="8" t="n">
        <f aca="false">IF(ISBLANK(D185),,LEFT(D185,LEN(D185)-6)*1)</f>
        <v>38721.7771296296</v>
      </c>
      <c r="I185" s="9" t="n">
        <f aca="false">IF(ISBLANK(A185),"",-B185*C185)</f>
        <v>2272</v>
      </c>
      <c r="J185" s="9" t="n">
        <f aca="false">IF(ISBLANK(A185),"",-SUM(I$3:I185))</f>
        <v>-27729.8475203718</v>
      </c>
      <c r="K185" s="0" t="n">
        <f aca="false">IF(ISBLANK(A185),"",SUMPRODUCT(O185:R185,T185:W185)-J185)</f>
        <v>1766.84752037177</v>
      </c>
      <c r="L185" s="0" t="n">
        <f aca="false">IF(ISBLANK(A185),"",K185/$M$1)</f>
        <v>0.0294474586728629</v>
      </c>
      <c r="M185" s="0" t="n">
        <f aca="false">IF(ISBLANK(A185),"",K185/($M$1+SUM(K$3:K184)))</f>
        <v>0.0110398609685006</v>
      </c>
      <c r="N185" s="0" t="n">
        <f aca="false">IF(ISBLANK(A185),"",IF(H186=0,NETWORKDAYS($H$3,H185,holiday!$B$2:$B$10),IF(DAY(H185)&lt;DAY(H186),NETWORKDAYS($H$3,H185,holiday!$B$2:$B$10),0)))</f>
        <v>0</v>
      </c>
      <c r="O185" s="0" t="n">
        <f aca="false">IF(ISBLANK(A185),"",SUMIF($A$3:$A185,O$2,$B$3:$B185))</f>
        <v>900</v>
      </c>
      <c r="P185" s="0" t="n">
        <f aca="false">IF(ISBLANK(A185),"",SUMIF($A$3:$A185,P$2,$B$3:$B185))</f>
        <v>-1900</v>
      </c>
      <c r="Q185" s="0" t="n">
        <f aca="false">IF(ISBLANK(A185),"",SUMIF($A$3:$A185,Q$2,$B$3:$B185))</f>
        <v>-500</v>
      </c>
      <c r="R185" s="0" t="n">
        <f aca="false">IF(ISBLANK(A185),"",SUMIF($A$3:$A185,R$2,$B$3:$B185))</f>
        <v>0</v>
      </c>
      <c r="T185" s="0" t="n">
        <f aca="false">IF(ISBLANK(A185),"",IF($A185=T$2,$C185,T184))</f>
        <v>48.05</v>
      </c>
      <c r="U185" s="0" t="n">
        <f aca="false">IF(ISBLANK(A185),"",IF($A185=U$2,$C185,U184))</f>
        <v>22.72</v>
      </c>
      <c r="V185" s="0" t="n">
        <f aca="false">IF(ISBLANK(A185),"",IF($A185=V$2,$C185,V184))</f>
        <v>52.08</v>
      </c>
      <c r="W185" s="0" t="n">
        <f aca="false">IF(ISBLANK(A185),"",IF($A185=W$2,$C185,W184))</f>
        <v>0</v>
      </c>
    </row>
    <row r="186" customFormat="false" ht="12.8" hidden="false" customHeight="false" outlineLevel="0" collapsed="false">
      <c r="A186" s="0" t="n">
        <v>980</v>
      </c>
      <c r="B186" s="0" t="n">
        <v>100</v>
      </c>
      <c r="C186" s="0" t="n">
        <v>22.68</v>
      </c>
      <c r="D186" s="0" t="s">
        <v>194</v>
      </c>
      <c r="H186" s="8" t="n">
        <f aca="false">IF(ISBLANK(D186),,LEFT(D186,LEN(D186)-6)*1)</f>
        <v>38721.7782291667</v>
      </c>
      <c r="I186" s="9" t="n">
        <f aca="false">IF(ISBLANK(A186),"",-B186*C186)</f>
        <v>-2268</v>
      </c>
      <c r="J186" s="9" t="n">
        <f aca="false">IF(ISBLANK(A186),"",-SUM(I$3:I186))</f>
        <v>-25461.8475203718</v>
      </c>
      <c r="K186" s="0" t="n">
        <f aca="false">IF(ISBLANK(A186),"",SUMPRODUCT(O186:R186,T186:W186)-J186)</f>
        <v>1842.84752037177</v>
      </c>
      <c r="L186" s="0" t="n">
        <f aca="false">IF(ISBLANK(A186),"",K186/$M$1)</f>
        <v>0.0307141253395295</v>
      </c>
      <c r="M186" s="0" t="n">
        <f aca="false">IF(ISBLANK(A186),"",K186/($M$1+SUM(K$3:K185)))</f>
        <v>0.0113890016814447</v>
      </c>
      <c r="N186" s="0" t="n">
        <f aca="false">IF(ISBLANK(A186),"",IF(H187=0,NETWORKDAYS($H$3,H186,holiday!$B$2:$B$10),IF(DAY(H186)&lt;DAY(H187),NETWORKDAYS($H$3,H186,holiday!$B$2:$B$10),0)))</f>
        <v>0</v>
      </c>
      <c r="O186" s="0" t="n">
        <f aca="false">IF(ISBLANK(A186),"",SUMIF($A$3:$A186,O$2,$B$3:$B186))</f>
        <v>900</v>
      </c>
      <c r="P186" s="0" t="n">
        <f aca="false">IF(ISBLANK(A186),"",SUMIF($A$3:$A186,P$2,$B$3:$B186))</f>
        <v>-1800</v>
      </c>
      <c r="Q186" s="0" t="n">
        <f aca="false">IF(ISBLANK(A186),"",SUMIF($A$3:$A186,Q$2,$B$3:$B186))</f>
        <v>-500</v>
      </c>
      <c r="R186" s="0" t="n">
        <f aca="false">IF(ISBLANK(A186),"",SUMIF($A$3:$A186,R$2,$B$3:$B186))</f>
        <v>0</v>
      </c>
      <c r="T186" s="0" t="n">
        <f aca="false">IF(ISBLANK(A186),"",IF($A186=T$2,$C186,T185))</f>
        <v>48.05</v>
      </c>
      <c r="U186" s="0" t="n">
        <f aca="false">IF(ISBLANK(A186),"",IF($A186=U$2,$C186,U185))</f>
        <v>22.68</v>
      </c>
      <c r="V186" s="0" t="n">
        <f aca="false">IF(ISBLANK(A186),"",IF($A186=V$2,$C186,V185))</f>
        <v>52.08</v>
      </c>
      <c r="W186" s="0" t="n">
        <f aca="false">IF(ISBLANK(A186),"",IF($A186=W$2,$C186,W185))</f>
        <v>0</v>
      </c>
    </row>
    <row r="187" customFormat="false" ht="12.8" hidden="false" customHeight="false" outlineLevel="0" collapsed="false">
      <c r="A187" s="0" t="n">
        <v>679</v>
      </c>
      <c r="B187" s="0" t="n">
        <v>100</v>
      </c>
      <c r="C187" s="0" t="n">
        <v>52.05</v>
      </c>
      <c r="D187" s="0" t="s">
        <v>195</v>
      </c>
      <c r="H187" s="8" t="n">
        <f aca="false">IF(ISBLANK(D187),,LEFT(D187,LEN(D187)-6)*1)</f>
        <v>38721.7804861111</v>
      </c>
      <c r="I187" s="9" t="n">
        <f aca="false">IF(ISBLANK(A187),"",-B187*C187)</f>
        <v>-5205</v>
      </c>
      <c r="J187" s="9" t="n">
        <f aca="false">IF(ISBLANK(A187),"",-SUM(I$3:I187))</f>
        <v>-20256.8475203718</v>
      </c>
      <c r="K187" s="0" t="n">
        <f aca="false">IF(ISBLANK(A187),"",SUMPRODUCT(O187:R187,T187:W187)-J187)</f>
        <v>1857.84752037177</v>
      </c>
      <c r="L187" s="0" t="n">
        <f aca="false">IF(ISBLANK(A187),"",K187/$M$1)</f>
        <v>0.0309641253395295</v>
      </c>
      <c r="M187" s="0" t="n">
        <f aca="false">IF(ISBLANK(A187),"",K187/($M$1+SUM(K$3:K186)))</f>
        <v>0.0113524107172168</v>
      </c>
      <c r="N187" s="0" t="n">
        <f aca="false">IF(ISBLANK(A187),"",IF(H188=0,NETWORKDAYS($H$3,H187,holiday!$B$2:$B$10),IF(DAY(H187)&lt;DAY(H188),NETWORKDAYS($H$3,H187,holiday!$B$2:$B$10),0)))</f>
        <v>0</v>
      </c>
      <c r="O187" s="0" t="n">
        <f aca="false">IF(ISBLANK(A187),"",SUMIF($A$3:$A187,O$2,$B$3:$B187))</f>
        <v>900</v>
      </c>
      <c r="P187" s="0" t="n">
        <f aca="false">IF(ISBLANK(A187),"",SUMIF($A$3:$A187,P$2,$B$3:$B187))</f>
        <v>-1800</v>
      </c>
      <c r="Q187" s="0" t="n">
        <f aca="false">IF(ISBLANK(A187),"",SUMIF($A$3:$A187,Q$2,$B$3:$B187))</f>
        <v>-400</v>
      </c>
      <c r="R187" s="0" t="n">
        <f aca="false">IF(ISBLANK(A187),"",SUMIF($A$3:$A187,R$2,$B$3:$B187))</f>
        <v>0</v>
      </c>
      <c r="T187" s="0" t="n">
        <f aca="false">IF(ISBLANK(A187),"",IF($A187=T$2,$C187,T186))</f>
        <v>48.05</v>
      </c>
      <c r="U187" s="0" t="n">
        <f aca="false">IF(ISBLANK(A187),"",IF($A187=U$2,$C187,U186))</f>
        <v>22.68</v>
      </c>
      <c r="V187" s="0" t="n">
        <f aca="false">IF(ISBLANK(A187),"",IF($A187=V$2,$C187,V186))</f>
        <v>52.05</v>
      </c>
      <c r="W187" s="0" t="n">
        <f aca="false">IF(ISBLANK(A187),"",IF($A187=W$2,$C187,W186))</f>
        <v>0</v>
      </c>
    </row>
    <row r="188" customFormat="false" ht="12.8" hidden="false" customHeight="false" outlineLevel="0" collapsed="false">
      <c r="A188" s="0" t="n">
        <v>980</v>
      </c>
      <c r="B188" s="0" t="n">
        <v>-100</v>
      </c>
      <c r="C188" s="0" t="n">
        <v>22.68</v>
      </c>
      <c r="D188" s="0" t="s">
        <v>196</v>
      </c>
      <c r="H188" s="8" t="n">
        <f aca="false">IF(ISBLANK(D188),,LEFT(D188,LEN(D188)-6)*1)</f>
        <v>38721.7819560185</v>
      </c>
      <c r="I188" s="9" t="n">
        <f aca="false">IF(ISBLANK(A188),"",-B188*C188)</f>
        <v>2268</v>
      </c>
      <c r="J188" s="9" t="n">
        <f aca="false">IF(ISBLANK(A188),"",-SUM(I$3:I188))</f>
        <v>-22524.8475203718</v>
      </c>
      <c r="K188" s="0" t="n">
        <f aca="false">IF(ISBLANK(A188),"",SUMPRODUCT(O188:R188,T188:W188)-J188)</f>
        <v>1857.84752037177</v>
      </c>
      <c r="L188" s="0" t="n">
        <f aca="false">IF(ISBLANK(A188),"",K188/$M$1)</f>
        <v>0.0309641253395295</v>
      </c>
      <c r="M188" s="0" t="n">
        <f aca="false">IF(ISBLANK(A188),"",K188/($M$1+SUM(K$3:K187)))</f>
        <v>0.0112249801324605</v>
      </c>
      <c r="N188" s="0" t="n">
        <f aca="false">IF(ISBLANK(A188),"",IF(H189=0,NETWORKDAYS($H$3,H188,holiday!$B$2:$B$10),IF(DAY(H188)&lt;DAY(H189),NETWORKDAYS($H$3,H188,holiday!$B$2:$B$10),0)))</f>
        <v>0</v>
      </c>
      <c r="O188" s="0" t="n">
        <f aca="false">IF(ISBLANK(A188),"",SUMIF($A$3:$A188,O$2,$B$3:$B188))</f>
        <v>900</v>
      </c>
      <c r="P188" s="0" t="n">
        <f aca="false">IF(ISBLANK(A188),"",SUMIF($A$3:$A188,P$2,$B$3:$B188))</f>
        <v>-1900</v>
      </c>
      <c r="Q188" s="0" t="n">
        <f aca="false">IF(ISBLANK(A188),"",SUMIF($A$3:$A188,Q$2,$B$3:$B188))</f>
        <v>-400</v>
      </c>
      <c r="R188" s="0" t="n">
        <f aca="false">IF(ISBLANK(A188),"",SUMIF($A$3:$A188,R$2,$B$3:$B188))</f>
        <v>0</v>
      </c>
      <c r="T188" s="0" t="n">
        <f aca="false">IF(ISBLANK(A188),"",IF($A188=T$2,$C188,T187))</f>
        <v>48.05</v>
      </c>
      <c r="U188" s="0" t="n">
        <f aca="false">IF(ISBLANK(A188),"",IF($A188=U$2,$C188,U187))</f>
        <v>22.68</v>
      </c>
      <c r="V188" s="0" t="n">
        <f aca="false">IF(ISBLANK(A188),"",IF($A188=V$2,$C188,V187))</f>
        <v>52.05</v>
      </c>
      <c r="W188" s="0" t="n">
        <f aca="false">IF(ISBLANK(A188),"",IF($A188=W$2,$C188,W187))</f>
        <v>0</v>
      </c>
    </row>
    <row r="189" customFormat="false" ht="12.8" hidden="false" customHeight="false" outlineLevel="0" collapsed="false">
      <c r="A189" s="0" t="n">
        <v>980</v>
      </c>
      <c r="B189" s="0" t="n">
        <v>-100</v>
      </c>
      <c r="C189" s="0" t="n">
        <v>22.68</v>
      </c>
      <c r="D189" s="0" t="s">
        <v>197</v>
      </c>
      <c r="H189" s="8" t="n">
        <f aca="false">IF(ISBLANK(D189),,LEFT(D189,LEN(D189)-6)*1)</f>
        <v>38721.7820601852</v>
      </c>
      <c r="I189" s="9" t="n">
        <f aca="false">IF(ISBLANK(A189),"",-B189*C189)</f>
        <v>2268</v>
      </c>
      <c r="J189" s="9" t="n">
        <f aca="false">IF(ISBLANK(A189),"",-SUM(I$3:I189))</f>
        <v>-24792.8475203718</v>
      </c>
      <c r="K189" s="0" t="n">
        <f aca="false">IF(ISBLANK(A189),"",SUMPRODUCT(O189:R189,T189:W189)-J189)</f>
        <v>1857.84752037177</v>
      </c>
      <c r="L189" s="0" t="n">
        <f aca="false">IF(ISBLANK(A189),"",K189/$M$1)</f>
        <v>0.0309641253395295</v>
      </c>
      <c r="M189" s="0" t="n">
        <f aca="false">IF(ISBLANK(A189),"",K189/($M$1+SUM(K$3:K188)))</f>
        <v>0.0111003786031771</v>
      </c>
      <c r="N189" s="0" t="n">
        <f aca="false">IF(ISBLANK(A189),"",IF(H190=0,NETWORKDAYS($H$3,H189,holiday!$B$2:$B$10),IF(DAY(H189)&lt;DAY(H190),NETWORKDAYS($H$3,H189,holiday!$B$2:$B$10),0)))</f>
        <v>0</v>
      </c>
      <c r="O189" s="0" t="n">
        <f aca="false">IF(ISBLANK(A189),"",SUMIF($A$3:$A189,O$2,$B$3:$B189))</f>
        <v>900</v>
      </c>
      <c r="P189" s="0" t="n">
        <f aca="false">IF(ISBLANK(A189),"",SUMIF($A$3:$A189,P$2,$B$3:$B189))</f>
        <v>-2000</v>
      </c>
      <c r="Q189" s="0" t="n">
        <f aca="false">IF(ISBLANK(A189),"",SUMIF($A$3:$A189,Q$2,$B$3:$B189))</f>
        <v>-400</v>
      </c>
      <c r="R189" s="0" t="n">
        <f aca="false">IF(ISBLANK(A189),"",SUMIF($A$3:$A189,R$2,$B$3:$B189))</f>
        <v>0</v>
      </c>
      <c r="T189" s="0" t="n">
        <f aca="false">IF(ISBLANK(A189),"",IF($A189=T$2,$C189,T188))</f>
        <v>48.05</v>
      </c>
      <c r="U189" s="0" t="n">
        <f aca="false">IF(ISBLANK(A189),"",IF($A189=U$2,$C189,U188))</f>
        <v>22.68</v>
      </c>
      <c r="V189" s="0" t="n">
        <f aca="false">IF(ISBLANK(A189),"",IF($A189=V$2,$C189,V188))</f>
        <v>52.05</v>
      </c>
      <c r="W189" s="0" t="n">
        <f aca="false">IF(ISBLANK(A189),"",IF($A189=W$2,$C189,W188))</f>
        <v>0</v>
      </c>
    </row>
    <row r="190" customFormat="false" ht="12.8" hidden="false" customHeight="false" outlineLevel="0" collapsed="false">
      <c r="A190" s="0" t="n">
        <v>980</v>
      </c>
      <c r="B190" s="0" t="n">
        <v>-100</v>
      </c>
      <c r="C190" s="0" t="n">
        <v>22.68</v>
      </c>
      <c r="D190" s="0" t="s">
        <v>198</v>
      </c>
      <c r="H190" s="8" t="n">
        <f aca="false">IF(ISBLANK(D190),,LEFT(D190,LEN(D190)-6)*1)</f>
        <v>38721.7821759259</v>
      </c>
      <c r="I190" s="9" t="n">
        <f aca="false">IF(ISBLANK(A190),"",-B190*C190)</f>
        <v>2268</v>
      </c>
      <c r="J190" s="9" t="n">
        <f aca="false">IF(ISBLANK(A190),"",-SUM(I$3:I190))</f>
        <v>-27060.8475203718</v>
      </c>
      <c r="K190" s="0" t="n">
        <f aca="false">IF(ISBLANK(A190),"",SUMPRODUCT(O190:R190,T190:W190)-J190)</f>
        <v>1857.84752037177</v>
      </c>
      <c r="L190" s="0" t="n">
        <f aca="false">IF(ISBLANK(A190),"",K190/$M$1)</f>
        <v>0.0309641253395295</v>
      </c>
      <c r="M190" s="0" t="n">
        <f aca="false">IF(ISBLANK(A190),"",K190/($M$1+SUM(K$3:K189)))</f>
        <v>0.0109785129529</v>
      </c>
      <c r="N190" s="0" t="n">
        <f aca="false">IF(ISBLANK(A190),"",IF(H191=0,NETWORKDAYS($H$3,H190,holiday!$B$2:$B$10),IF(DAY(H190)&lt;DAY(H191),NETWORKDAYS($H$3,H190,holiday!$B$2:$B$10),0)))</f>
        <v>0</v>
      </c>
      <c r="O190" s="0" t="n">
        <f aca="false">IF(ISBLANK(A190),"",SUMIF($A$3:$A190,O$2,$B$3:$B190))</f>
        <v>900</v>
      </c>
      <c r="P190" s="0" t="n">
        <f aca="false">IF(ISBLANK(A190),"",SUMIF($A$3:$A190,P$2,$B$3:$B190))</f>
        <v>-2100</v>
      </c>
      <c r="Q190" s="0" t="n">
        <f aca="false">IF(ISBLANK(A190),"",SUMIF($A$3:$A190,Q$2,$B$3:$B190))</f>
        <v>-400</v>
      </c>
      <c r="R190" s="0" t="n">
        <f aca="false">IF(ISBLANK(A190),"",SUMIF($A$3:$A190,R$2,$B$3:$B190))</f>
        <v>0</v>
      </c>
      <c r="T190" s="0" t="n">
        <f aca="false">IF(ISBLANK(A190),"",IF($A190=T$2,$C190,T189))</f>
        <v>48.05</v>
      </c>
      <c r="U190" s="0" t="n">
        <f aca="false">IF(ISBLANK(A190),"",IF($A190=U$2,$C190,U189))</f>
        <v>22.68</v>
      </c>
      <c r="V190" s="0" t="n">
        <f aca="false">IF(ISBLANK(A190),"",IF($A190=V$2,$C190,V189))</f>
        <v>52.05</v>
      </c>
      <c r="W190" s="0" t="n">
        <f aca="false">IF(ISBLANK(A190),"",IF($A190=W$2,$C190,W189))</f>
        <v>0</v>
      </c>
    </row>
    <row r="191" customFormat="false" ht="12.8" hidden="false" customHeight="false" outlineLevel="0" collapsed="false">
      <c r="A191" s="0" t="n">
        <v>679</v>
      </c>
      <c r="B191" s="0" t="n">
        <v>100</v>
      </c>
      <c r="C191" s="0" t="n">
        <v>52.03</v>
      </c>
      <c r="D191" s="0" t="s">
        <v>199</v>
      </c>
      <c r="H191" s="8" t="n">
        <f aca="false">IF(ISBLANK(D191),,LEFT(D191,LEN(D191)-6)*1)</f>
        <v>38721.7832060185</v>
      </c>
      <c r="I191" s="9" t="n">
        <f aca="false">IF(ISBLANK(A191),"",-B191*C191)</f>
        <v>-5203</v>
      </c>
      <c r="J191" s="9" t="n">
        <f aca="false">IF(ISBLANK(A191),"",-SUM(I$3:I191))</f>
        <v>-21857.8475203718</v>
      </c>
      <c r="K191" s="0" t="n">
        <f aca="false">IF(ISBLANK(A191),"",SUMPRODUCT(O191:R191,T191:W191)-J191)</f>
        <v>1865.84752037177</v>
      </c>
      <c r="L191" s="0" t="n">
        <f aca="false">IF(ISBLANK(A191),"",K191/$M$1)</f>
        <v>0.0310974586728629</v>
      </c>
      <c r="M191" s="0" t="n">
        <f aca="false">IF(ISBLANK(A191),"",K191/($M$1+SUM(K$3:K190)))</f>
        <v>0.0109060548073199</v>
      </c>
      <c r="N191" s="0" t="n">
        <f aca="false">IF(ISBLANK(A191),"",IF(H192=0,NETWORKDAYS($H$3,H191,holiday!$B$2:$B$10),IF(DAY(H191)&lt;DAY(H192),NETWORKDAYS($H$3,H191,holiday!$B$2:$B$10),0)))</f>
        <v>0</v>
      </c>
      <c r="O191" s="0" t="n">
        <f aca="false">IF(ISBLANK(A191),"",SUMIF($A$3:$A191,O$2,$B$3:$B191))</f>
        <v>900</v>
      </c>
      <c r="P191" s="0" t="n">
        <f aca="false">IF(ISBLANK(A191),"",SUMIF($A$3:$A191,P$2,$B$3:$B191))</f>
        <v>-2100</v>
      </c>
      <c r="Q191" s="0" t="n">
        <f aca="false">IF(ISBLANK(A191),"",SUMIF($A$3:$A191,Q$2,$B$3:$B191))</f>
        <v>-300</v>
      </c>
      <c r="R191" s="0" t="n">
        <f aca="false">IF(ISBLANK(A191),"",SUMIF($A$3:$A191,R$2,$B$3:$B191))</f>
        <v>0</v>
      </c>
      <c r="T191" s="0" t="n">
        <f aca="false">IF(ISBLANK(A191),"",IF($A191=T$2,$C191,T190))</f>
        <v>48.05</v>
      </c>
      <c r="U191" s="0" t="n">
        <f aca="false">IF(ISBLANK(A191),"",IF($A191=U$2,$C191,U190))</f>
        <v>22.68</v>
      </c>
      <c r="V191" s="0" t="n">
        <f aca="false">IF(ISBLANK(A191),"",IF($A191=V$2,$C191,V190))</f>
        <v>52.03</v>
      </c>
      <c r="W191" s="0" t="n">
        <f aca="false">IF(ISBLANK(A191),"",IF($A191=W$2,$C191,W190))</f>
        <v>0</v>
      </c>
    </row>
    <row r="192" customFormat="false" ht="12.8" hidden="false" customHeight="false" outlineLevel="0" collapsed="false">
      <c r="A192" s="0" t="n">
        <v>980</v>
      </c>
      <c r="B192" s="0" t="n">
        <v>100</v>
      </c>
      <c r="C192" s="0" t="n">
        <v>22.68</v>
      </c>
      <c r="D192" s="0" t="s">
        <v>200</v>
      </c>
      <c r="H192" s="8" t="n">
        <f aca="false">IF(ISBLANK(D192),,LEFT(D192,LEN(D192)-6)*1)</f>
        <v>38721.7842592593</v>
      </c>
      <c r="I192" s="9" t="n">
        <f aca="false">IF(ISBLANK(A192),"",-B192*C192)</f>
        <v>-2268</v>
      </c>
      <c r="J192" s="9" t="n">
        <f aca="false">IF(ISBLANK(A192),"",-SUM(I$3:I192))</f>
        <v>-19589.8475203718</v>
      </c>
      <c r="K192" s="0" t="n">
        <f aca="false">IF(ISBLANK(A192),"",SUMPRODUCT(O192:R192,T192:W192)-J192)</f>
        <v>1865.84752037177</v>
      </c>
      <c r="L192" s="0" t="n">
        <f aca="false">IF(ISBLANK(A192),"",K192/$M$1)</f>
        <v>0.0310974586728629</v>
      </c>
      <c r="M192" s="0" t="n">
        <f aca="false">IF(ISBLANK(A192),"",K192/($M$1+SUM(K$3:K191)))</f>
        <v>0.0107883959695924</v>
      </c>
      <c r="N192" s="0" t="n">
        <f aca="false">IF(ISBLANK(A192),"",IF(H193=0,NETWORKDAYS($H$3,H192,holiday!$B$2:$B$10),IF(DAY(H192)&lt;DAY(H193),NETWORKDAYS($H$3,H192,holiday!$B$2:$B$10),0)))</f>
        <v>0</v>
      </c>
      <c r="O192" s="0" t="n">
        <f aca="false">IF(ISBLANK(A192),"",SUMIF($A$3:$A192,O$2,$B$3:$B192))</f>
        <v>900</v>
      </c>
      <c r="P192" s="0" t="n">
        <f aca="false">IF(ISBLANK(A192),"",SUMIF($A$3:$A192,P$2,$B$3:$B192))</f>
        <v>-2000</v>
      </c>
      <c r="Q192" s="0" t="n">
        <f aca="false">IF(ISBLANK(A192),"",SUMIF($A$3:$A192,Q$2,$B$3:$B192))</f>
        <v>-300</v>
      </c>
      <c r="R192" s="0" t="n">
        <f aca="false">IF(ISBLANK(A192),"",SUMIF($A$3:$A192,R$2,$B$3:$B192))</f>
        <v>0</v>
      </c>
      <c r="T192" s="0" t="n">
        <f aca="false">IF(ISBLANK(A192),"",IF($A192=T$2,$C192,T191))</f>
        <v>48.05</v>
      </c>
      <c r="U192" s="0" t="n">
        <f aca="false">IF(ISBLANK(A192),"",IF($A192=U$2,$C192,U191))</f>
        <v>22.68</v>
      </c>
      <c r="V192" s="0" t="n">
        <f aca="false">IF(ISBLANK(A192),"",IF($A192=V$2,$C192,V191))</f>
        <v>52.03</v>
      </c>
      <c r="W192" s="0" t="n">
        <f aca="false">IF(ISBLANK(A192),"",IF($A192=W$2,$C192,W191))</f>
        <v>0</v>
      </c>
    </row>
    <row r="193" customFormat="false" ht="12.8" hidden="false" customHeight="false" outlineLevel="0" collapsed="false">
      <c r="A193" s="0" t="n">
        <v>8370</v>
      </c>
      <c r="B193" s="0" t="n">
        <v>-100</v>
      </c>
      <c r="C193" s="0" t="n">
        <v>48</v>
      </c>
      <c r="D193" s="0" t="s">
        <v>201</v>
      </c>
      <c r="H193" s="8" t="n">
        <f aca="false">IF(ISBLANK(D193),,LEFT(D193,LEN(D193)-6)*1)</f>
        <v>38721.7852199074</v>
      </c>
      <c r="I193" s="9" t="n">
        <f aca="false">IF(ISBLANK(A193),"",-B193*C193)</f>
        <v>4800</v>
      </c>
      <c r="J193" s="9" t="n">
        <f aca="false">IF(ISBLANK(A193),"",-SUM(I$3:I193))</f>
        <v>-24389.8475203718</v>
      </c>
      <c r="K193" s="0" t="n">
        <f aca="false">IF(ISBLANK(A193),"",SUMPRODUCT(O193:R193,T193:W193)-J193)</f>
        <v>1820.84752037177</v>
      </c>
      <c r="L193" s="0" t="n">
        <f aca="false">IF(ISBLANK(A193),"",K193/$M$1)</f>
        <v>0.0303474586728629</v>
      </c>
      <c r="M193" s="0" t="n">
        <f aca="false">IF(ISBLANK(A193),"",K193/($M$1+SUM(K$3:K192)))</f>
        <v>0.0104158342431369</v>
      </c>
      <c r="N193" s="0" t="n">
        <f aca="false">IF(ISBLANK(A193),"",IF(H194=0,NETWORKDAYS($H$3,H193,holiday!$B$2:$B$10),IF(DAY(H193)&lt;DAY(H194),NETWORKDAYS($H$3,H193,holiday!$B$2:$B$10),0)))</f>
        <v>0</v>
      </c>
      <c r="O193" s="0" t="n">
        <f aca="false">IF(ISBLANK(A193),"",SUMIF($A$3:$A193,O$2,$B$3:$B193))</f>
        <v>800</v>
      </c>
      <c r="P193" s="0" t="n">
        <f aca="false">IF(ISBLANK(A193),"",SUMIF($A$3:$A193,P$2,$B$3:$B193))</f>
        <v>-2000</v>
      </c>
      <c r="Q193" s="0" t="n">
        <f aca="false">IF(ISBLANK(A193),"",SUMIF($A$3:$A193,Q$2,$B$3:$B193))</f>
        <v>-300</v>
      </c>
      <c r="R193" s="0" t="n">
        <f aca="false">IF(ISBLANK(A193),"",SUMIF($A$3:$A193,R$2,$B$3:$B193))</f>
        <v>0</v>
      </c>
      <c r="T193" s="0" t="n">
        <f aca="false">IF(ISBLANK(A193),"",IF($A193=T$2,$C193,T192))</f>
        <v>48</v>
      </c>
      <c r="U193" s="0" t="n">
        <f aca="false">IF(ISBLANK(A193),"",IF($A193=U$2,$C193,U192))</f>
        <v>22.68</v>
      </c>
      <c r="V193" s="0" t="n">
        <f aca="false">IF(ISBLANK(A193),"",IF($A193=V$2,$C193,V192))</f>
        <v>52.03</v>
      </c>
      <c r="W193" s="0" t="n">
        <f aca="false">IF(ISBLANK(A193),"",IF($A193=W$2,$C193,W192))</f>
        <v>0</v>
      </c>
    </row>
    <row r="194" customFormat="false" ht="12.8" hidden="false" customHeight="false" outlineLevel="0" collapsed="false">
      <c r="A194" s="0" t="n">
        <v>980</v>
      </c>
      <c r="B194" s="0" t="n">
        <v>-100</v>
      </c>
      <c r="C194" s="0" t="n">
        <v>22.68</v>
      </c>
      <c r="D194" s="0" t="s">
        <v>202</v>
      </c>
      <c r="H194" s="8" t="n">
        <f aca="false">IF(ISBLANK(D194),,LEFT(D194,LEN(D194)-6)*1)</f>
        <v>38721.7858564815</v>
      </c>
      <c r="I194" s="9" t="n">
        <f aca="false">IF(ISBLANK(A194),"",-B194*C194)</f>
        <v>2268</v>
      </c>
      <c r="J194" s="9" t="n">
        <f aca="false">IF(ISBLANK(A194),"",-SUM(I$3:I194))</f>
        <v>-26657.8475203718</v>
      </c>
      <c r="K194" s="0" t="n">
        <f aca="false">IF(ISBLANK(A194),"",SUMPRODUCT(O194:R194,T194:W194)-J194)</f>
        <v>1820.84752037177</v>
      </c>
      <c r="L194" s="0" t="n">
        <f aca="false">IF(ISBLANK(A194),"",K194/$M$1)</f>
        <v>0.0303474586728629</v>
      </c>
      <c r="M194" s="0" t="n">
        <f aca="false">IF(ISBLANK(A194),"",K194/($M$1+SUM(K$3:K193)))</f>
        <v>0.0103084630012147</v>
      </c>
      <c r="N194" s="0" t="n">
        <f aca="false">IF(ISBLANK(A194),"",IF(H195=0,NETWORKDAYS($H$3,H194,holiday!$B$2:$B$10),IF(DAY(H194)&lt;DAY(H195),NETWORKDAYS($H$3,H194,holiday!$B$2:$B$10),0)))</f>
        <v>0</v>
      </c>
      <c r="O194" s="0" t="n">
        <f aca="false">IF(ISBLANK(A194),"",SUMIF($A$3:$A194,O$2,$B$3:$B194))</f>
        <v>800</v>
      </c>
      <c r="P194" s="0" t="n">
        <f aca="false">IF(ISBLANK(A194),"",SUMIF($A$3:$A194,P$2,$B$3:$B194))</f>
        <v>-2100</v>
      </c>
      <c r="Q194" s="0" t="n">
        <f aca="false">IF(ISBLANK(A194),"",SUMIF($A$3:$A194,Q$2,$B$3:$B194))</f>
        <v>-300</v>
      </c>
      <c r="R194" s="0" t="n">
        <f aca="false">IF(ISBLANK(A194),"",SUMIF($A$3:$A194,R$2,$B$3:$B194))</f>
        <v>0</v>
      </c>
      <c r="T194" s="0" t="n">
        <f aca="false">IF(ISBLANK(A194),"",IF($A194=T$2,$C194,T193))</f>
        <v>48</v>
      </c>
      <c r="U194" s="0" t="n">
        <f aca="false">IF(ISBLANK(A194),"",IF($A194=U$2,$C194,U193))</f>
        <v>22.68</v>
      </c>
      <c r="V194" s="0" t="n">
        <f aca="false">IF(ISBLANK(A194),"",IF($A194=V$2,$C194,V193))</f>
        <v>52.03</v>
      </c>
      <c r="W194" s="0" t="n">
        <f aca="false">IF(ISBLANK(A194),"",IF($A194=W$2,$C194,W193))</f>
        <v>0</v>
      </c>
    </row>
    <row r="195" customFormat="false" ht="12.8" hidden="false" customHeight="false" outlineLevel="0" collapsed="false">
      <c r="A195" s="0" t="n">
        <v>679</v>
      </c>
      <c r="B195" s="0" t="n">
        <v>-100</v>
      </c>
      <c r="C195" s="0" t="n">
        <v>52.04</v>
      </c>
      <c r="D195" s="0" t="s">
        <v>203</v>
      </c>
      <c r="H195" s="8" t="n">
        <f aca="false">IF(ISBLANK(D195),,LEFT(D195,LEN(D195)-6)*1)</f>
        <v>38721.7879398148</v>
      </c>
      <c r="I195" s="9" t="n">
        <f aca="false">IF(ISBLANK(A195),"",-B195*C195)</f>
        <v>5204</v>
      </c>
      <c r="J195" s="9" t="n">
        <f aca="false">IF(ISBLANK(A195),"",-SUM(I$3:I195))</f>
        <v>-31861.8475203718</v>
      </c>
      <c r="K195" s="0" t="n">
        <f aca="false">IF(ISBLANK(A195),"",SUMPRODUCT(O195:R195,T195:W195)-J195)</f>
        <v>1817.84752037177</v>
      </c>
      <c r="L195" s="0" t="n">
        <f aca="false">IF(ISBLANK(A195),"",K195/$M$1)</f>
        <v>0.0302974586728629</v>
      </c>
      <c r="M195" s="0" t="n">
        <f aca="false">IF(ISBLANK(A195),"",K195/($M$1+SUM(K$3:K194)))</f>
        <v>0.0101864720677887</v>
      </c>
      <c r="N195" s="0" t="n">
        <f aca="false">IF(ISBLANK(A195),"",IF(H196=0,NETWORKDAYS($H$3,H195,holiday!$B$2:$B$10),IF(DAY(H195)&lt;DAY(H196),NETWORKDAYS($H$3,H195,holiday!$B$2:$B$10),0)))</f>
        <v>0</v>
      </c>
      <c r="O195" s="0" t="n">
        <f aca="false">IF(ISBLANK(A195),"",SUMIF($A$3:$A195,O$2,$B$3:$B195))</f>
        <v>800</v>
      </c>
      <c r="P195" s="0" t="n">
        <f aca="false">IF(ISBLANK(A195),"",SUMIF($A$3:$A195,P$2,$B$3:$B195))</f>
        <v>-2100</v>
      </c>
      <c r="Q195" s="0" t="n">
        <f aca="false">IF(ISBLANK(A195),"",SUMIF($A$3:$A195,Q$2,$B$3:$B195))</f>
        <v>-400</v>
      </c>
      <c r="R195" s="0" t="n">
        <f aca="false">IF(ISBLANK(A195),"",SUMIF($A$3:$A195,R$2,$B$3:$B195))</f>
        <v>0</v>
      </c>
      <c r="T195" s="0" t="n">
        <f aca="false">IF(ISBLANK(A195),"",IF($A195=T$2,$C195,T194))</f>
        <v>48</v>
      </c>
      <c r="U195" s="0" t="n">
        <f aca="false">IF(ISBLANK(A195),"",IF($A195=U$2,$C195,U194))</f>
        <v>22.68</v>
      </c>
      <c r="V195" s="0" t="n">
        <f aca="false">IF(ISBLANK(A195),"",IF($A195=V$2,$C195,V194))</f>
        <v>52.04</v>
      </c>
      <c r="W195" s="0" t="n">
        <f aca="false">IF(ISBLANK(A195),"",IF($A195=W$2,$C195,W194))</f>
        <v>0</v>
      </c>
    </row>
    <row r="196" customFormat="false" ht="12.8" hidden="false" customHeight="false" outlineLevel="0" collapsed="false">
      <c r="A196" s="0" t="n">
        <v>980</v>
      </c>
      <c r="B196" s="0" t="n">
        <v>-100</v>
      </c>
      <c r="C196" s="0" t="n">
        <v>22.69</v>
      </c>
      <c r="D196" s="0" t="s">
        <v>204</v>
      </c>
      <c r="H196" s="8" t="n">
        <f aca="false">IF(ISBLANK(D196),,LEFT(D196,LEN(D196)-6)*1)</f>
        <v>38721.791099537</v>
      </c>
      <c r="I196" s="9" t="n">
        <f aca="false">IF(ISBLANK(A196),"",-B196*C196)</f>
        <v>2269</v>
      </c>
      <c r="J196" s="9" t="n">
        <f aca="false">IF(ISBLANK(A196),"",-SUM(I$3:I196))</f>
        <v>-34130.8475203718</v>
      </c>
      <c r="K196" s="0" t="n">
        <f aca="false">IF(ISBLANK(A196),"",SUMPRODUCT(O196:R196,T196:W196)-J196)</f>
        <v>1796.84752037177</v>
      </c>
      <c r="L196" s="0" t="n">
        <f aca="false">IF(ISBLANK(A196),"",K196/$M$1)</f>
        <v>0.0299474586728628</v>
      </c>
      <c r="M196" s="0" t="n">
        <f aca="false">IF(ISBLANK(A196),"",K196/($M$1+SUM(K$3:K195)))</f>
        <v>0.00996726540848634</v>
      </c>
      <c r="N196" s="0" t="n">
        <f aca="false">IF(ISBLANK(A196),"",IF(H197=0,NETWORKDAYS($H$3,H196,holiday!$B$2:$B$10),IF(DAY(H196)&lt;DAY(H197),NETWORKDAYS($H$3,H196,holiday!$B$2:$B$10),0)))</f>
        <v>0</v>
      </c>
      <c r="O196" s="0" t="n">
        <f aca="false">IF(ISBLANK(A196),"",SUMIF($A$3:$A196,O$2,$B$3:$B196))</f>
        <v>800</v>
      </c>
      <c r="P196" s="0" t="n">
        <f aca="false">IF(ISBLANK(A196),"",SUMIF($A$3:$A196,P$2,$B$3:$B196))</f>
        <v>-2200</v>
      </c>
      <c r="Q196" s="0" t="n">
        <f aca="false">IF(ISBLANK(A196),"",SUMIF($A$3:$A196,Q$2,$B$3:$B196))</f>
        <v>-400</v>
      </c>
      <c r="R196" s="0" t="n">
        <f aca="false">IF(ISBLANK(A196),"",SUMIF($A$3:$A196,R$2,$B$3:$B196))</f>
        <v>0</v>
      </c>
      <c r="T196" s="0" t="n">
        <f aca="false">IF(ISBLANK(A196),"",IF($A196=T$2,$C196,T195))</f>
        <v>48</v>
      </c>
      <c r="U196" s="0" t="n">
        <f aca="false">IF(ISBLANK(A196),"",IF($A196=U$2,$C196,U195))</f>
        <v>22.69</v>
      </c>
      <c r="V196" s="0" t="n">
        <f aca="false">IF(ISBLANK(A196),"",IF($A196=V$2,$C196,V195))</f>
        <v>52.04</v>
      </c>
      <c r="W196" s="0" t="n">
        <f aca="false">IF(ISBLANK(A196),"",IF($A196=W$2,$C196,W195))</f>
        <v>0</v>
      </c>
    </row>
    <row r="197" customFormat="false" ht="12.8" hidden="false" customHeight="false" outlineLevel="0" collapsed="false">
      <c r="A197" s="0" t="n">
        <v>8370</v>
      </c>
      <c r="B197" s="0" t="n">
        <v>-100</v>
      </c>
      <c r="C197" s="0" t="n">
        <v>47.79</v>
      </c>
      <c r="D197" s="0" t="s">
        <v>205</v>
      </c>
      <c r="H197" s="8" t="n">
        <f aca="false">IF(ISBLANK(D197),,LEFT(D197,LEN(D197)-6)*1)</f>
        <v>38721.7918287037</v>
      </c>
      <c r="I197" s="9" t="n">
        <f aca="false">IF(ISBLANK(A197),"",-B197*C197)</f>
        <v>4779</v>
      </c>
      <c r="J197" s="9" t="n">
        <f aca="false">IF(ISBLANK(A197),"",-SUM(I$3:I197))</f>
        <v>-38909.8475203718</v>
      </c>
      <c r="K197" s="0" t="n">
        <f aca="false">IF(ISBLANK(A197),"",SUMPRODUCT(O197:R197,T197:W197)-J197)</f>
        <v>1628.84752037177</v>
      </c>
      <c r="L197" s="0" t="n">
        <f aca="false">IF(ISBLANK(A197),"",K197/$M$1)</f>
        <v>0.0271474586728628</v>
      </c>
      <c r="M197" s="0" t="n">
        <f aca="false">IF(ISBLANK(A197),"",K197/($M$1+SUM(K$3:K196)))</f>
        <v>0.00894618616511505</v>
      </c>
      <c r="N197" s="0" t="n">
        <f aca="false">IF(ISBLANK(A197),"",IF(H198=0,NETWORKDAYS($H$3,H197,holiday!$B$2:$B$10),IF(DAY(H197)&lt;DAY(H198),NETWORKDAYS($H$3,H197,holiday!$B$2:$B$10),0)))</f>
        <v>0</v>
      </c>
      <c r="O197" s="0" t="n">
        <f aca="false">IF(ISBLANK(A197),"",SUMIF($A$3:$A197,O$2,$B$3:$B197))</f>
        <v>700</v>
      </c>
      <c r="P197" s="0" t="n">
        <f aca="false">IF(ISBLANK(A197),"",SUMIF($A$3:$A197,P$2,$B$3:$B197))</f>
        <v>-2200</v>
      </c>
      <c r="Q197" s="0" t="n">
        <f aca="false">IF(ISBLANK(A197),"",SUMIF($A$3:$A197,Q$2,$B$3:$B197))</f>
        <v>-400</v>
      </c>
      <c r="R197" s="0" t="n">
        <f aca="false">IF(ISBLANK(A197),"",SUMIF($A$3:$A197,R$2,$B$3:$B197))</f>
        <v>0</v>
      </c>
      <c r="T197" s="0" t="n">
        <f aca="false">IF(ISBLANK(A197),"",IF($A197=T$2,$C197,T196))</f>
        <v>47.79</v>
      </c>
      <c r="U197" s="0" t="n">
        <f aca="false">IF(ISBLANK(A197),"",IF($A197=U$2,$C197,U196))</f>
        <v>22.69</v>
      </c>
      <c r="V197" s="0" t="n">
        <f aca="false">IF(ISBLANK(A197),"",IF($A197=V$2,$C197,V196))</f>
        <v>52.04</v>
      </c>
      <c r="W197" s="0" t="n">
        <f aca="false">IF(ISBLANK(A197),"",IF($A197=W$2,$C197,W196))</f>
        <v>0</v>
      </c>
    </row>
    <row r="198" customFormat="false" ht="12.8" hidden="false" customHeight="false" outlineLevel="0" collapsed="false">
      <c r="A198" s="0" t="n">
        <v>679</v>
      </c>
      <c r="B198" s="0" t="n">
        <v>100</v>
      </c>
      <c r="C198" s="0" t="n">
        <v>52.03</v>
      </c>
      <c r="D198" s="0" t="s">
        <v>206</v>
      </c>
      <c r="H198" s="8" t="n">
        <f aca="false">IF(ISBLANK(D198),,LEFT(D198,LEN(D198)-6)*1)</f>
        <v>38721.7951851852</v>
      </c>
      <c r="I198" s="9" t="n">
        <f aca="false">IF(ISBLANK(A198),"",-B198*C198)</f>
        <v>-5203</v>
      </c>
      <c r="J198" s="9" t="n">
        <f aca="false">IF(ISBLANK(A198),"",-SUM(I$3:I198))</f>
        <v>-33706.8475203718</v>
      </c>
      <c r="K198" s="0" t="n">
        <f aca="false">IF(ISBLANK(A198),"",SUMPRODUCT(O198:R198,T198:W198)-J198)</f>
        <v>1632.84752037177</v>
      </c>
      <c r="L198" s="0" t="n">
        <f aca="false">IF(ISBLANK(A198),"",K198/$M$1)</f>
        <v>0.0272141253395295</v>
      </c>
      <c r="M198" s="0" t="n">
        <f aca="false">IF(ISBLANK(A198),"",K198/($M$1+SUM(K$3:K197)))</f>
        <v>0.00888863613584887</v>
      </c>
      <c r="N198" s="0" t="n">
        <f aca="false">IF(ISBLANK(A198),"",IF(H199=0,NETWORKDAYS($H$3,H198,holiday!$B$2:$B$10),IF(DAY(H198)&lt;DAY(H199),NETWORKDAYS($H$3,H198,holiday!$B$2:$B$10),0)))</f>
        <v>0</v>
      </c>
      <c r="O198" s="0" t="n">
        <f aca="false">IF(ISBLANK(A198),"",SUMIF($A$3:$A198,O$2,$B$3:$B198))</f>
        <v>700</v>
      </c>
      <c r="P198" s="0" t="n">
        <f aca="false">IF(ISBLANK(A198),"",SUMIF($A$3:$A198,P$2,$B$3:$B198))</f>
        <v>-2200</v>
      </c>
      <c r="Q198" s="0" t="n">
        <f aca="false">IF(ISBLANK(A198),"",SUMIF($A$3:$A198,Q$2,$B$3:$B198))</f>
        <v>-300</v>
      </c>
      <c r="R198" s="0" t="n">
        <f aca="false">IF(ISBLANK(A198),"",SUMIF($A$3:$A198,R$2,$B$3:$B198))</f>
        <v>0</v>
      </c>
      <c r="T198" s="0" t="n">
        <f aca="false">IF(ISBLANK(A198),"",IF($A198=T$2,$C198,T197))</f>
        <v>47.79</v>
      </c>
      <c r="U198" s="0" t="n">
        <f aca="false">IF(ISBLANK(A198),"",IF($A198=U$2,$C198,U197))</f>
        <v>22.69</v>
      </c>
      <c r="V198" s="0" t="n">
        <f aca="false">IF(ISBLANK(A198),"",IF($A198=V$2,$C198,V197))</f>
        <v>52.03</v>
      </c>
      <c r="W198" s="0" t="n">
        <f aca="false">IF(ISBLANK(A198),"",IF($A198=W$2,$C198,W197))</f>
        <v>0</v>
      </c>
    </row>
    <row r="199" customFormat="false" ht="12.8" hidden="false" customHeight="false" outlineLevel="0" collapsed="false">
      <c r="A199" s="0" t="n">
        <v>679</v>
      </c>
      <c r="B199" s="0" t="n">
        <v>-100</v>
      </c>
      <c r="C199" s="0" t="n">
        <v>51.97</v>
      </c>
      <c r="D199" s="0" t="s">
        <v>207</v>
      </c>
      <c r="H199" s="8" t="n">
        <f aca="false">IF(ISBLANK(D199),,LEFT(D199,LEN(D199)-6)*1)</f>
        <v>38721.8040625</v>
      </c>
      <c r="I199" s="9" t="n">
        <f aca="false">IF(ISBLANK(A199),"",-B199*C199)</f>
        <v>5197</v>
      </c>
      <c r="J199" s="9" t="n">
        <f aca="false">IF(ISBLANK(A199),"",-SUM(I$3:I199))</f>
        <v>-38903.8475203718</v>
      </c>
      <c r="K199" s="0" t="n">
        <f aca="false">IF(ISBLANK(A199),"",SUMPRODUCT(O199:R199,T199:W199)-J199)</f>
        <v>1650.84752037177</v>
      </c>
      <c r="L199" s="0" t="n">
        <f aca="false">IF(ISBLANK(A199),"",K199/$M$1)</f>
        <v>0.0275141253395295</v>
      </c>
      <c r="M199" s="0" t="n">
        <f aca="false">IF(ISBLANK(A199),"",K199/($M$1+SUM(K$3:K198)))</f>
        <v>0.00890744662659495</v>
      </c>
      <c r="N199" s="0" t="n">
        <f aca="false">IF(ISBLANK(A199),"",IF(H200=0,NETWORKDAYS($H$3,H199,holiday!$B$2:$B$10),IF(DAY(H199)&lt;DAY(H200),NETWORKDAYS($H$3,H199,holiday!$B$2:$B$10),0)))</f>
        <v>0</v>
      </c>
      <c r="O199" s="0" t="n">
        <f aca="false">IF(ISBLANK(A199),"",SUMIF($A$3:$A199,O$2,$B$3:$B199))</f>
        <v>700</v>
      </c>
      <c r="P199" s="0" t="n">
        <f aca="false">IF(ISBLANK(A199),"",SUMIF($A$3:$A199,P$2,$B$3:$B199))</f>
        <v>-2200</v>
      </c>
      <c r="Q199" s="0" t="n">
        <f aca="false">IF(ISBLANK(A199),"",SUMIF($A$3:$A199,Q$2,$B$3:$B199))</f>
        <v>-400</v>
      </c>
      <c r="R199" s="0" t="n">
        <f aca="false">IF(ISBLANK(A199),"",SUMIF($A$3:$A199,R$2,$B$3:$B199))</f>
        <v>0</v>
      </c>
      <c r="T199" s="0" t="n">
        <f aca="false">IF(ISBLANK(A199),"",IF($A199=T$2,$C199,T198))</f>
        <v>47.79</v>
      </c>
      <c r="U199" s="0" t="n">
        <f aca="false">IF(ISBLANK(A199),"",IF($A199=U$2,$C199,U198))</f>
        <v>22.69</v>
      </c>
      <c r="V199" s="0" t="n">
        <f aca="false">IF(ISBLANK(A199),"",IF($A199=V$2,$C199,V198))</f>
        <v>51.97</v>
      </c>
      <c r="W199" s="0" t="n">
        <f aca="false">IF(ISBLANK(A199),"",IF($A199=W$2,$C199,W198))</f>
        <v>0</v>
      </c>
    </row>
    <row r="200" customFormat="false" ht="12.8" hidden="false" customHeight="false" outlineLevel="0" collapsed="false">
      <c r="A200" s="0" t="n">
        <v>679</v>
      </c>
      <c r="B200" s="0" t="n">
        <v>100</v>
      </c>
      <c r="C200" s="0" t="n">
        <v>51.885</v>
      </c>
      <c r="D200" s="0" t="s">
        <v>208</v>
      </c>
      <c r="H200" s="8" t="n">
        <f aca="false">IF(ISBLANK(D200),,LEFT(D200,LEN(D200)-6)*1)</f>
        <v>38721.8051967593</v>
      </c>
      <c r="I200" s="9" t="n">
        <f aca="false">IF(ISBLANK(A200),"",-B200*C200)</f>
        <v>-5188.5</v>
      </c>
      <c r="J200" s="9" t="n">
        <f aca="false">IF(ISBLANK(A200),"",-SUM(I$3:I200))</f>
        <v>-33715.3475203718</v>
      </c>
      <c r="K200" s="0" t="n">
        <f aca="false">IF(ISBLANK(A200),"",SUMPRODUCT(O200:R200,T200:W200)-J200)</f>
        <v>1684.84752037177</v>
      </c>
      <c r="L200" s="0" t="n">
        <f aca="false">IF(ISBLANK(A200),"",K200/$M$1)</f>
        <v>0.0280807920061961</v>
      </c>
      <c r="M200" s="0" t="n">
        <f aca="false">IF(ISBLANK(A200),"",K200/($M$1+SUM(K$3:K199)))</f>
        <v>0.00901063800405888</v>
      </c>
      <c r="N200" s="0" t="n">
        <f aca="false">IF(ISBLANK(A200),"",IF(H201=0,NETWORKDAYS($H$3,H200,holiday!$B$2:$B$10),IF(DAY(H200)&lt;DAY(H201),NETWORKDAYS($H$3,H200,holiday!$B$2:$B$10),0)))</f>
        <v>0</v>
      </c>
      <c r="O200" s="0" t="n">
        <f aca="false">IF(ISBLANK(A200),"",SUMIF($A$3:$A200,O$2,$B$3:$B200))</f>
        <v>700</v>
      </c>
      <c r="P200" s="0" t="n">
        <f aca="false">IF(ISBLANK(A200),"",SUMIF($A$3:$A200,P$2,$B$3:$B200))</f>
        <v>-2200</v>
      </c>
      <c r="Q200" s="0" t="n">
        <f aca="false">IF(ISBLANK(A200),"",SUMIF($A$3:$A200,Q$2,$B$3:$B200))</f>
        <v>-300</v>
      </c>
      <c r="R200" s="0" t="n">
        <f aca="false">IF(ISBLANK(A200),"",SUMIF($A$3:$A200,R$2,$B$3:$B200))</f>
        <v>0</v>
      </c>
      <c r="T200" s="0" t="n">
        <f aca="false">IF(ISBLANK(A200),"",IF($A200=T$2,$C200,T199))</f>
        <v>47.79</v>
      </c>
      <c r="U200" s="0" t="n">
        <f aca="false">IF(ISBLANK(A200),"",IF($A200=U$2,$C200,U199))</f>
        <v>22.69</v>
      </c>
      <c r="V200" s="0" t="n">
        <f aca="false">IF(ISBLANK(A200),"",IF($A200=V$2,$C200,V199))</f>
        <v>51.885</v>
      </c>
      <c r="W200" s="0" t="n">
        <f aca="false">IF(ISBLANK(A200),"",IF($A200=W$2,$C200,W199))</f>
        <v>0</v>
      </c>
    </row>
    <row r="201" customFormat="false" ht="12.8" hidden="false" customHeight="false" outlineLevel="0" collapsed="false">
      <c r="A201" s="0" t="n">
        <v>679</v>
      </c>
      <c r="B201" s="0" t="n">
        <v>-100</v>
      </c>
      <c r="C201" s="0" t="n">
        <v>51.91</v>
      </c>
      <c r="D201" s="0" t="s">
        <v>209</v>
      </c>
      <c r="H201" s="8" t="n">
        <f aca="false">IF(ISBLANK(D201),,LEFT(D201,LEN(D201)-6)*1)</f>
        <v>38721.8059027778</v>
      </c>
      <c r="I201" s="9" t="n">
        <f aca="false">IF(ISBLANK(A201),"",-B201*C201)</f>
        <v>5191</v>
      </c>
      <c r="J201" s="9" t="n">
        <f aca="false">IF(ISBLANK(A201),"",-SUM(I$3:I201))</f>
        <v>-38906.3475203718</v>
      </c>
      <c r="K201" s="0" t="n">
        <f aca="false">IF(ISBLANK(A201),"",SUMPRODUCT(O201:R201,T201:W201)-J201)</f>
        <v>1677.34752037177</v>
      </c>
      <c r="L201" s="0" t="n">
        <f aca="false">IF(ISBLANK(A201),"",K201/$M$1)</f>
        <v>0.0279557920061961</v>
      </c>
      <c r="M201" s="0" t="n">
        <f aca="false">IF(ISBLANK(A201),"",K201/($M$1+SUM(K$3:K200)))</f>
        <v>0.00889041932677538</v>
      </c>
      <c r="N201" s="0" t="n">
        <f aca="false">IF(ISBLANK(A201),"",IF(H202=0,NETWORKDAYS($H$3,H201,holiday!$B$2:$B$10),IF(DAY(H201)&lt;DAY(H202),NETWORKDAYS($H$3,H201,holiday!$B$2:$B$10),0)))</f>
        <v>0</v>
      </c>
      <c r="O201" s="0" t="n">
        <f aca="false">IF(ISBLANK(A201),"",SUMIF($A$3:$A201,O$2,$B$3:$B201))</f>
        <v>700</v>
      </c>
      <c r="P201" s="0" t="n">
        <f aca="false">IF(ISBLANK(A201),"",SUMIF($A$3:$A201,P$2,$B$3:$B201))</f>
        <v>-2200</v>
      </c>
      <c r="Q201" s="0" t="n">
        <f aca="false">IF(ISBLANK(A201),"",SUMIF($A$3:$A201,Q$2,$B$3:$B201))</f>
        <v>-400</v>
      </c>
      <c r="R201" s="0" t="n">
        <f aca="false">IF(ISBLANK(A201),"",SUMIF($A$3:$A201,R$2,$B$3:$B201))</f>
        <v>0</v>
      </c>
      <c r="T201" s="0" t="n">
        <f aca="false">IF(ISBLANK(A201),"",IF($A201=T$2,$C201,T200))</f>
        <v>47.79</v>
      </c>
      <c r="U201" s="0" t="n">
        <f aca="false">IF(ISBLANK(A201),"",IF($A201=U$2,$C201,U200))</f>
        <v>22.69</v>
      </c>
      <c r="V201" s="0" t="n">
        <f aca="false">IF(ISBLANK(A201),"",IF($A201=V$2,$C201,V200))</f>
        <v>51.91</v>
      </c>
      <c r="W201" s="0" t="n">
        <f aca="false">IF(ISBLANK(A201),"",IF($A201=W$2,$C201,W200))</f>
        <v>0</v>
      </c>
    </row>
    <row r="202" customFormat="false" ht="12.8" hidden="false" customHeight="false" outlineLevel="0" collapsed="false">
      <c r="A202" s="0" t="n">
        <v>8370</v>
      </c>
      <c r="B202" s="0" t="n">
        <v>100</v>
      </c>
      <c r="C202" s="0" t="n">
        <v>47.66</v>
      </c>
      <c r="D202" s="0" t="s">
        <v>210</v>
      </c>
      <c r="H202" s="8" t="n">
        <f aca="false">IF(ISBLANK(D202),,LEFT(D202,LEN(D202)-6)*1)</f>
        <v>38721.8062268519</v>
      </c>
      <c r="I202" s="9" t="n">
        <f aca="false">IF(ISBLANK(A202),"",-B202*C202)</f>
        <v>-4766</v>
      </c>
      <c r="J202" s="9" t="n">
        <f aca="false">IF(ISBLANK(A202),"",-SUM(I$3:I202))</f>
        <v>-34140.3475203718</v>
      </c>
      <c r="K202" s="0" t="n">
        <f aca="false">IF(ISBLANK(A202),"",SUMPRODUCT(O202:R202,T202:W202)-J202)</f>
        <v>1586.34752037177</v>
      </c>
      <c r="L202" s="0" t="n">
        <f aca="false">IF(ISBLANK(A202),"",K202/$M$1)</f>
        <v>0.0264391253395295</v>
      </c>
      <c r="M202" s="0" t="n">
        <f aca="false">IF(ISBLANK(A202),"",K202/($M$1+SUM(K$3:K201)))</f>
        <v>0.00833400066242481</v>
      </c>
      <c r="N202" s="0" t="n">
        <f aca="false">IF(ISBLANK(A202),"",IF(H203=0,NETWORKDAYS($H$3,H202,holiday!$B$2:$B$10),IF(DAY(H202)&lt;DAY(H203),NETWORKDAYS($H$3,H202,holiday!$B$2:$B$10),0)))</f>
        <v>0</v>
      </c>
      <c r="O202" s="0" t="n">
        <f aca="false">IF(ISBLANK(A202),"",SUMIF($A$3:$A202,O$2,$B$3:$B202))</f>
        <v>800</v>
      </c>
      <c r="P202" s="0" t="n">
        <f aca="false">IF(ISBLANK(A202),"",SUMIF($A$3:$A202,P$2,$B$3:$B202))</f>
        <v>-2200</v>
      </c>
      <c r="Q202" s="0" t="n">
        <f aca="false">IF(ISBLANK(A202),"",SUMIF($A$3:$A202,Q$2,$B$3:$B202))</f>
        <v>-400</v>
      </c>
      <c r="R202" s="0" t="n">
        <f aca="false">IF(ISBLANK(A202),"",SUMIF($A$3:$A202,R$2,$B$3:$B202))</f>
        <v>0</v>
      </c>
      <c r="T202" s="0" t="n">
        <f aca="false">IF(ISBLANK(A202),"",IF($A202=T$2,$C202,T201))</f>
        <v>47.66</v>
      </c>
      <c r="U202" s="0" t="n">
        <f aca="false">IF(ISBLANK(A202),"",IF($A202=U$2,$C202,U201))</f>
        <v>22.69</v>
      </c>
      <c r="V202" s="0" t="n">
        <f aca="false">IF(ISBLANK(A202),"",IF($A202=V$2,$C202,V201))</f>
        <v>51.91</v>
      </c>
      <c r="W202" s="0" t="n">
        <f aca="false">IF(ISBLANK(A202),"",IF($A202=W$2,$C202,W201))</f>
        <v>0</v>
      </c>
    </row>
    <row r="203" customFormat="false" ht="12.8" hidden="false" customHeight="false" outlineLevel="0" collapsed="false">
      <c r="A203" s="0" t="n">
        <v>980</v>
      </c>
      <c r="B203" s="0" t="n">
        <v>100</v>
      </c>
      <c r="C203" s="0" t="n">
        <v>22.6</v>
      </c>
      <c r="D203" s="0" t="s">
        <v>211</v>
      </c>
      <c r="H203" s="8" t="n">
        <f aca="false">IF(ISBLANK(D203),,LEFT(D203,LEN(D203)-6)*1)</f>
        <v>38721.8072106481</v>
      </c>
      <c r="I203" s="9" t="n">
        <f aca="false">IF(ISBLANK(A203),"",-B203*C203)</f>
        <v>-2260</v>
      </c>
      <c r="J203" s="9" t="n">
        <f aca="false">IF(ISBLANK(A203),"",-SUM(I$3:I203))</f>
        <v>-31880.3475203718</v>
      </c>
      <c r="K203" s="0" t="n">
        <f aca="false">IF(ISBLANK(A203),"",SUMPRODUCT(O203:R203,T203:W203)-J203)</f>
        <v>1784.34752037177</v>
      </c>
      <c r="L203" s="0" t="n">
        <f aca="false">IF(ISBLANK(A203),"",K203/$M$1)</f>
        <v>0.0297391253395295</v>
      </c>
      <c r="M203" s="0" t="n">
        <f aca="false">IF(ISBLANK(A203),"",K203/($M$1+SUM(K$3:K202)))</f>
        <v>0.00929673017953843</v>
      </c>
      <c r="N203" s="0" t="n">
        <f aca="false">IF(ISBLANK(A203),"",IF(H204=0,NETWORKDAYS($H$3,H203,holiday!$B$2:$B$10),IF(DAY(H203)&lt;DAY(H204),NETWORKDAYS($H$3,H203,holiday!$B$2:$B$10),0)))</f>
        <v>0</v>
      </c>
      <c r="O203" s="0" t="n">
        <f aca="false">IF(ISBLANK(A203),"",SUMIF($A$3:$A203,O$2,$B$3:$B203))</f>
        <v>800</v>
      </c>
      <c r="P203" s="0" t="n">
        <f aca="false">IF(ISBLANK(A203),"",SUMIF($A$3:$A203,P$2,$B$3:$B203))</f>
        <v>-2100</v>
      </c>
      <c r="Q203" s="0" t="n">
        <f aca="false">IF(ISBLANK(A203),"",SUMIF($A$3:$A203,Q$2,$B$3:$B203))</f>
        <v>-400</v>
      </c>
      <c r="R203" s="0" t="n">
        <f aca="false">IF(ISBLANK(A203),"",SUMIF($A$3:$A203,R$2,$B$3:$B203))</f>
        <v>0</v>
      </c>
      <c r="T203" s="0" t="n">
        <f aca="false">IF(ISBLANK(A203),"",IF($A203=T$2,$C203,T202))</f>
        <v>47.66</v>
      </c>
      <c r="U203" s="0" t="n">
        <f aca="false">IF(ISBLANK(A203),"",IF($A203=U$2,$C203,U202))</f>
        <v>22.6</v>
      </c>
      <c r="V203" s="0" t="n">
        <f aca="false">IF(ISBLANK(A203),"",IF($A203=V$2,$C203,V202))</f>
        <v>51.91</v>
      </c>
      <c r="W203" s="0" t="n">
        <f aca="false">IF(ISBLANK(A203),"",IF($A203=W$2,$C203,W202))</f>
        <v>0</v>
      </c>
    </row>
    <row r="204" customFormat="false" ht="12.8" hidden="false" customHeight="false" outlineLevel="0" collapsed="false">
      <c r="A204" s="0" t="n">
        <v>679</v>
      </c>
      <c r="B204" s="0" t="n">
        <v>-100</v>
      </c>
      <c r="C204" s="0" t="n">
        <v>51.87</v>
      </c>
      <c r="D204" s="0" t="s">
        <v>212</v>
      </c>
      <c r="H204" s="8" t="n">
        <f aca="false">IF(ISBLANK(D204),,LEFT(D204,LEN(D204)-6)*1)</f>
        <v>38721.8101273148</v>
      </c>
      <c r="I204" s="9" t="n">
        <f aca="false">IF(ISBLANK(A204),"",-B204*C204)</f>
        <v>5187</v>
      </c>
      <c r="J204" s="9" t="n">
        <f aca="false">IF(ISBLANK(A204),"",-SUM(I$3:I204))</f>
        <v>-37067.3475203718</v>
      </c>
      <c r="K204" s="0" t="n">
        <f aca="false">IF(ISBLANK(A204),"",SUMPRODUCT(O204:R204,T204:W204)-J204)</f>
        <v>1800.34752037177</v>
      </c>
      <c r="L204" s="0" t="n">
        <f aca="false">IF(ISBLANK(A204),"",K204/$M$1)</f>
        <v>0.0300057920061961</v>
      </c>
      <c r="M204" s="0" t="n">
        <f aca="false">IF(ISBLANK(A204),"",K204/($M$1+SUM(K$3:K203)))</f>
        <v>0.00929369174216036</v>
      </c>
      <c r="N204" s="0" t="n">
        <f aca="false">IF(ISBLANK(A204),"",IF(H205=0,NETWORKDAYS($H$3,H204,holiday!$B$2:$B$10),IF(DAY(H204)&lt;DAY(H205),NETWORKDAYS($H$3,H204,holiday!$B$2:$B$10),0)))</f>
        <v>0</v>
      </c>
      <c r="O204" s="0" t="n">
        <f aca="false">IF(ISBLANK(A204),"",SUMIF($A$3:$A204,O$2,$B$3:$B204))</f>
        <v>800</v>
      </c>
      <c r="P204" s="0" t="n">
        <f aca="false">IF(ISBLANK(A204),"",SUMIF($A$3:$A204,P$2,$B$3:$B204))</f>
        <v>-2100</v>
      </c>
      <c r="Q204" s="0" t="n">
        <f aca="false">IF(ISBLANK(A204),"",SUMIF($A$3:$A204,Q$2,$B$3:$B204))</f>
        <v>-500</v>
      </c>
      <c r="R204" s="0" t="n">
        <f aca="false">IF(ISBLANK(A204),"",SUMIF($A$3:$A204,R$2,$B$3:$B204))</f>
        <v>0</v>
      </c>
      <c r="T204" s="0" t="n">
        <f aca="false">IF(ISBLANK(A204),"",IF($A204=T$2,$C204,T203))</f>
        <v>47.66</v>
      </c>
      <c r="U204" s="0" t="n">
        <f aca="false">IF(ISBLANK(A204),"",IF($A204=U$2,$C204,U203))</f>
        <v>22.6</v>
      </c>
      <c r="V204" s="0" t="n">
        <f aca="false">IF(ISBLANK(A204),"",IF($A204=V$2,$C204,V203))</f>
        <v>51.87</v>
      </c>
      <c r="W204" s="0" t="n">
        <f aca="false">IF(ISBLANK(A204),"",IF($A204=W$2,$C204,W203))</f>
        <v>0</v>
      </c>
    </row>
    <row r="205" customFormat="false" ht="12.8" hidden="false" customHeight="false" outlineLevel="0" collapsed="false">
      <c r="A205" s="0" t="n">
        <v>980</v>
      </c>
      <c r="B205" s="0" t="n">
        <v>-100</v>
      </c>
      <c r="C205" s="0" t="n">
        <v>22.59</v>
      </c>
      <c r="D205" s="0" t="s">
        <v>213</v>
      </c>
      <c r="H205" s="8" t="n">
        <f aca="false">IF(ISBLANK(D205),,LEFT(D205,LEN(D205)-6)*1)</f>
        <v>38721.8122569444</v>
      </c>
      <c r="I205" s="9" t="n">
        <f aca="false">IF(ISBLANK(A205),"",-B205*C205)</f>
        <v>2259</v>
      </c>
      <c r="J205" s="9" t="n">
        <f aca="false">IF(ISBLANK(A205),"",-SUM(I$3:I205))</f>
        <v>-39326.3475203718</v>
      </c>
      <c r="K205" s="0" t="n">
        <f aca="false">IF(ISBLANK(A205),"",SUMPRODUCT(O205:R205,T205:W205)-J205)</f>
        <v>1821.34752037177</v>
      </c>
      <c r="L205" s="0" t="n">
        <f aca="false">IF(ISBLANK(A205),"",K205/$M$1)</f>
        <v>0.0303557920061961</v>
      </c>
      <c r="M205" s="0" t="n">
        <f aca="false">IF(ISBLANK(A205),"",K205/($M$1+SUM(K$3:K204)))</f>
        <v>0.00931552162986755</v>
      </c>
      <c r="N205" s="0" t="n">
        <f aca="false">IF(ISBLANK(A205),"",IF(H206=0,NETWORKDAYS($H$3,H205,holiday!$B$2:$B$10),IF(DAY(H205)&lt;DAY(H206),NETWORKDAYS($H$3,H205,holiday!$B$2:$B$10),0)))</f>
        <v>0</v>
      </c>
      <c r="O205" s="0" t="n">
        <f aca="false">IF(ISBLANK(A205),"",SUMIF($A$3:$A205,O$2,$B$3:$B205))</f>
        <v>800</v>
      </c>
      <c r="P205" s="0" t="n">
        <f aca="false">IF(ISBLANK(A205),"",SUMIF($A$3:$A205,P$2,$B$3:$B205))</f>
        <v>-2200</v>
      </c>
      <c r="Q205" s="0" t="n">
        <f aca="false">IF(ISBLANK(A205),"",SUMIF($A$3:$A205,Q$2,$B$3:$B205))</f>
        <v>-500</v>
      </c>
      <c r="R205" s="0" t="n">
        <f aca="false">IF(ISBLANK(A205),"",SUMIF($A$3:$A205,R$2,$B$3:$B205))</f>
        <v>0</v>
      </c>
      <c r="T205" s="0" t="n">
        <f aca="false">IF(ISBLANK(A205),"",IF($A205=T$2,$C205,T204))</f>
        <v>47.66</v>
      </c>
      <c r="U205" s="0" t="n">
        <f aca="false">IF(ISBLANK(A205),"",IF($A205=U$2,$C205,U204))</f>
        <v>22.59</v>
      </c>
      <c r="V205" s="0" t="n">
        <f aca="false">IF(ISBLANK(A205),"",IF($A205=V$2,$C205,V204))</f>
        <v>51.87</v>
      </c>
      <c r="W205" s="0" t="n">
        <f aca="false">IF(ISBLANK(A205),"",IF($A205=W$2,$C205,W204))</f>
        <v>0</v>
      </c>
    </row>
    <row r="206" customFormat="false" ht="12.8" hidden="false" customHeight="false" outlineLevel="0" collapsed="false">
      <c r="A206" s="0" t="n">
        <v>980</v>
      </c>
      <c r="B206" s="0" t="n">
        <v>-100</v>
      </c>
      <c r="C206" s="0" t="n">
        <v>22.6</v>
      </c>
      <c r="D206" s="0" t="s">
        <v>214</v>
      </c>
      <c r="H206" s="8" t="n">
        <f aca="false">IF(ISBLANK(D206),,LEFT(D206,LEN(D206)-6)*1)</f>
        <v>38721.8141550926</v>
      </c>
      <c r="I206" s="9" t="n">
        <f aca="false">IF(ISBLANK(A206),"",-B206*C206)</f>
        <v>2260</v>
      </c>
      <c r="J206" s="9" t="n">
        <f aca="false">IF(ISBLANK(A206),"",-SUM(I$3:I206))</f>
        <v>-41586.3475203718</v>
      </c>
      <c r="K206" s="0" t="n">
        <f aca="false">IF(ISBLANK(A206),"",SUMPRODUCT(O206:R206,T206:W206)-J206)</f>
        <v>1799.34752037177</v>
      </c>
      <c r="L206" s="0" t="n">
        <f aca="false">IF(ISBLANK(A206),"",K206/$M$1)</f>
        <v>0.0299891253395295</v>
      </c>
      <c r="M206" s="0" t="n">
        <f aca="false">IF(ISBLANK(A206),"",K206/($M$1+SUM(K$3:K205)))</f>
        <v>0.00911806024664264</v>
      </c>
      <c r="N206" s="0" t="n">
        <f aca="false">IF(ISBLANK(A206),"",IF(H207=0,NETWORKDAYS($H$3,H206,holiday!$B$2:$B$10),IF(DAY(H206)&lt;DAY(H207),NETWORKDAYS($H$3,H206,holiday!$B$2:$B$10),0)))</f>
        <v>0</v>
      </c>
      <c r="O206" s="0" t="n">
        <f aca="false">IF(ISBLANK(A206),"",SUMIF($A$3:$A206,O$2,$B$3:$B206))</f>
        <v>800</v>
      </c>
      <c r="P206" s="0" t="n">
        <f aca="false">IF(ISBLANK(A206),"",SUMIF($A$3:$A206,P$2,$B$3:$B206))</f>
        <v>-2300</v>
      </c>
      <c r="Q206" s="0" t="n">
        <f aca="false">IF(ISBLANK(A206),"",SUMIF($A$3:$A206,Q$2,$B$3:$B206))</f>
        <v>-500</v>
      </c>
      <c r="R206" s="0" t="n">
        <f aca="false">IF(ISBLANK(A206),"",SUMIF($A$3:$A206,R$2,$B$3:$B206))</f>
        <v>0</v>
      </c>
      <c r="T206" s="0" t="n">
        <f aca="false">IF(ISBLANK(A206),"",IF($A206=T$2,$C206,T205))</f>
        <v>47.66</v>
      </c>
      <c r="U206" s="0" t="n">
        <f aca="false">IF(ISBLANK(A206),"",IF($A206=U$2,$C206,U205))</f>
        <v>22.6</v>
      </c>
      <c r="V206" s="0" t="n">
        <f aca="false">IF(ISBLANK(A206),"",IF($A206=V$2,$C206,V205))</f>
        <v>51.87</v>
      </c>
      <c r="W206" s="0" t="n">
        <f aca="false">IF(ISBLANK(A206),"",IF($A206=W$2,$C206,W205))</f>
        <v>0</v>
      </c>
    </row>
    <row r="207" customFormat="false" ht="12.8" hidden="false" customHeight="false" outlineLevel="0" collapsed="false">
      <c r="A207" s="0" t="n">
        <v>980</v>
      </c>
      <c r="B207" s="0" t="n">
        <v>-100</v>
      </c>
      <c r="C207" s="0" t="n">
        <v>22.59</v>
      </c>
      <c r="D207" s="0" t="s">
        <v>215</v>
      </c>
      <c r="H207" s="8" t="n">
        <f aca="false">IF(ISBLANK(D207),,LEFT(D207,LEN(D207)-6)*1)</f>
        <v>38721.8150231481</v>
      </c>
      <c r="I207" s="9" t="n">
        <f aca="false">IF(ISBLANK(A207),"",-B207*C207)</f>
        <v>2259</v>
      </c>
      <c r="J207" s="9" t="n">
        <f aca="false">IF(ISBLANK(A207),"",-SUM(I$3:I207))</f>
        <v>-43845.3475203718</v>
      </c>
      <c r="K207" s="0" t="n">
        <f aca="false">IF(ISBLANK(A207),"",SUMPRODUCT(O207:R207,T207:W207)-J207)</f>
        <v>1822.34752037177</v>
      </c>
      <c r="L207" s="0" t="n">
        <f aca="false">IF(ISBLANK(A207),"",K207/$M$1)</f>
        <v>0.0303724586728628</v>
      </c>
      <c r="M207" s="0" t="n">
        <f aca="false">IF(ISBLANK(A207),"",K207/($M$1+SUM(K$3:K206)))</f>
        <v>0.00915117012208266</v>
      </c>
      <c r="N207" s="0" t="n">
        <f aca="false">IF(ISBLANK(A207),"",IF(H208=0,NETWORKDAYS($H$3,H207,holiday!$B$2:$B$10),IF(DAY(H207)&lt;DAY(H208),NETWORKDAYS($H$3,H207,holiday!$B$2:$B$10),0)))</f>
        <v>0</v>
      </c>
      <c r="O207" s="0" t="n">
        <f aca="false">IF(ISBLANK(A207),"",SUMIF($A$3:$A207,O$2,$B$3:$B207))</f>
        <v>800</v>
      </c>
      <c r="P207" s="0" t="n">
        <f aca="false">IF(ISBLANK(A207),"",SUMIF($A$3:$A207,P$2,$B$3:$B207))</f>
        <v>-2400</v>
      </c>
      <c r="Q207" s="0" t="n">
        <f aca="false">IF(ISBLANK(A207),"",SUMIF($A$3:$A207,Q$2,$B$3:$B207))</f>
        <v>-500</v>
      </c>
      <c r="R207" s="0" t="n">
        <f aca="false">IF(ISBLANK(A207),"",SUMIF($A$3:$A207,R$2,$B$3:$B207))</f>
        <v>0</v>
      </c>
      <c r="T207" s="0" t="n">
        <f aca="false">IF(ISBLANK(A207),"",IF($A207=T$2,$C207,T206))</f>
        <v>47.66</v>
      </c>
      <c r="U207" s="0" t="n">
        <f aca="false">IF(ISBLANK(A207),"",IF($A207=U$2,$C207,U206))</f>
        <v>22.59</v>
      </c>
      <c r="V207" s="0" t="n">
        <f aca="false">IF(ISBLANK(A207),"",IF($A207=V$2,$C207,V206))</f>
        <v>51.87</v>
      </c>
      <c r="W207" s="0" t="n">
        <f aca="false">IF(ISBLANK(A207),"",IF($A207=W$2,$C207,W206))</f>
        <v>0</v>
      </c>
    </row>
    <row r="208" customFormat="false" ht="12.8" hidden="false" customHeight="false" outlineLevel="0" collapsed="false">
      <c r="A208" s="0" t="n">
        <v>27969</v>
      </c>
      <c r="B208" s="0" t="n">
        <v>100</v>
      </c>
      <c r="C208" s="0" t="n">
        <v>26.04</v>
      </c>
      <c r="D208" s="0" t="s">
        <v>216</v>
      </c>
      <c r="H208" s="8" t="n">
        <f aca="false">IF(ISBLANK(D208),,LEFT(D208,LEN(D208)-6)*1)</f>
        <v>38721.8162037037</v>
      </c>
      <c r="I208" s="9" t="n">
        <f aca="false">IF(ISBLANK(A208),"",-B208*C208)</f>
        <v>-2604</v>
      </c>
      <c r="J208" s="9" t="n">
        <f aca="false">IF(ISBLANK(A208),"",-SUM(I$3:I208))</f>
        <v>-41241.3475203718</v>
      </c>
      <c r="K208" s="0" t="n">
        <f aca="false">IF(ISBLANK(A208),"",SUMPRODUCT(O208:R208,T208:W208)-J208)</f>
        <v>1822.34752037177</v>
      </c>
      <c r="L208" s="0" t="n">
        <f aca="false">IF(ISBLANK(A208),"",K208/$M$1)</f>
        <v>0.0303724586728628</v>
      </c>
      <c r="M208" s="0" t="n">
        <f aca="false">IF(ISBLANK(A208),"",K208/($M$1+SUM(K$3:K207)))</f>
        <v>0.00906818561284092</v>
      </c>
      <c r="N208" s="0" t="n">
        <f aca="false">IF(ISBLANK(A208),"",IF(H209=0,NETWORKDAYS($H$3,H208,holiday!$B$2:$B$10),IF(DAY(H208)&lt;DAY(H209),NETWORKDAYS($H$3,H208,holiday!$B$2:$B$10),0)))</f>
        <v>0</v>
      </c>
      <c r="O208" s="0" t="n">
        <f aca="false">IF(ISBLANK(A208),"",SUMIF($A$3:$A208,O$2,$B$3:$B208))</f>
        <v>800</v>
      </c>
      <c r="P208" s="0" t="n">
        <f aca="false">IF(ISBLANK(A208),"",SUMIF($A$3:$A208,P$2,$B$3:$B208))</f>
        <v>-2400</v>
      </c>
      <c r="Q208" s="0" t="n">
        <f aca="false">IF(ISBLANK(A208),"",SUMIF($A$3:$A208,Q$2,$B$3:$B208))</f>
        <v>-500</v>
      </c>
      <c r="R208" s="0" t="n">
        <f aca="false">IF(ISBLANK(A208),"",SUMIF($A$3:$A208,R$2,$B$3:$B208))</f>
        <v>100</v>
      </c>
      <c r="T208" s="0" t="n">
        <f aca="false">IF(ISBLANK(A208),"",IF($A208=T$2,$C208,T207))</f>
        <v>47.66</v>
      </c>
      <c r="U208" s="0" t="n">
        <f aca="false">IF(ISBLANK(A208),"",IF($A208=U$2,$C208,U207))</f>
        <v>22.59</v>
      </c>
      <c r="V208" s="0" t="n">
        <f aca="false">IF(ISBLANK(A208),"",IF($A208=V$2,$C208,V207))</f>
        <v>51.87</v>
      </c>
      <c r="W208" s="0" t="n">
        <f aca="false">IF(ISBLANK(A208),"",IF($A208=W$2,$C208,W207))</f>
        <v>26.04</v>
      </c>
    </row>
    <row r="209" customFormat="false" ht="12.8" hidden="false" customHeight="false" outlineLevel="0" collapsed="false">
      <c r="A209" s="0" t="n">
        <v>980</v>
      </c>
      <c r="B209" s="0" t="n">
        <v>-100</v>
      </c>
      <c r="C209" s="0" t="n">
        <v>22.6</v>
      </c>
      <c r="D209" s="0" t="s">
        <v>217</v>
      </c>
      <c r="H209" s="8" t="n">
        <f aca="false">IF(ISBLANK(D209),,LEFT(D209,LEN(D209)-6)*1)</f>
        <v>38721.8178819444</v>
      </c>
      <c r="I209" s="9" t="n">
        <f aca="false">IF(ISBLANK(A209),"",-B209*C209)</f>
        <v>2260</v>
      </c>
      <c r="J209" s="9" t="n">
        <f aca="false">IF(ISBLANK(A209),"",-SUM(I$3:I209))</f>
        <v>-43501.3475203718</v>
      </c>
      <c r="K209" s="0" t="n">
        <f aca="false">IF(ISBLANK(A209),"",SUMPRODUCT(O209:R209,T209:W209)-J209)</f>
        <v>1798.34752037177</v>
      </c>
      <c r="L209" s="0" t="n">
        <f aca="false">IF(ISBLANK(A209),"",K209/$M$1)</f>
        <v>0.0299724586728628</v>
      </c>
      <c r="M209" s="0" t="n">
        <f aca="false">IF(ISBLANK(A209),"",K209/($M$1+SUM(K$3:K208)))</f>
        <v>0.00886833943687286</v>
      </c>
      <c r="N209" s="0" t="n">
        <f aca="false">IF(ISBLANK(A209),"",IF(H210=0,NETWORKDAYS($H$3,H209,holiday!$B$2:$B$10),IF(DAY(H209)&lt;DAY(H210),NETWORKDAYS($H$3,H209,holiday!$B$2:$B$10),0)))</f>
        <v>0</v>
      </c>
      <c r="O209" s="0" t="n">
        <f aca="false">IF(ISBLANK(A209),"",SUMIF($A$3:$A209,O$2,$B$3:$B209))</f>
        <v>800</v>
      </c>
      <c r="P209" s="0" t="n">
        <f aca="false">IF(ISBLANK(A209),"",SUMIF($A$3:$A209,P$2,$B$3:$B209))</f>
        <v>-2500</v>
      </c>
      <c r="Q209" s="0" t="n">
        <f aca="false">IF(ISBLANK(A209),"",SUMIF($A$3:$A209,Q$2,$B$3:$B209))</f>
        <v>-500</v>
      </c>
      <c r="R209" s="0" t="n">
        <f aca="false">IF(ISBLANK(A209),"",SUMIF($A$3:$A209,R$2,$B$3:$B209))</f>
        <v>100</v>
      </c>
      <c r="T209" s="0" t="n">
        <f aca="false">IF(ISBLANK(A209),"",IF($A209=T$2,$C209,T208))</f>
        <v>47.66</v>
      </c>
      <c r="U209" s="0" t="n">
        <f aca="false">IF(ISBLANK(A209),"",IF($A209=U$2,$C209,U208))</f>
        <v>22.6</v>
      </c>
      <c r="V209" s="0" t="n">
        <f aca="false">IF(ISBLANK(A209),"",IF($A209=V$2,$C209,V208))</f>
        <v>51.87</v>
      </c>
      <c r="W209" s="0" t="n">
        <f aca="false">IF(ISBLANK(A209),"",IF($A209=W$2,$C209,W208))</f>
        <v>26.04</v>
      </c>
    </row>
    <row r="210" customFormat="false" ht="12.8" hidden="false" customHeight="false" outlineLevel="0" collapsed="false">
      <c r="A210" s="0" t="n">
        <v>980</v>
      </c>
      <c r="B210" s="0" t="n">
        <v>-100</v>
      </c>
      <c r="C210" s="0" t="n">
        <v>22.5993333333333</v>
      </c>
      <c r="D210" s="0" t="s">
        <v>218</v>
      </c>
      <c r="H210" s="8" t="n">
        <f aca="false">IF(ISBLANK(D210),,LEFT(D210,LEN(D210)-6)*1)</f>
        <v>38721.8197569444</v>
      </c>
      <c r="I210" s="9" t="n">
        <f aca="false">IF(ISBLANK(A210),"",-B210*C210)</f>
        <v>2259.93333333333</v>
      </c>
      <c r="J210" s="9" t="n">
        <f aca="false">IF(ISBLANK(A210),"",-SUM(I$3:I210))</f>
        <v>-45761.2808537051</v>
      </c>
      <c r="K210" s="0" t="n">
        <f aca="false">IF(ISBLANK(A210),"",SUMPRODUCT(O210:R210,T210:W210)-J210)</f>
        <v>1800.01418703852</v>
      </c>
      <c r="L210" s="0" t="n">
        <f aca="false">IF(ISBLANK(A210),"",K210/$M$1)</f>
        <v>0.030000236450642</v>
      </c>
      <c r="M210" s="0" t="n">
        <f aca="false">IF(ISBLANK(A210),"",K210/($M$1+SUM(K$3:K209)))</f>
        <v>0.00879853005656938</v>
      </c>
      <c r="N210" s="0" t="n">
        <f aca="false">IF(ISBLANK(A210),"",IF(H211=0,NETWORKDAYS($H$3,H210,holiday!$B$2:$B$10),IF(DAY(H210)&lt;DAY(H211),NETWORKDAYS($H$3,H210,holiday!$B$2:$B$10),0)))</f>
        <v>0</v>
      </c>
      <c r="O210" s="0" t="n">
        <f aca="false">IF(ISBLANK(A210),"",SUMIF($A$3:$A210,O$2,$B$3:$B210))</f>
        <v>800</v>
      </c>
      <c r="P210" s="0" t="n">
        <f aca="false">IF(ISBLANK(A210),"",SUMIF($A$3:$A210,P$2,$B$3:$B210))</f>
        <v>-2600</v>
      </c>
      <c r="Q210" s="0" t="n">
        <f aca="false">IF(ISBLANK(A210),"",SUMIF($A$3:$A210,Q$2,$B$3:$B210))</f>
        <v>-500</v>
      </c>
      <c r="R210" s="0" t="n">
        <f aca="false">IF(ISBLANK(A210),"",SUMIF($A$3:$A210,R$2,$B$3:$B210))</f>
        <v>100</v>
      </c>
      <c r="T210" s="0" t="n">
        <f aca="false">IF(ISBLANK(A210),"",IF($A210=T$2,$C210,T209))</f>
        <v>47.66</v>
      </c>
      <c r="U210" s="0" t="n">
        <f aca="false">IF(ISBLANK(A210),"",IF($A210=U$2,$C210,U209))</f>
        <v>22.5993333333333</v>
      </c>
      <c r="V210" s="0" t="n">
        <f aca="false">IF(ISBLANK(A210),"",IF($A210=V$2,$C210,V209))</f>
        <v>51.87</v>
      </c>
      <c r="W210" s="0" t="n">
        <f aca="false">IF(ISBLANK(A210),"",IF($A210=W$2,$C210,W209))</f>
        <v>26.04</v>
      </c>
    </row>
    <row r="211" customFormat="false" ht="12.8" hidden="false" customHeight="false" outlineLevel="0" collapsed="false">
      <c r="A211" s="0" t="n">
        <v>27969</v>
      </c>
      <c r="B211" s="0" t="n">
        <v>100</v>
      </c>
      <c r="C211" s="0" t="n">
        <v>26.04</v>
      </c>
      <c r="D211" s="0" t="s">
        <v>219</v>
      </c>
      <c r="H211" s="8" t="n">
        <f aca="false">IF(ISBLANK(D211),,LEFT(D211,LEN(D211)-6)*1)</f>
        <v>38721.8204282407</v>
      </c>
      <c r="I211" s="9" t="n">
        <f aca="false">IF(ISBLANK(A211),"",-B211*C211)</f>
        <v>-2604</v>
      </c>
      <c r="J211" s="9" t="n">
        <f aca="false">IF(ISBLANK(A211),"",-SUM(I$3:I211))</f>
        <v>-43157.2808537051</v>
      </c>
      <c r="K211" s="0" t="n">
        <f aca="false">IF(ISBLANK(A211),"",SUMPRODUCT(O211:R211,T211:W211)-J211)</f>
        <v>1800.01418703852</v>
      </c>
      <c r="L211" s="0" t="n">
        <f aca="false">IF(ISBLANK(A211),"",K211/$M$1)</f>
        <v>0.030000236450642</v>
      </c>
      <c r="M211" s="0" t="n">
        <f aca="false">IF(ISBLANK(A211),"",K211/($M$1+SUM(K$3:K210)))</f>
        <v>0.00872179111529434</v>
      </c>
      <c r="N211" s="0" t="n">
        <f aca="false">IF(ISBLANK(A211),"",IF(H212=0,NETWORKDAYS($H$3,H211,holiday!$B$2:$B$10),IF(DAY(H211)&lt;DAY(H212),NETWORKDAYS($H$3,H211,holiday!$B$2:$B$10),0)))</f>
        <v>0</v>
      </c>
      <c r="O211" s="0" t="n">
        <f aca="false">IF(ISBLANK(A211),"",SUMIF($A$3:$A211,O$2,$B$3:$B211))</f>
        <v>800</v>
      </c>
      <c r="P211" s="0" t="n">
        <f aca="false">IF(ISBLANK(A211),"",SUMIF($A$3:$A211,P$2,$B$3:$B211))</f>
        <v>-2600</v>
      </c>
      <c r="Q211" s="0" t="n">
        <f aca="false">IF(ISBLANK(A211),"",SUMIF($A$3:$A211,Q$2,$B$3:$B211))</f>
        <v>-500</v>
      </c>
      <c r="R211" s="0" t="n">
        <f aca="false">IF(ISBLANK(A211),"",SUMIF($A$3:$A211,R$2,$B$3:$B211))</f>
        <v>200</v>
      </c>
      <c r="T211" s="0" t="n">
        <f aca="false">IF(ISBLANK(A211),"",IF($A211=T$2,$C211,T210))</f>
        <v>47.66</v>
      </c>
      <c r="U211" s="0" t="n">
        <f aca="false">IF(ISBLANK(A211),"",IF($A211=U$2,$C211,U210))</f>
        <v>22.5993333333333</v>
      </c>
      <c r="V211" s="0" t="n">
        <f aca="false">IF(ISBLANK(A211),"",IF($A211=V$2,$C211,V210))</f>
        <v>51.87</v>
      </c>
      <c r="W211" s="0" t="n">
        <f aca="false">IF(ISBLANK(A211),"",IF($A211=W$2,$C211,W210))</f>
        <v>26.04</v>
      </c>
    </row>
    <row r="212" customFormat="false" ht="12.8" hidden="false" customHeight="false" outlineLevel="0" collapsed="false">
      <c r="A212" s="0" t="n">
        <v>980</v>
      </c>
      <c r="B212" s="0" t="n">
        <v>-100</v>
      </c>
      <c r="C212" s="0" t="n">
        <v>22.56</v>
      </c>
      <c r="D212" s="0" t="s">
        <v>220</v>
      </c>
      <c r="H212" s="8" t="n">
        <f aca="false">IF(ISBLANK(D212),,LEFT(D212,LEN(D212)-6)*1)</f>
        <v>38721.834525463</v>
      </c>
      <c r="I212" s="9" t="n">
        <f aca="false">IF(ISBLANK(A212),"",-B212*C212)</f>
        <v>2256</v>
      </c>
      <c r="J212" s="9" t="n">
        <f aca="false">IF(ISBLANK(A212),"",-SUM(I$3:I212))</f>
        <v>-45413.2808537051</v>
      </c>
      <c r="K212" s="0" t="n">
        <f aca="false">IF(ISBLANK(A212),"",SUMPRODUCT(O212:R212,T212:W212)-J212)</f>
        <v>1902.2808537051</v>
      </c>
      <c r="L212" s="0" t="n">
        <f aca="false">IF(ISBLANK(A212),"",K212/$M$1)</f>
        <v>0.0317046808950849</v>
      </c>
      <c r="M212" s="0" t="n">
        <f aca="false">IF(ISBLANK(A212),"",K212/($M$1+SUM(K$3:K211)))</f>
        <v>0.00913761776338118</v>
      </c>
      <c r="N212" s="0" t="n">
        <f aca="false">IF(ISBLANK(A212),"",IF(H213=0,NETWORKDAYS($H$3,H212,holiday!$B$2:$B$10),IF(DAY(H212)&lt;DAY(H213),NETWORKDAYS($H$3,H212,holiday!$B$2:$B$10),0)))</f>
        <v>0</v>
      </c>
      <c r="O212" s="0" t="n">
        <f aca="false">IF(ISBLANK(A212),"",SUMIF($A$3:$A212,O$2,$B$3:$B212))</f>
        <v>800</v>
      </c>
      <c r="P212" s="0" t="n">
        <f aca="false">IF(ISBLANK(A212),"",SUMIF($A$3:$A212,P$2,$B$3:$B212))</f>
        <v>-2700</v>
      </c>
      <c r="Q212" s="0" t="n">
        <f aca="false">IF(ISBLANK(A212),"",SUMIF($A$3:$A212,Q$2,$B$3:$B212))</f>
        <v>-500</v>
      </c>
      <c r="R212" s="0" t="n">
        <f aca="false">IF(ISBLANK(A212),"",SUMIF($A$3:$A212,R$2,$B$3:$B212))</f>
        <v>200</v>
      </c>
      <c r="T212" s="0" t="n">
        <f aca="false">IF(ISBLANK(A212),"",IF($A212=T$2,$C212,T211))</f>
        <v>47.66</v>
      </c>
      <c r="U212" s="0" t="n">
        <f aca="false">IF(ISBLANK(A212),"",IF($A212=U$2,$C212,U211))</f>
        <v>22.56</v>
      </c>
      <c r="V212" s="0" t="n">
        <f aca="false">IF(ISBLANK(A212),"",IF($A212=V$2,$C212,V211))</f>
        <v>51.87</v>
      </c>
      <c r="W212" s="0" t="n">
        <f aca="false">IF(ISBLANK(A212),"",IF($A212=W$2,$C212,W211))</f>
        <v>26.04</v>
      </c>
    </row>
    <row r="213" customFormat="false" ht="12.8" hidden="false" customHeight="false" outlineLevel="0" collapsed="false">
      <c r="A213" s="0" t="n">
        <v>980</v>
      </c>
      <c r="B213" s="0" t="n">
        <v>100</v>
      </c>
      <c r="C213" s="0" t="n">
        <v>22.56</v>
      </c>
      <c r="D213" s="0" t="s">
        <v>221</v>
      </c>
      <c r="H213" s="8" t="n">
        <f aca="false">IF(ISBLANK(D213),,LEFT(D213,LEN(D213)-6)*1)</f>
        <v>38721.8380787037</v>
      </c>
      <c r="I213" s="9" t="n">
        <f aca="false">IF(ISBLANK(A213),"",-B213*C213)</f>
        <v>-2256</v>
      </c>
      <c r="J213" s="9" t="n">
        <f aca="false">IF(ISBLANK(A213),"",-SUM(I$3:I213))</f>
        <v>-43157.2808537051</v>
      </c>
      <c r="K213" s="0" t="n">
        <f aca="false">IF(ISBLANK(A213),"",SUMPRODUCT(O213:R213,T213:W213)-J213)</f>
        <v>1902.2808537051</v>
      </c>
      <c r="L213" s="0" t="n">
        <f aca="false">IF(ISBLANK(A213),"",K213/$M$1)</f>
        <v>0.0317046808950849</v>
      </c>
      <c r="M213" s="0" t="n">
        <f aca="false">IF(ISBLANK(A213),"",K213/($M$1+SUM(K$3:K212)))</f>
        <v>0.00905487775159298</v>
      </c>
      <c r="N213" s="0" t="n">
        <f aca="false">IF(ISBLANK(A213),"",IF(H214=0,NETWORKDAYS($H$3,H213,holiday!$B$2:$B$10),IF(DAY(H213)&lt;DAY(H214),NETWORKDAYS($H$3,H213,holiday!$B$2:$B$10),0)))</f>
        <v>0</v>
      </c>
      <c r="O213" s="0" t="n">
        <f aca="false">IF(ISBLANK(A213),"",SUMIF($A$3:$A213,O$2,$B$3:$B213))</f>
        <v>800</v>
      </c>
      <c r="P213" s="0" t="n">
        <f aca="false">IF(ISBLANK(A213),"",SUMIF($A$3:$A213,P$2,$B$3:$B213))</f>
        <v>-2600</v>
      </c>
      <c r="Q213" s="0" t="n">
        <f aca="false">IF(ISBLANK(A213),"",SUMIF($A$3:$A213,Q$2,$B$3:$B213))</f>
        <v>-500</v>
      </c>
      <c r="R213" s="0" t="n">
        <f aca="false">IF(ISBLANK(A213),"",SUMIF($A$3:$A213,R$2,$B$3:$B213))</f>
        <v>200</v>
      </c>
      <c r="T213" s="0" t="n">
        <f aca="false">IF(ISBLANK(A213),"",IF($A213=T$2,$C213,T212))</f>
        <v>47.66</v>
      </c>
      <c r="U213" s="0" t="n">
        <f aca="false">IF(ISBLANK(A213),"",IF($A213=U$2,$C213,U212))</f>
        <v>22.56</v>
      </c>
      <c r="V213" s="0" t="n">
        <f aca="false">IF(ISBLANK(A213),"",IF($A213=V$2,$C213,V212))</f>
        <v>51.87</v>
      </c>
      <c r="W213" s="0" t="n">
        <f aca="false">IF(ISBLANK(A213),"",IF($A213=W$2,$C213,W212))</f>
        <v>26.04</v>
      </c>
    </row>
    <row r="214" customFormat="false" ht="12.8" hidden="false" customHeight="false" outlineLevel="0" collapsed="false">
      <c r="A214" s="0" t="n">
        <v>679</v>
      </c>
      <c r="B214" s="0" t="n">
        <v>100</v>
      </c>
      <c r="C214" s="0" t="n">
        <v>51.89</v>
      </c>
      <c r="D214" s="0" t="s">
        <v>222</v>
      </c>
      <c r="H214" s="8" t="n">
        <f aca="false">IF(ISBLANK(D214),,LEFT(D214,LEN(D214)-6)*1)</f>
        <v>38721.838587963</v>
      </c>
      <c r="I214" s="9" t="n">
        <f aca="false">IF(ISBLANK(A214),"",-B214*C214)</f>
        <v>-5189</v>
      </c>
      <c r="J214" s="9" t="n">
        <f aca="false">IF(ISBLANK(A214),"",-SUM(I$3:I214))</f>
        <v>-37968.2808537051</v>
      </c>
      <c r="K214" s="0" t="n">
        <f aca="false">IF(ISBLANK(A214),"",SUMPRODUCT(O214:R214,T214:W214)-J214)</f>
        <v>1892.2808537051</v>
      </c>
      <c r="L214" s="0" t="n">
        <f aca="false">IF(ISBLANK(A214),"",K214/$M$1)</f>
        <v>0.0315380142284183</v>
      </c>
      <c r="M214" s="0" t="n">
        <f aca="false">IF(ISBLANK(A214),"",K214/($M$1+SUM(K$3:K213)))</f>
        <v>0.00892644973072077</v>
      </c>
      <c r="N214" s="0" t="n">
        <f aca="false">IF(ISBLANK(A214),"",IF(H215=0,NETWORKDAYS($H$3,H214,holiday!$B$2:$B$10),IF(DAY(H214)&lt;DAY(H215),NETWORKDAYS($H$3,H214,holiday!$B$2:$B$10),0)))</f>
        <v>0</v>
      </c>
      <c r="O214" s="0" t="n">
        <f aca="false">IF(ISBLANK(A214),"",SUMIF($A$3:$A214,O$2,$B$3:$B214))</f>
        <v>800</v>
      </c>
      <c r="P214" s="0" t="n">
        <f aca="false">IF(ISBLANK(A214),"",SUMIF($A$3:$A214,P$2,$B$3:$B214))</f>
        <v>-2600</v>
      </c>
      <c r="Q214" s="0" t="n">
        <f aca="false">IF(ISBLANK(A214),"",SUMIF($A$3:$A214,Q$2,$B$3:$B214))</f>
        <v>-400</v>
      </c>
      <c r="R214" s="0" t="n">
        <f aca="false">IF(ISBLANK(A214),"",SUMIF($A$3:$A214,R$2,$B$3:$B214))</f>
        <v>200</v>
      </c>
      <c r="T214" s="0" t="n">
        <f aca="false">IF(ISBLANK(A214),"",IF($A214=T$2,$C214,T213))</f>
        <v>47.66</v>
      </c>
      <c r="U214" s="0" t="n">
        <f aca="false">IF(ISBLANK(A214),"",IF($A214=U$2,$C214,U213))</f>
        <v>22.56</v>
      </c>
      <c r="V214" s="0" t="n">
        <f aca="false">IF(ISBLANK(A214),"",IF($A214=V$2,$C214,V213))</f>
        <v>51.89</v>
      </c>
      <c r="W214" s="0" t="n">
        <f aca="false">IF(ISBLANK(A214),"",IF($A214=W$2,$C214,W213))</f>
        <v>26.04</v>
      </c>
    </row>
    <row r="215" customFormat="false" ht="12.8" hidden="false" customHeight="false" outlineLevel="0" collapsed="false">
      <c r="A215" s="0" t="n">
        <v>980</v>
      </c>
      <c r="B215" s="0" t="n">
        <v>-100</v>
      </c>
      <c r="C215" s="0" t="n">
        <v>22.57</v>
      </c>
      <c r="D215" s="0" t="s">
        <v>223</v>
      </c>
      <c r="H215" s="8" t="n">
        <f aca="false">IF(ISBLANK(D215),,LEFT(D215,LEN(D215)-6)*1)</f>
        <v>38721.8408564815</v>
      </c>
      <c r="I215" s="9" t="n">
        <f aca="false">IF(ISBLANK(A215),"",-B215*C215)</f>
        <v>2257</v>
      </c>
      <c r="J215" s="9" t="n">
        <f aca="false">IF(ISBLANK(A215),"",-SUM(I$3:I215))</f>
        <v>-40225.2808537051</v>
      </c>
      <c r="K215" s="0" t="n">
        <f aca="false">IF(ISBLANK(A215),"",SUMPRODUCT(O215:R215,T215:W215)-J215)</f>
        <v>1866.2808537051</v>
      </c>
      <c r="L215" s="0" t="n">
        <f aca="false">IF(ISBLANK(A215),"",K215/$M$1)</f>
        <v>0.0311046808950849</v>
      </c>
      <c r="M215" s="0" t="n">
        <f aca="false">IF(ISBLANK(A215),"",K215/($M$1+SUM(K$3:K214)))</f>
        <v>0.00872590863851834</v>
      </c>
      <c r="N215" s="0" t="n">
        <f aca="false">IF(ISBLANK(A215),"",IF(H216=0,NETWORKDAYS($H$3,H215,holiday!$B$2:$B$10),IF(DAY(H215)&lt;DAY(H216),NETWORKDAYS($H$3,H215,holiday!$B$2:$B$10),0)))</f>
        <v>0</v>
      </c>
      <c r="O215" s="0" t="n">
        <f aca="false">IF(ISBLANK(A215),"",SUMIF($A$3:$A215,O$2,$B$3:$B215))</f>
        <v>800</v>
      </c>
      <c r="P215" s="0" t="n">
        <f aca="false">IF(ISBLANK(A215),"",SUMIF($A$3:$A215,P$2,$B$3:$B215))</f>
        <v>-2700</v>
      </c>
      <c r="Q215" s="0" t="n">
        <f aca="false">IF(ISBLANK(A215),"",SUMIF($A$3:$A215,Q$2,$B$3:$B215))</f>
        <v>-400</v>
      </c>
      <c r="R215" s="0" t="n">
        <f aca="false">IF(ISBLANK(A215),"",SUMIF($A$3:$A215,R$2,$B$3:$B215))</f>
        <v>200</v>
      </c>
      <c r="T215" s="0" t="n">
        <f aca="false">IF(ISBLANK(A215),"",IF($A215=T$2,$C215,T214))</f>
        <v>47.66</v>
      </c>
      <c r="U215" s="0" t="n">
        <f aca="false">IF(ISBLANK(A215),"",IF($A215=U$2,$C215,U214))</f>
        <v>22.57</v>
      </c>
      <c r="V215" s="0" t="n">
        <f aca="false">IF(ISBLANK(A215),"",IF($A215=V$2,$C215,V214))</f>
        <v>51.89</v>
      </c>
      <c r="W215" s="0" t="n">
        <f aca="false">IF(ISBLANK(A215),"",IF($A215=W$2,$C215,W214))</f>
        <v>26.04</v>
      </c>
    </row>
    <row r="216" customFormat="false" ht="12.8" hidden="false" customHeight="false" outlineLevel="0" collapsed="false">
      <c r="A216" s="0" t="n">
        <v>980</v>
      </c>
      <c r="B216" s="0" t="n">
        <v>100</v>
      </c>
      <c r="C216" s="0" t="n">
        <v>22.56</v>
      </c>
      <c r="D216" s="0" t="s">
        <v>224</v>
      </c>
      <c r="H216" s="8" t="n">
        <f aca="false">IF(ISBLANK(D216),,LEFT(D216,LEN(D216)-6)*1)</f>
        <v>38721.8411921296</v>
      </c>
      <c r="I216" s="9" t="n">
        <f aca="false">IF(ISBLANK(A216),"",-B216*C216)</f>
        <v>-2256</v>
      </c>
      <c r="J216" s="9" t="n">
        <f aca="false">IF(ISBLANK(A216),"",-SUM(I$3:I216))</f>
        <v>-37969.2808537051</v>
      </c>
      <c r="K216" s="0" t="n">
        <f aca="false">IF(ISBLANK(A216),"",SUMPRODUCT(O216:R216,T216:W216)-J216)</f>
        <v>1893.2808537051</v>
      </c>
      <c r="L216" s="0" t="n">
        <f aca="false">IF(ISBLANK(A216),"",K216/$M$1)</f>
        <v>0.0315546808950849</v>
      </c>
      <c r="M216" s="0" t="n">
        <f aca="false">IF(ISBLANK(A216),"",K216/($M$1+SUM(K$3:K215)))</f>
        <v>0.00877557390999922</v>
      </c>
      <c r="N216" s="0" t="n">
        <f aca="false">IF(ISBLANK(A216),"",IF(H217=0,NETWORKDAYS($H$3,H216,holiday!$B$2:$B$10),IF(DAY(H216)&lt;DAY(H217),NETWORKDAYS($H$3,H216,holiday!$B$2:$B$10),0)))</f>
        <v>0</v>
      </c>
      <c r="O216" s="0" t="n">
        <f aca="false">IF(ISBLANK(A216),"",SUMIF($A$3:$A216,O$2,$B$3:$B216))</f>
        <v>800</v>
      </c>
      <c r="P216" s="0" t="n">
        <f aca="false">IF(ISBLANK(A216),"",SUMIF($A$3:$A216,P$2,$B$3:$B216))</f>
        <v>-2600</v>
      </c>
      <c r="Q216" s="0" t="n">
        <f aca="false">IF(ISBLANK(A216),"",SUMIF($A$3:$A216,Q$2,$B$3:$B216))</f>
        <v>-400</v>
      </c>
      <c r="R216" s="0" t="n">
        <f aca="false">IF(ISBLANK(A216),"",SUMIF($A$3:$A216,R$2,$B$3:$B216))</f>
        <v>200</v>
      </c>
      <c r="T216" s="0" t="n">
        <f aca="false">IF(ISBLANK(A216),"",IF($A216=T$2,$C216,T215))</f>
        <v>47.66</v>
      </c>
      <c r="U216" s="0" t="n">
        <f aca="false">IF(ISBLANK(A216),"",IF($A216=U$2,$C216,U215))</f>
        <v>22.56</v>
      </c>
      <c r="V216" s="0" t="n">
        <f aca="false">IF(ISBLANK(A216),"",IF($A216=V$2,$C216,V215))</f>
        <v>51.89</v>
      </c>
      <c r="W216" s="0" t="n">
        <f aca="false">IF(ISBLANK(A216),"",IF($A216=W$2,$C216,W215))</f>
        <v>26.04</v>
      </c>
    </row>
    <row r="217" customFormat="false" ht="12.8" hidden="false" customHeight="false" outlineLevel="0" collapsed="false">
      <c r="A217" s="0" t="n">
        <v>980</v>
      </c>
      <c r="B217" s="0" t="n">
        <v>-100</v>
      </c>
      <c r="C217" s="0" t="n">
        <v>22.58</v>
      </c>
      <c r="D217" s="0" t="s">
        <v>225</v>
      </c>
      <c r="H217" s="8" t="n">
        <f aca="false">IF(ISBLANK(D217),,LEFT(D217,LEN(D217)-6)*1)</f>
        <v>38721.8439236111</v>
      </c>
      <c r="I217" s="9" t="n">
        <f aca="false">IF(ISBLANK(A217),"",-B217*C217)</f>
        <v>2258</v>
      </c>
      <c r="J217" s="9" t="n">
        <f aca="false">IF(ISBLANK(A217),"",-SUM(I$3:I217))</f>
        <v>-40227.2808537051</v>
      </c>
      <c r="K217" s="0" t="n">
        <f aca="false">IF(ISBLANK(A217),"",SUMPRODUCT(O217:R217,T217:W217)-J217)</f>
        <v>1841.2808537051</v>
      </c>
      <c r="L217" s="0" t="n">
        <f aca="false">IF(ISBLANK(A217),"",K217/$M$1)</f>
        <v>0.0306880142284184</v>
      </c>
      <c r="M217" s="0" t="n">
        <f aca="false">IF(ISBLANK(A217),"",K217/($M$1+SUM(K$3:K216)))</f>
        <v>0.00846030392338982</v>
      </c>
      <c r="N217" s="0" t="n">
        <f aca="false">IF(ISBLANK(A217),"",IF(H218=0,NETWORKDAYS($H$3,H217,holiday!$B$2:$B$10),IF(DAY(H217)&lt;DAY(H218),NETWORKDAYS($H$3,H217,holiday!$B$2:$B$10),0)))</f>
        <v>0</v>
      </c>
      <c r="O217" s="0" t="n">
        <f aca="false">IF(ISBLANK(A217),"",SUMIF($A$3:$A217,O$2,$B$3:$B217))</f>
        <v>800</v>
      </c>
      <c r="P217" s="0" t="n">
        <f aca="false">IF(ISBLANK(A217),"",SUMIF($A$3:$A217,P$2,$B$3:$B217))</f>
        <v>-2700</v>
      </c>
      <c r="Q217" s="0" t="n">
        <f aca="false">IF(ISBLANK(A217),"",SUMIF($A$3:$A217,Q$2,$B$3:$B217))</f>
        <v>-400</v>
      </c>
      <c r="R217" s="0" t="n">
        <f aca="false">IF(ISBLANK(A217),"",SUMIF($A$3:$A217,R$2,$B$3:$B217))</f>
        <v>200</v>
      </c>
      <c r="T217" s="0" t="n">
        <f aca="false">IF(ISBLANK(A217),"",IF($A217=T$2,$C217,T216))</f>
        <v>47.66</v>
      </c>
      <c r="U217" s="0" t="n">
        <f aca="false">IF(ISBLANK(A217),"",IF($A217=U$2,$C217,U216))</f>
        <v>22.58</v>
      </c>
      <c r="V217" s="0" t="n">
        <f aca="false">IF(ISBLANK(A217),"",IF($A217=V$2,$C217,V216))</f>
        <v>51.89</v>
      </c>
      <c r="W217" s="0" t="n">
        <f aca="false">IF(ISBLANK(A217),"",IF($A217=W$2,$C217,W216))</f>
        <v>26.04</v>
      </c>
    </row>
    <row r="218" customFormat="false" ht="12.8" hidden="false" customHeight="false" outlineLevel="0" collapsed="false">
      <c r="A218" s="0" t="n">
        <v>980</v>
      </c>
      <c r="B218" s="0" t="n">
        <v>-100</v>
      </c>
      <c r="C218" s="0" t="n">
        <v>22.5997619047619</v>
      </c>
      <c r="D218" s="0" t="s">
        <v>226</v>
      </c>
      <c r="H218" s="8" t="n">
        <f aca="false">IF(ISBLANK(D218),,LEFT(D218,LEN(D218)-6)*1)</f>
        <v>38721.844537037</v>
      </c>
      <c r="I218" s="9" t="n">
        <f aca="false">IF(ISBLANK(A218),"",-B218*C218)</f>
        <v>2259.97619047619</v>
      </c>
      <c r="J218" s="9" t="n">
        <f aca="false">IF(ISBLANK(A218),"",-SUM(I$3:I218))</f>
        <v>-42487.2570441813</v>
      </c>
      <c r="K218" s="0" t="n">
        <f aca="false">IF(ISBLANK(A218),"",SUMPRODUCT(O218:R218,T218:W218)-J218)</f>
        <v>1787.92371084797</v>
      </c>
      <c r="L218" s="0" t="n">
        <f aca="false">IF(ISBLANK(A218),"",K218/$M$1)</f>
        <v>0.0297987285141329</v>
      </c>
      <c r="M218" s="0" t="n">
        <f aca="false">IF(ISBLANK(A218),"",K218/($M$1+SUM(K$3:K217)))</f>
        <v>0.00814621941795073</v>
      </c>
      <c r="N218" s="0" t="n">
        <f aca="false">IF(ISBLANK(A218),"",IF(H219=0,NETWORKDAYS($H$3,H218,holiday!$B$2:$B$10),IF(DAY(H218)&lt;DAY(H219),NETWORKDAYS($H$3,H218,holiday!$B$2:$B$10),0)))</f>
        <v>0</v>
      </c>
      <c r="O218" s="0" t="n">
        <f aca="false">IF(ISBLANK(A218),"",SUMIF($A$3:$A218,O$2,$B$3:$B218))</f>
        <v>800</v>
      </c>
      <c r="P218" s="0" t="n">
        <f aca="false">IF(ISBLANK(A218),"",SUMIF($A$3:$A218,P$2,$B$3:$B218))</f>
        <v>-2800</v>
      </c>
      <c r="Q218" s="0" t="n">
        <f aca="false">IF(ISBLANK(A218),"",SUMIF($A$3:$A218,Q$2,$B$3:$B218))</f>
        <v>-400</v>
      </c>
      <c r="R218" s="0" t="n">
        <f aca="false">IF(ISBLANK(A218),"",SUMIF($A$3:$A218,R$2,$B$3:$B218))</f>
        <v>200</v>
      </c>
      <c r="T218" s="0" t="n">
        <f aca="false">IF(ISBLANK(A218),"",IF($A218=T$2,$C218,T217))</f>
        <v>47.66</v>
      </c>
      <c r="U218" s="0" t="n">
        <f aca="false">IF(ISBLANK(A218),"",IF($A218=U$2,$C218,U217))</f>
        <v>22.5997619047619</v>
      </c>
      <c r="V218" s="0" t="n">
        <f aca="false">IF(ISBLANK(A218),"",IF($A218=V$2,$C218,V217))</f>
        <v>51.89</v>
      </c>
      <c r="W218" s="0" t="n">
        <f aca="false">IF(ISBLANK(A218),"",IF($A218=W$2,$C218,W217))</f>
        <v>26.04</v>
      </c>
    </row>
    <row r="219" customFormat="false" ht="12.8" hidden="false" customHeight="false" outlineLevel="0" collapsed="false">
      <c r="A219" s="0" t="n">
        <v>980</v>
      </c>
      <c r="B219" s="0" t="n">
        <v>100</v>
      </c>
      <c r="C219" s="0" t="n">
        <v>22.59</v>
      </c>
      <c r="D219" s="0" t="s">
        <v>227</v>
      </c>
      <c r="H219" s="8" t="n">
        <f aca="false">IF(ISBLANK(D219),,LEFT(D219,LEN(D219)-6)*1)</f>
        <v>38721.8458217593</v>
      </c>
      <c r="I219" s="9" t="n">
        <f aca="false">IF(ISBLANK(A219),"",-B219*C219)</f>
        <v>-2259</v>
      </c>
      <c r="J219" s="9" t="n">
        <f aca="false">IF(ISBLANK(A219),"",-SUM(I$3:I219))</f>
        <v>-40228.2570441813</v>
      </c>
      <c r="K219" s="0" t="n">
        <f aca="false">IF(ISBLANK(A219),"",SUMPRODUCT(O219:R219,T219:W219)-J219)</f>
        <v>1815.25704418129</v>
      </c>
      <c r="L219" s="0" t="n">
        <f aca="false">IF(ISBLANK(A219),"",K219/$M$1)</f>
        <v>0.0302542840696881</v>
      </c>
      <c r="M219" s="0" t="n">
        <f aca="false">IF(ISBLANK(A219),"",K219/($M$1+SUM(K$3:K218)))</f>
        <v>0.00820392581602171</v>
      </c>
      <c r="N219" s="0" t="n">
        <f aca="false">IF(ISBLANK(A219),"",IF(H220=0,NETWORKDAYS($H$3,H219,holiday!$B$2:$B$10),IF(DAY(H219)&lt;DAY(H220),NETWORKDAYS($H$3,H219,holiday!$B$2:$B$10),0)))</f>
        <v>0</v>
      </c>
      <c r="O219" s="0" t="n">
        <f aca="false">IF(ISBLANK(A219),"",SUMIF($A$3:$A219,O$2,$B$3:$B219))</f>
        <v>800</v>
      </c>
      <c r="P219" s="0" t="n">
        <f aca="false">IF(ISBLANK(A219),"",SUMIF($A$3:$A219,P$2,$B$3:$B219))</f>
        <v>-2700</v>
      </c>
      <c r="Q219" s="0" t="n">
        <f aca="false">IF(ISBLANK(A219),"",SUMIF($A$3:$A219,Q$2,$B$3:$B219))</f>
        <v>-400</v>
      </c>
      <c r="R219" s="0" t="n">
        <f aca="false">IF(ISBLANK(A219),"",SUMIF($A$3:$A219,R$2,$B$3:$B219))</f>
        <v>200</v>
      </c>
      <c r="T219" s="0" t="n">
        <f aca="false">IF(ISBLANK(A219),"",IF($A219=T$2,$C219,T218))</f>
        <v>47.66</v>
      </c>
      <c r="U219" s="0" t="n">
        <f aca="false">IF(ISBLANK(A219),"",IF($A219=U$2,$C219,U218))</f>
        <v>22.59</v>
      </c>
      <c r="V219" s="0" t="n">
        <f aca="false">IF(ISBLANK(A219),"",IF($A219=V$2,$C219,V218))</f>
        <v>51.89</v>
      </c>
      <c r="W219" s="0" t="n">
        <f aca="false">IF(ISBLANK(A219),"",IF($A219=W$2,$C219,W218))</f>
        <v>26.04</v>
      </c>
    </row>
    <row r="220" customFormat="false" ht="12.8" hidden="false" customHeight="false" outlineLevel="0" collapsed="false">
      <c r="A220" s="0" t="n">
        <v>980</v>
      </c>
      <c r="B220" s="0" t="n">
        <v>100</v>
      </c>
      <c r="C220" s="0" t="n">
        <v>22.6</v>
      </c>
      <c r="D220" s="0" t="s">
        <v>228</v>
      </c>
      <c r="H220" s="8" t="n">
        <f aca="false">IF(ISBLANK(D220),,LEFT(D220,LEN(D220)-6)*1)</f>
        <v>38721.8509722222</v>
      </c>
      <c r="I220" s="9" t="n">
        <f aca="false">IF(ISBLANK(A220),"",-B220*C220)</f>
        <v>-2260</v>
      </c>
      <c r="J220" s="9" t="n">
        <f aca="false">IF(ISBLANK(A220),"",-SUM(I$3:I220))</f>
        <v>-37968.2570441813</v>
      </c>
      <c r="K220" s="0" t="n">
        <f aca="false">IF(ISBLANK(A220),"",SUMPRODUCT(O220:R220,T220:W220)-J220)</f>
        <v>1788.25704418128</v>
      </c>
      <c r="L220" s="0" t="n">
        <f aca="false">IF(ISBLANK(A220),"",K220/$M$1)</f>
        <v>0.029804284069688</v>
      </c>
      <c r="M220" s="0" t="n">
        <f aca="false">IF(ISBLANK(A220),"",K220/($M$1+SUM(K$3:K219)))</f>
        <v>0.00801613742896354</v>
      </c>
      <c r="N220" s="0" t="n">
        <f aca="false">IF(ISBLANK(A220),"",IF(H221=0,NETWORKDAYS($H$3,H220,holiday!$B$2:$B$10),IF(DAY(H220)&lt;DAY(H221),NETWORKDAYS($H$3,H220,holiday!$B$2:$B$10),0)))</f>
        <v>0</v>
      </c>
      <c r="O220" s="0" t="n">
        <f aca="false">IF(ISBLANK(A220),"",SUMIF($A$3:$A220,O$2,$B$3:$B220))</f>
        <v>800</v>
      </c>
      <c r="P220" s="0" t="n">
        <f aca="false">IF(ISBLANK(A220),"",SUMIF($A$3:$A220,P$2,$B$3:$B220))</f>
        <v>-2600</v>
      </c>
      <c r="Q220" s="0" t="n">
        <f aca="false">IF(ISBLANK(A220),"",SUMIF($A$3:$A220,Q$2,$B$3:$B220))</f>
        <v>-400</v>
      </c>
      <c r="R220" s="0" t="n">
        <f aca="false">IF(ISBLANK(A220),"",SUMIF($A$3:$A220,R$2,$B$3:$B220))</f>
        <v>200</v>
      </c>
      <c r="T220" s="0" t="n">
        <f aca="false">IF(ISBLANK(A220),"",IF($A220=T$2,$C220,T219))</f>
        <v>47.66</v>
      </c>
      <c r="U220" s="0" t="n">
        <f aca="false">IF(ISBLANK(A220),"",IF($A220=U$2,$C220,U219))</f>
        <v>22.6</v>
      </c>
      <c r="V220" s="0" t="n">
        <f aca="false">IF(ISBLANK(A220),"",IF($A220=V$2,$C220,V219))</f>
        <v>51.89</v>
      </c>
      <c r="W220" s="0" t="n">
        <f aca="false">IF(ISBLANK(A220),"",IF($A220=W$2,$C220,W219))</f>
        <v>26.04</v>
      </c>
    </row>
    <row r="221" customFormat="false" ht="12.8" hidden="false" customHeight="false" outlineLevel="0" collapsed="false">
      <c r="A221" s="0" t="n">
        <v>980</v>
      </c>
      <c r="B221" s="0" t="n">
        <v>-100</v>
      </c>
      <c r="C221" s="0" t="n">
        <v>22.64</v>
      </c>
      <c r="D221" s="0" t="s">
        <v>229</v>
      </c>
      <c r="H221" s="8" t="n">
        <f aca="false">IF(ISBLANK(D221),,LEFT(D221,LEN(D221)-6)*1)</f>
        <v>38721.856087963</v>
      </c>
      <c r="I221" s="9" t="n">
        <f aca="false">IF(ISBLANK(A221),"",-B221*C221)</f>
        <v>2264</v>
      </c>
      <c r="J221" s="9" t="n">
        <f aca="false">IF(ISBLANK(A221),"",-SUM(I$3:I221))</f>
        <v>-40232.2570441813</v>
      </c>
      <c r="K221" s="0" t="n">
        <f aca="false">IF(ISBLANK(A221),"",SUMPRODUCT(O221:R221,T221:W221)-J221)</f>
        <v>1684.25704418129</v>
      </c>
      <c r="L221" s="0" t="n">
        <f aca="false">IF(ISBLANK(A221),"",K221/$M$1)</f>
        <v>0.0280709507363548</v>
      </c>
      <c r="M221" s="0" t="n">
        <f aca="false">IF(ISBLANK(A221),"",K221/($M$1+SUM(K$3:K220)))</f>
        <v>0.00748990134395024</v>
      </c>
      <c r="N221" s="0" t="n">
        <f aca="false">IF(ISBLANK(A221),"",IF(H222=0,NETWORKDAYS($H$3,H221,holiday!$B$2:$B$10),IF(DAY(H221)&lt;DAY(H222),NETWORKDAYS($H$3,H221,holiday!$B$2:$B$10),0)))</f>
        <v>0</v>
      </c>
      <c r="O221" s="0" t="n">
        <f aca="false">IF(ISBLANK(A221),"",SUMIF($A$3:$A221,O$2,$B$3:$B221))</f>
        <v>800</v>
      </c>
      <c r="P221" s="0" t="n">
        <f aca="false">IF(ISBLANK(A221),"",SUMIF($A$3:$A221,P$2,$B$3:$B221))</f>
        <v>-2700</v>
      </c>
      <c r="Q221" s="0" t="n">
        <f aca="false">IF(ISBLANK(A221),"",SUMIF($A$3:$A221,Q$2,$B$3:$B221))</f>
        <v>-400</v>
      </c>
      <c r="R221" s="0" t="n">
        <f aca="false">IF(ISBLANK(A221),"",SUMIF($A$3:$A221,R$2,$B$3:$B221))</f>
        <v>200</v>
      </c>
      <c r="T221" s="0" t="n">
        <f aca="false">IF(ISBLANK(A221),"",IF($A221=T$2,$C221,T220))</f>
        <v>47.66</v>
      </c>
      <c r="U221" s="0" t="n">
        <f aca="false">IF(ISBLANK(A221),"",IF($A221=U$2,$C221,U220))</f>
        <v>22.64</v>
      </c>
      <c r="V221" s="0" t="n">
        <f aca="false">IF(ISBLANK(A221),"",IF($A221=V$2,$C221,V220))</f>
        <v>51.89</v>
      </c>
      <c r="W221" s="0" t="n">
        <f aca="false">IF(ISBLANK(A221),"",IF($A221=W$2,$C221,W220))</f>
        <v>26.04</v>
      </c>
    </row>
    <row r="222" customFormat="false" ht="12.8" hidden="false" customHeight="false" outlineLevel="0" collapsed="false">
      <c r="A222" s="0" t="n">
        <v>980</v>
      </c>
      <c r="B222" s="0" t="n">
        <v>-100</v>
      </c>
      <c r="C222" s="0" t="n">
        <v>22.64</v>
      </c>
      <c r="D222" s="0" t="s">
        <v>230</v>
      </c>
      <c r="H222" s="8" t="n">
        <f aca="false">IF(ISBLANK(D222),,LEFT(D222,LEN(D222)-6)*1)</f>
        <v>38721.8561458333</v>
      </c>
      <c r="I222" s="9" t="n">
        <f aca="false">IF(ISBLANK(A222),"",-B222*C222)</f>
        <v>2264</v>
      </c>
      <c r="J222" s="9" t="n">
        <f aca="false">IF(ISBLANK(A222),"",-SUM(I$3:I222))</f>
        <v>-42496.2570441813</v>
      </c>
      <c r="K222" s="0" t="n">
        <f aca="false">IF(ISBLANK(A222),"",SUMPRODUCT(O222:R222,T222:W222)-J222)</f>
        <v>1684.25704418129</v>
      </c>
      <c r="L222" s="0" t="n">
        <f aca="false">IF(ISBLANK(A222),"",K222/$M$1)</f>
        <v>0.0280709507363548</v>
      </c>
      <c r="M222" s="0" t="n">
        <f aca="false">IF(ISBLANK(A222),"",K222/($M$1+SUM(K$3:K221)))</f>
        <v>0.00743421977129401</v>
      </c>
      <c r="N222" s="0" t="n">
        <f aca="false">IF(ISBLANK(A222),"",IF(H223=0,NETWORKDAYS($H$3,H222,holiday!$B$2:$B$10),IF(DAY(H222)&lt;DAY(H223),NETWORKDAYS($H$3,H222,holiday!$B$2:$B$10),0)))</f>
        <v>0</v>
      </c>
      <c r="O222" s="0" t="n">
        <f aca="false">IF(ISBLANK(A222),"",SUMIF($A$3:$A222,O$2,$B$3:$B222))</f>
        <v>800</v>
      </c>
      <c r="P222" s="0" t="n">
        <f aca="false">IF(ISBLANK(A222),"",SUMIF($A$3:$A222,P$2,$B$3:$B222))</f>
        <v>-2800</v>
      </c>
      <c r="Q222" s="0" t="n">
        <f aca="false">IF(ISBLANK(A222),"",SUMIF($A$3:$A222,Q$2,$B$3:$B222))</f>
        <v>-400</v>
      </c>
      <c r="R222" s="0" t="n">
        <f aca="false">IF(ISBLANK(A222),"",SUMIF($A$3:$A222,R$2,$B$3:$B222))</f>
        <v>200</v>
      </c>
      <c r="T222" s="0" t="n">
        <f aca="false">IF(ISBLANK(A222),"",IF($A222=T$2,$C222,T221))</f>
        <v>47.66</v>
      </c>
      <c r="U222" s="0" t="n">
        <f aca="false">IF(ISBLANK(A222),"",IF($A222=U$2,$C222,U221))</f>
        <v>22.64</v>
      </c>
      <c r="V222" s="0" t="n">
        <f aca="false">IF(ISBLANK(A222),"",IF($A222=V$2,$C222,V221))</f>
        <v>51.89</v>
      </c>
      <c r="W222" s="0" t="n">
        <f aca="false">IF(ISBLANK(A222),"",IF($A222=W$2,$C222,W221))</f>
        <v>26.04</v>
      </c>
    </row>
    <row r="223" customFormat="false" ht="12.8" hidden="false" customHeight="false" outlineLevel="0" collapsed="false">
      <c r="A223" s="0" t="n">
        <v>8370</v>
      </c>
      <c r="B223" s="0" t="n">
        <v>-100</v>
      </c>
      <c r="C223" s="0" t="n">
        <v>47.55</v>
      </c>
      <c r="D223" s="0" t="s">
        <v>231</v>
      </c>
      <c r="H223" s="8" t="n">
        <f aca="false">IF(ISBLANK(D223),,LEFT(D223,LEN(D223)-6)*1)</f>
        <v>38721.8563541667</v>
      </c>
      <c r="I223" s="9" t="n">
        <f aca="false">IF(ISBLANK(A223),"",-B223*C223)</f>
        <v>4755</v>
      </c>
      <c r="J223" s="9" t="n">
        <f aca="false">IF(ISBLANK(A223),"",-SUM(I$3:I223))</f>
        <v>-47251.2570441813</v>
      </c>
      <c r="K223" s="0" t="n">
        <f aca="false">IF(ISBLANK(A223),"",SUMPRODUCT(O223:R223,T223:W223)-J223)</f>
        <v>1596.25704418129</v>
      </c>
      <c r="L223" s="0" t="n">
        <f aca="false">IF(ISBLANK(A223),"",K223/$M$1)</f>
        <v>0.0266042840696881</v>
      </c>
      <c r="M223" s="0" t="n">
        <f aca="false">IF(ISBLANK(A223),"",K223/($M$1+SUM(K$3:K222)))</f>
        <v>0.00699379907722159</v>
      </c>
      <c r="N223" s="0" t="n">
        <f aca="false">IF(ISBLANK(A223),"",IF(H224=0,NETWORKDAYS($H$3,H223,holiday!$B$2:$B$10),IF(DAY(H223)&lt;DAY(H224),NETWORKDAYS($H$3,H223,holiday!$B$2:$B$10),0)))</f>
        <v>0</v>
      </c>
      <c r="O223" s="0" t="n">
        <f aca="false">IF(ISBLANK(A223),"",SUMIF($A$3:$A223,O$2,$B$3:$B223))</f>
        <v>700</v>
      </c>
      <c r="P223" s="0" t="n">
        <f aca="false">IF(ISBLANK(A223),"",SUMIF($A$3:$A223,P$2,$B$3:$B223))</f>
        <v>-2800</v>
      </c>
      <c r="Q223" s="0" t="n">
        <f aca="false">IF(ISBLANK(A223),"",SUMIF($A$3:$A223,Q$2,$B$3:$B223))</f>
        <v>-400</v>
      </c>
      <c r="R223" s="0" t="n">
        <f aca="false">IF(ISBLANK(A223),"",SUMIF($A$3:$A223,R$2,$B$3:$B223))</f>
        <v>200</v>
      </c>
      <c r="T223" s="0" t="n">
        <f aca="false">IF(ISBLANK(A223),"",IF($A223=T$2,$C223,T222))</f>
        <v>47.55</v>
      </c>
      <c r="U223" s="0" t="n">
        <f aca="false">IF(ISBLANK(A223),"",IF($A223=U$2,$C223,U222))</f>
        <v>22.64</v>
      </c>
      <c r="V223" s="0" t="n">
        <f aca="false">IF(ISBLANK(A223),"",IF($A223=V$2,$C223,V222))</f>
        <v>51.89</v>
      </c>
      <c r="W223" s="0" t="n">
        <f aca="false">IF(ISBLANK(A223),"",IF($A223=W$2,$C223,W222))</f>
        <v>26.04</v>
      </c>
    </row>
    <row r="224" customFormat="false" ht="12.8" hidden="false" customHeight="false" outlineLevel="0" collapsed="false">
      <c r="A224" s="0" t="n">
        <v>679</v>
      </c>
      <c r="B224" s="0" t="n">
        <v>100</v>
      </c>
      <c r="C224" s="0" t="n">
        <v>51.91</v>
      </c>
      <c r="D224" s="0" t="s">
        <v>232</v>
      </c>
      <c r="H224" s="8" t="n">
        <f aca="false">IF(ISBLANK(D224),,LEFT(D224,LEN(D224)-6)*1)</f>
        <v>38721.8668402778</v>
      </c>
      <c r="I224" s="9" t="n">
        <f aca="false">IF(ISBLANK(A224),"",-B224*C224)</f>
        <v>-5191</v>
      </c>
      <c r="J224" s="9" t="n">
        <f aca="false">IF(ISBLANK(A224),"",-SUM(I$3:I224))</f>
        <v>-42060.2570441813</v>
      </c>
      <c r="K224" s="0" t="n">
        <f aca="false">IF(ISBLANK(A224),"",SUMPRODUCT(O224:R224,T224:W224)-J224)</f>
        <v>1588.25704418129</v>
      </c>
      <c r="L224" s="0" t="n">
        <f aca="false">IF(ISBLANK(A224),"",K224/$M$1)</f>
        <v>0.0264709507363548</v>
      </c>
      <c r="M224" s="0" t="n">
        <f aca="false">IF(ISBLANK(A224),"",K224/($M$1+SUM(K$3:K223)))</f>
        <v>0.00691041801028578</v>
      </c>
      <c r="N224" s="0" t="n">
        <f aca="false">IF(ISBLANK(A224),"",IF(H225=0,NETWORKDAYS($H$3,H224,holiday!$B$2:$B$10),IF(DAY(H224)&lt;DAY(H225),NETWORKDAYS($H$3,H224,holiday!$B$2:$B$10),0)))</f>
        <v>0</v>
      </c>
      <c r="O224" s="0" t="n">
        <f aca="false">IF(ISBLANK(A224),"",SUMIF($A$3:$A224,O$2,$B$3:$B224))</f>
        <v>700</v>
      </c>
      <c r="P224" s="0" t="n">
        <f aca="false">IF(ISBLANK(A224),"",SUMIF($A$3:$A224,P$2,$B$3:$B224))</f>
        <v>-2800</v>
      </c>
      <c r="Q224" s="0" t="n">
        <f aca="false">IF(ISBLANK(A224),"",SUMIF($A$3:$A224,Q$2,$B$3:$B224))</f>
        <v>-300</v>
      </c>
      <c r="R224" s="0" t="n">
        <f aca="false">IF(ISBLANK(A224),"",SUMIF($A$3:$A224,R$2,$B$3:$B224))</f>
        <v>200</v>
      </c>
      <c r="T224" s="0" t="n">
        <f aca="false">IF(ISBLANK(A224),"",IF($A224=T$2,$C224,T223))</f>
        <v>47.55</v>
      </c>
      <c r="U224" s="0" t="n">
        <f aca="false">IF(ISBLANK(A224),"",IF($A224=U$2,$C224,U223))</f>
        <v>22.64</v>
      </c>
      <c r="V224" s="0" t="n">
        <f aca="false">IF(ISBLANK(A224),"",IF($A224=V$2,$C224,V223))</f>
        <v>51.91</v>
      </c>
      <c r="W224" s="0" t="n">
        <f aca="false">IF(ISBLANK(A224),"",IF($A224=W$2,$C224,W223))</f>
        <v>26.04</v>
      </c>
    </row>
    <row r="225" customFormat="false" ht="12.8" hidden="false" customHeight="false" outlineLevel="0" collapsed="false">
      <c r="A225" s="0" t="n">
        <v>8370</v>
      </c>
      <c r="B225" s="0" t="n">
        <v>-100</v>
      </c>
      <c r="C225" s="0" t="n">
        <v>47.6</v>
      </c>
      <c r="D225" s="0" t="s">
        <v>233</v>
      </c>
      <c r="H225" s="8" t="n">
        <f aca="false">IF(ISBLANK(D225),,LEFT(D225,LEN(D225)-6)*1)</f>
        <v>38721.8673958333</v>
      </c>
      <c r="I225" s="9" t="n">
        <f aca="false">IF(ISBLANK(A225),"",-B225*C225)</f>
        <v>4760</v>
      </c>
      <c r="J225" s="9" t="n">
        <f aca="false">IF(ISBLANK(A225),"",-SUM(I$3:I225))</f>
        <v>-46820.2570441813</v>
      </c>
      <c r="K225" s="0" t="n">
        <f aca="false">IF(ISBLANK(A225),"",SUMPRODUCT(O225:R225,T225:W225)-J225)</f>
        <v>1623.25704418129</v>
      </c>
      <c r="L225" s="0" t="n">
        <f aca="false">IF(ISBLANK(A225),"",K225/$M$1)</f>
        <v>0.0270542840696881</v>
      </c>
      <c r="M225" s="0" t="n">
        <f aca="false">IF(ISBLANK(A225),"",K225/($M$1+SUM(K$3:K224)))</f>
        <v>0.0070142298025263</v>
      </c>
      <c r="N225" s="0" t="n">
        <f aca="false">IF(ISBLANK(A225),"",IF(H226=0,NETWORKDAYS($H$3,H225,holiday!$B$2:$B$10),IF(DAY(H225)&lt;DAY(H226),NETWORKDAYS($H$3,H225,holiday!$B$2:$B$10),0)))</f>
        <v>0</v>
      </c>
      <c r="O225" s="0" t="n">
        <f aca="false">IF(ISBLANK(A225),"",SUMIF($A$3:$A225,O$2,$B$3:$B225))</f>
        <v>600</v>
      </c>
      <c r="P225" s="0" t="n">
        <f aca="false">IF(ISBLANK(A225),"",SUMIF($A$3:$A225,P$2,$B$3:$B225))</f>
        <v>-2800</v>
      </c>
      <c r="Q225" s="0" t="n">
        <f aca="false">IF(ISBLANK(A225),"",SUMIF($A$3:$A225,Q$2,$B$3:$B225))</f>
        <v>-300</v>
      </c>
      <c r="R225" s="0" t="n">
        <f aca="false">IF(ISBLANK(A225),"",SUMIF($A$3:$A225,R$2,$B$3:$B225))</f>
        <v>200</v>
      </c>
      <c r="T225" s="0" t="n">
        <f aca="false">IF(ISBLANK(A225),"",IF($A225=T$2,$C225,T224))</f>
        <v>47.6</v>
      </c>
      <c r="U225" s="0" t="n">
        <f aca="false">IF(ISBLANK(A225),"",IF($A225=U$2,$C225,U224))</f>
        <v>22.64</v>
      </c>
      <c r="V225" s="0" t="n">
        <f aca="false">IF(ISBLANK(A225),"",IF($A225=V$2,$C225,V224))</f>
        <v>51.91</v>
      </c>
      <c r="W225" s="0" t="n">
        <f aca="false">IF(ISBLANK(A225),"",IF($A225=W$2,$C225,W224))</f>
        <v>26.04</v>
      </c>
    </row>
    <row r="226" customFormat="false" ht="12.8" hidden="false" customHeight="false" outlineLevel="0" collapsed="false">
      <c r="A226" s="0" t="n">
        <v>679</v>
      </c>
      <c r="B226" s="0" t="n">
        <v>100</v>
      </c>
      <c r="C226" s="0" t="n">
        <v>51.94</v>
      </c>
      <c r="D226" s="0" t="s">
        <v>234</v>
      </c>
      <c r="H226" s="8" t="n">
        <f aca="false">IF(ISBLANK(D226),,LEFT(D226,LEN(D226)-6)*1)</f>
        <v>38721.8704050926</v>
      </c>
      <c r="I226" s="9" t="n">
        <f aca="false">IF(ISBLANK(A226),"",-B226*C226)</f>
        <v>-5194</v>
      </c>
      <c r="J226" s="9" t="n">
        <f aca="false">IF(ISBLANK(A226),"",-SUM(I$3:I226))</f>
        <v>-41626.2570441813</v>
      </c>
      <c r="K226" s="0" t="n">
        <f aca="false">IF(ISBLANK(A226),"",SUMPRODUCT(O226:R226,T226:W226)-J226)</f>
        <v>1614.25704418129</v>
      </c>
      <c r="L226" s="0" t="n">
        <f aca="false">IF(ISBLANK(A226),"",K226/$M$1)</f>
        <v>0.0269042840696881</v>
      </c>
      <c r="M226" s="0" t="n">
        <f aca="false">IF(ISBLANK(A226),"",K226/($M$1+SUM(K$3:K225)))</f>
        <v>0.00692675420209217</v>
      </c>
      <c r="N226" s="0" t="n">
        <f aca="false">IF(ISBLANK(A226),"",IF(H227=0,NETWORKDAYS($H$3,H226,holiday!$B$2:$B$10),IF(DAY(H226)&lt;DAY(H227),NETWORKDAYS($H$3,H226,holiday!$B$2:$B$10),0)))</f>
        <v>0</v>
      </c>
      <c r="O226" s="0" t="n">
        <f aca="false">IF(ISBLANK(A226),"",SUMIF($A$3:$A226,O$2,$B$3:$B226))</f>
        <v>600</v>
      </c>
      <c r="P226" s="0" t="n">
        <f aca="false">IF(ISBLANK(A226),"",SUMIF($A$3:$A226,P$2,$B$3:$B226))</f>
        <v>-2800</v>
      </c>
      <c r="Q226" s="0" t="n">
        <f aca="false">IF(ISBLANK(A226),"",SUMIF($A$3:$A226,Q$2,$B$3:$B226))</f>
        <v>-200</v>
      </c>
      <c r="R226" s="0" t="n">
        <f aca="false">IF(ISBLANK(A226),"",SUMIF($A$3:$A226,R$2,$B$3:$B226))</f>
        <v>200</v>
      </c>
      <c r="T226" s="0" t="n">
        <f aca="false">IF(ISBLANK(A226),"",IF($A226=T$2,$C226,T225))</f>
        <v>47.6</v>
      </c>
      <c r="U226" s="0" t="n">
        <f aca="false">IF(ISBLANK(A226),"",IF($A226=U$2,$C226,U225))</f>
        <v>22.64</v>
      </c>
      <c r="V226" s="0" t="n">
        <f aca="false">IF(ISBLANK(A226),"",IF($A226=V$2,$C226,V225))</f>
        <v>51.94</v>
      </c>
      <c r="W226" s="0" t="n">
        <f aca="false">IF(ISBLANK(A226),"",IF($A226=W$2,$C226,W225))</f>
        <v>26.04</v>
      </c>
    </row>
    <row r="227" customFormat="false" ht="12.8" hidden="false" customHeight="false" outlineLevel="0" collapsed="false">
      <c r="A227" s="0" t="n">
        <v>8370</v>
      </c>
      <c r="B227" s="0" t="n">
        <v>100</v>
      </c>
      <c r="C227" s="0" t="n">
        <v>47.85</v>
      </c>
      <c r="D227" s="0" t="s">
        <v>235</v>
      </c>
      <c r="H227" s="8" t="n">
        <f aca="false">IF(ISBLANK(D227),,LEFT(D227,LEN(D227)-6)*1)</f>
        <v>38721.8710416667</v>
      </c>
      <c r="I227" s="9" t="n">
        <f aca="false">IF(ISBLANK(A227),"",-B227*C227)</f>
        <v>-4785</v>
      </c>
      <c r="J227" s="9" t="n">
        <f aca="false">IF(ISBLANK(A227),"",-SUM(I$3:I227))</f>
        <v>-36841.2570441813</v>
      </c>
      <c r="K227" s="0" t="n">
        <f aca="false">IF(ISBLANK(A227),"",SUMPRODUCT(O227:R227,T227:W227)-J227)</f>
        <v>1764.25704418129</v>
      </c>
      <c r="L227" s="0" t="n">
        <f aca="false">IF(ISBLANK(A227),"",K227/$M$1)</f>
        <v>0.0294042840696881</v>
      </c>
      <c r="M227" s="0" t="n">
        <f aca="false">IF(ISBLANK(A227),"",K227/($M$1+SUM(K$3:K226)))</f>
        <v>0.00751832450001775</v>
      </c>
      <c r="N227" s="0" t="n">
        <f aca="false">IF(ISBLANK(A227),"",IF(H228=0,NETWORKDAYS($H$3,H227,holiday!$B$2:$B$10),IF(DAY(H227)&lt;DAY(H228),NETWORKDAYS($H$3,H227,holiday!$B$2:$B$10),0)))</f>
        <v>0</v>
      </c>
      <c r="O227" s="0" t="n">
        <f aca="false">IF(ISBLANK(A227),"",SUMIF($A$3:$A227,O$2,$B$3:$B227))</f>
        <v>700</v>
      </c>
      <c r="P227" s="0" t="n">
        <f aca="false">IF(ISBLANK(A227),"",SUMIF($A$3:$A227,P$2,$B$3:$B227))</f>
        <v>-2800</v>
      </c>
      <c r="Q227" s="0" t="n">
        <f aca="false">IF(ISBLANK(A227),"",SUMIF($A$3:$A227,Q$2,$B$3:$B227))</f>
        <v>-200</v>
      </c>
      <c r="R227" s="0" t="n">
        <f aca="false">IF(ISBLANK(A227),"",SUMIF($A$3:$A227,R$2,$B$3:$B227))</f>
        <v>200</v>
      </c>
      <c r="T227" s="0" t="n">
        <f aca="false">IF(ISBLANK(A227),"",IF($A227=T$2,$C227,T226))</f>
        <v>47.85</v>
      </c>
      <c r="U227" s="0" t="n">
        <f aca="false">IF(ISBLANK(A227),"",IF($A227=U$2,$C227,U226))</f>
        <v>22.64</v>
      </c>
      <c r="V227" s="0" t="n">
        <f aca="false">IF(ISBLANK(A227),"",IF($A227=V$2,$C227,V226))</f>
        <v>51.94</v>
      </c>
      <c r="W227" s="0" t="n">
        <f aca="false">IF(ISBLANK(A227),"",IF($A227=W$2,$C227,W226))</f>
        <v>26.04</v>
      </c>
    </row>
    <row r="228" customFormat="false" ht="12.8" hidden="false" customHeight="false" outlineLevel="0" collapsed="false">
      <c r="A228" s="0" t="n">
        <v>8370</v>
      </c>
      <c r="B228" s="0" t="n">
        <v>100</v>
      </c>
      <c r="C228" s="0" t="n">
        <v>47.9</v>
      </c>
      <c r="D228" s="0" t="s">
        <v>236</v>
      </c>
      <c r="H228" s="8" t="n">
        <f aca="false">IF(ISBLANK(D228),,LEFT(D228,LEN(D228)-6)*1)</f>
        <v>38721.871875</v>
      </c>
      <c r="I228" s="9" t="n">
        <f aca="false">IF(ISBLANK(A228),"",-B228*C228)</f>
        <v>-4790</v>
      </c>
      <c r="J228" s="9" t="n">
        <f aca="false">IF(ISBLANK(A228),"",-SUM(I$3:I228))</f>
        <v>-32051.2570441813</v>
      </c>
      <c r="K228" s="0" t="n">
        <f aca="false">IF(ISBLANK(A228),"",SUMPRODUCT(O228:R228,T228:W228)-J228)</f>
        <v>1799.25704418129</v>
      </c>
      <c r="L228" s="0" t="n">
        <f aca="false">IF(ISBLANK(A228),"",K228/$M$1)</f>
        <v>0.0299876174030214</v>
      </c>
      <c r="M228" s="0" t="n">
        <f aca="false">IF(ISBLANK(A228),"",K228/($M$1+SUM(K$3:K227)))</f>
        <v>0.00761025947110466</v>
      </c>
      <c r="N228" s="0" t="n">
        <f aca="false">IF(ISBLANK(A228),"",IF(H229=0,NETWORKDAYS($H$3,H228,holiday!$B$2:$B$10),IF(DAY(H228)&lt;DAY(H229),NETWORKDAYS($H$3,H228,holiday!$B$2:$B$10),0)))</f>
        <v>0</v>
      </c>
      <c r="O228" s="0" t="n">
        <f aca="false">IF(ISBLANK(A228),"",SUMIF($A$3:$A228,O$2,$B$3:$B228))</f>
        <v>800</v>
      </c>
      <c r="P228" s="0" t="n">
        <f aca="false">IF(ISBLANK(A228),"",SUMIF($A$3:$A228,P$2,$B$3:$B228))</f>
        <v>-2800</v>
      </c>
      <c r="Q228" s="0" t="n">
        <f aca="false">IF(ISBLANK(A228),"",SUMIF($A$3:$A228,Q$2,$B$3:$B228))</f>
        <v>-200</v>
      </c>
      <c r="R228" s="0" t="n">
        <f aca="false">IF(ISBLANK(A228),"",SUMIF($A$3:$A228,R$2,$B$3:$B228))</f>
        <v>200</v>
      </c>
      <c r="T228" s="0" t="n">
        <f aca="false">IF(ISBLANK(A228),"",IF($A228=T$2,$C228,T227))</f>
        <v>47.9</v>
      </c>
      <c r="U228" s="0" t="n">
        <f aca="false">IF(ISBLANK(A228),"",IF($A228=U$2,$C228,U227))</f>
        <v>22.64</v>
      </c>
      <c r="V228" s="0" t="n">
        <f aca="false">IF(ISBLANK(A228),"",IF($A228=V$2,$C228,V227))</f>
        <v>51.94</v>
      </c>
      <c r="W228" s="0" t="n">
        <f aca="false">IF(ISBLANK(A228),"",IF($A228=W$2,$C228,W227))</f>
        <v>26.04</v>
      </c>
    </row>
    <row r="229" customFormat="false" ht="12.8" hidden="false" customHeight="false" outlineLevel="0" collapsed="false">
      <c r="A229" s="0" t="n">
        <v>8370</v>
      </c>
      <c r="B229" s="0" t="n">
        <v>-100</v>
      </c>
      <c r="C229" s="0" t="n">
        <v>48.005</v>
      </c>
      <c r="D229" s="0" t="s">
        <v>237</v>
      </c>
      <c r="H229" s="8" t="n">
        <f aca="false">IF(ISBLANK(D229),,LEFT(D229,LEN(D229)-6)*1)</f>
        <v>38721.8722569444</v>
      </c>
      <c r="I229" s="9" t="n">
        <f aca="false">IF(ISBLANK(A229),"",-B229*C229)</f>
        <v>4800.5</v>
      </c>
      <c r="J229" s="9" t="n">
        <f aca="false">IF(ISBLANK(A229),"",-SUM(I$3:I229))</f>
        <v>-36851.7570441813</v>
      </c>
      <c r="K229" s="0" t="n">
        <f aca="false">IF(ISBLANK(A229),"",SUMPRODUCT(O229:R229,T229:W229)-J229)</f>
        <v>1883.25704418129</v>
      </c>
      <c r="L229" s="0" t="n">
        <f aca="false">IF(ISBLANK(A229),"",K229/$M$1)</f>
        <v>0.0313876174030214</v>
      </c>
      <c r="M229" s="0" t="n">
        <f aca="false">IF(ISBLANK(A229),"",K229/($M$1+SUM(K$3:K228)))</f>
        <v>0.00790538949576527</v>
      </c>
      <c r="N229" s="0" t="n">
        <f aca="false">IF(ISBLANK(A229),"",IF(H230=0,NETWORKDAYS($H$3,H229,holiday!$B$2:$B$10),IF(DAY(H229)&lt;DAY(H230),NETWORKDAYS($H$3,H229,holiday!$B$2:$B$10),0)))</f>
        <v>0</v>
      </c>
      <c r="O229" s="0" t="n">
        <f aca="false">IF(ISBLANK(A229),"",SUMIF($A$3:$A229,O$2,$B$3:$B229))</f>
        <v>700</v>
      </c>
      <c r="P229" s="0" t="n">
        <f aca="false">IF(ISBLANK(A229),"",SUMIF($A$3:$A229,P$2,$B$3:$B229))</f>
        <v>-2800</v>
      </c>
      <c r="Q229" s="0" t="n">
        <f aca="false">IF(ISBLANK(A229),"",SUMIF($A$3:$A229,Q$2,$B$3:$B229))</f>
        <v>-200</v>
      </c>
      <c r="R229" s="0" t="n">
        <f aca="false">IF(ISBLANK(A229),"",SUMIF($A$3:$A229,R$2,$B$3:$B229))</f>
        <v>200</v>
      </c>
      <c r="T229" s="0" t="n">
        <f aca="false">IF(ISBLANK(A229),"",IF($A229=T$2,$C229,T228))</f>
        <v>48.005</v>
      </c>
      <c r="U229" s="0" t="n">
        <f aca="false">IF(ISBLANK(A229),"",IF($A229=U$2,$C229,U228))</f>
        <v>22.64</v>
      </c>
      <c r="V229" s="0" t="n">
        <f aca="false">IF(ISBLANK(A229),"",IF($A229=V$2,$C229,V228))</f>
        <v>51.94</v>
      </c>
      <c r="W229" s="0" t="n">
        <f aca="false">IF(ISBLANK(A229),"",IF($A229=W$2,$C229,W228))</f>
        <v>26.04</v>
      </c>
    </row>
    <row r="230" customFormat="false" ht="12.8" hidden="false" customHeight="false" outlineLevel="0" collapsed="false">
      <c r="A230" s="0" t="n">
        <v>8370</v>
      </c>
      <c r="B230" s="0" t="n">
        <v>-100</v>
      </c>
      <c r="C230" s="0" t="n">
        <v>48.13</v>
      </c>
      <c r="D230" s="0" t="s">
        <v>238</v>
      </c>
      <c r="H230" s="8" t="n">
        <f aca="false">IF(ISBLANK(D230),,LEFT(D230,LEN(D230)-6)*1)</f>
        <v>38721.8722800926</v>
      </c>
      <c r="I230" s="9" t="n">
        <f aca="false">IF(ISBLANK(A230),"",-B230*C230)</f>
        <v>4813</v>
      </c>
      <c r="J230" s="9" t="n">
        <f aca="false">IF(ISBLANK(A230),"",-SUM(I$3:I230))</f>
        <v>-41664.7570441813</v>
      </c>
      <c r="K230" s="0" t="n">
        <f aca="false">IF(ISBLANK(A230),"",SUMPRODUCT(O230:R230,T230:W230)-J230)</f>
        <v>1970.75704418129</v>
      </c>
      <c r="L230" s="0" t="n">
        <f aca="false">IF(ISBLANK(A230),"",K230/$M$1)</f>
        <v>0.0328459507363548</v>
      </c>
      <c r="M230" s="0" t="n">
        <f aca="false">IF(ISBLANK(A230),"",K230/($M$1+SUM(K$3:K229)))</f>
        <v>0.00820780427962438</v>
      </c>
      <c r="N230" s="0" t="n">
        <f aca="false">IF(ISBLANK(A230),"",IF(H231=0,NETWORKDAYS($H$3,H230,holiday!$B$2:$B$10),IF(DAY(H230)&lt;DAY(H231),NETWORKDAYS($H$3,H230,holiday!$B$2:$B$10),0)))</f>
        <v>0</v>
      </c>
      <c r="O230" s="0" t="n">
        <f aca="false">IF(ISBLANK(A230),"",SUMIF($A$3:$A230,O$2,$B$3:$B230))</f>
        <v>600</v>
      </c>
      <c r="P230" s="0" t="n">
        <f aca="false">IF(ISBLANK(A230),"",SUMIF($A$3:$A230,P$2,$B$3:$B230))</f>
        <v>-2800</v>
      </c>
      <c r="Q230" s="0" t="n">
        <f aca="false">IF(ISBLANK(A230),"",SUMIF($A$3:$A230,Q$2,$B$3:$B230))</f>
        <v>-200</v>
      </c>
      <c r="R230" s="0" t="n">
        <f aca="false">IF(ISBLANK(A230),"",SUMIF($A$3:$A230,R$2,$B$3:$B230))</f>
        <v>200</v>
      </c>
      <c r="T230" s="0" t="n">
        <f aca="false">IF(ISBLANK(A230),"",IF($A230=T$2,$C230,T229))</f>
        <v>48.13</v>
      </c>
      <c r="U230" s="0" t="n">
        <f aca="false">IF(ISBLANK(A230),"",IF($A230=U$2,$C230,U229))</f>
        <v>22.64</v>
      </c>
      <c r="V230" s="0" t="n">
        <f aca="false">IF(ISBLANK(A230),"",IF($A230=V$2,$C230,V229))</f>
        <v>51.94</v>
      </c>
      <c r="W230" s="0" t="n">
        <f aca="false">IF(ISBLANK(A230),"",IF($A230=W$2,$C230,W229))</f>
        <v>26.04</v>
      </c>
    </row>
    <row r="231" customFormat="false" ht="12.8" hidden="false" customHeight="false" outlineLevel="0" collapsed="false">
      <c r="A231" s="0" t="n">
        <v>8370</v>
      </c>
      <c r="B231" s="0" t="n">
        <v>-100</v>
      </c>
      <c r="C231" s="0" t="n">
        <v>48.01</v>
      </c>
      <c r="D231" s="0" t="s">
        <v>239</v>
      </c>
      <c r="H231" s="8" t="n">
        <f aca="false">IF(ISBLANK(D231),,LEFT(D231,LEN(D231)-6)*1)</f>
        <v>38721.8737152778</v>
      </c>
      <c r="I231" s="9" t="n">
        <f aca="false">IF(ISBLANK(A231),"",-B231*C231)</f>
        <v>4801</v>
      </c>
      <c r="J231" s="9" t="n">
        <f aca="false">IF(ISBLANK(A231),"",-SUM(I$3:I231))</f>
        <v>-46465.7570441813</v>
      </c>
      <c r="K231" s="0" t="n">
        <f aca="false">IF(ISBLANK(A231),"",SUMPRODUCT(O231:R231,T231:W231)-J231)</f>
        <v>1898.75704418129</v>
      </c>
      <c r="L231" s="0" t="n">
        <f aca="false">IF(ISBLANK(A231),"",K231/$M$1)</f>
        <v>0.0316459507363548</v>
      </c>
      <c r="M231" s="0" t="n">
        <f aca="false">IF(ISBLANK(A231),"",K231/($M$1+SUM(K$3:K230)))</f>
        <v>0.00784356044084607</v>
      </c>
      <c r="N231" s="0" t="n">
        <f aca="false">IF(ISBLANK(A231),"",IF(H232=0,NETWORKDAYS($H$3,H231,holiday!$B$2:$B$10),IF(DAY(H231)&lt;DAY(H232),NETWORKDAYS($H$3,H231,holiday!$B$2:$B$10),0)))</f>
        <v>2</v>
      </c>
      <c r="O231" s="0" t="n">
        <f aca="false">IF(ISBLANK(A231),"",SUMIF($A$3:$A231,O$2,$B$3:$B231))</f>
        <v>500</v>
      </c>
      <c r="P231" s="0" t="n">
        <f aca="false">IF(ISBLANK(A231),"",SUMIF($A$3:$A231,P$2,$B$3:$B231))</f>
        <v>-2800</v>
      </c>
      <c r="Q231" s="0" t="n">
        <f aca="false">IF(ISBLANK(A231),"",SUMIF($A$3:$A231,Q$2,$B$3:$B231))</f>
        <v>-200</v>
      </c>
      <c r="R231" s="0" t="n">
        <f aca="false">IF(ISBLANK(A231),"",SUMIF($A$3:$A231,R$2,$B$3:$B231))</f>
        <v>200</v>
      </c>
      <c r="T231" s="0" t="n">
        <f aca="false">IF(ISBLANK(A231),"",IF($A231=T$2,$C231,T230))</f>
        <v>48.01</v>
      </c>
      <c r="U231" s="0" t="n">
        <f aca="false">IF(ISBLANK(A231),"",IF($A231=U$2,$C231,U230))</f>
        <v>22.64</v>
      </c>
      <c r="V231" s="0" t="n">
        <f aca="false">IF(ISBLANK(A231),"",IF($A231=V$2,$C231,V230))</f>
        <v>51.94</v>
      </c>
      <c r="W231" s="0" t="n">
        <f aca="false">IF(ISBLANK(A231),"",IF($A231=W$2,$C231,W230))</f>
        <v>26.04</v>
      </c>
    </row>
    <row r="232" customFormat="false" ht="12.8" hidden="false" customHeight="false" outlineLevel="0" collapsed="false">
      <c r="A232" s="0" t="n">
        <v>980</v>
      </c>
      <c r="B232" s="0" t="n">
        <v>0</v>
      </c>
      <c r="C232" s="0" t="n">
        <v>22.5</v>
      </c>
      <c r="D232" s="0" t="s">
        <v>240</v>
      </c>
      <c r="H232" s="8" t="n">
        <f aca="false">IF(ISBLANK(D232),,LEFT(D232,LEN(D232)-6)*1)</f>
        <v>38722.8808217593</v>
      </c>
      <c r="I232" s="9" t="n">
        <f aca="false">IF(ISBLANK(A232),"",-B232*C232)</f>
        <v>-0</v>
      </c>
      <c r="J232" s="9" t="n">
        <f aca="false">IF(ISBLANK(A232),"",-SUM(I$3:I232))</f>
        <v>-46465.7570441813</v>
      </c>
      <c r="K232" s="0" t="n">
        <f aca="false">IF(ISBLANK(A232),"",SUMPRODUCT(O232:R232,T232:W232)-J232)</f>
        <v>2290.75704418129</v>
      </c>
      <c r="L232" s="0" t="n">
        <f aca="false">IF(ISBLANK(A232),"",K232/$M$1)</f>
        <v>0.0381792840696881</v>
      </c>
      <c r="M232" s="0" t="n">
        <f aca="false">IF(ISBLANK(A232),"",K232/($M$1+SUM(K$3:K231)))</f>
        <v>0.00938922518206997</v>
      </c>
      <c r="N232" s="0" t="n">
        <f aca="false">IF(ISBLANK(A232),"",IF(H233=0,NETWORKDAYS($H$3,H232,holiday!$B$2:$B$10),IF(DAY(H232)&lt;DAY(H233),NETWORKDAYS($H$3,H232,holiday!$B$2:$B$10),0)))</f>
        <v>0</v>
      </c>
      <c r="O232" s="0" t="n">
        <f aca="false">IF(ISBLANK(A232),"",SUMIF($A$3:$A232,O$2,$B$3:$B232))</f>
        <v>500</v>
      </c>
      <c r="P232" s="0" t="n">
        <f aca="false">IF(ISBLANK(A232),"",SUMIF($A$3:$A232,P$2,$B$3:$B232))</f>
        <v>-2800</v>
      </c>
      <c r="Q232" s="0" t="n">
        <f aca="false">IF(ISBLANK(A232),"",SUMIF($A$3:$A232,Q$2,$B$3:$B232))</f>
        <v>-200</v>
      </c>
      <c r="R232" s="0" t="n">
        <f aca="false">IF(ISBLANK(A232),"",SUMIF($A$3:$A232,R$2,$B$3:$B232))</f>
        <v>200</v>
      </c>
      <c r="T232" s="0" t="n">
        <f aca="false">IF(ISBLANK(A232),"",IF($A232=T$2,$C232,T231))</f>
        <v>48.01</v>
      </c>
      <c r="U232" s="0" t="n">
        <f aca="false">IF(ISBLANK(A232),"",IF($A232=U$2,$C232,U231))</f>
        <v>22.5</v>
      </c>
      <c r="V232" s="0" t="n">
        <f aca="false">IF(ISBLANK(A232),"",IF($A232=V$2,$C232,V231))</f>
        <v>51.94</v>
      </c>
      <c r="W232" s="0" t="n">
        <f aca="false">IF(ISBLANK(A232),"",IF($A232=W$2,$C232,W231))</f>
        <v>26.04</v>
      </c>
    </row>
    <row r="233" customFormat="false" ht="12.8" hidden="false" customHeight="false" outlineLevel="0" collapsed="false">
      <c r="A233" s="0" t="n">
        <v>8370</v>
      </c>
      <c r="B233" s="0" t="n">
        <v>0</v>
      </c>
      <c r="C233" s="0" t="n">
        <v>48.07</v>
      </c>
      <c r="D233" s="0" t="s">
        <v>241</v>
      </c>
      <c r="H233" s="8" t="n">
        <f aca="false">IF(ISBLANK(D233),,LEFT(D233,LEN(D233)-6)*1)</f>
        <v>38722.8956944444</v>
      </c>
      <c r="I233" s="9" t="n">
        <f aca="false">IF(ISBLANK(A233),"",-B233*C233)</f>
        <v>-0</v>
      </c>
      <c r="J233" s="9" t="n">
        <f aca="false">IF(ISBLANK(A233),"",-SUM(I$3:I233))</f>
        <v>-46465.7570441813</v>
      </c>
      <c r="K233" s="0" t="n">
        <f aca="false">IF(ISBLANK(A233),"",SUMPRODUCT(O233:R233,T233:W233)-J233)</f>
        <v>2320.75704418129</v>
      </c>
      <c r="L233" s="0" t="n">
        <f aca="false">IF(ISBLANK(A233),"",K233/$M$1)</f>
        <v>0.0386792840696881</v>
      </c>
      <c r="M233" s="0" t="n">
        <f aca="false">IF(ISBLANK(A233),"",K233/($M$1+SUM(K$3:K232)))</f>
        <v>0.00942370618291701</v>
      </c>
      <c r="N233" s="0" t="n">
        <f aca="false">IF(ISBLANK(A233),"",IF(H234=0,NETWORKDAYS($H$3,H233,holiday!$B$2:$B$10),IF(DAY(H233)&lt;DAY(H234),NETWORKDAYS($H$3,H233,holiday!$B$2:$B$10),0)))</f>
        <v>0</v>
      </c>
      <c r="O233" s="0" t="n">
        <f aca="false">IF(ISBLANK(A233),"",SUMIF($A$3:$A233,O$2,$B$3:$B233))</f>
        <v>500</v>
      </c>
      <c r="P233" s="0" t="n">
        <f aca="false">IF(ISBLANK(A233),"",SUMIF($A$3:$A233,P$2,$B$3:$B233))</f>
        <v>-2800</v>
      </c>
      <c r="Q233" s="0" t="n">
        <f aca="false">IF(ISBLANK(A233),"",SUMIF($A$3:$A233,Q$2,$B$3:$B233))</f>
        <v>-200</v>
      </c>
      <c r="R233" s="0" t="n">
        <f aca="false">IF(ISBLANK(A233),"",SUMIF($A$3:$A233,R$2,$B$3:$B233))</f>
        <v>200</v>
      </c>
      <c r="T233" s="0" t="n">
        <f aca="false">IF(ISBLANK(A233),"",IF($A233=T$2,$C233,T232))</f>
        <v>48.07</v>
      </c>
      <c r="U233" s="0" t="n">
        <f aca="false">IF(ISBLANK(A233),"",IF($A233=U$2,$C233,U232))</f>
        <v>22.5</v>
      </c>
      <c r="V233" s="0" t="n">
        <f aca="false">IF(ISBLANK(A233),"",IF($A233=V$2,$C233,V232))</f>
        <v>51.94</v>
      </c>
      <c r="W233" s="0" t="n">
        <f aca="false">IF(ISBLANK(A233),"",IF($A233=W$2,$C233,W232))</f>
        <v>26.04</v>
      </c>
    </row>
    <row r="234" customFormat="false" ht="12.8" hidden="false" customHeight="false" outlineLevel="0" collapsed="false">
      <c r="A234" s="0" t="n">
        <v>8370</v>
      </c>
      <c r="B234" s="0" t="n">
        <v>-100</v>
      </c>
      <c r="C234" s="0" t="n">
        <v>47.395</v>
      </c>
      <c r="D234" s="0" t="s">
        <v>242</v>
      </c>
      <c r="H234" s="8" t="n">
        <f aca="false">IF(ISBLANK(D234),,LEFT(D234,LEN(D234)-6)*1)</f>
        <v>38722.607025463</v>
      </c>
      <c r="I234" s="9" t="n">
        <f aca="false">IF(ISBLANK(A234),"",-B234*C234)</f>
        <v>4739.5</v>
      </c>
      <c r="J234" s="9" t="n">
        <f aca="false">IF(ISBLANK(A234),"",-SUM(I$3:I234))</f>
        <v>-51205.2570441813</v>
      </c>
      <c r="K234" s="0" t="n">
        <f aca="false">IF(ISBLANK(A234),"",SUMPRODUCT(O234:R234,T234:W234)-J234)</f>
        <v>1983.25704418129</v>
      </c>
      <c r="L234" s="0" t="n">
        <f aca="false">IF(ISBLANK(A234),"",K234/$M$1)</f>
        <v>0.0330542840696881</v>
      </c>
      <c r="M234" s="0" t="n">
        <f aca="false">IF(ISBLANK(A234),"",K234/($M$1+SUM(K$3:K233)))</f>
        <v>0.00797806490744787</v>
      </c>
      <c r="N234" s="0" t="n">
        <f aca="false">IF(ISBLANK(A234),"",IF(H235=0,NETWORKDAYS($H$3,H234,holiday!$B$2:$B$10),IF(DAY(H234)&lt;DAY(H235),NETWORKDAYS($H$3,H234,holiday!$B$2:$B$10),0)))</f>
        <v>0</v>
      </c>
      <c r="O234" s="0" t="n">
        <f aca="false">IF(ISBLANK(A234),"",SUMIF($A$3:$A234,O$2,$B$3:$B234))</f>
        <v>400</v>
      </c>
      <c r="P234" s="0" t="n">
        <f aca="false">IF(ISBLANK(A234),"",SUMIF($A$3:$A234,P$2,$B$3:$B234))</f>
        <v>-2800</v>
      </c>
      <c r="Q234" s="0" t="n">
        <f aca="false">IF(ISBLANK(A234),"",SUMIF($A$3:$A234,Q$2,$B$3:$B234))</f>
        <v>-200</v>
      </c>
      <c r="R234" s="0" t="n">
        <f aca="false">IF(ISBLANK(A234),"",SUMIF($A$3:$A234,R$2,$B$3:$B234))</f>
        <v>200</v>
      </c>
      <c r="T234" s="0" t="n">
        <f aca="false">IF(ISBLANK(A234),"",IF($A234=T$2,$C234,T233))</f>
        <v>47.395</v>
      </c>
      <c r="U234" s="0" t="n">
        <f aca="false">IF(ISBLANK(A234),"",IF($A234=U$2,$C234,U233))</f>
        <v>22.5</v>
      </c>
      <c r="V234" s="0" t="n">
        <f aca="false">IF(ISBLANK(A234),"",IF($A234=V$2,$C234,V233))</f>
        <v>51.94</v>
      </c>
      <c r="W234" s="0" t="n">
        <f aca="false">IF(ISBLANK(A234),"",IF($A234=W$2,$C234,W233))</f>
        <v>26.04</v>
      </c>
    </row>
    <row r="235" customFormat="false" ht="12.8" hidden="false" customHeight="false" outlineLevel="0" collapsed="false">
      <c r="A235" s="0" t="n">
        <v>679</v>
      </c>
      <c r="B235" s="0" t="n">
        <v>100</v>
      </c>
      <c r="C235" s="0" t="n">
        <v>52.25</v>
      </c>
      <c r="D235" s="0" t="s">
        <v>243</v>
      </c>
      <c r="H235" s="8" t="n">
        <f aca="false">IF(ISBLANK(D235),,LEFT(D235,LEN(D235)-6)*1)</f>
        <v>38722.6090509259</v>
      </c>
      <c r="I235" s="9" t="n">
        <f aca="false">IF(ISBLANK(A235),"",-B235*C235)</f>
        <v>-5225</v>
      </c>
      <c r="J235" s="9" t="n">
        <f aca="false">IF(ISBLANK(A235),"",-SUM(I$3:I235))</f>
        <v>-45980.2570441813</v>
      </c>
      <c r="K235" s="0" t="n">
        <f aca="false">IF(ISBLANK(A235),"",SUMPRODUCT(O235:R235,T235:W235)-J235)</f>
        <v>1921.25704418129</v>
      </c>
      <c r="L235" s="0" t="n">
        <f aca="false">IF(ISBLANK(A235),"",K235/$M$1)</f>
        <v>0.0320209507363548</v>
      </c>
      <c r="M235" s="0" t="n">
        <f aca="false">IF(ISBLANK(A235),"",K235/($M$1+SUM(K$3:K234)))</f>
        <v>0.00766748528708461</v>
      </c>
      <c r="N235" s="0" t="n">
        <f aca="false">IF(ISBLANK(A235),"",IF(H236=0,NETWORKDAYS($H$3,H235,holiday!$B$2:$B$10),IF(DAY(H235)&lt;DAY(H236),NETWORKDAYS($H$3,H235,holiday!$B$2:$B$10),0)))</f>
        <v>0</v>
      </c>
      <c r="O235" s="0" t="n">
        <f aca="false">IF(ISBLANK(A235),"",SUMIF($A$3:$A235,O$2,$B$3:$B235))</f>
        <v>400</v>
      </c>
      <c r="P235" s="0" t="n">
        <f aca="false">IF(ISBLANK(A235),"",SUMIF($A$3:$A235,P$2,$B$3:$B235))</f>
        <v>-2800</v>
      </c>
      <c r="Q235" s="0" t="n">
        <f aca="false">IF(ISBLANK(A235),"",SUMIF($A$3:$A235,Q$2,$B$3:$B235))</f>
        <v>-100</v>
      </c>
      <c r="R235" s="0" t="n">
        <f aca="false">IF(ISBLANK(A235),"",SUMIF($A$3:$A235,R$2,$B$3:$B235))</f>
        <v>200</v>
      </c>
      <c r="T235" s="0" t="n">
        <f aca="false">IF(ISBLANK(A235),"",IF($A235=T$2,$C235,T234))</f>
        <v>47.395</v>
      </c>
      <c r="U235" s="0" t="n">
        <f aca="false">IF(ISBLANK(A235),"",IF($A235=U$2,$C235,U234))</f>
        <v>22.5</v>
      </c>
      <c r="V235" s="0" t="n">
        <f aca="false">IF(ISBLANK(A235),"",IF($A235=V$2,$C235,V234))</f>
        <v>52.25</v>
      </c>
      <c r="W235" s="0" t="n">
        <f aca="false">IF(ISBLANK(A235),"",IF($A235=W$2,$C235,W234))</f>
        <v>26.04</v>
      </c>
    </row>
    <row r="236" customFormat="false" ht="12.8" hidden="false" customHeight="false" outlineLevel="0" collapsed="false">
      <c r="A236" s="0" t="n">
        <v>679</v>
      </c>
      <c r="B236" s="0" t="n">
        <v>100</v>
      </c>
      <c r="C236" s="0" t="n">
        <v>52.2</v>
      </c>
      <c r="D236" s="0" t="s">
        <v>244</v>
      </c>
      <c r="H236" s="8" t="n">
        <f aca="false">IF(ISBLANK(D236),,LEFT(D236,LEN(D236)-6)*1)</f>
        <v>38722.6099074074</v>
      </c>
      <c r="I236" s="9" t="n">
        <f aca="false">IF(ISBLANK(A236),"",-B236*C236)</f>
        <v>-5220</v>
      </c>
      <c r="J236" s="9" t="n">
        <f aca="false">IF(ISBLANK(A236),"",-SUM(I$3:I236))</f>
        <v>-40760.2570441813</v>
      </c>
      <c r="K236" s="0" t="n">
        <f aca="false">IF(ISBLANK(A236),"",SUMPRODUCT(O236:R236,T236:W236)-J236)</f>
        <v>1926.25704418129</v>
      </c>
      <c r="L236" s="0" t="n">
        <f aca="false">IF(ISBLANK(A236),"",K236/$M$1)</f>
        <v>0.0321042840696881</v>
      </c>
      <c r="M236" s="0" t="n">
        <f aca="false">IF(ISBLANK(A236),"",K236/($M$1+SUM(K$3:K235)))</f>
        <v>0.00762894481027801</v>
      </c>
      <c r="N236" s="0" t="n">
        <f aca="false">IF(ISBLANK(A236),"",IF(H237=0,NETWORKDAYS($H$3,H236,holiday!$B$2:$B$10),IF(DAY(H236)&lt;DAY(H237),NETWORKDAYS($H$3,H236,holiday!$B$2:$B$10),0)))</f>
        <v>0</v>
      </c>
      <c r="O236" s="0" t="n">
        <f aca="false">IF(ISBLANK(A236),"",SUMIF($A$3:$A236,O$2,$B$3:$B236))</f>
        <v>400</v>
      </c>
      <c r="P236" s="0" t="n">
        <f aca="false">IF(ISBLANK(A236),"",SUMIF($A$3:$A236,P$2,$B$3:$B236))</f>
        <v>-2800</v>
      </c>
      <c r="Q236" s="0" t="n">
        <f aca="false">IF(ISBLANK(A236),"",SUMIF($A$3:$A236,Q$2,$B$3:$B236))</f>
        <v>0</v>
      </c>
      <c r="R236" s="0" t="n">
        <f aca="false">IF(ISBLANK(A236),"",SUMIF($A$3:$A236,R$2,$B$3:$B236))</f>
        <v>200</v>
      </c>
      <c r="T236" s="0" t="n">
        <f aca="false">IF(ISBLANK(A236),"",IF($A236=T$2,$C236,T235))</f>
        <v>47.395</v>
      </c>
      <c r="U236" s="0" t="n">
        <f aca="false">IF(ISBLANK(A236),"",IF($A236=U$2,$C236,U235))</f>
        <v>22.5</v>
      </c>
      <c r="V236" s="0" t="n">
        <f aca="false">IF(ISBLANK(A236),"",IF($A236=V$2,$C236,V235))</f>
        <v>52.2</v>
      </c>
      <c r="W236" s="0" t="n">
        <f aca="false">IF(ISBLANK(A236),"",IF($A236=W$2,$C236,W235))</f>
        <v>26.04</v>
      </c>
    </row>
    <row r="237" customFormat="false" ht="12.8" hidden="false" customHeight="false" outlineLevel="0" collapsed="false">
      <c r="A237" s="0" t="n">
        <v>679</v>
      </c>
      <c r="B237" s="0" t="n">
        <v>100</v>
      </c>
      <c r="C237" s="0" t="n">
        <v>52.2</v>
      </c>
      <c r="D237" s="0" t="s">
        <v>245</v>
      </c>
      <c r="H237" s="8" t="n">
        <f aca="false">IF(ISBLANK(D237),,LEFT(D237,LEN(D237)-6)*1)</f>
        <v>38722.6111574074</v>
      </c>
      <c r="I237" s="9" t="n">
        <f aca="false">IF(ISBLANK(A237),"",-B237*C237)</f>
        <v>-5220</v>
      </c>
      <c r="J237" s="9" t="n">
        <f aca="false">IF(ISBLANK(A237),"",-SUM(I$3:I237))</f>
        <v>-35540.2570441813</v>
      </c>
      <c r="K237" s="0" t="n">
        <f aca="false">IF(ISBLANK(A237),"",SUMPRODUCT(O237:R237,T237:W237)-J237)</f>
        <v>1926.25704418129</v>
      </c>
      <c r="L237" s="0" t="n">
        <f aca="false">IF(ISBLANK(A237),"",K237/$M$1)</f>
        <v>0.0321042840696881</v>
      </c>
      <c r="M237" s="0" t="n">
        <f aca="false">IF(ISBLANK(A237),"",K237/($M$1+SUM(K$3:K236)))</f>
        <v>0.00757118466035573</v>
      </c>
      <c r="N237" s="0" t="n">
        <f aca="false">IF(ISBLANK(A237),"",IF(H238=0,NETWORKDAYS($H$3,H237,holiday!$B$2:$B$10),IF(DAY(H237)&lt;DAY(H238),NETWORKDAYS($H$3,H237,holiday!$B$2:$B$10),0)))</f>
        <v>0</v>
      </c>
      <c r="O237" s="0" t="n">
        <f aca="false">IF(ISBLANK(A237),"",SUMIF($A$3:$A237,O$2,$B$3:$B237))</f>
        <v>400</v>
      </c>
      <c r="P237" s="0" t="n">
        <f aca="false">IF(ISBLANK(A237),"",SUMIF($A$3:$A237,P$2,$B$3:$B237))</f>
        <v>-2800</v>
      </c>
      <c r="Q237" s="0" t="n">
        <f aca="false">IF(ISBLANK(A237),"",SUMIF($A$3:$A237,Q$2,$B$3:$B237))</f>
        <v>100</v>
      </c>
      <c r="R237" s="0" t="n">
        <f aca="false">IF(ISBLANK(A237),"",SUMIF($A$3:$A237,R$2,$B$3:$B237))</f>
        <v>200</v>
      </c>
      <c r="T237" s="0" t="n">
        <f aca="false">IF(ISBLANK(A237),"",IF($A237=T$2,$C237,T236))</f>
        <v>47.395</v>
      </c>
      <c r="U237" s="0" t="n">
        <f aca="false">IF(ISBLANK(A237),"",IF($A237=U$2,$C237,U236))</f>
        <v>22.5</v>
      </c>
      <c r="V237" s="0" t="n">
        <f aca="false">IF(ISBLANK(A237),"",IF($A237=V$2,$C237,V236))</f>
        <v>52.2</v>
      </c>
      <c r="W237" s="0" t="n">
        <f aca="false">IF(ISBLANK(A237),"",IF($A237=W$2,$C237,W236))</f>
        <v>26.04</v>
      </c>
    </row>
    <row r="238" customFormat="false" ht="12.8" hidden="false" customHeight="false" outlineLevel="0" collapsed="false">
      <c r="A238" s="0" t="n">
        <v>980</v>
      </c>
      <c r="B238" s="0" t="n">
        <v>-100</v>
      </c>
      <c r="C238" s="0" t="n">
        <v>22.71</v>
      </c>
      <c r="D238" s="0" t="s">
        <v>246</v>
      </c>
      <c r="H238" s="8" t="n">
        <f aca="false">IF(ISBLANK(D238),,LEFT(D238,LEN(D238)-6)*1)</f>
        <v>38722.6155439815</v>
      </c>
      <c r="I238" s="9" t="n">
        <f aca="false">IF(ISBLANK(A238),"",-B238*C238)</f>
        <v>2271</v>
      </c>
      <c r="J238" s="9" t="n">
        <f aca="false">IF(ISBLANK(A238),"",-SUM(I$3:I238))</f>
        <v>-37811.2570441813</v>
      </c>
      <c r="K238" s="0" t="n">
        <f aca="false">IF(ISBLANK(A238),"",SUMPRODUCT(O238:R238,T238:W238)-J238)</f>
        <v>1338.25704418129</v>
      </c>
      <c r="L238" s="0" t="n">
        <f aca="false">IF(ISBLANK(A238),"",K238/$M$1)</f>
        <v>0.0223042840696881</v>
      </c>
      <c r="M238" s="0" t="n">
        <f aca="false">IF(ISBLANK(A238),"",K238/($M$1+SUM(K$3:K237)))</f>
        <v>0.00522051560349762</v>
      </c>
      <c r="N238" s="0" t="n">
        <f aca="false">IF(ISBLANK(A238),"",IF(H239=0,NETWORKDAYS($H$3,H238,holiday!$B$2:$B$10),IF(DAY(H238)&lt;DAY(H239),NETWORKDAYS($H$3,H238,holiday!$B$2:$B$10),0)))</f>
        <v>0</v>
      </c>
      <c r="O238" s="0" t="n">
        <f aca="false">IF(ISBLANK(A238),"",SUMIF($A$3:$A238,O$2,$B$3:$B238))</f>
        <v>400</v>
      </c>
      <c r="P238" s="0" t="n">
        <f aca="false">IF(ISBLANK(A238),"",SUMIF($A$3:$A238,P$2,$B$3:$B238))</f>
        <v>-2900</v>
      </c>
      <c r="Q238" s="0" t="n">
        <f aca="false">IF(ISBLANK(A238),"",SUMIF($A$3:$A238,Q$2,$B$3:$B238))</f>
        <v>100</v>
      </c>
      <c r="R238" s="0" t="n">
        <f aca="false">IF(ISBLANK(A238),"",SUMIF($A$3:$A238,R$2,$B$3:$B238))</f>
        <v>200</v>
      </c>
      <c r="T238" s="0" t="n">
        <f aca="false">IF(ISBLANK(A238),"",IF($A238=T$2,$C238,T237))</f>
        <v>47.395</v>
      </c>
      <c r="U238" s="0" t="n">
        <f aca="false">IF(ISBLANK(A238),"",IF($A238=U$2,$C238,U237))</f>
        <v>22.71</v>
      </c>
      <c r="V238" s="0" t="n">
        <f aca="false">IF(ISBLANK(A238),"",IF($A238=V$2,$C238,V237))</f>
        <v>52.2</v>
      </c>
      <c r="W238" s="0" t="n">
        <f aca="false">IF(ISBLANK(A238),"",IF($A238=W$2,$C238,W237))</f>
        <v>26.04</v>
      </c>
    </row>
    <row r="239" customFormat="false" ht="12.8" hidden="false" customHeight="false" outlineLevel="0" collapsed="false">
      <c r="A239" s="0" t="n">
        <v>980</v>
      </c>
      <c r="B239" s="0" t="n">
        <v>-100</v>
      </c>
      <c r="C239" s="0" t="n">
        <v>22.7597058823529</v>
      </c>
      <c r="D239" s="0" t="s">
        <v>247</v>
      </c>
      <c r="H239" s="8" t="n">
        <f aca="false">IF(ISBLANK(D239),,LEFT(D239,LEN(D239)-6)*1)</f>
        <v>38722.6320023148</v>
      </c>
      <c r="I239" s="9" t="n">
        <f aca="false">IF(ISBLANK(A239),"",-B239*C239)</f>
        <v>2275.97058823529</v>
      </c>
      <c r="J239" s="9" t="n">
        <f aca="false">IF(ISBLANK(A239),"",-SUM(I$3:I239))</f>
        <v>-40087.2276324166</v>
      </c>
      <c r="K239" s="0" t="n">
        <f aca="false">IF(ISBLANK(A239),"",SUMPRODUCT(O239:R239,T239:W239)-J239)</f>
        <v>1194.10998535788</v>
      </c>
      <c r="L239" s="0" t="n">
        <f aca="false">IF(ISBLANK(A239),"",K239/$M$1)</f>
        <v>0.019901833089298</v>
      </c>
      <c r="M239" s="0" t="n">
        <f aca="false">IF(ISBLANK(A239),"",K239/($M$1+SUM(K$3:K238)))</f>
        <v>0.00463400871857483</v>
      </c>
      <c r="N239" s="0" t="n">
        <f aca="false">IF(ISBLANK(A239),"",IF(H240=0,NETWORKDAYS($H$3,H239,holiday!$B$2:$B$10),IF(DAY(H239)&lt;DAY(H240),NETWORKDAYS($H$3,H239,holiday!$B$2:$B$10),0)))</f>
        <v>0</v>
      </c>
      <c r="O239" s="0" t="n">
        <f aca="false">IF(ISBLANK(A239),"",SUMIF($A$3:$A239,O$2,$B$3:$B239))</f>
        <v>400</v>
      </c>
      <c r="P239" s="0" t="n">
        <f aca="false">IF(ISBLANK(A239),"",SUMIF($A$3:$A239,P$2,$B$3:$B239))</f>
        <v>-3000</v>
      </c>
      <c r="Q239" s="0" t="n">
        <f aca="false">IF(ISBLANK(A239),"",SUMIF($A$3:$A239,Q$2,$B$3:$B239))</f>
        <v>100</v>
      </c>
      <c r="R239" s="0" t="n">
        <f aca="false">IF(ISBLANK(A239),"",SUMIF($A$3:$A239,R$2,$B$3:$B239))</f>
        <v>200</v>
      </c>
      <c r="T239" s="0" t="n">
        <f aca="false">IF(ISBLANK(A239),"",IF($A239=T$2,$C239,T238))</f>
        <v>47.395</v>
      </c>
      <c r="U239" s="0" t="n">
        <f aca="false">IF(ISBLANK(A239),"",IF($A239=U$2,$C239,U238))</f>
        <v>22.7597058823529</v>
      </c>
      <c r="V239" s="0" t="n">
        <f aca="false">IF(ISBLANK(A239),"",IF($A239=V$2,$C239,V238))</f>
        <v>52.2</v>
      </c>
      <c r="W239" s="0" t="n">
        <f aca="false">IF(ISBLANK(A239),"",IF($A239=W$2,$C239,W238))</f>
        <v>26.04</v>
      </c>
    </row>
    <row r="240" customFormat="false" ht="12.8" hidden="false" customHeight="false" outlineLevel="0" collapsed="false">
      <c r="A240" s="0" t="n">
        <v>8370</v>
      </c>
      <c r="B240" s="0" t="n">
        <v>100</v>
      </c>
      <c r="C240" s="0" t="n">
        <v>47.43</v>
      </c>
      <c r="D240" s="0" t="s">
        <v>248</v>
      </c>
      <c r="H240" s="8" t="n">
        <f aca="false">IF(ISBLANK(D240),,LEFT(D240,LEN(D240)-6)*1)</f>
        <v>38722.6324189815</v>
      </c>
      <c r="I240" s="9" t="n">
        <f aca="false">IF(ISBLANK(A240),"",-B240*C240)</f>
        <v>-4743</v>
      </c>
      <c r="J240" s="9" t="n">
        <f aca="false">IF(ISBLANK(A240),"",-SUM(I$3:I240))</f>
        <v>-35344.2276324166</v>
      </c>
      <c r="K240" s="0" t="n">
        <f aca="false">IF(ISBLANK(A240),"",SUMPRODUCT(O240:R240,T240:W240)-J240)</f>
        <v>1208.10998535788</v>
      </c>
      <c r="L240" s="0" t="n">
        <f aca="false">IF(ISBLANK(A240),"",K240/$M$1)</f>
        <v>0.0201351664226313</v>
      </c>
      <c r="M240" s="0" t="n">
        <f aca="false">IF(ISBLANK(A240),"",K240/($M$1+SUM(K$3:K239)))</f>
        <v>0.00466671323474112</v>
      </c>
      <c r="N240" s="0" t="n">
        <f aca="false">IF(ISBLANK(A240),"",IF(H241=0,NETWORKDAYS($H$3,H240,holiday!$B$2:$B$10),IF(DAY(H240)&lt;DAY(H241),NETWORKDAYS($H$3,H240,holiday!$B$2:$B$10),0)))</f>
        <v>0</v>
      </c>
      <c r="O240" s="0" t="n">
        <f aca="false">IF(ISBLANK(A240),"",SUMIF($A$3:$A240,O$2,$B$3:$B240))</f>
        <v>500</v>
      </c>
      <c r="P240" s="0" t="n">
        <f aca="false">IF(ISBLANK(A240),"",SUMIF($A$3:$A240,P$2,$B$3:$B240))</f>
        <v>-3000</v>
      </c>
      <c r="Q240" s="0" t="n">
        <f aca="false">IF(ISBLANK(A240),"",SUMIF($A$3:$A240,Q$2,$B$3:$B240))</f>
        <v>100</v>
      </c>
      <c r="R240" s="0" t="n">
        <f aca="false">IF(ISBLANK(A240),"",SUMIF($A$3:$A240,R$2,$B$3:$B240))</f>
        <v>200</v>
      </c>
      <c r="T240" s="0" t="n">
        <f aca="false">IF(ISBLANK(A240),"",IF($A240=T$2,$C240,T239))</f>
        <v>47.43</v>
      </c>
      <c r="U240" s="0" t="n">
        <f aca="false">IF(ISBLANK(A240),"",IF($A240=U$2,$C240,U239))</f>
        <v>22.7597058823529</v>
      </c>
      <c r="V240" s="0" t="n">
        <f aca="false">IF(ISBLANK(A240),"",IF($A240=V$2,$C240,V239))</f>
        <v>52.2</v>
      </c>
      <c r="W240" s="0" t="n">
        <f aca="false">IF(ISBLANK(A240),"",IF($A240=W$2,$C240,W239))</f>
        <v>26.04</v>
      </c>
    </row>
    <row r="241" customFormat="false" ht="12.8" hidden="false" customHeight="false" outlineLevel="0" collapsed="false">
      <c r="A241" s="0" t="n">
        <v>679</v>
      </c>
      <c r="B241" s="0" t="n">
        <v>-100</v>
      </c>
      <c r="C241" s="0" t="n">
        <v>52.32</v>
      </c>
      <c r="D241" s="0" t="s">
        <v>249</v>
      </c>
      <c r="H241" s="8" t="n">
        <f aca="false">IF(ISBLANK(D241),,LEFT(D241,LEN(D241)-6)*1)</f>
        <v>38722.6359837963</v>
      </c>
      <c r="I241" s="9" t="n">
        <f aca="false">IF(ISBLANK(A241),"",-B241*C241)</f>
        <v>5232</v>
      </c>
      <c r="J241" s="9" t="n">
        <f aca="false">IF(ISBLANK(A241),"",-SUM(I$3:I241))</f>
        <v>-40576.2276324166</v>
      </c>
      <c r="K241" s="0" t="n">
        <f aca="false">IF(ISBLANK(A241),"",SUMPRODUCT(O241:R241,T241:W241)-J241)</f>
        <v>1220.10998535788</v>
      </c>
      <c r="L241" s="0" t="n">
        <f aca="false">IF(ISBLANK(A241),"",K241/$M$1)</f>
        <v>0.0203351664226313</v>
      </c>
      <c r="M241" s="0" t="n">
        <f aca="false">IF(ISBLANK(A241),"",K241/($M$1+SUM(K$3:K240)))</f>
        <v>0.0046911747256512</v>
      </c>
      <c r="N241" s="0" t="n">
        <f aca="false">IF(ISBLANK(A241),"",IF(H242=0,NETWORKDAYS($H$3,H241,holiday!$B$2:$B$10),IF(DAY(H241)&lt;DAY(H242),NETWORKDAYS($H$3,H241,holiday!$B$2:$B$10),0)))</f>
        <v>0</v>
      </c>
      <c r="O241" s="0" t="n">
        <f aca="false">IF(ISBLANK(A241),"",SUMIF($A$3:$A241,O$2,$B$3:$B241))</f>
        <v>500</v>
      </c>
      <c r="P241" s="0" t="n">
        <f aca="false">IF(ISBLANK(A241),"",SUMIF($A$3:$A241,P$2,$B$3:$B241))</f>
        <v>-3000</v>
      </c>
      <c r="Q241" s="0" t="n">
        <f aca="false">IF(ISBLANK(A241),"",SUMIF($A$3:$A241,Q$2,$B$3:$B241))</f>
        <v>0</v>
      </c>
      <c r="R241" s="0" t="n">
        <f aca="false">IF(ISBLANK(A241),"",SUMIF($A$3:$A241,R$2,$B$3:$B241))</f>
        <v>200</v>
      </c>
      <c r="T241" s="0" t="n">
        <f aca="false">IF(ISBLANK(A241),"",IF($A241=T$2,$C241,T240))</f>
        <v>47.43</v>
      </c>
      <c r="U241" s="0" t="n">
        <f aca="false">IF(ISBLANK(A241),"",IF($A241=U$2,$C241,U240))</f>
        <v>22.7597058823529</v>
      </c>
      <c r="V241" s="0" t="n">
        <f aca="false">IF(ISBLANK(A241),"",IF($A241=V$2,$C241,V240))</f>
        <v>52.32</v>
      </c>
      <c r="W241" s="0" t="n">
        <f aca="false">IF(ISBLANK(A241),"",IF($A241=W$2,$C241,W240))</f>
        <v>26.04</v>
      </c>
    </row>
    <row r="242" customFormat="false" ht="12.8" hidden="false" customHeight="false" outlineLevel="0" collapsed="false">
      <c r="A242" s="0" t="n">
        <v>8370</v>
      </c>
      <c r="B242" s="0" t="n">
        <v>-100</v>
      </c>
      <c r="C242" s="0" t="n">
        <v>47.37</v>
      </c>
      <c r="D242" s="0" t="s">
        <v>250</v>
      </c>
      <c r="H242" s="8" t="n">
        <f aca="false">IF(ISBLANK(D242),,LEFT(D242,LEN(D242)-6)*1)</f>
        <v>38722.6371759259</v>
      </c>
      <c r="I242" s="9" t="n">
        <f aca="false">IF(ISBLANK(A242),"",-B242*C242)</f>
        <v>4737</v>
      </c>
      <c r="J242" s="9" t="n">
        <f aca="false">IF(ISBLANK(A242),"",-SUM(I$3:I242))</f>
        <v>-45313.2276324166</v>
      </c>
      <c r="K242" s="0" t="n">
        <f aca="false">IF(ISBLANK(A242),"",SUMPRODUCT(O242:R242,T242:W242)-J242)</f>
        <v>1190.10998535788</v>
      </c>
      <c r="L242" s="0" t="n">
        <f aca="false">IF(ISBLANK(A242),"",K242/$M$1)</f>
        <v>0.0198351664226313</v>
      </c>
      <c r="M242" s="0" t="n">
        <f aca="false">IF(ISBLANK(A242),"",K242/($M$1+SUM(K$3:K241)))</f>
        <v>0.00455446258901289</v>
      </c>
      <c r="N242" s="0" t="n">
        <f aca="false">IF(ISBLANK(A242),"",IF(H243=0,NETWORKDAYS($H$3,H242,holiday!$B$2:$B$10),IF(DAY(H242)&lt;DAY(H243),NETWORKDAYS($H$3,H242,holiday!$B$2:$B$10),0)))</f>
        <v>0</v>
      </c>
      <c r="O242" s="0" t="n">
        <f aca="false">IF(ISBLANK(A242),"",SUMIF($A$3:$A242,O$2,$B$3:$B242))</f>
        <v>400</v>
      </c>
      <c r="P242" s="0" t="n">
        <f aca="false">IF(ISBLANK(A242),"",SUMIF($A$3:$A242,P$2,$B$3:$B242))</f>
        <v>-3000</v>
      </c>
      <c r="Q242" s="0" t="n">
        <f aca="false">IF(ISBLANK(A242),"",SUMIF($A$3:$A242,Q$2,$B$3:$B242))</f>
        <v>0</v>
      </c>
      <c r="R242" s="0" t="n">
        <f aca="false">IF(ISBLANK(A242),"",SUMIF($A$3:$A242,R$2,$B$3:$B242))</f>
        <v>200</v>
      </c>
      <c r="T242" s="0" t="n">
        <f aca="false">IF(ISBLANK(A242),"",IF($A242=T$2,$C242,T241))</f>
        <v>47.37</v>
      </c>
      <c r="U242" s="0" t="n">
        <f aca="false">IF(ISBLANK(A242),"",IF($A242=U$2,$C242,U241))</f>
        <v>22.7597058823529</v>
      </c>
      <c r="V242" s="0" t="n">
        <f aca="false">IF(ISBLANK(A242),"",IF($A242=V$2,$C242,V241))</f>
        <v>52.32</v>
      </c>
      <c r="W242" s="0" t="n">
        <f aca="false">IF(ISBLANK(A242),"",IF($A242=W$2,$C242,W241))</f>
        <v>26.04</v>
      </c>
    </row>
    <row r="243" customFormat="false" ht="12.8" hidden="false" customHeight="false" outlineLevel="0" collapsed="false">
      <c r="A243" s="0" t="n">
        <v>679</v>
      </c>
      <c r="B243" s="0" t="n">
        <v>-100</v>
      </c>
      <c r="C243" s="0" t="n">
        <v>52.33</v>
      </c>
      <c r="D243" s="0" t="s">
        <v>251</v>
      </c>
      <c r="H243" s="8" t="n">
        <f aca="false">IF(ISBLANK(D243),,LEFT(D243,LEN(D243)-6)*1)</f>
        <v>38722.6379166667</v>
      </c>
      <c r="I243" s="9" t="n">
        <f aca="false">IF(ISBLANK(A243),"",-B243*C243)</f>
        <v>5233</v>
      </c>
      <c r="J243" s="9" t="n">
        <f aca="false">IF(ISBLANK(A243),"",-SUM(I$3:I243))</f>
        <v>-50546.2276324166</v>
      </c>
      <c r="K243" s="0" t="n">
        <f aca="false">IF(ISBLANK(A243),"",SUMPRODUCT(O243:R243,T243:W243)-J243)</f>
        <v>1190.10998535788</v>
      </c>
      <c r="L243" s="0" t="n">
        <f aca="false">IF(ISBLANK(A243),"",K243/$M$1)</f>
        <v>0.0198351664226313</v>
      </c>
      <c r="M243" s="0" t="n">
        <f aca="false">IF(ISBLANK(A243),"",K243/($M$1+SUM(K$3:K242)))</f>
        <v>0.00453381350501872</v>
      </c>
      <c r="N243" s="0" t="n">
        <f aca="false">IF(ISBLANK(A243),"",IF(H244=0,NETWORKDAYS($H$3,H243,holiday!$B$2:$B$10),IF(DAY(H243)&lt;DAY(H244),NETWORKDAYS($H$3,H243,holiday!$B$2:$B$10),0)))</f>
        <v>0</v>
      </c>
      <c r="O243" s="0" t="n">
        <f aca="false">IF(ISBLANK(A243),"",SUMIF($A$3:$A243,O$2,$B$3:$B243))</f>
        <v>400</v>
      </c>
      <c r="P243" s="0" t="n">
        <f aca="false">IF(ISBLANK(A243),"",SUMIF($A$3:$A243,P$2,$B$3:$B243))</f>
        <v>-3000</v>
      </c>
      <c r="Q243" s="0" t="n">
        <f aca="false">IF(ISBLANK(A243),"",SUMIF($A$3:$A243,Q$2,$B$3:$B243))</f>
        <v>-100</v>
      </c>
      <c r="R243" s="0" t="n">
        <f aca="false">IF(ISBLANK(A243),"",SUMIF($A$3:$A243,R$2,$B$3:$B243))</f>
        <v>200</v>
      </c>
      <c r="T243" s="0" t="n">
        <f aca="false">IF(ISBLANK(A243),"",IF($A243=T$2,$C243,T242))</f>
        <v>47.37</v>
      </c>
      <c r="U243" s="0" t="n">
        <f aca="false">IF(ISBLANK(A243),"",IF($A243=U$2,$C243,U242))</f>
        <v>22.7597058823529</v>
      </c>
      <c r="V243" s="0" t="n">
        <f aca="false">IF(ISBLANK(A243),"",IF($A243=V$2,$C243,V242))</f>
        <v>52.33</v>
      </c>
      <c r="W243" s="0" t="n">
        <f aca="false">IF(ISBLANK(A243),"",IF($A243=W$2,$C243,W242))</f>
        <v>26.04</v>
      </c>
    </row>
    <row r="244" customFormat="false" ht="12.8" hidden="false" customHeight="false" outlineLevel="0" collapsed="false">
      <c r="A244" s="0" t="n">
        <v>8370</v>
      </c>
      <c r="B244" s="0" t="n">
        <v>-100</v>
      </c>
      <c r="C244" s="0" t="n">
        <v>47.4933333333333</v>
      </c>
      <c r="D244" s="0" t="s">
        <v>252</v>
      </c>
      <c r="H244" s="8" t="n">
        <f aca="false">IF(ISBLANK(D244),,LEFT(D244,LEN(D244)-6)*1)</f>
        <v>38722.640474537</v>
      </c>
      <c r="I244" s="9" t="n">
        <f aca="false">IF(ISBLANK(A244),"",-B244*C244)</f>
        <v>4749.33333333333</v>
      </c>
      <c r="J244" s="9" t="n">
        <f aca="false">IF(ISBLANK(A244),"",-SUM(I$3:I244))</f>
        <v>-55295.5609657499</v>
      </c>
      <c r="K244" s="0" t="n">
        <f aca="false">IF(ISBLANK(A244),"",SUMPRODUCT(O244:R244,T244:W244)-J244)</f>
        <v>1239.44331869119</v>
      </c>
      <c r="L244" s="0" t="n">
        <f aca="false">IF(ISBLANK(A244),"",K244/$M$1)</f>
        <v>0.0206573886448532</v>
      </c>
      <c r="M244" s="0" t="n">
        <f aca="false">IF(ISBLANK(A244),"",K244/($M$1+SUM(K$3:K243)))</f>
        <v>0.00470044162331675</v>
      </c>
      <c r="N244" s="0" t="n">
        <f aca="false">IF(ISBLANK(A244),"",IF(H245=0,NETWORKDAYS($H$3,H244,holiday!$B$2:$B$10),IF(DAY(H244)&lt;DAY(H245),NETWORKDAYS($H$3,H244,holiday!$B$2:$B$10),0)))</f>
        <v>0</v>
      </c>
      <c r="O244" s="0" t="n">
        <f aca="false">IF(ISBLANK(A244),"",SUMIF($A$3:$A244,O$2,$B$3:$B244))</f>
        <v>300</v>
      </c>
      <c r="P244" s="0" t="n">
        <f aca="false">IF(ISBLANK(A244),"",SUMIF($A$3:$A244,P$2,$B$3:$B244))</f>
        <v>-3000</v>
      </c>
      <c r="Q244" s="0" t="n">
        <f aca="false">IF(ISBLANK(A244),"",SUMIF($A$3:$A244,Q$2,$B$3:$B244))</f>
        <v>-100</v>
      </c>
      <c r="R244" s="0" t="n">
        <f aca="false">IF(ISBLANK(A244),"",SUMIF($A$3:$A244,R$2,$B$3:$B244))</f>
        <v>200</v>
      </c>
      <c r="T244" s="0" t="n">
        <f aca="false">IF(ISBLANK(A244),"",IF($A244=T$2,$C244,T243))</f>
        <v>47.4933333333333</v>
      </c>
      <c r="U244" s="0" t="n">
        <f aca="false">IF(ISBLANK(A244),"",IF($A244=U$2,$C244,U243))</f>
        <v>22.7597058823529</v>
      </c>
      <c r="V244" s="0" t="n">
        <f aca="false">IF(ISBLANK(A244),"",IF($A244=V$2,$C244,V243))</f>
        <v>52.33</v>
      </c>
      <c r="W244" s="0" t="n">
        <f aca="false">IF(ISBLANK(A244),"",IF($A244=W$2,$C244,W243))</f>
        <v>26.04</v>
      </c>
    </row>
    <row r="245" customFormat="false" ht="12.8" hidden="false" customHeight="false" outlineLevel="0" collapsed="false">
      <c r="A245" s="0" t="n">
        <v>679</v>
      </c>
      <c r="B245" s="0" t="n">
        <v>100</v>
      </c>
      <c r="C245" s="0" t="n">
        <v>52.14</v>
      </c>
      <c r="D245" s="0" t="s">
        <v>253</v>
      </c>
      <c r="H245" s="8" t="n">
        <f aca="false">IF(ISBLANK(D245),,LEFT(D245,LEN(D245)-6)*1)</f>
        <v>38722.6417013889</v>
      </c>
      <c r="I245" s="9" t="n">
        <f aca="false">IF(ISBLANK(A245),"",-B245*C245)</f>
        <v>-5214</v>
      </c>
      <c r="J245" s="9" t="n">
        <f aca="false">IF(ISBLANK(A245),"",-SUM(I$3:I245))</f>
        <v>-50081.5609657499</v>
      </c>
      <c r="K245" s="0" t="n">
        <f aca="false">IF(ISBLANK(A245),"",SUMPRODUCT(O245:R245,T245:W245)-J245)</f>
        <v>1258.44331869119</v>
      </c>
      <c r="L245" s="0" t="n">
        <f aca="false">IF(ISBLANK(A245),"",K245/$M$1)</f>
        <v>0.0209740553115199</v>
      </c>
      <c r="M245" s="0" t="n">
        <f aca="false">IF(ISBLANK(A245),"",K245/($M$1+SUM(K$3:K244)))</f>
        <v>0.00475016897541996</v>
      </c>
      <c r="N245" s="0" t="n">
        <f aca="false">IF(ISBLANK(A245),"",IF(H246=0,NETWORKDAYS($H$3,H245,holiday!$B$2:$B$10),IF(DAY(H245)&lt;DAY(H246),NETWORKDAYS($H$3,H245,holiday!$B$2:$B$10),0)))</f>
        <v>0</v>
      </c>
      <c r="O245" s="0" t="n">
        <f aca="false">IF(ISBLANK(A245),"",SUMIF($A$3:$A245,O$2,$B$3:$B245))</f>
        <v>300</v>
      </c>
      <c r="P245" s="0" t="n">
        <f aca="false">IF(ISBLANK(A245),"",SUMIF($A$3:$A245,P$2,$B$3:$B245))</f>
        <v>-3000</v>
      </c>
      <c r="Q245" s="0" t="n">
        <f aca="false">IF(ISBLANK(A245),"",SUMIF($A$3:$A245,Q$2,$B$3:$B245))</f>
        <v>0</v>
      </c>
      <c r="R245" s="0" t="n">
        <f aca="false">IF(ISBLANK(A245),"",SUMIF($A$3:$A245,R$2,$B$3:$B245))</f>
        <v>200</v>
      </c>
      <c r="T245" s="0" t="n">
        <f aca="false">IF(ISBLANK(A245),"",IF($A245=T$2,$C245,T244))</f>
        <v>47.4933333333333</v>
      </c>
      <c r="U245" s="0" t="n">
        <f aca="false">IF(ISBLANK(A245),"",IF($A245=U$2,$C245,U244))</f>
        <v>22.7597058823529</v>
      </c>
      <c r="V245" s="0" t="n">
        <f aca="false">IF(ISBLANK(A245),"",IF($A245=V$2,$C245,V244))</f>
        <v>52.14</v>
      </c>
      <c r="W245" s="0" t="n">
        <f aca="false">IF(ISBLANK(A245),"",IF($A245=W$2,$C245,W244))</f>
        <v>26.04</v>
      </c>
    </row>
    <row r="246" customFormat="false" ht="12.8" hidden="false" customHeight="false" outlineLevel="0" collapsed="false">
      <c r="A246" s="0" t="n">
        <v>679</v>
      </c>
      <c r="B246" s="0" t="n">
        <v>100</v>
      </c>
      <c r="C246" s="0" t="n">
        <v>52.37</v>
      </c>
      <c r="D246" s="0" t="s">
        <v>254</v>
      </c>
      <c r="H246" s="8" t="n">
        <f aca="false">IF(ISBLANK(D246),,LEFT(D246,LEN(D246)-6)*1)</f>
        <v>38722.6474305556</v>
      </c>
      <c r="I246" s="9" t="n">
        <f aca="false">IF(ISBLANK(A246),"",-B246*C246)</f>
        <v>-5237</v>
      </c>
      <c r="J246" s="9" t="n">
        <f aca="false">IF(ISBLANK(A246),"",-SUM(I$3:I246))</f>
        <v>-44844.5609657499</v>
      </c>
      <c r="K246" s="0" t="n">
        <f aca="false">IF(ISBLANK(A246),"",SUMPRODUCT(O246:R246,T246:W246)-J246)</f>
        <v>1258.44331869119</v>
      </c>
      <c r="L246" s="0" t="n">
        <f aca="false">IF(ISBLANK(A246),"",K246/$M$1)</f>
        <v>0.0209740553115199</v>
      </c>
      <c r="M246" s="0" t="n">
        <f aca="false">IF(ISBLANK(A246),"",K246/($M$1+SUM(K$3:K245)))</f>
        <v>0.00472771154670606</v>
      </c>
      <c r="N246" s="0" t="n">
        <f aca="false">IF(ISBLANK(A246),"",IF(H247=0,NETWORKDAYS($H$3,H246,holiday!$B$2:$B$10),IF(DAY(H246)&lt;DAY(H247),NETWORKDAYS($H$3,H246,holiday!$B$2:$B$10),0)))</f>
        <v>0</v>
      </c>
      <c r="O246" s="0" t="n">
        <f aca="false">IF(ISBLANK(A246),"",SUMIF($A$3:$A246,O$2,$B$3:$B246))</f>
        <v>300</v>
      </c>
      <c r="P246" s="0" t="n">
        <f aca="false">IF(ISBLANK(A246),"",SUMIF($A$3:$A246,P$2,$B$3:$B246))</f>
        <v>-3000</v>
      </c>
      <c r="Q246" s="0" t="n">
        <f aca="false">IF(ISBLANK(A246),"",SUMIF($A$3:$A246,Q$2,$B$3:$B246))</f>
        <v>100</v>
      </c>
      <c r="R246" s="0" t="n">
        <f aca="false">IF(ISBLANK(A246),"",SUMIF($A$3:$A246,R$2,$B$3:$B246))</f>
        <v>200</v>
      </c>
      <c r="T246" s="0" t="n">
        <f aca="false">IF(ISBLANK(A246),"",IF($A246=T$2,$C246,T245))</f>
        <v>47.4933333333333</v>
      </c>
      <c r="U246" s="0" t="n">
        <f aca="false">IF(ISBLANK(A246),"",IF($A246=U$2,$C246,U245))</f>
        <v>22.7597058823529</v>
      </c>
      <c r="V246" s="0" t="n">
        <f aca="false">IF(ISBLANK(A246),"",IF($A246=V$2,$C246,V245))</f>
        <v>52.37</v>
      </c>
      <c r="W246" s="0" t="n">
        <f aca="false">IF(ISBLANK(A246),"",IF($A246=W$2,$C246,W245))</f>
        <v>26.04</v>
      </c>
    </row>
    <row r="247" customFormat="false" ht="12.8" hidden="false" customHeight="false" outlineLevel="0" collapsed="false">
      <c r="A247" s="0" t="n">
        <v>8370</v>
      </c>
      <c r="B247" s="0" t="n">
        <v>-100</v>
      </c>
      <c r="C247" s="0" t="n">
        <v>47.36</v>
      </c>
      <c r="D247" s="0" t="s">
        <v>255</v>
      </c>
      <c r="H247" s="8" t="n">
        <f aca="false">IF(ISBLANK(D247),,LEFT(D247,LEN(D247)-6)*1)</f>
        <v>38722.6533449074</v>
      </c>
      <c r="I247" s="9" t="n">
        <f aca="false">IF(ISBLANK(A247),"",-B247*C247)</f>
        <v>4736</v>
      </c>
      <c r="J247" s="9" t="n">
        <f aca="false">IF(ISBLANK(A247),"",-SUM(I$3:I247))</f>
        <v>-49580.5609657499</v>
      </c>
      <c r="K247" s="0" t="n">
        <f aca="false">IF(ISBLANK(A247),"",SUMPRODUCT(O247:R247,T247:W247)-J247)</f>
        <v>1218.44331869121</v>
      </c>
      <c r="L247" s="0" t="n">
        <f aca="false">IF(ISBLANK(A247),"",K247/$M$1)</f>
        <v>0.0203073886448534</v>
      </c>
      <c r="M247" s="0" t="n">
        <f aca="false">IF(ISBLANK(A247),"",K247/($M$1+SUM(K$3:K246)))</f>
        <v>0.00455590082599513</v>
      </c>
      <c r="N247" s="0" t="n">
        <f aca="false">IF(ISBLANK(A247),"",IF(H248=0,NETWORKDAYS($H$3,H247,holiday!$B$2:$B$10),IF(DAY(H247)&lt;DAY(H248),NETWORKDAYS($H$3,H247,holiday!$B$2:$B$10),0)))</f>
        <v>0</v>
      </c>
      <c r="O247" s="0" t="n">
        <f aca="false">IF(ISBLANK(A247),"",SUMIF($A$3:$A247,O$2,$B$3:$B247))</f>
        <v>200</v>
      </c>
      <c r="P247" s="0" t="n">
        <f aca="false">IF(ISBLANK(A247),"",SUMIF($A$3:$A247,P$2,$B$3:$B247))</f>
        <v>-3000</v>
      </c>
      <c r="Q247" s="0" t="n">
        <f aca="false">IF(ISBLANK(A247),"",SUMIF($A$3:$A247,Q$2,$B$3:$B247))</f>
        <v>100</v>
      </c>
      <c r="R247" s="0" t="n">
        <f aca="false">IF(ISBLANK(A247),"",SUMIF($A$3:$A247,R$2,$B$3:$B247))</f>
        <v>200</v>
      </c>
      <c r="T247" s="0" t="n">
        <f aca="false">IF(ISBLANK(A247),"",IF($A247=T$2,$C247,T246))</f>
        <v>47.36</v>
      </c>
      <c r="U247" s="0" t="n">
        <f aca="false">IF(ISBLANK(A247),"",IF($A247=U$2,$C247,U246))</f>
        <v>22.7597058823529</v>
      </c>
      <c r="V247" s="0" t="n">
        <f aca="false">IF(ISBLANK(A247),"",IF($A247=V$2,$C247,V246))</f>
        <v>52.37</v>
      </c>
      <c r="W247" s="0" t="n">
        <f aca="false">IF(ISBLANK(A247),"",IF($A247=W$2,$C247,W246))</f>
        <v>26.04</v>
      </c>
    </row>
    <row r="248" customFormat="false" ht="12.8" hidden="false" customHeight="false" outlineLevel="0" collapsed="false">
      <c r="A248" s="0" t="n">
        <v>980</v>
      </c>
      <c r="B248" s="0" t="n">
        <v>-100</v>
      </c>
      <c r="C248" s="0" t="n">
        <v>22.66</v>
      </c>
      <c r="D248" s="0" t="s">
        <v>256</v>
      </c>
      <c r="H248" s="8" t="n">
        <f aca="false">IF(ISBLANK(D248),,LEFT(D248,LEN(D248)-6)*1)</f>
        <v>38722.6546180555</v>
      </c>
      <c r="I248" s="9" t="n">
        <f aca="false">IF(ISBLANK(A248),"",-B248*C248)</f>
        <v>2266</v>
      </c>
      <c r="J248" s="9" t="n">
        <f aca="false">IF(ISBLANK(A248),"",-SUM(I$3:I248))</f>
        <v>-51846.5609657499</v>
      </c>
      <c r="K248" s="0" t="n">
        <f aca="false">IF(ISBLANK(A248),"",SUMPRODUCT(O248:R248,T248:W248)-J248)</f>
        <v>1517.5609657499</v>
      </c>
      <c r="L248" s="0" t="n">
        <f aca="false">IF(ISBLANK(A248),"",K248/$M$1)</f>
        <v>0.0252926827624983</v>
      </c>
      <c r="M248" s="0" t="n">
        <f aca="false">IF(ISBLANK(A248),"",K248/($M$1+SUM(K$3:K247)))</f>
        <v>0.00564860191572676</v>
      </c>
      <c r="N248" s="0" t="n">
        <f aca="false">IF(ISBLANK(A248),"",IF(H249=0,NETWORKDAYS($H$3,H248,holiday!$B$2:$B$10),IF(DAY(H248)&lt;DAY(H249),NETWORKDAYS($H$3,H248,holiday!$B$2:$B$10),0)))</f>
        <v>0</v>
      </c>
      <c r="O248" s="0" t="n">
        <f aca="false">IF(ISBLANK(A248),"",SUMIF($A$3:$A248,O$2,$B$3:$B248))</f>
        <v>200</v>
      </c>
      <c r="P248" s="0" t="n">
        <f aca="false">IF(ISBLANK(A248),"",SUMIF($A$3:$A248,P$2,$B$3:$B248))</f>
        <v>-3100</v>
      </c>
      <c r="Q248" s="0" t="n">
        <f aca="false">IF(ISBLANK(A248),"",SUMIF($A$3:$A248,Q$2,$B$3:$B248))</f>
        <v>100</v>
      </c>
      <c r="R248" s="0" t="n">
        <f aca="false">IF(ISBLANK(A248),"",SUMIF($A$3:$A248,R$2,$B$3:$B248))</f>
        <v>200</v>
      </c>
      <c r="T248" s="0" t="n">
        <f aca="false">IF(ISBLANK(A248),"",IF($A248=T$2,$C248,T247))</f>
        <v>47.36</v>
      </c>
      <c r="U248" s="0" t="n">
        <f aca="false">IF(ISBLANK(A248),"",IF($A248=U$2,$C248,U247))</f>
        <v>22.66</v>
      </c>
      <c r="V248" s="0" t="n">
        <f aca="false">IF(ISBLANK(A248),"",IF($A248=V$2,$C248,V247))</f>
        <v>52.37</v>
      </c>
      <c r="W248" s="0" t="n">
        <f aca="false">IF(ISBLANK(A248),"",IF($A248=W$2,$C248,W247))</f>
        <v>26.04</v>
      </c>
    </row>
    <row r="249" customFormat="false" ht="12.8" hidden="false" customHeight="false" outlineLevel="0" collapsed="false">
      <c r="A249" s="0" t="n">
        <v>980</v>
      </c>
      <c r="B249" s="0" t="n">
        <v>100</v>
      </c>
      <c r="C249" s="0" t="n">
        <v>22.64</v>
      </c>
      <c r="D249" s="0" t="s">
        <v>257</v>
      </c>
      <c r="H249" s="8" t="n">
        <f aca="false">IF(ISBLANK(D249),,LEFT(D249,LEN(D249)-6)*1)</f>
        <v>38722.6554976852</v>
      </c>
      <c r="I249" s="9" t="n">
        <f aca="false">IF(ISBLANK(A249),"",-B249*C249)</f>
        <v>-2264</v>
      </c>
      <c r="J249" s="9" t="n">
        <f aca="false">IF(ISBLANK(A249),"",-SUM(I$3:I249))</f>
        <v>-49582.5609657499</v>
      </c>
      <c r="K249" s="0" t="n">
        <f aca="false">IF(ISBLANK(A249),"",SUMPRODUCT(O249:R249,T249:W249)-J249)</f>
        <v>1579.5609657499</v>
      </c>
      <c r="L249" s="0" t="n">
        <f aca="false">IF(ISBLANK(A249),"",K249/$M$1)</f>
        <v>0.0263260160958317</v>
      </c>
      <c r="M249" s="0" t="n">
        <f aca="false">IF(ISBLANK(A249),"",K249/($M$1+SUM(K$3:K248)))</f>
        <v>0.00584635200584319</v>
      </c>
      <c r="N249" s="0" t="n">
        <f aca="false">IF(ISBLANK(A249),"",IF(H250=0,NETWORKDAYS($H$3,H249,holiday!$B$2:$B$10),IF(DAY(H249)&lt;DAY(H250),NETWORKDAYS($H$3,H249,holiday!$B$2:$B$10),0)))</f>
        <v>0</v>
      </c>
      <c r="O249" s="0" t="n">
        <f aca="false">IF(ISBLANK(A249),"",SUMIF($A$3:$A249,O$2,$B$3:$B249))</f>
        <v>200</v>
      </c>
      <c r="P249" s="0" t="n">
        <f aca="false">IF(ISBLANK(A249),"",SUMIF($A$3:$A249,P$2,$B$3:$B249))</f>
        <v>-3000</v>
      </c>
      <c r="Q249" s="0" t="n">
        <f aca="false">IF(ISBLANK(A249),"",SUMIF($A$3:$A249,Q$2,$B$3:$B249))</f>
        <v>100</v>
      </c>
      <c r="R249" s="0" t="n">
        <f aca="false">IF(ISBLANK(A249),"",SUMIF($A$3:$A249,R$2,$B$3:$B249))</f>
        <v>200</v>
      </c>
      <c r="T249" s="0" t="n">
        <f aca="false">IF(ISBLANK(A249),"",IF($A249=T$2,$C249,T248))</f>
        <v>47.36</v>
      </c>
      <c r="U249" s="0" t="n">
        <f aca="false">IF(ISBLANK(A249),"",IF($A249=U$2,$C249,U248))</f>
        <v>22.64</v>
      </c>
      <c r="V249" s="0" t="n">
        <f aca="false">IF(ISBLANK(A249),"",IF($A249=V$2,$C249,V248))</f>
        <v>52.37</v>
      </c>
      <c r="W249" s="0" t="n">
        <f aca="false">IF(ISBLANK(A249),"",IF($A249=W$2,$C249,W248))</f>
        <v>26.04</v>
      </c>
    </row>
    <row r="250" customFormat="false" ht="12.8" hidden="false" customHeight="false" outlineLevel="0" collapsed="false">
      <c r="A250" s="0" t="n">
        <v>8370</v>
      </c>
      <c r="B250" s="0" t="n">
        <v>100</v>
      </c>
      <c r="C250" s="0" t="n">
        <v>47.135</v>
      </c>
      <c r="D250" s="0" t="s">
        <v>258</v>
      </c>
      <c r="H250" s="8" t="n">
        <f aca="false">IF(ISBLANK(D250),,LEFT(D250,LEN(D250)-6)*1)</f>
        <v>38722.6571296296</v>
      </c>
      <c r="I250" s="9" t="n">
        <f aca="false">IF(ISBLANK(A250),"",-B250*C250)</f>
        <v>-4713.5</v>
      </c>
      <c r="J250" s="9" t="n">
        <f aca="false">IF(ISBLANK(A250),"",-SUM(I$3:I250))</f>
        <v>-44869.0609657499</v>
      </c>
      <c r="K250" s="0" t="n">
        <f aca="false">IF(ISBLANK(A250),"",SUMPRODUCT(O250:R250,T250:W250)-J250)</f>
        <v>1534.5609657499</v>
      </c>
      <c r="L250" s="0" t="n">
        <f aca="false">IF(ISBLANK(A250),"",K250/$M$1)</f>
        <v>0.0255760160958317</v>
      </c>
      <c r="M250" s="0" t="n">
        <f aca="false">IF(ISBLANK(A250),"",K250/($M$1+SUM(K$3:K249)))</f>
        <v>0.00564678262049643</v>
      </c>
      <c r="N250" s="0" t="n">
        <f aca="false">IF(ISBLANK(A250),"",IF(H251=0,NETWORKDAYS($H$3,H250,holiday!$B$2:$B$10),IF(DAY(H250)&lt;DAY(H251),NETWORKDAYS($H$3,H250,holiday!$B$2:$B$10),0)))</f>
        <v>0</v>
      </c>
      <c r="O250" s="0" t="n">
        <f aca="false">IF(ISBLANK(A250),"",SUMIF($A$3:$A250,O$2,$B$3:$B250))</f>
        <v>300</v>
      </c>
      <c r="P250" s="0" t="n">
        <f aca="false">IF(ISBLANK(A250),"",SUMIF($A$3:$A250,P$2,$B$3:$B250))</f>
        <v>-3000</v>
      </c>
      <c r="Q250" s="0" t="n">
        <f aca="false">IF(ISBLANK(A250),"",SUMIF($A$3:$A250,Q$2,$B$3:$B250))</f>
        <v>100</v>
      </c>
      <c r="R250" s="0" t="n">
        <f aca="false">IF(ISBLANK(A250),"",SUMIF($A$3:$A250,R$2,$B$3:$B250))</f>
        <v>200</v>
      </c>
      <c r="T250" s="0" t="n">
        <f aca="false">IF(ISBLANK(A250),"",IF($A250=T$2,$C250,T249))</f>
        <v>47.135</v>
      </c>
      <c r="U250" s="0" t="n">
        <f aca="false">IF(ISBLANK(A250),"",IF($A250=U$2,$C250,U249))</f>
        <v>22.64</v>
      </c>
      <c r="V250" s="0" t="n">
        <f aca="false">IF(ISBLANK(A250),"",IF($A250=V$2,$C250,V249))</f>
        <v>52.37</v>
      </c>
      <c r="W250" s="0" t="n">
        <f aca="false">IF(ISBLANK(A250),"",IF($A250=W$2,$C250,W249))</f>
        <v>26.04</v>
      </c>
    </row>
    <row r="251" customFormat="false" ht="12.8" hidden="false" customHeight="false" outlineLevel="0" collapsed="false">
      <c r="A251" s="0" t="n">
        <v>980</v>
      </c>
      <c r="B251" s="0" t="n">
        <v>100</v>
      </c>
      <c r="C251" s="0" t="n">
        <v>22.63</v>
      </c>
      <c r="D251" s="0" t="s">
        <v>259</v>
      </c>
      <c r="H251" s="8" t="n">
        <f aca="false">IF(ISBLANK(D251),,LEFT(D251,LEN(D251)-6)*1)</f>
        <v>38722.6571412037</v>
      </c>
      <c r="I251" s="9" t="n">
        <f aca="false">IF(ISBLANK(A251),"",-B251*C251)</f>
        <v>-2263</v>
      </c>
      <c r="J251" s="9" t="n">
        <f aca="false">IF(ISBLANK(A251),"",-SUM(I$3:I251))</f>
        <v>-42606.0609657499</v>
      </c>
      <c r="K251" s="0" t="n">
        <f aca="false">IF(ISBLANK(A251),"",SUMPRODUCT(O251:R251,T251:W251)-J251)</f>
        <v>1564.5609657499</v>
      </c>
      <c r="L251" s="0" t="n">
        <f aca="false">IF(ISBLANK(A251),"",K251/$M$1)</f>
        <v>0.0260760160958317</v>
      </c>
      <c r="M251" s="0" t="n">
        <f aca="false">IF(ISBLANK(A251),"",K251/($M$1+SUM(K$3:K250)))</f>
        <v>0.00572484779574381</v>
      </c>
      <c r="N251" s="0" t="n">
        <f aca="false">IF(ISBLANK(A251),"",IF(H252=0,NETWORKDAYS($H$3,H251,holiday!$B$2:$B$10),IF(DAY(H251)&lt;DAY(H252),NETWORKDAYS($H$3,H251,holiday!$B$2:$B$10),0)))</f>
        <v>0</v>
      </c>
      <c r="O251" s="0" t="n">
        <f aca="false">IF(ISBLANK(A251),"",SUMIF($A$3:$A251,O$2,$B$3:$B251))</f>
        <v>300</v>
      </c>
      <c r="P251" s="0" t="n">
        <f aca="false">IF(ISBLANK(A251),"",SUMIF($A$3:$A251,P$2,$B$3:$B251))</f>
        <v>-2900</v>
      </c>
      <c r="Q251" s="0" t="n">
        <f aca="false">IF(ISBLANK(A251),"",SUMIF($A$3:$A251,Q$2,$B$3:$B251))</f>
        <v>100</v>
      </c>
      <c r="R251" s="0" t="n">
        <f aca="false">IF(ISBLANK(A251),"",SUMIF($A$3:$A251,R$2,$B$3:$B251))</f>
        <v>200</v>
      </c>
      <c r="T251" s="0" t="n">
        <f aca="false">IF(ISBLANK(A251),"",IF($A251=T$2,$C251,T250))</f>
        <v>47.135</v>
      </c>
      <c r="U251" s="0" t="n">
        <f aca="false">IF(ISBLANK(A251),"",IF($A251=U$2,$C251,U250))</f>
        <v>22.63</v>
      </c>
      <c r="V251" s="0" t="n">
        <f aca="false">IF(ISBLANK(A251),"",IF($A251=V$2,$C251,V250))</f>
        <v>52.37</v>
      </c>
      <c r="W251" s="0" t="n">
        <f aca="false">IF(ISBLANK(A251),"",IF($A251=W$2,$C251,W250))</f>
        <v>26.04</v>
      </c>
    </row>
    <row r="252" customFormat="false" ht="12.8" hidden="false" customHeight="false" outlineLevel="0" collapsed="false">
      <c r="A252" s="0" t="n">
        <v>679</v>
      </c>
      <c r="B252" s="0" t="n">
        <v>100</v>
      </c>
      <c r="C252" s="0" t="n">
        <v>52.25</v>
      </c>
      <c r="D252" s="0" t="s">
        <v>260</v>
      </c>
      <c r="H252" s="8" t="n">
        <f aca="false">IF(ISBLANK(D252),,LEFT(D252,LEN(D252)-6)*1)</f>
        <v>38722.6637615741</v>
      </c>
      <c r="I252" s="9" t="n">
        <f aca="false">IF(ISBLANK(A252),"",-B252*C252)</f>
        <v>-5225</v>
      </c>
      <c r="J252" s="9" t="n">
        <f aca="false">IF(ISBLANK(A252),"",-SUM(I$3:I252))</f>
        <v>-37381.0609657499</v>
      </c>
      <c r="K252" s="0" t="n">
        <f aca="false">IF(ISBLANK(A252),"",SUMPRODUCT(O252:R252,T252:W252)-J252)</f>
        <v>1552.5609657499</v>
      </c>
      <c r="L252" s="0" t="n">
        <f aca="false">IF(ISBLANK(A252),"",K252/$M$1)</f>
        <v>0.0258760160958317</v>
      </c>
      <c r="M252" s="0" t="n">
        <f aca="false">IF(ISBLANK(A252),"",K252/($M$1+SUM(K$3:K251)))</f>
        <v>0.00564860149749253</v>
      </c>
      <c r="N252" s="0" t="n">
        <f aca="false">IF(ISBLANK(A252),"",IF(H253=0,NETWORKDAYS($H$3,H252,holiday!$B$2:$B$10),IF(DAY(H252)&lt;DAY(H253),NETWORKDAYS($H$3,H252,holiday!$B$2:$B$10),0)))</f>
        <v>0</v>
      </c>
      <c r="O252" s="0" t="n">
        <f aca="false">IF(ISBLANK(A252),"",SUMIF($A$3:$A252,O$2,$B$3:$B252))</f>
        <v>300</v>
      </c>
      <c r="P252" s="0" t="n">
        <f aca="false">IF(ISBLANK(A252),"",SUMIF($A$3:$A252,P$2,$B$3:$B252))</f>
        <v>-2900</v>
      </c>
      <c r="Q252" s="0" t="n">
        <f aca="false">IF(ISBLANK(A252),"",SUMIF($A$3:$A252,Q$2,$B$3:$B252))</f>
        <v>200</v>
      </c>
      <c r="R252" s="0" t="n">
        <f aca="false">IF(ISBLANK(A252),"",SUMIF($A$3:$A252,R$2,$B$3:$B252))</f>
        <v>200</v>
      </c>
      <c r="T252" s="0" t="n">
        <f aca="false">IF(ISBLANK(A252),"",IF($A252=T$2,$C252,T251))</f>
        <v>47.135</v>
      </c>
      <c r="U252" s="0" t="n">
        <f aca="false">IF(ISBLANK(A252),"",IF($A252=U$2,$C252,U251))</f>
        <v>22.63</v>
      </c>
      <c r="V252" s="0" t="n">
        <f aca="false">IF(ISBLANK(A252),"",IF($A252=V$2,$C252,V251))</f>
        <v>52.25</v>
      </c>
      <c r="W252" s="0" t="n">
        <f aca="false">IF(ISBLANK(A252),"",IF($A252=W$2,$C252,W251))</f>
        <v>26.04</v>
      </c>
    </row>
    <row r="253" customFormat="false" ht="12.8" hidden="false" customHeight="false" outlineLevel="0" collapsed="false">
      <c r="A253" s="0" t="n">
        <v>679</v>
      </c>
      <c r="B253" s="0" t="n">
        <v>100</v>
      </c>
      <c r="C253" s="0" t="n">
        <v>52.21</v>
      </c>
      <c r="D253" s="0" t="s">
        <v>261</v>
      </c>
      <c r="H253" s="8" t="n">
        <f aca="false">IF(ISBLANK(D253),,LEFT(D253,LEN(D253)-6)*1)</f>
        <v>38722.6656944444</v>
      </c>
      <c r="I253" s="9" t="n">
        <f aca="false">IF(ISBLANK(A253),"",-B253*C253)</f>
        <v>-5221</v>
      </c>
      <c r="J253" s="9" t="n">
        <f aca="false">IF(ISBLANK(A253),"",-SUM(I$3:I253))</f>
        <v>-32160.0609657499</v>
      </c>
      <c r="K253" s="0" t="n">
        <f aca="false">IF(ISBLANK(A253),"",SUMPRODUCT(O253:R253,T253:W253)-J253)</f>
        <v>1544.5609657499</v>
      </c>
      <c r="L253" s="0" t="n">
        <f aca="false">IF(ISBLANK(A253),"",K253/$M$1)</f>
        <v>0.0257426827624983</v>
      </c>
      <c r="M253" s="0" t="n">
        <f aca="false">IF(ISBLANK(A253),"",K253/($M$1+SUM(K$3:K252)))</f>
        <v>0.00558793151686419</v>
      </c>
      <c r="N253" s="0" t="n">
        <f aca="false">IF(ISBLANK(A253),"",IF(H254=0,NETWORKDAYS($H$3,H253,holiday!$B$2:$B$10),IF(DAY(H253)&lt;DAY(H254),NETWORKDAYS($H$3,H253,holiday!$B$2:$B$10),0)))</f>
        <v>0</v>
      </c>
      <c r="O253" s="0" t="n">
        <f aca="false">IF(ISBLANK(A253),"",SUMIF($A$3:$A253,O$2,$B$3:$B253))</f>
        <v>300</v>
      </c>
      <c r="P253" s="0" t="n">
        <f aca="false">IF(ISBLANK(A253),"",SUMIF($A$3:$A253,P$2,$B$3:$B253))</f>
        <v>-2900</v>
      </c>
      <c r="Q253" s="0" t="n">
        <f aca="false">IF(ISBLANK(A253),"",SUMIF($A$3:$A253,Q$2,$B$3:$B253))</f>
        <v>300</v>
      </c>
      <c r="R253" s="0" t="n">
        <f aca="false">IF(ISBLANK(A253),"",SUMIF($A$3:$A253,R$2,$B$3:$B253))</f>
        <v>200</v>
      </c>
      <c r="T253" s="0" t="n">
        <f aca="false">IF(ISBLANK(A253),"",IF($A253=T$2,$C253,T252))</f>
        <v>47.135</v>
      </c>
      <c r="U253" s="0" t="n">
        <f aca="false">IF(ISBLANK(A253),"",IF($A253=U$2,$C253,U252))</f>
        <v>22.63</v>
      </c>
      <c r="V253" s="0" t="n">
        <f aca="false">IF(ISBLANK(A253),"",IF($A253=V$2,$C253,V252))</f>
        <v>52.21</v>
      </c>
      <c r="W253" s="0" t="n">
        <f aca="false">IF(ISBLANK(A253),"",IF($A253=W$2,$C253,W252))</f>
        <v>26.04</v>
      </c>
    </row>
    <row r="254" customFormat="false" ht="12.8" hidden="false" customHeight="false" outlineLevel="0" collapsed="false">
      <c r="A254" s="0" t="n">
        <v>679</v>
      </c>
      <c r="B254" s="0" t="n">
        <v>100</v>
      </c>
      <c r="C254" s="0" t="n">
        <v>52.3</v>
      </c>
      <c r="D254" s="0" t="s">
        <v>262</v>
      </c>
      <c r="H254" s="8" t="n">
        <f aca="false">IF(ISBLANK(D254),,LEFT(D254,LEN(D254)-6)*1)</f>
        <v>38722.6773148148</v>
      </c>
      <c r="I254" s="9" t="n">
        <f aca="false">IF(ISBLANK(A254),"",-B254*C254)</f>
        <v>-5230</v>
      </c>
      <c r="J254" s="9" t="n">
        <f aca="false">IF(ISBLANK(A254),"",-SUM(I$3:I254))</f>
        <v>-26930.0609657499</v>
      </c>
      <c r="K254" s="0" t="n">
        <f aca="false">IF(ISBLANK(A254),"",SUMPRODUCT(O254:R254,T254:W254)-J254)</f>
        <v>1571.5609657499</v>
      </c>
      <c r="L254" s="0" t="n">
        <f aca="false">IF(ISBLANK(A254),"",K254/$M$1)</f>
        <v>0.0261926827624983</v>
      </c>
      <c r="M254" s="0" t="n">
        <f aca="false">IF(ISBLANK(A254),"",K254/($M$1+SUM(K$3:K253)))</f>
        <v>0.00565401818007688</v>
      </c>
      <c r="N254" s="0" t="n">
        <f aca="false">IF(ISBLANK(A254),"",IF(H255=0,NETWORKDAYS($H$3,H254,holiday!$B$2:$B$10),IF(DAY(H254)&lt;DAY(H255),NETWORKDAYS($H$3,H254,holiday!$B$2:$B$10),0)))</f>
        <v>0</v>
      </c>
      <c r="O254" s="0" t="n">
        <f aca="false">IF(ISBLANK(A254),"",SUMIF($A$3:$A254,O$2,$B$3:$B254))</f>
        <v>300</v>
      </c>
      <c r="P254" s="0" t="n">
        <f aca="false">IF(ISBLANK(A254),"",SUMIF($A$3:$A254,P$2,$B$3:$B254))</f>
        <v>-2900</v>
      </c>
      <c r="Q254" s="0" t="n">
        <f aca="false">IF(ISBLANK(A254),"",SUMIF($A$3:$A254,Q$2,$B$3:$B254))</f>
        <v>400</v>
      </c>
      <c r="R254" s="0" t="n">
        <f aca="false">IF(ISBLANK(A254),"",SUMIF($A$3:$A254,R$2,$B$3:$B254))</f>
        <v>200</v>
      </c>
      <c r="T254" s="0" t="n">
        <f aca="false">IF(ISBLANK(A254),"",IF($A254=T$2,$C254,T253))</f>
        <v>47.135</v>
      </c>
      <c r="U254" s="0" t="n">
        <f aca="false">IF(ISBLANK(A254),"",IF($A254=U$2,$C254,U253))</f>
        <v>22.63</v>
      </c>
      <c r="V254" s="0" t="n">
        <f aca="false">IF(ISBLANK(A254),"",IF($A254=V$2,$C254,V253))</f>
        <v>52.3</v>
      </c>
      <c r="W254" s="0" t="n">
        <f aca="false">IF(ISBLANK(A254),"",IF($A254=W$2,$C254,W253))</f>
        <v>26.04</v>
      </c>
    </row>
    <row r="255" customFormat="false" ht="12.8" hidden="false" customHeight="false" outlineLevel="0" collapsed="false">
      <c r="A255" s="0" t="n">
        <v>679</v>
      </c>
      <c r="B255" s="0" t="n">
        <v>100</v>
      </c>
      <c r="C255" s="0" t="n">
        <v>52.31</v>
      </c>
      <c r="D255" s="0" t="s">
        <v>263</v>
      </c>
      <c r="H255" s="8" t="n">
        <f aca="false">IF(ISBLANK(D255),,LEFT(D255,LEN(D255)-6)*1)</f>
        <v>38722.6805902778</v>
      </c>
      <c r="I255" s="9" t="n">
        <f aca="false">IF(ISBLANK(A255),"",-B255*C255)</f>
        <v>-5231</v>
      </c>
      <c r="J255" s="9" t="n">
        <f aca="false">IF(ISBLANK(A255),"",-SUM(I$3:I255))</f>
        <v>-21699.0609657499</v>
      </c>
      <c r="K255" s="0" t="n">
        <f aca="false">IF(ISBLANK(A255),"",SUMPRODUCT(O255:R255,T255:W255)-J255)</f>
        <v>1575.5609657499</v>
      </c>
      <c r="L255" s="0" t="n">
        <f aca="false">IF(ISBLANK(A255),"",K255/$M$1)</f>
        <v>0.026259349429165</v>
      </c>
      <c r="M255" s="0" t="n">
        <f aca="false">IF(ISBLANK(A255),"",K255/($M$1+SUM(K$3:K254)))</f>
        <v>0.00563653991476149</v>
      </c>
      <c r="N255" s="0" t="n">
        <f aca="false">IF(ISBLANK(A255),"",IF(H256=0,NETWORKDAYS($H$3,H255,holiday!$B$2:$B$10),IF(DAY(H255)&lt;DAY(H256),NETWORKDAYS($H$3,H255,holiday!$B$2:$B$10),0)))</f>
        <v>0</v>
      </c>
      <c r="O255" s="0" t="n">
        <f aca="false">IF(ISBLANK(A255),"",SUMIF($A$3:$A255,O$2,$B$3:$B255))</f>
        <v>300</v>
      </c>
      <c r="P255" s="0" t="n">
        <f aca="false">IF(ISBLANK(A255),"",SUMIF($A$3:$A255,P$2,$B$3:$B255))</f>
        <v>-2900</v>
      </c>
      <c r="Q255" s="0" t="n">
        <f aca="false">IF(ISBLANK(A255),"",SUMIF($A$3:$A255,Q$2,$B$3:$B255))</f>
        <v>500</v>
      </c>
      <c r="R255" s="0" t="n">
        <f aca="false">IF(ISBLANK(A255),"",SUMIF($A$3:$A255,R$2,$B$3:$B255))</f>
        <v>200</v>
      </c>
      <c r="T255" s="0" t="n">
        <f aca="false">IF(ISBLANK(A255),"",IF($A255=T$2,$C255,T254))</f>
        <v>47.135</v>
      </c>
      <c r="U255" s="0" t="n">
        <f aca="false">IF(ISBLANK(A255),"",IF($A255=U$2,$C255,U254))</f>
        <v>22.63</v>
      </c>
      <c r="V255" s="0" t="n">
        <f aca="false">IF(ISBLANK(A255),"",IF($A255=V$2,$C255,V254))</f>
        <v>52.31</v>
      </c>
      <c r="W255" s="0" t="n">
        <f aca="false">IF(ISBLANK(A255),"",IF($A255=W$2,$C255,W254))</f>
        <v>26.04</v>
      </c>
    </row>
    <row r="256" customFormat="false" ht="12.8" hidden="false" customHeight="false" outlineLevel="0" collapsed="false">
      <c r="A256" s="0" t="n">
        <v>980</v>
      </c>
      <c r="B256" s="0" t="n">
        <v>-100</v>
      </c>
      <c r="C256" s="0" t="n">
        <v>22.77</v>
      </c>
      <c r="D256" s="0" t="s">
        <v>264</v>
      </c>
      <c r="H256" s="8" t="n">
        <f aca="false">IF(ISBLANK(D256),,LEFT(D256,LEN(D256)-6)*1)</f>
        <v>38722.6830555556</v>
      </c>
      <c r="I256" s="9" t="n">
        <f aca="false">IF(ISBLANK(A256),"",-B256*C256)</f>
        <v>2277</v>
      </c>
      <c r="J256" s="9" t="n">
        <f aca="false">IF(ISBLANK(A256),"",-SUM(I$3:I256))</f>
        <v>-23976.0609657499</v>
      </c>
      <c r="K256" s="0" t="n">
        <f aca="false">IF(ISBLANK(A256),"",SUMPRODUCT(O256:R256,T256:W256)-J256)</f>
        <v>1169.5609657499</v>
      </c>
      <c r="L256" s="0" t="n">
        <f aca="false">IF(ISBLANK(A256),"",K256/$M$1)</f>
        <v>0.0194926827624983</v>
      </c>
      <c r="M256" s="0" t="n">
        <f aca="false">IF(ISBLANK(A256),"",K256/($M$1+SUM(K$3:K255)))</f>
        <v>0.0041606309387343</v>
      </c>
      <c r="N256" s="0" t="n">
        <f aca="false">IF(ISBLANK(A256),"",IF(H257=0,NETWORKDAYS($H$3,H256,holiday!$B$2:$B$10),IF(DAY(H256)&lt;DAY(H257),NETWORKDAYS($H$3,H256,holiday!$B$2:$B$10),0)))</f>
        <v>0</v>
      </c>
      <c r="O256" s="0" t="n">
        <f aca="false">IF(ISBLANK(A256),"",SUMIF($A$3:$A256,O$2,$B$3:$B256))</f>
        <v>300</v>
      </c>
      <c r="P256" s="0" t="n">
        <f aca="false">IF(ISBLANK(A256),"",SUMIF($A$3:$A256,P$2,$B$3:$B256))</f>
        <v>-3000</v>
      </c>
      <c r="Q256" s="0" t="n">
        <f aca="false">IF(ISBLANK(A256),"",SUMIF($A$3:$A256,Q$2,$B$3:$B256))</f>
        <v>500</v>
      </c>
      <c r="R256" s="0" t="n">
        <f aca="false">IF(ISBLANK(A256),"",SUMIF($A$3:$A256,R$2,$B$3:$B256))</f>
        <v>200</v>
      </c>
      <c r="T256" s="0" t="n">
        <f aca="false">IF(ISBLANK(A256),"",IF($A256=T$2,$C256,T255))</f>
        <v>47.135</v>
      </c>
      <c r="U256" s="0" t="n">
        <f aca="false">IF(ISBLANK(A256),"",IF($A256=U$2,$C256,U255))</f>
        <v>22.77</v>
      </c>
      <c r="V256" s="0" t="n">
        <f aca="false">IF(ISBLANK(A256),"",IF($A256=V$2,$C256,V255))</f>
        <v>52.31</v>
      </c>
      <c r="W256" s="0" t="n">
        <f aca="false">IF(ISBLANK(A256),"",IF($A256=W$2,$C256,W255))</f>
        <v>26.04</v>
      </c>
    </row>
    <row r="257" customFormat="false" ht="12.8" hidden="false" customHeight="false" outlineLevel="0" collapsed="false">
      <c r="A257" s="0" t="n">
        <v>8370</v>
      </c>
      <c r="B257" s="0" t="n">
        <v>100</v>
      </c>
      <c r="C257" s="0" t="n">
        <v>47.23</v>
      </c>
      <c r="D257" s="0" t="s">
        <v>265</v>
      </c>
      <c r="H257" s="8" t="n">
        <f aca="false">IF(ISBLANK(D257),,LEFT(D257,LEN(D257)-6)*1)</f>
        <v>38722.6863888889</v>
      </c>
      <c r="I257" s="9" t="n">
        <f aca="false">IF(ISBLANK(A257),"",-B257*C257)</f>
        <v>-4723</v>
      </c>
      <c r="J257" s="9" t="n">
        <f aca="false">IF(ISBLANK(A257),"",-SUM(I$3:I257))</f>
        <v>-19253.0609657499</v>
      </c>
      <c r="K257" s="0" t="n">
        <f aca="false">IF(ISBLANK(A257),"",SUMPRODUCT(O257:R257,T257:W257)-J257)</f>
        <v>1198.0609657499</v>
      </c>
      <c r="L257" s="0" t="n">
        <f aca="false">IF(ISBLANK(A257),"",K257/$M$1)</f>
        <v>0.0199676827624983</v>
      </c>
      <c r="M257" s="0" t="n">
        <f aca="false">IF(ISBLANK(A257),"",K257/($M$1+SUM(K$3:K256)))</f>
        <v>0.00424435847655736</v>
      </c>
      <c r="N257" s="0" t="n">
        <f aca="false">IF(ISBLANK(A257),"",IF(H258=0,NETWORKDAYS($H$3,H257,holiday!$B$2:$B$10),IF(DAY(H257)&lt;DAY(H258),NETWORKDAYS($H$3,H257,holiday!$B$2:$B$10),0)))</f>
        <v>0</v>
      </c>
      <c r="O257" s="0" t="n">
        <f aca="false">IF(ISBLANK(A257),"",SUMIF($A$3:$A257,O$2,$B$3:$B257))</f>
        <v>400</v>
      </c>
      <c r="P257" s="0" t="n">
        <f aca="false">IF(ISBLANK(A257),"",SUMIF($A$3:$A257,P$2,$B$3:$B257))</f>
        <v>-3000</v>
      </c>
      <c r="Q257" s="0" t="n">
        <f aca="false">IF(ISBLANK(A257),"",SUMIF($A$3:$A257,Q$2,$B$3:$B257))</f>
        <v>500</v>
      </c>
      <c r="R257" s="0" t="n">
        <f aca="false">IF(ISBLANK(A257),"",SUMIF($A$3:$A257,R$2,$B$3:$B257))</f>
        <v>200</v>
      </c>
      <c r="T257" s="0" t="n">
        <f aca="false">IF(ISBLANK(A257),"",IF($A257=T$2,$C257,T256))</f>
        <v>47.23</v>
      </c>
      <c r="U257" s="0" t="n">
        <f aca="false">IF(ISBLANK(A257),"",IF($A257=U$2,$C257,U256))</f>
        <v>22.77</v>
      </c>
      <c r="V257" s="0" t="n">
        <f aca="false">IF(ISBLANK(A257),"",IF($A257=V$2,$C257,V256))</f>
        <v>52.31</v>
      </c>
      <c r="W257" s="0" t="n">
        <f aca="false">IF(ISBLANK(A257),"",IF($A257=W$2,$C257,W256))</f>
        <v>26.04</v>
      </c>
    </row>
    <row r="258" customFormat="false" ht="12.8" hidden="false" customHeight="false" outlineLevel="0" collapsed="false">
      <c r="A258" s="0" t="n">
        <v>8370</v>
      </c>
      <c r="B258" s="0" t="n">
        <v>-100</v>
      </c>
      <c r="C258" s="0" t="n">
        <v>47.3</v>
      </c>
      <c r="D258" s="0" t="s">
        <v>265</v>
      </c>
      <c r="H258" s="8" t="n">
        <f aca="false">IF(ISBLANK(D258),,LEFT(D258,LEN(D258)-6)*1)</f>
        <v>38722.6863888889</v>
      </c>
      <c r="I258" s="9" t="n">
        <f aca="false">IF(ISBLANK(A258),"",-B258*C258)</f>
        <v>4730</v>
      </c>
      <c r="J258" s="9" t="n">
        <f aca="false">IF(ISBLANK(A258),"",-SUM(I$3:I258))</f>
        <v>-23983.0609657499</v>
      </c>
      <c r="K258" s="0" t="n">
        <f aca="false">IF(ISBLANK(A258),"",SUMPRODUCT(O258:R258,T258:W258)-J258)</f>
        <v>1226.0609657499</v>
      </c>
      <c r="L258" s="0" t="n">
        <f aca="false">IF(ISBLANK(A258),"",K258/$M$1)</f>
        <v>0.020434349429165</v>
      </c>
      <c r="M258" s="0" t="n">
        <f aca="false">IF(ISBLANK(A258),"",K258/($M$1+SUM(K$3:K257)))</f>
        <v>0.00432519611083226</v>
      </c>
      <c r="N258" s="0" t="n">
        <f aca="false">IF(ISBLANK(A258),"",IF(H259=0,NETWORKDAYS($H$3,H258,holiday!$B$2:$B$10),IF(DAY(H258)&lt;DAY(H259),NETWORKDAYS($H$3,H258,holiday!$B$2:$B$10),0)))</f>
        <v>0</v>
      </c>
      <c r="O258" s="0" t="n">
        <f aca="false">IF(ISBLANK(A258),"",SUMIF($A$3:$A258,O$2,$B$3:$B258))</f>
        <v>300</v>
      </c>
      <c r="P258" s="0" t="n">
        <f aca="false">IF(ISBLANK(A258),"",SUMIF($A$3:$A258,P$2,$B$3:$B258))</f>
        <v>-3000</v>
      </c>
      <c r="Q258" s="0" t="n">
        <f aca="false">IF(ISBLANK(A258),"",SUMIF($A$3:$A258,Q$2,$B$3:$B258))</f>
        <v>500</v>
      </c>
      <c r="R258" s="0" t="n">
        <f aca="false">IF(ISBLANK(A258),"",SUMIF($A$3:$A258,R$2,$B$3:$B258))</f>
        <v>200</v>
      </c>
      <c r="T258" s="0" t="n">
        <f aca="false">IF(ISBLANK(A258),"",IF($A258=T$2,$C258,T257))</f>
        <v>47.3</v>
      </c>
      <c r="U258" s="0" t="n">
        <f aca="false">IF(ISBLANK(A258),"",IF($A258=U$2,$C258,U257))</f>
        <v>22.77</v>
      </c>
      <c r="V258" s="0" t="n">
        <f aca="false">IF(ISBLANK(A258),"",IF($A258=V$2,$C258,V257))</f>
        <v>52.31</v>
      </c>
      <c r="W258" s="0" t="n">
        <f aca="false">IF(ISBLANK(A258),"",IF($A258=W$2,$C258,W257))</f>
        <v>26.04</v>
      </c>
    </row>
    <row r="259" customFormat="false" ht="12.8" hidden="false" customHeight="false" outlineLevel="0" collapsed="false">
      <c r="A259" s="0" t="n">
        <v>8370</v>
      </c>
      <c r="B259" s="0" t="n">
        <v>100</v>
      </c>
      <c r="C259" s="0" t="n">
        <v>47.24</v>
      </c>
      <c r="D259" s="0" t="s">
        <v>266</v>
      </c>
      <c r="H259" s="8" t="n">
        <f aca="false">IF(ISBLANK(D259),,LEFT(D259,LEN(D259)-6)*1)</f>
        <v>38722.6865509259</v>
      </c>
      <c r="I259" s="9" t="n">
        <f aca="false">IF(ISBLANK(A259),"",-B259*C259)</f>
        <v>-4724</v>
      </c>
      <c r="J259" s="9" t="n">
        <f aca="false">IF(ISBLANK(A259),"",-SUM(I$3:I259))</f>
        <v>-19259.0609657499</v>
      </c>
      <c r="K259" s="0" t="n">
        <f aca="false">IF(ISBLANK(A259),"",SUMPRODUCT(O259:R259,T259:W259)-J259)</f>
        <v>1208.0609657499</v>
      </c>
      <c r="L259" s="0" t="n">
        <f aca="false">IF(ISBLANK(A259),"",K259/$M$1)</f>
        <v>0.020134349429165</v>
      </c>
      <c r="M259" s="0" t="n">
        <f aca="false">IF(ISBLANK(A259),"",K259/($M$1+SUM(K$3:K258)))</f>
        <v>0.00424334391027049</v>
      </c>
      <c r="N259" s="0" t="n">
        <f aca="false">IF(ISBLANK(A259),"",IF(H260=0,NETWORKDAYS($H$3,H259,holiday!$B$2:$B$10),IF(DAY(H259)&lt;DAY(H260),NETWORKDAYS($H$3,H259,holiday!$B$2:$B$10),0)))</f>
        <v>0</v>
      </c>
      <c r="O259" s="0" t="n">
        <f aca="false">IF(ISBLANK(A259),"",SUMIF($A$3:$A259,O$2,$B$3:$B259))</f>
        <v>400</v>
      </c>
      <c r="P259" s="0" t="n">
        <f aca="false">IF(ISBLANK(A259),"",SUMIF($A$3:$A259,P$2,$B$3:$B259))</f>
        <v>-3000</v>
      </c>
      <c r="Q259" s="0" t="n">
        <f aca="false">IF(ISBLANK(A259),"",SUMIF($A$3:$A259,Q$2,$B$3:$B259))</f>
        <v>500</v>
      </c>
      <c r="R259" s="0" t="n">
        <f aca="false">IF(ISBLANK(A259),"",SUMIF($A$3:$A259,R$2,$B$3:$B259))</f>
        <v>200</v>
      </c>
      <c r="T259" s="0" t="n">
        <f aca="false">IF(ISBLANK(A259),"",IF($A259=T$2,$C259,T258))</f>
        <v>47.24</v>
      </c>
      <c r="U259" s="0" t="n">
        <f aca="false">IF(ISBLANK(A259),"",IF($A259=U$2,$C259,U258))</f>
        <v>22.77</v>
      </c>
      <c r="V259" s="0" t="n">
        <f aca="false">IF(ISBLANK(A259),"",IF($A259=V$2,$C259,V258))</f>
        <v>52.31</v>
      </c>
      <c r="W259" s="0" t="n">
        <f aca="false">IF(ISBLANK(A259),"",IF($A259=W$2,$C259,W258))</f>
        <v>26.04</v>
      </c>
    </row>
    <row r="260" customFormat="false" ht="12.8" hidden="false" customHeight="false" outlineLevel="0" collapsed="false">
      <c r="A260" s="0" t="n">
        <v>679</v>
      </c>
      <c r="B260" s="0" t="n">
        <v>-100</v>
      </c>
      <c r="C260" s="0" t="n">
        <v>52.33</v>
      </c>
      <c r="D260" s="0" t="s">
        <v>267</v>
      </c>
      <c r="H260" s="8" t="n">
        <f aca="false">IF(ISBLANK(D260),,LEFT(D260,LEN(D260)-6)*1)</f>
        <v>38722.6916782407</v>
      </c>
      <c r="I260" s="9" t="n">
        <f aca="false">IF(ISBLANK(A260),"",-B260*C260)</f>
        <v>5233</v>
      </c>
      <c r="J260" s="9" t="n">
        <f aca="false">IF(ISBLANK(A260),"",-SUM(I$3:I260))</f>
        <v>-24492.0609657499</v>
      </c>
      <c r="K260" s="0" t="n">
        <f aca="false">IF(ISBLANK(A260),"",SUMPRODUCT(O260:R260,T260:W260)-J260)</f>
        <v>1218.0609657499</v>
      </c>
      <c r="L260" s="0" t="n">
        <f aca="false">IF(ISBLANK(A260),"",K260/$M$1)</f>
        <v>0.0203010160958317</v>
      </c>
      <c r="M260" s="0" t="n">
        <f aca="false">IF(ISBLANK(A260),"",K260/($M$1+SUM(K$3:K259)))</f>
        <v>0.00426039085310063</v>
      </c>
      <c r="N260" s="0" t="n">
        <f aca="false">IF(ISBLANK(A260),"",IF(H261=0,NETWORKDAYS($H$3,H260,holiday!$B$2:$B$10),IF(DAY(H260)&lt;DAY(H261),NETWORKDAYS($H$3,H260,holiday!$B$2:$B$10),0)))</f>
        <v>0</v>
      </c>
      <c r="O260" s="0" t="n">
        <f aca="false">IF(ISBLANK(A260),"",SUMIF($A$3:$A260,O$2,$B$3:$B260))</f>
        <v>400</v>
      </c>
      <c r="P260" s="0" t="n">
        <f aca="false">IF(ISBLANK(A260),"",SUMIF($A$3:$A260,P$2,$B$3:$B260))</f>
        <v>-3000</v>
      </c>
      <c r="Q260" s="0" t="n">
        <f aca="false">IF(ISBLANK(A260),"",SUMIF($A$3:$A260,Q$2,$B$3:$B260))</f>
        <v>400</v>
      </c>
      <c r="R260" s="0" t="n">
        <f aca="false">IF(ISBLANK(A260),"",SUMIF($A$3:$A260,R$2,$B$3:$B260))</f>
        <v>200</v>
      </c>
      <c r="T260" s="0" t="n">
        <f aca="false">IF(ISBLANK(A260),"",IF($A260=T$2,$C260,T259))</f>
        <v>47.24</v>
      </c>
      <c r="U260" s="0" t="n">
        <f aca="false">IF(ISBLANK(A260),"",IF($A260=U$2,$C260,U259))</f>
        <v>22.77</v>
      </c>
      <c r="V260" s="0" t="n">
        <f aca="false">IF(ISBLANK(A260),"",IF($A260=V$2,$C260,V259))</f>
        <v>52.33</v>
      </c>
      <c r="W260" s="0" t="n">
        <f aca="false">IF(ISBLANK(A260),"",IF($A260=W$2,$C260,W259))</f>
        <v>26.04</v>
      </c>
    </row>
    <row r="261" customFormat="false" ht="12.8" hidden="false" customHeight="false" outlineLevel="0" collapsed="false">
      <c r="A261" s="0" t="n">
        <v>980</v>
      </c>
      <c r="B261" s="0" t="n">
        <v>100</v>
      </c>
      <c r="C261" s="0" t="n">
        <v>22.76</v>
      </c>
      <c r="D261" s="0" t="s">
        <v>268</v>
      </c>
      <c r="H261" s="8" t="n">
        <f aca="false">IF(ISBLANK(D261),,LEFT(D261,LEN(D261)-6)*1)</f>
        <v>38722.6922106481</v>
      </c>
      <c r="I261" s="9" t="n">
        <f aca="false">IF(ISBLANK(A261),"",-B261*C261)</f>
        <v>-2276</v>
      </c>
      <c r="J261" s="9" t="n">
        <f aca="false">IF(ISBLANK(A261),"",-SUM(I$3:I261))</f>
        <v>-22216.0609657499</v>
      </c>
      <c r="K261" s="0" t="n">
        <f aca="false">IF(ISBLANK(A261),"",SUMPRODUCT(O261:R261,T261:W261)-J261)</f>
        <v>1248.0609657499</v>
      </c>
      <c r="L261" s="0" t="n">
        <f aca="false">IF(ISBLANK(A261),"",K261/$M$1)</f>
        <v>0.0208010160958317</v>
      </c>
      <c r="M261" s="0" t="n">
        <f aca="false">IF(ISBLANK(A261),"",K261/($M$1+SUM(K$3:K260)))</f>
        <v>0.00434680225962304</v>
      </c>
      <c r="N261" s="0" t="n">
        <f aca="false">IF(ISBLANK(A261),"",IF(H262=0,NETWORKDAYS($H$3,H261,holiday!$B$2:$B$10),IF(DAY(H261)&lt;DAY(H262),NETWORKDAYS($H$3,H261,holiday!$B$2:$B$10),0)))</f>
        <v>0</v>
      </c>
      <c r="O261" s="0" t="n">
        <f aca="false">IF(ISBLANK(A261),"",SUMIF($A$3:$A261,O$2,$B$3:$B261))</f>
        <v>400</v>
      </c>
      <c r="P261" s="0" t="n">
        <f aca="false">IF(ISBLANK(A261),"",SUMIF($A$3:$A261,P$2,$B$3:$B261))</f>
        <v>-2900</v>
      </c>
      <c r="Q261" s="0" t="n">
        <f aca="false">IF(ISBLANK(A261),"",SUMIF($A$3:$A261,Q$2,$B$3:$B261))</f>
        <v>400</v>
      </c>
      <c r="R261" s="0" t="n">
        <f aca="false">IF(ISBLANK(A261),"",SUMIF($A$3:$A261,R$2,$B$3:$B261))</f>
        <v>200</v>
      </c>
      <c r="T261" s="0" t="n">
        <f aca="false">IF(ISBLANK(A261),"",IF($A261=T$2,$C261,T260))</f>
        <v>47.24</v>
      </c>
      <c r="U261" s="0" t="n">
        <f aca="false">IF(ISBLANK(A261),"",IF($A261=U$2,$C261,U260))</f>
        <v>22.76</v>
      </c>
      <c r="V261" s="0" t="n">
        <f aca="false">IF(ISBLANK(A261),"",IF($A261=V$2,$C261,V260))</f>
        <v>52.33</v>
      </c>
      <c r="W261" s="0" t="n">
        <f aca="false">IF(ISBLANK(A261),"",IF($A261=W$2,$C261,W260))</f>
        <v>26.04</v>
      </c>
    </row>
    <row r="262" customFormat="false" ht="12.8" hidden="false" customHeight="false" outlineLevel="0" collapsed="false">
      <c r="A262" s="0" t="n">
        <v>679</v>
      </c>
      <c r="B262" s="0" t="n">
        <v>100</v>
      </c>
      <c r="C262" s="0" t="n">
        <v>52.015</v>
      </c>
      <c r="D262" s="0" t="s">
        <v>269</v>
      </c>
      <c r="H262" s="8" t="n">
        <f aca="false">IF(ISBLANK(D262),,LEFT(D262,LEN(D262)-6)*1)</f>
        <v>38722.6938541667</v>
      </c>
      <c r="I262" s="9" t="n">
        <f aca="false">IF(ISBLANK(A262),"",-B262*C262)</f>
        <v>-5201.5</v>
      </c>
      <c r="J262" s="9" t="n">
        <f aca="false">IF(ISBLANK(A262),"",-SUM(I$3:I262))</f>
        <v>-17014.5609657499</v>
      </c>
      <c r="K262" s="0" t="n">
        <f aca="false">IF(ISBLANK(A262),"",SUMPRODUCT(O262:R262,T262:W262)-J262)</f>
        <v>1122.0609657499</v>
      </c>
      <c r="L262" s="0" t="n">
        <f aca="false">IF(ISBLANK(A262),"",K262/$M$1)</f>
        <v>0.0187010160958317</v>
      </c>
      <c r="M262" s="0" t="n">
        <f aca="false">IF(ISBLANK(A262),"",K262/($M$1+SUM(K$3:K261)))</f>
        <v>0.00389105022777117</v>
      </c>
      <c r="N262" s="0" t="n">
        <f aca="false">IF(ISBLANK(A262),"",IF(H263=0,NETWORKDAYS($H$3,H262,holiday!$B$2:$B$10),IF(DAY(H262)&lt;DAY(H263),NETWORKDAYS($H$3,H262,holiday!$B$2:$B$10),0)))</f>
        <v>0</v>
      </c>
      <c r="O262" s="0" t="n">
        <f aca="false">IF(ISBLANK(A262),"",SUMIF($A$3:$A262,O$2,$B$3:$B262))</f>
        <v>400</v>
      </c>
      <c r="P262" s="0" t="n">
        <f aca="false">IF(ISBLANK(A262),"",SUMIF($A$3:$A262,P$2,$B$3:$B262))</f>
        <v>-2900</v>
      </c>
      <c r="Q262" s="0" t="n">
        <f aca="false">IF(ISBLANK(A262),"",SUMIF($A$3:$A262,Q$2,$B$3:$B262))</f>
        <v>500</v>
      </c>
      <c r="R262" s="0" t="n">
        <f aca="false">IF(ISBLANK(A262),"",SUMIF($A$3:$A262,R$2,$B$3:$B262))</f>
        <v>200</v>
      </c>
      <c r="T262" s="0" t="n">
        <f aca="false">IF(ISBLANK(A262),"",IF($A262=T$2,$C262,T261))</f>
        <v>47.24</v>
      </c>
      <c r="U262" s="0" t="n">
        <f aca="false">IF(ISBLANK(A262),"",IF($A262=U$2,$C262,U261))</f>
        <v>22.76</v>
      </c>
      <c r="V262" s="0" t="n">
        <f aca="false">IF(ISBLANK(A262),"",IF($A262=V$2,$C262,V261))</f>
        <v>52.015</v>
      </c>
      <c r="W262" s="0" t="n">
        <f aca="false">IF(ISBLANK(A262),"",IF($A262=W$2,$C262,W261))</f>
        <v>26.04</v>
      </c>
    </row>
    <row r="263" customFormat="false" ht="12.8" hidden="false" customHeight="false" outlineLevel="0" collapsed="false">
      <c r="A263" s="0" t="n">
        <v>980</v>
      </c>
      <c r="B263" s="0" t="n">
        <v>100</v>
      </c>
      <c r="C263" s="0" t="n">
        <v>22.78</v>
      </c>
      <c r="D263" s="0" t="s">
        <v>270</v>
      </c>
      <c r="H263" s="8" t="n">
        <f aca="false">IF(ISBLANK(D263),,LEFT(D263,LEN(D263)-6)*1)</f>
        <v>38722.700150463</v>
      </c>
      <c r="I263" s="9" t="n">
        <f aca="false">IF(ISBLANK(A263),"",-B263*C263)</f>
        <v>-2278</v>
      </c>
      <c r="J263" s="9" t="n">
        <f aca="false">IF(ISBLANK(A263),"",-SUM(I$3:I263))</f>
        <v>-14736.5609657499</v>
      </c>
      <c r="K263" s="0" t="n">
        <f aca="false">IF(ISBLANK(A263),"",SUMPRODUCT(O263:R263,T263:W263)-J263)</f>
        <v>1064.0609657499</v>
      </c>
      <c r="L263" s="0" t="n">
        <f aca="false">IF(ISBLANK(A263),"",K263/$M$1)</f>
        <v>0.017734349429165</v>
      </c>
      <c r="M263" s="0" t="n">
        <f aca="false">IF(ISBLANK(A263),"",K263/($M$1+SUM(K$3:K262)))</f>
        <v>0.00367561751031666</v>
      </c>
      <c r="N263" s="0" t="n">
        <f aca="false">IF(ISBLANK(A263),"",IF(H264=0,NETWORKDAYS($H$3,H263,holiday!$B$2:$B$10),IF(DAY(H263)&lt;DAY(H264),NETWORKDAYS($H$3,H263,holiday!$B$2:$B$10),0)))</f>
        <v>0</v>
      </c>
      <c r="O263" s="0" t="n">
        <f aca="false">IF(ISBLANK(A263),"",SUMIF($A$3:$A263,O$2,$B$3:$B263))</f>
        <v>400</v>
      </c>
      <c r="P263" s="0" t="n">
        <f aca="false">IF(ISBLANK(A263),"",SUMIF($A$3:$A263,P$2,$B$3:$B263))</f>
        <v>-2800</v>
      </c>
      <c r="Q263" s="0" t="n">
        <f aca="false">IF(ISBLANK(A263),"",SUMIF($A$3:$A263,Q$2,$B$3:$B263))</f>
        <v>500</v>
      </c>
      <c r="R263" s="0" t="n">
        <f aca="false">IF(ISBLANK(A263),"",SUMIF($A$3:$A263,R$2,$B$3:$B263))</f>
        <v>200</v>
      </c>
      <c r="T263" s="0" t="n">
        <f aca="false">IF(ISBLANK(A263),"",IF($A263=T$2,$C263,T262))</f>
        <v>47.24</v>
      </c>
      <c r="U263" s="0" t="n">
        <f aca="false">IF(ISBLANK(A263),"",IF($A263=U$2,$C263,U262))</f>
        <v>22.78</v>
      </c>
      <c r="V263" s="0" t="n">
        <f aca="false">IF(ISBLANK(A263),"",IF($A263=V$2,$C263,V262))</f>
        <v>52.015</v>
      </c>
      <c r="W263" s="0" t="n">
        <f aca="false">IF(ISBLANK(A263),"",IF($A263=W$2,$C263,W262))</f>
        <v>26.04</v>
      </c>
    </row>
    <row r="264" customFormat="false" ht="12.8" hidden="false" customHeight="false" outlineLevel="0" collapsed="false">
      <c r="A264" s="0" t="n">
        <v>27969</v>
      </c>
      <c r="B264" s="0" t="n">
        <v>100</v>
      </c>
      <c r="C264" s="0" t="n">
        <v>25.7166666666666</v>
      </c>
      <c r="D264" s="0" t="s">
        <v>271</v>
      </c>
      <c r="H264" s="8" t="n">
        <f aca="false">IF(ISBLANK(D264),,LEFT(D264,LEN(D264)-6)*1)</f>
        <v>38722.7002546296</v>
      </c>
      <c r="I264" s="9" t="n">
        <f aca="false">IF(ISBLANK(A264),"",-B264*C264)</f>
        <v>-2571.66666666666</v>
      </c>
      <c r="J264" s="9" t="n">
        <f aca="false">IF(ISBLANK(A264),"",-SUM(I$3:I264))</f>
        <v>-12164.8942990832</v>
      </c>
      <c r="K264" s="0" t="n">
        <f aca="false">IF(ISBLANK(A264),"",SUMPRODUCT(O264:R264,T264:W264)-J264)</f>
        <v>999.39429908322</v>
      </c>
      <c r="L264" s="0" t="n">
        <f aca="false">IF(ISBLANK(A264),"",K264/$M$1)</f>
        <v>0.016656571651387</v>
      </c>
      <c r="M264" s="0" t="n">
        <f aca="false">IF(ISBLANK(A264),"",K264/($M$1+SUM(K$3:K263)))</f>
        <v>0.00343959488096615</v>
      </c>
      <c r="N264" s="0" t="n">
        <f aca="false">IF(ISBLANK(A264),"",IF(H265=0,NETWORKDAYS($H$3,H264,holiday!$B$2:$B$10),IF(DAY(H264)&lt;DAY(H265),NETWORKDAYS($H$3,H264,holiday!$B$2:$B$10),0)))</f>
        <v>0</v>
      </c>
      <c r="O264" s="0" t="n">
        <f aca="false">IF(ISBLANK(A264),"",SUMIF($A$3:$A264,O$2,$B$3:$B264))</f>
        <v>400</v>
      </c>
      <c r="P264" s="0" t="n">
        <f aca="false">IF(ISBLANK(A264),"",SUMIF($A$3:$A264,P$2,$B$3:$B264))</f>
        <v>-2800</v>
      </c>
      <c r="Q264" s="0" t="n">
        <f aca="false">IF(ISBLANK(A264),"",SUMIF($A$3:$A264,Q$2,$B$3:$B264))</f>
        <v>500</v>
      </c>
      <c r="R264" s="0" t="n">
        <f aca="false">IF(ISBLANK(A264),"",SUMIF($A$3:$A264,R$2,$B$3:$B264))</f>
        <v>300</v>
      </c>
      <c r="T264" s="0" t="n">
        <f aca="false">IF(ISBLANK(A264),"",IF($A264=T$2,$C264,T263))</f>
        <v>47.24</v>
      </c>
      <c r="U264" s="0" t="n">
        <f aca="false">IF(ISBLANK(A264),"",IF($A264=U$2,$C264,U263))</f>
        <v>22.78</v>
      </c>
      <c r="V264" s="0" t="n">
        <f aca="false">IF(ISBLANK(A264),"",IF($A264=V$2,$C264,V263))</f>
        <v>52.015</v>
      </c>
      <c r="W264" s="0" t="n">
        <f aca="false">IF(ISBLANK(A264),"",IF($A264=W$2,$C264,W263))</f>
        <v>25.7166666666666</v>
      </c>
    </row>
    <row r="265" customFormat="false" ht="12.8" hidden="false" customHeight="false" outlineLevel="0" collapsed="false">
      <c r="A265" s="0" t="n">
        <v>8370</v>
      </c>
      <c r="B265" s="0" t="n">
        <v>100</v>
      </c>
      <c r="C265" s="0" t="n">
        <v>47.28</v>
      </c>
      <c r="D265" s="0" t="s">
        <v>272</v>
      </c>
      <c r="H265" s="8" t="n">
        <f aca="false">IF(ISBLANK(D265),,LEFT(D265,LEN(D265)-6)*1)</f>
        <v>38722.7019328704</v>
      </c>
      <c r="I265" s="9" t="n">
        <f aca="false">IF(ISBLANK(A265),"",-B265*C265)</f>
        <v>-4728</v>
      </c>
      <c r="J265" s="9" t="n">
        <f aca="false">IF(ISBLANK(A265),"",-SUM(I$3:I265))</f>
        <v>-7436.89429908324</v>
      </c>
      <c r="K265" s="0" t="n">
        <f aca="false">IF(ISBLANK(A265),"",SUMPRODUCT(O265:R265,T265:W265)-J265)</f>
        <v>1015.39429908322</v>
      </c>
      <c r="L265" s="0" t="n">
        <f aca="false">IF(ISBLANK(A265),"",K265/$M$1)</f>
        <v>0.0169232383180537</v>
      </c>
      <c r="M265" s="0" t="n">
        <f aca="false">IF(ISBLANK(A265),"",K265/($M$1+SUM(K$3:K264)))</f>
        <v>0.00348268273540781</v>
      </c>
      <c r="N265" s="0" t="n">
        <f aca="false">IF(ISBLANK(A265),"",IF(H266=0,NETWORKDAYS($H$3,H265,holiday!$B$2:$B$10),IF(DAY(H265)&lt;DAY(H266),NETWORKDAYS($H$3,H265,holiday!$B$2:$B$10),0)))</f>
        <v>0</v>
      </c>
      <c r="O265" s="0" t="n">
        <f aca="false">IF(ISBLANK(A265),"",SUMIF($A$3:$A265,O$2,$B$3:$B265))</f>
        <v>500</v>
      </c>
      <c r="P265" s="0" t="n">
        <f aca="false">IF(ISBLANK(A265),"",SUMIF($A$3:$A265,P$2,$B$3:$B265))</f>
        <v>-2800</v>
      </c>
      <c r="Q265" s="0" t="n">
        <f aca="false">IF(ISBLANK(A265),"",SUMIF($A$3:$A265,Q$2,$B$3:$B265))</f>
        <v>500</v>
      </c>
      <c r="R265" s="0" t="n">
        <f aca="false">IF(ISBLANK(A265),"",SUMIF($A$3:$A265,R$2,$B$3:$B265))</f>
        <v>300</v>
      </c>
      <c r="T265" s="0" t="n">
        <f aca="false">IF(ISBLANK(A265),"",IF($A265=T$2,$C265,T264))</f>
        <v>47.28</v>
      </c>
      <c r="U265" s="0" t="n">
        <f aca="false">IF(ISBLANK(A265),"",IF($A265=U$2,$C265,U264))</f>
        <v>22.78</v>
      </c>
      <c r="V265" s="0" t="n">
        <f aca="false">IF(ISBLANK(A265),"",IF($A265=V$2,$C265,V264))</f>
        <v>52.015</v>
      </c>
      <c r="W265" s="0" t="n">
        <f aca="false">IF(ISBLANK(A265),"",IF($A265=W$2,$C265,W264))</f>
        <v>25.7166666666666</v>
      </c>
    </row>
    <row r="266" customFormat="false" ht="12.8" hidden="false" customHeight="false" outlineLevel="0" collapsed="false">
      <c r="A266" s="0" t="n">
        <v>8370</v>
      </c>
      <c r="B266" s="0" t="n">
        <v>-100</v>
      </c>
      <c r="C266" s="0" t="n">
        <v>47.53</v>
      </c>
      <c r="D266" s="0" t="s">
        <v>273</v>
      </c>
      <c r="H266" s="8" t="n">
        <f aca="false">IF(ISBLANK(D266),,LEFT(D266,LEN(D266)-6)*1)</f>
        <v>38722.7063425926</v>
      </c>
      <c r="I266" s="9" t="n">
        <f aca="false">IF(ISBLANK(A266),"",-B266*C266)</f>
        <v>4753</v>
      </c>
      <c r="J266" s="9" t="n">
        <f aca="false">IF(ISBLANK(A266),"",-SUM(I$3:I266))</f>
        <v>-12189.8942990832</v>
      </c>
      <c r="K266" s="0" t="n">
        <f aca="false">IF(ISBLANK(A266),"",SUMPRODUCT(O266:R266,T266:W266)-J266)</f>
        <v>1140.39429908322</v>
      </c>
      <c r="L266" s="0" t="n">
        <f aca="false">IF(ISBLANK(A266),"",K266/$M$1)</f>
        <v>0.019006571651387</v>
      </c>
      <c r="M266" s="0" t="n">
        <f aca="false">IF(ISBLANK(A266),"",K266/($M$1+SUM(K$3:K265)))</f>
        <v>0.00389784304777891</v>
      </c>
      <c r="N266" s="0" t="n">
        <f aca="false">IF(ISBLANK(A266),"",IF(H267=0,NETWORKDAYS($H$3,H266,holiday!$B$2:$B$10),IF(DAY(H266)&lt;DAY(H267),NETWORKDAYS($H$3,H266,holiday!$B$2:$B$10),0)))</f>
        <v>0</v>
      </c>
      <c r="O266" s="0" t="n">
        <f aca="false">IF(ISBLANK(A266),"",SUMIF($A$3:$A266,O$2,$B$3:$B266))</f>
        <v>400</v>
      </c>
      <c r="P266" s="0" t="n">
        <f aca="false">IF(ISBLANK(A266),"",SUMIF($A$3:$A266,P$2,$B$3:$B266))</f>
        <v>-2800</v>
      </c>
      <c r="Q266" s="0" t="n">
        <f aca="false">IF(ISBLANK(A266),"",SUMIF($A$3:$A266,Q$2,$B$3:$B266))</f>
        <v>500</v>
      </c>
      <c r="R266" s="0" t="n">
        <f aca="false">IF(ISBLANK(A266),"",SUMIF($A$3:$A266,R$2,$B$3:$B266))</f>
        <v>300</v>
      </c>
      <c r="T266" s="0" t="n">
        <f aca="false">IF(ISBLANK(A266),"",IF($A266=T$2,$C266,T265))</f>
        <v>47.53</v>
      </c>
      <c r="U266" s="0" t="n">
        <f aca="false">IF(ISBLANK(A266),"",IF($A266=U$2,$C266,U265))</f>
        <v>22.78</v>
      </c>
      <c r="V266" s="0" t="n">
        <f aca="false">IF(ISBLANK(A266),"",IF($A266=V$2,$C266,V265))</f>
        <v>52.015</v>
      </c>
      <c r="W266" s="0" t="n">
        <f aca="false">IF(ISBLANK(A266),"",IF($A266=W$2,$C266,W265))</f>
        <v>25.7166666666666</v>
      </c>
    </row>
    <row r="267" customFormat="false" ht="12.8" hidden="false" customHeight="false" outlineLevel="0" collapsed="false">
      <c r="A267" s="0" t="n">
        <v>679</v>
      </c>
      <c r="B267" s="0" t="n">
        <v>100</v>
      </c>
      <c r="C267" s="0" t="n">
        <v>51.78</v>
      </c>
      <c r="D267" s="0" t="s">
        <v>274</v>
      </c>
      <c r="H267" s="8" t="n">
        <f aca="false">IF(ISBLANK(D267),,LEFT(D267,LEN(D267)-6)*1)</f>
        <v>38722.7068865741</v>
      </c>
      <c r="I267" s="9" t="n">
        <f aca="false">IF(ISBLANK(A267),"",-B267*C267)</f>
        <v>-5178</v>
      </c>
      <c r="J267" s="9" t="n">
        <f aca="false">IF(ISBLANK(A267),"",-SUM(I$3:I267))</f>
        <v>-7011.89429908324</v>
      </c>
      <c r="K267" s="0" t="n">
        <f aca="false">IF(ISBLANK(A267),"",SUMPRODUCT(O267:R267,T267:W267)-J267)</f>
        <v>1022.89429908322</v>
      </c>
      <c r="L267" s="0" t="n">
        <f aca="false">IF(ISBLANK(A267),"",K267/$M$1)</f>
        <v>0.0170482383180537</v>
      </c>
      <c r="M267" s="0" t="n">
        <f aca="false">IF(ISBLANK(A267),"",K267/($M$1+SUM(K$3:K266)))</f>
        <v>0.00348265574380028</v>
      </c>
      <c r="N267" s="0" t="n">
        <f aca="false">IF(ISBLANK(A267),"",IF(H268=0,NETWORKDAYS($H$3,H267,holiday!$B$2:$B$10),IF(DAY(H267)&lt;DAY(H268),NETWORKDAYS($H$3,H267,holiday!$B$2:$B$10),0)))</f>
        <v>0</v>
      </c>
      <c r="O267" s="0" t="n">
        <f aca="false">IF(ISBLANK(A267),"",SUMIF($A$3:$A267,O$2,$B$3:$B267))</f>
        <v>400</v>
      </c>
      <c r="P267" s="0" t="n">
        <f aca="false">IF(ISBLANK(A267),"",SUMIF($A$3:$A267,P$2,$B$3:$B267))</f>
        <v>-2800</v>
      </c>
      <c r="Q267" s="0" t="n">
        <f aca="false">IF(ISBLANK(A267),"",SUMIF($A$3:$A267,Q$2,$B$3:$B267))</f>
        <v>600</v>
      </c>
      <c r="R267" s="0" t="n">
        <f aca="false">IF(ISBLANK(A267),"",SUMIF($A$3:$A267,R$2,$B$3:$B267))</f>
        <v>300</v>
      </c>
      <c r="T267" s="0" t="n">
        <f aca="false">IF(ISBLANK(A267),"",IF($A267=T$2,$C267,T266))</f>
        <v>47.53</v>
      </c>
      <c r="U267" s="0" t="n">
        <f aca="false">IF(ISBLANK(A267),"",IF($A267=U$2,$C267,U266))</f>
        <v>22.78</v>
      </c>
      <c r="V267" s="0" t="n">
        <f aca="false">IF(ISBLANK(A267),"",IF($A267=V$2,$C267,V266))</f>
        <v>51.78</v>
      </c>
      <c r="W267" s="0" t="n">
        <f aca="false">IF(ISBLANK(A267),"",IF($A267=W$2,$C267,W266))</f>
        <v>25.7166666666666</v>
      </c>
    </row>
    <row r="268" customFormat="false" ht="12.8" hidden="false" customHeight="false" outlineLevel="0" collapsed="false">
      <c r="A268" s="0" t="n">
        <v>8370</v>
      </c>
      <c r="B268" s="0" t="n">
        <v>100</v>
      </c>
      <c r="C268" s="0" t="n">
        <v>47.40125</v>
      </c>
      <c r="D268" s="0" t="s">
        <v>275</v>
      </c>
      <c r="H268" s="8" t="n">
        <f aca="false">IF(ISBLANK(D268),,LEFT(D268,LEN(D268)-6)*1)</f>
        <v>38722.7170138889</v>
      </c>
      <c r="I268" s="9" t="n">
        <f aca="false">IF(ISBLANK(A268),"",-B268*C268)</f>
        <v>-4740.125</v>
      </c>
      <c r="J268" s="9" t="n">
        <f aca="false">IF(ISBLANK(A268),"",-SUM(I$3:I268))</f>
        <v>-2271.76929908324</v>
      </c>
      <c r="K268" s="0" t="n">
        <f aca="false">IF(ISBLANK(A268),"",SUMPRODUCT(O268:R268,T268:W268)-J268)</f>
        <v>971.39429908322</v>
      </c>
      <c r="L268" s="0" t="n">
        <f aca="false">IF(ISBLANK(A268),"",K268/$M$1)</f>
        <v>0.0161899049847203</v>
      </c>
      <c r="M268" s="0" t="n">
        <f aca="false">IF(ISBLANK(A268),"",K268/($M$1+SUM(K$3:K267)))</f>
        <v>0.00329583505611268</v>
      </c>
      <c r="N268" s="0" t="n">
        <f aca="false">IF(ISBLANK(A268),"",IF(H269=0,NETWORKDAYS($H$3,H268,holiday!$B$2:$B$10),IF(DAY(H268)&lt;DAY(H269),NETWORKDAYS($H$3,H268,holiday!$B$2:$B$10),0)))</f>
        <v>0</v>
      </c>
      <c r="O268" s="0" t="n">
        <f aca="false">IF(ISBLANK(A268),"",SUMIF($A$3:$A268,O$2,$B$3:$B268))</f>
        <v>500</v>
      </c>
      <c r="P268" s="0" t="n">
        <f aca="false">IF(ISBLANK(A268),"",SUMIF($A$3:$A268,P$2,$B$3:$B268))</f>
        <v>-2800</v>
      </c>
      <c r="Q268" s="0" t="n">
        <f aca="false">IF(ISBLANK(A268),"",SUMIF($A$3:$A268,Q$2,$B$3:$B268))</f>
        <v>600</v>
      </c>
      <c r="R268" s="0" t="n">
        <f aca="false">IF(ISBLANK(A268),"",SUMIF($A$3:$A268,R$2,$B$3:$B268))</f>
        <v>300</v>
      </c>
      <c r="T268" s="0" t="n">
        <f aca="false">IF(ISBLANK(A268),"",IF($A268=T$2,$C268,T267))</f>
        <v>47.40125</v>
      </c>
      <c r="U268" s="0" t="n">
        <f aca="false">IF(ISBLANK(A268),"",IF($A268=U$2,$C268,U267))</f>
        <v>22.78</v>
      </c>
      <c r="V268" s="0" t="n">
        <f aca="false">IF(ISBLANK(A268),"",IF($A268=V$2,$C268,V267))</f>
        <v>51.78</v>
      </c>
      <c r="W268" s="0" t="n">
        <f aca="false">IF(ISBLANK(A268),"",IF($A268=W$2,$C268,W267))</f>
        <v>25.7166666666666</v>
      </c>
    </row>
    <row r="269" customFormat="false" ht="12.8" hidden="false" customHeight="false" outlineLevel="0" collapsed="false">
      <c r="A269" s="0" t="n">
        <v>980</v>
      </c>
      <c r="B269" s="0" t="n">
        <v>-100</v>
      </c>
      <c r="C269" s="0" t="n">
        <v>22.82</v>
      </c>
      <c r="D269" s="0" t="s">
        <v>276</v>
      </c>
      <c r="H269" s="8" t="n">
        <f aca="false">IF(ISBLANK(D269),,LEFT(D269,LEN(D269)-6)*1)</f>
        <v>38722.718900463</v>
      </c>
      <c r="I269" s="9" t="n">
        <f aca="false">IF(ISBLANK(A269),"",-B269*C269)</f>
        <v>2282</v>
      </c>
      <c r="J269" s="9" t="n">
        <f aca="false">IF(ISBLANK(A269),"",-SUM(I$3:I269))</f>
        <v>-4553.76929908324</v>
      </c>
      <c r="K269" s="0" t="n">
        <f aca="false">IF(ISBLANK(A269),"",SUMPRODUCT(O269:R269,T269:W269)-J269)</f>
        <v>859.39429908322</v>
      </c>
      <c r="L269" s="0" t="n">
        <f aca="false">IF(ISBLANK(A269),"",K269/$M$1)</f>
        <v>0.0143232383180537</v>
      </c>
      <c r="M269" s="0" t="n">
        <f aca="false">IF(ISBLANK(A269),"",K269/($M$1+SUM(K$3:K268)))</f>
        <v>0.00290625272512532</v>
      </c>
      <c r="N269" s="0" t="n">
        <f aca="false">IF(ISBLANK(A269),"",IF(H270=0,NETWORKDAYS($H$3,H269,holiday!$B$2:$B$10),IF(DAY(H269)&lt;DAY(H270),NETWORKDAYS($H$3,H269,holiday!$B$2:$B$10),0)))</f>
        <v>0</v>
      </c>
      <c r="O269" s="0" t="n">
        <f aca="false">IF(ISBLANK(A269),"",SUMIF($A$3:$A269,O$2,$B$3:$B269))</f>
        <v>500</v>
      </c>
      <c r="P269" s="0" t="n">
        <f aca="false">IF(ISBLANK(A269),"",SUMIF($A$3:$A269,P$2,$B$3:$B269))</f>
        <v>-2900</v>
      </c>
      <c r="Q269" s="0" t="n">
        <f aca="false">IF(ISBLANK(A269),"",SUMIF($A$3:$A269,Q$2,$B$3:$B269))</f>
        <v>600</v>
      </c>
      <c r="R269" s="0" t="n">
        <f aca="false">IF(ISBLANK(A269),"",SUMIF($A$3:$A269,R$2,$B$3:$B269))</f>
        <v>300</v>
      </c>
      <c r="T269" s="0" t="n">
        <f aca="false">IF(ISBLANK(A269),"",IF($A269=T$2,$C269,T268))</f>
        <v>47.40125</v>
      </c>
      <c r="U269" s="0" t="n">
        <f aca="false">IF(ISBLANK(A269),"",IF($A269=U$2,$C269,U268))</f>
        <v>22.82</v>
      </c>
      <c r="V269" s="0" t="n">
        <f aca="false">IF(ISBLANK(A269),"",IF($A269=V$2,$C269,V268))</f>
        <v>51.78</v>
      </c>
      <c r="W269" s="0" t="n">
        <f aca="false">IF(ISBLANK(A269),"",IF($A269=W$2,$C269,W268))</f>
        <v>25.7166666666666</v>
      </c>
    </row>
    <row r="270" customFormat="false" ht="12.8" hidden="false" customHeight="false" outlineLevel="0" collapsed="false">
      <c r="A270" s="0" t="n">
        <v>8370</v>
      </c>
      <c r="B270" s="0" t="n">
        <v>-100</v>
      </c>
      <c r="C270" s="0" t="n">
        <v>47.55</v>
      </c>
      <c r="D270" s="0" t="s">
        <v>277</v>
      </c>
      <c r="H270" s="8" t="n">
        <f aca="false">IF(ISBLANK(D270),,LEFT(D270,LEN(D270)-6)*1)</f>
        <v>38722.7192708333</v>
      </c>
      <c r="I270" s="9" t="n">
        <f aca="false">IF(ISBLANK(A270),"",-B270*C270)</f>
        <v>4755</v>
      </c>
      <c r="J270" s="9" t="n">
        <f aca="false">IF(ISBLANK(A270),"",-SUM(I$3:I270))</f>
        <v>-9308.76929908324</v>
      </c>
      <c r="K270" s="0" t="n">
        <f aca="false">IF(ISBLANK(A270),"",SUMPRODUCT(O270:R270,T270:W270)-J270)</f>
        <v>933.76929908322</v>
      </c>
      <c r="L270" s="0" t="n">
        <f aca="false">IF(ISBLANK(A270),"",K270/$M$1)</f>
        <v>0.015562821651387</v>
      </c>
      <c r="M270" s="0" t="n">
        <f aca="false">IF(ISBLANK(A270),"",K270/($M$1+SUM(K$3:K269)))</f>
        <v>0.00314861935630734</v>
      </c>
      <c r="N270" s="0" t="n">
        <f aca="false">IF(ISBLANK(A270),"",IF(H271=0,NETWORKDAYS($H$3,H270,holiday!$B$2:$B$10),IF(DAY(H270)&lt;DAY(H271),NETWORKDAYS($H$3,H270,holiday!$B$2:$B$10),0)))</f>
        <v>0</v>
      </c>
      <c r="O270" s="0" t="n">
        <f aca="false">IF(ISBLANK(A270),"",SUMIF($A$3:$A270,O$2,$B$3:$B270))</f>
        <v>400</v>
      </c>
      <c r="P270" s="0" t="n">
        <f aca="false">IF(ISBLANK(A270),"",SUMIF($A$3:$A270,P$2,$B$3:$B270))</f>
        <v>-2900</v>
      </c>
      <c r="Q270" s="0" t="n">
        <f aca="false">IF(ISBLANK(A270),"",SUMIF($A$3:$A270,Q$2,$B$3:$B270))</f>
        <v>600</v>
      </c>
      <c r="R270" s="0" t="n">
        <f aca="false">IF(ISBLANK(A270),"",SUMIF($A$3:$A270,R$2,$B$3:$B270))</f>
        <v>300</v>
      </c>
      <c r="T270" s="0" t="n">
        <f aca="false">IF(ISBLANK(A270),"",IF($A270=T$2,$C270,T269))</f>
        <v>47.55</v>
      </c>
      <c r="U270" s="0" t="n">
        <f aca="false">IF(ISBLANK(A270),"",IF($A270=U$2,$C270,U269))</f>
        <v>22.82</v>
      </c>
      <c r="V270" s="0" t="n">
        <f aca="false">IF(ISBLANK(A270),"",IF($A270=V$2,$C270,V269))</f>
        <v>51.78</v>
      </c>
      <c r="W270" s="0" t="n">
        <f aca="false">IF(ISBLANK(A270),"",IF($A270=W$2,$C270,W269))</f>
        <v>25.7166666666666</v>
      </c>
    </row>
    <row r="271" customFormat="false" ht="12.8" hidden="false" customHeight="false" outlineLevel="0" collapsed="false">
      <c r="A271" s="0" t="n">
        <v>679</v>
      </c>
      <c r="B271" s="0" t="n">
        <v>100</v>
      </c>
      <c r="C271" s="0" t="n">
        <v>52.41</v>
      </c>
      <c r="D271" s="0" t="s">
        <v>278</v>
      </c>
      <c r="H271" s="8" t="n">
        <f aca="false">IF(ISBLANK(D271),,LEFT(D271,LEN(D271)-6)*1)</f>
        <v>38722.7216435185</v>
      </c>
      <c r="I271" s="9" t="n">
        <f aca="false">IF(ISBLANK(A271),"",-B271*C271)</f>
        <v>-5241</v>
      </c>
      <c r="J271" s="9" t="n">
        <f aca="false">IF(ISBLANK(A271),"",-SUM(I$3:I271))</f>
        <v>-4067.76929908324</v>
      </c>
      <c r="K271" s="0" t="n">
        <f aca="false">IF(ISBLANK(A271),"",SUMPRODUCT(O271:R271,T271:W271)-J271)</f>
        <v>1311.76929908322</v>
      </c>
      <c r="L271" s="0" t="n">
        <f aca="false">IF(ISBLANK(A271),"",K271/$M$1)</f>
        <v>0.021862821651387</v>
      </c>
      <c r="M271" s="0" t="n">
        <f aca="false">IF(ISBLANK(A271),"",K271/($M$1+SUM(K$3:K270)))</f>
        <v>0.00440933151765164</v>
      </c>
      <c r="N271" s="0" t="n">
        <f aca="false">IF(ISBLANK(A271),"",IF(H272=0,NETWORKDAYS($H$3,H271,holiday!$B$2:$B$10),IF(DAY(H271)&lt;DAY(H272),NETWORKDAYS($H$3,H271,holiday!$B$2:$B$10),0)))</f>
        <v>0</v>
      </c>
      <c r="O271" s="0" t="n">
        <f aca="false">IF(ISBLANK(A271),"",SUMIF($A$3:$A271,O$2,$B$3:$B271))</f>
        <v>400</v>
      </c>
      <c r="P271" s="0" t="n">
        <f aca="false">IF(ISBLANK(A271),"",SUMIF($A$3:$A271,P$2,$B$3:$B271))</f>
        <v>-2900</v>
      </c>
      <c r="Q271" s="0" t="n">
        <f aca="false">IF(ISBLANK(A271),"",SUMIF($A$3:$A271,Q$2,$B$3:$B271))</f>
        <v>700</v>
      </c>
      <c r="R271" s="0" t="n">
        <f aca="false">IF(ISBLANK(A271),"",SUMIF($A$3:$A271,R$2,$B$3:$B271))</f>
        <v>300</v>
      </c>
      <c r="T271" s="0" t="n">
        <f aca="false">IF(ISBLANK(A271),"",IF($A271=T$2,$C271,T270))</f>
        <v>47.55</v>
      </c>
      <c r="U271" s="0" t="n">
        <f aca="false">IF(ISBLANK(A271),"",IF($A271=U$2,$C271,U270))</f>
        <v>22.82</v>
      </c>
      <c r="V271" s="0" t="n">
        <f aca="false">IF(ISBLANK(A271),"",IF($A271=V$2,$C271,V270))</f>
        <v>52.41</v>
      </c>
      <c r="W271" s="0" t="n">
        <f aca="false">IF(ISBLANK(A271),"",IF($A271=W$2,$C271,W270))</f>
        <v>25.7166666666666</v>
      </c>
    </row>
    <row r="272" customFormat="false" ht="12.8" hidden="false" customHeight="false" outlineLevel="0" collapsed="false">
      <c r="A272" s="0" t="n">
        <v>679</v>
      </c>
      <c r="B272" s="0" t="n">
        <v>100</v>
      </c>
      <c r="C272" s="0" t="n">
        <v>52.43</v>
      </c>
      <c r="D272" s="0" t="s">
        <v>279</v>
      </c>
      <c r="H272" s="8" t="n">
        <f aca="false">IF(ISBLANK(D272),,LEFT(D272,LEN(D272)-6)*1)</f>
        <v>38722.7237268518</v>
      </c>
      <c r="I272" s="9" t="n">
        <f aca="false">IF(ISBLANK(A272),"",-B272*C272)</f>
        <v>-5243</v>
      </c>
      <c r="J272" s="9" t="n">
        <f aca="false">IF(ISBLANK(A272),"",-SUM(I$3:I272))</f>
        <v>1175.23070091676</v>
      </c>
      <c r="K272" s="0" t="n">
        <f aca="false">IF(ISBLANK(A272),"",SUMPRODUCT(O272:R272,T272:W272)-J272)</f>
        <v>1325.76929908322</v>
      </c>
      <c r="L272" s="0" t="n">
        <f aca="false">IF(ISBLANK(A272),"",K272/$M$1)</f>
        <v>0.0220961549847203</v>
      </c>
      <c r="M272" s="0" t="n">
        <f aca="false">IF(ISBLANK(A272),"",K272/($M$1+SUM(K$3:K271)))</f>
        <v>0.00443682714434406</v>
      </c>
      <c r="N272" s="0" t="n">
        <f aca="false">IF(ISBLANK(A272),"",IF(H273=0,NETWORKDAYS($H$3,H272,holiday!$B$2:$B$10),IF(DAY(H272)&lt;DAY(H273),NETWORKDAYS($H$3,H272,holiday!$B$2:$B$10),0)))</f>
        <v>0</v>
      </c>
      <c r="O272" s="0" t="n">
        <f aca="false">IF(ISBLANK(A272),"",SUMIF($A$3:$A272,O$2,$B$3:$B272))</f>
        <v>400</v>
      </c>
      <c r="P272" s="0" t="n">
        <f aca="false">IF(ISBLANK(A272),"",SUMIF($A$3:$A272,P$2,$B$3:$B272))</f>
        <v>-2900</v>
      </c>
      <c r="Q272" s="0" t="n">
        <f aca="false">IF(ISBLANK(A272),"",SUMIF($A$3:$A272,Q$2,$B$3:$B272))</f>
        <v>800</v>
      </c>
      <c r="R272" s="0" t="n">
        <f aca="false">IF(ISBLANK(A272),"",SUMIF($A$3:$A272,R$2,$B$3:$B272))</f>
        <v>300</v>
      </c>
      <c r="T272" s="0" t="n">
        <f aca="false">IF(ISBLANK(A272),"",IF($A272=T$2,$C272,T271))</f>
        <v>47.55</v>
      </c>
      <c r="U272" s="0" t="n">
        <f aca="false">IF(ISBLANK(A272),"",IF($A272=U$2,$C272,U271))</f>
        <v>22.82</v>
      </c>
      <c r="V272" s="0" t="n">
        <f aca="false">IF(ISBLANK(A272),"",IF($A272=V$2,$C272,V271))</f>
        <v>52.43</v>
      </c>
      <c r="W272" s="0" t="n">
        <f aca="false">IF(ISBLANK(A272),"",IF($A272=W$2,$C272,W271))</f>
        <v>25.7166666666666</v>
      </c>
    </row>
    <row r="273" customFormat="false" ht="12.8" hidden="false" customHeight="false" outlineLevel="0" collapsed="false">
      <c r="A273" s="0" t="n">
        <v>679</v>
      </c>
      <c r="B273" s="0" t="n">
        <v>100</v>
      </c>
      <c r="C273" s="0" t="n">
        <v>52.43</v>
      </c>
      <c r="D273" s="0" t="s">
        <v>280</v>
      </c>
      <c r="H273" s="8" t="n">
        <f aca="false">IF(ISBLANK(D273),,LEFT(D273,LEN(D273)-6)*1)</f>
        <v>38722.7262037037</v>
      </c>
      <c r="I273" s="9" t="n">
        <f aca="false">IF(ISBLANK(A273),"",-B273*C273)</f>
        <v>-5243</v>
      </c>
      <c r="J273" s="9" t="n">
        <f aca="false">IF(ISBLANK(A273),"",-SUM(I$3:I273))</f>
        <v>6418.23070091676</v>
      </c>
      <c r="K273" s="0" t="n">
        <f aca="false">IF(ISBLANK(A273),"",SUMPRODUCT(O273:R273,T273:W273)-J273)</f>
        <v>1325.76929908322</v>
      </c>
      <c r="L273" s="0" t="n">
        <f aca="false">IF(ISBLANK(A273),"",K273/$M$1)</f>
        <v>0.0220961549847203</v>
      </c>
      <c r="M273" s="0" t="n">
        <f aca="false">IF(ISBLANK(A273),"",K273/($M$1+SUM(K$3:K272)))</f>
        <v>0.00441722866430351</v>
      </c>
      <c r="N273" s="0" t="n">
        <f aca="false">IF(ISBLANK(A273),"",IF(H274=0,NETWORKDAYS($H$3,H273,holiday!$B$2:$B$10),IF(DAY(H273)&lt;DAY(H274),NETWORKDAYS($H$3,H273,holiday!$B$2:$B$10),0)))</f>
        <v>0</v>
      </c>
      <c r="O273" s="0" t="n">
        <f aca="false">IF(ISBLANK(A273),"",SUMIF($A$3:$A273,O$2,$B$3:$B273))</f>
        <v>400</v>
      </c>
      <c r="P273" s="0" t="n">
        <f aca="false">IF(ISBLANK(A273),"",SUMIF($A$3:$A273,P$2,$B$3:$B273))</f>
        <v>-2900</v>
      </c>
      <c r="Q273" s="0" t="n">
        <f aca="false">IF(ISBLANK(A273),"",SUMIF($A$3:$A273,Q$2,$B$3:$B273))</f>
        <v>900</v>
      </c>
      <c r="R273" s="0" t="n">
        <f aca="false">IF(ISBLANK(A273),"",SUMIF($A$3:$A273,R$2,$B$3:$B273))</f>
        <v>300</v>
      </c>
      <c r="T273" s="0" t="n">
        <f aca="false">IF(ISBLANK(A273),"",IF($A273=T$2,$C273,T272))</f>
        <v>47.55</v>
      </c>
      <c r="U273" s="0" t="n">
        <f aca="false">IF(ISBLANK(A273),"",IF($A273=U$2,$C273,U272))</f>
        <v>22.82</v>
      </c>
      <c r="V273" s="0" t="n">
        <f aca="false">IF(ISBLANK(A273),"",IF($A273=V$2,$C273,V272))</f>
        <v>52.43</v>
      </c>
      <c r="W273" s="0" t="n">
        <f aca="false">IF(ISBLANK(A273),"",IF($A273=W$2,$C273,W272))</f>
        <v>25.7166666666666</v>
      </c>
    </row>
    <row r="274" customFormat="false" ht="12.8" hidden="false" customHeight="false" outlineLevel="0" collapsed="false">
      <c r="A274" s="0" t="n">
        <v>679</v>
      </c>
      <c r="B274" s="0" t="n">
        <v>-100</v>
      </c>
      <c r="C274" s="0" t="n">
        <v>52.4</v>
      </c>
      <c r="D274" s="0" t="s">
        <v>281</v>
      </c>
      <c r="H274" s="8" t="n">
        <f aca="false">IF(ISBLANK(D274),,LEFT(D274,LEN(D274)-6)*1)</f>
        <v>38722.7325462963</v>
      </c>
      <c r="I274" s="9" t="n">
        <f aca="false">IF(ISBLANK(A274),"",-B274*C274)</f>
        <v>5240</v>
      </c>
      <c r="J274" s="9" t="n">
        <f aca="false">IF(ISBLANK(A274),"",-SUM(I$3:I274))</f>
        <v>1178.23070091676</v>
      </c>
      <c r="K274" s="0" t="n">
        <f aca="false">IF(ISBLANK(A274),"",SUMPRODUCT(O274:R274,T274:W274)-J274)</f>
        <v>1298.76929908322</v>
      </c>
      <c r="L274" s="0" t="n">
        <f aca="false">IF(ISBLANK(A274),"",K274/$M$1)</f>
        <v>0.0216461549847203</v>
      </c>
      <c r="M274" s="0" t="n">
        <f aca="false">IF(ISBLANK(A274),"",K274/($M$1+SUM(K$3:K273)))</f>
        <v>0.0043082389662231</v>
      </c>
      <c r="N274" s="0" t="n">
        <f aca="false">IF(ISBLANK(A274),"",IF(H275=0,NETWORKDAYS($H$3,H274,holiday!$B$2:$B$10),IF(DAY(H274)&lt;DAY(H275),NETWORKDAYS($H$3,H274,holiday!$B$2:$B$10),0)))</f>
        <v>0</v>
      </c>
      <c r="O274" s="0" t="n">
        <f aca="false">IF(ISBLANK(A274),"",SUMIF($A$3:$A274,O$2,$B$3:$B274))</f>
        <v>400</v>
      </c>
      <c r="P274" s="0" t="n">
        <f aca="false">IF(ISBLANK(A274),"",SUMIF($A$3:$A274,P$2,$B$3:$B274))</f>
        <v>-2900</v>
      </c>
      <c r="Q274" s="0" t="n">
        <f aca="false">IF(ISBLANK(A274),"",SUMIF($A$3:$A274,Q$2,$B$3:$B274))</f>
        <v>800</v>
      </c>
      <c r="R274" s="0" t="n">
        <f aca="false">IF(ISBLANK(A274),"",SUMIF($A$3:$A274,R$2,$B$3:$B274))</f>
        <v>300</v>
      </c>
      <c r="T274" s="0" t="n">
        <f aca="false">IF(ISBLANK(A274),"",IF($A274=T$2,$C274,T273))</f>
        <v>47.55</v>
      </c>
      <c r="U274" s="0" t="n">
        <f aca="false">IF(ISBLANK(A274),"",IF($A274=U$2,$C274,U273))</f>
        <v>22.82</v>
      </c>
      <c r="V274" s="0" t="n">
        <f aca="false">IF(ISBLANK(A274),"",IF($A274=V$2,$C274,V273))</f>
        <v>52.4</v>
      </c>
      <c r="W274" s="0" t="n">
        <f aca="false">IF(ISBLANK(A274),"",IF($A274=W$2,$C274,W273))</f>
        <v>25.7166666666666</v>
      </c>
    </row>
    <row r="275" customFormat="false" ht="12.8" hidden="false" customHeight="false" outlineLevel="0" collapsed="false">
      <c r="A275" s="0" t="n">
        <v>679</v>
      </c>
      <c r="B275" s="0" t="n">
        <v>-100</v>
      </c>
      <c r="C275" s="0" t="n">
        <v>52.4</v>
      </c>
      <c r="D275" s="0" t="s">
        <v>282</v>
      </c>
      <c r="H275" s="8" t="n">
        <f aca="false">IF(ISBLANK(D275),,LEFT(D275,LEN(D275)-6)*1)</f>
        <v>38722.7327893518</v>
      </c>
      <c r="I275" s="9" t="n">
        <f aca="false">IF(ISBLANK(A275),"",-B275*C275)</f>
        <v>5240</v>
      </c>
      <c r="J275" s="9" t="n">
        <f aca="false">IF(ISBLANK(A275),"",-SUM(I$3:I275))</f>
        <v>-4061.76929908324</v>
      </c>
      <c r="K275" s="0" t="n">
        <f aca="false">IF(ISBLANK(A275),"",SUMPRODUCT(O275:R275,T275:W275)-J275)</f>
        <v>1298.76929908322</v>
      </c>
      <c r="L275" s="0" t="n">
        <f aca="false">IF(ISBLANK(A275),"",K275/$M$1)</f>
        <v>0.0216461549847203</v>
      </c>
      <c r="M275" s="0" t="n">
        <f aca="false">IF(ISBLANK(A275),"",K275/($M$1+SUM(K$3:K274)))</f>
        <v>0.00428975766509469</v>
      </c>
      <c r="N275" s="0" t="n">
        <f aca="false">IF(ISBLANK(A275),"",IF(H276=0,NETWORKDAYS($H$3,H275,holiday!$B$2:$B$10),IF(DAY(H275)&lt;DAY(H276),NETWORKDAYS($H$3,H275,holiday!$B$2:$B$10),0)))</f>
        <v>0</v>
      </c>
      <c r="O275" s="0" t="n">
        <f aca="false">IF(ISBLANK(A275),"",SUMIF($A$3:$A275,O$2,$B$3:$B275))</f>
        <v>400</v>
      </c>
      <c r="P275" s="0" t="n">
        <f aca="false">IF(ISBLANK(A275),"",SUMIF($A$3:$A275,P$2,$B$3:$B275))</f>
        <v>-2900</v>
      </c>
      <c r="Q275" s="0" t="n">
        <f aca="false">IF(ISBLANK(A275),"",SUMIF($A$3:$A275,Q$2,$B$3:$B275))</f>
        <v>700</v>
      </c>
      <c r="R275" s="0" t="n">
        <f aca="false">IF(ISBLANK(A275),"",SUMIF($A$3:$A275,R$2,$B$3:$B275))</f>
        <v>300</v>
      </c>
      <c r="T275" s="0" t="n">
        <f aca="false">IF(ISBLANK(A275),"",IF($A275=T$2,$C275,T274))</f>
        <v>47.55</v>
      </c>
      <c r="U275" s="0" t="n">
        <f aca="false">IF(ISBLANK(A275),"",IF($A275=U$2,$C275,U274))</f>
        <v>22.82</v>
      </c>
      <c r="V275" s="0" t="n">
        <f aca="false">IF(ISBLANK(A275),"",IF($A275=V$2,$C275,V274))</f>
        <v>52.4</v>
      </c>
      <c r="W275" s="0" t="n">
        <f aca="false">IF(ISBLANK(A275),"",IF($A275=W$2,$C275,W274))</f>
        <v>25.7166666666666</v>
      </c>
    </row>
    <row r="276" customFormat="false" ht="12.8" hidden="false" customHeight="false" outlineLevel="0" collapsed="false">
      <c r="A276" s="0" t="n">
        <v>8370</v>
      </c>
      <c r="B276" s="0" t="n">
        <v>-100</v>
      </c>
      <c r="C276" s="0" t="n">
        <v>47.605</v>
      </c>
      <c r="D276" s="0" t="s">
        <v>283</v>
      </c>
      <c r="H276" s="8" t="n">
        <f aca="false">IF(ISBLANK(D276),,LEFT(D276,LEN(D276)-6)*1)</f>
        <v>38722.732974537</v>
      </c>
      <c r="I276" s="9" t="n">
        <f aca="false">IF(ISBLANK(A276),"",-B276*C276)</f>
        <v>4760.5</v>
      </c>
      <c r="J276" s="9" t="n">
        <f aca="false">IF(ISBLANK(A276),"",-SUM(I$3:I276))</f>
        <v>-8822.26929908324</v>
      </c>
      <c r="K276" s="0" t="n">
        <f aca="false">IF(ISBLANK(A276),"",SUMPRODUCT(O276:R276,T276:W276)-J276)</f>
        <v>1320.76929908322</v>
      </c>
      <c r="L276" s="0" t="n">
        <f aca="false">IF(ISBLANK(A276),"",K276/$M$1)</f>
        <v>0.022012821651387</v>
      </c>
      <c r="M276" s="0" t="n">
        <f aca="false">IF(ISBLANK(A276),"",K276/($M$1+SUM(K$3:K275)))</f>
        <v>0.00434378855494771</v>
      </c>
      <c r="N276" s="0" t="n">
        <f aca="false">IF(ISBLANK(A276),"",IF(H277=0,NETWORKDAYS($H$3,H276,holiday!$B$2:$B$10),IF(DAY(H276)&lt;DAY(H277),NETWORKDAYS($H$3,H276,holiday!$B$2:$B$10),0)))</f>
        <v>0</v>
      </c>
      <c r="O276" s="0" t="n">
        <f aca="false">IF(ISBLANK(A276),"",SUMIF($A$3:$A276,O$2,$B$3:$B276))</f>
        <v>300</v>
      </c>
      <c r="P276" s="0" t="n">
        <f aca="false">IF(ISBLANK(A276),"",SUMIF($A$3:$A276,P$2,$B$3:$B276))</f>
        <v>-2900</v>
      </c>
      <c r="Q276" s="0" t="n">
        <f aca="false">IF(ISBLANK(A276),"",SUMIF($A$3:$A276,Q$2,$B$3:$B276))</f>
        <v>700</v>
      </c>
      <c r="R276" s="0" t="n">
        <f aca="false">IF(ISBLANK(A276),"",SUMIF($A$3:$A276,R$2,$B$3:$B276))</f>
        <v>300</v>
      </c>
      <c r="T276" s="0" t="n">
        <f aca="false">IF(ISBLANK(A276),"",IF($A276=T$2,$C276,T275))</f>
        <v>47.605</v>
      </c>
      <c r="U276" s="0" t="n">
        <f aca="false">IF(ISBLANK(A276),"",IF($A276=U$2,$C276,U275))</f>
        <v>22.82</v>
      </c>
      <c r="V276" s="0" t="n">
        <f aca="false">IF(ISBLANK(A276),"",IF($A276=V$2,$C276,V275))</f>
        <v>52.4</v>
      </c>
      <c r="W276" s="0" t="n">
        <f aca="false">IF(ISBLANK(A276),"",IF($A276=W$2,$C276,W275))</f>
        <v>25.7166666666666</v>
      </c>
    </row>
    <row r="277" customFormat="false" ht="12.8" hidden="false" customHeight="false" outlineLevel="0" collapsed="false">
      <c r="A277" s="0" t="n">
        <v>980</v>
      </c>
      <c r="B277" s="0" t="n">
        <v>100</v>
      </c>
      <c r="C277" s="0" t="n">
        <v>22.78</v>
      </c>
      <c r="D277" s="0" t="s">
        <v>284</v>
      </c>
      <c r="H277" s="8" t="n">
        <f aca="false">IF(ISBLANK(D277),,LEFT(D277,LEN(D277)-6)*1)</f>
        <v>38722.7358449074</v>
      </c>
      <c r="I277" s="9" t="n">
        <f aca="false">IF(ISBLANK(A277),"",-B277*C277)</f>
        <v>-2278</v>
      </c>
      <c r="J277" s="9" t="n">
        <f aca="false">IF(ISBLANK(A277),"",-SUM(I$3:I277))</f>
        <v>-6544.26929908324</v>
      </c>
      <c r="K277" s="0" t="n">
        <f aca="false">IF(ISBLANK(A277),"",SUMPRODUCT(O277:R277,T277:W277)-J277)</f>
        <v>1436.76929908322</v>
      </c>
      <c r="L277" s="0" t="n">
        <f aca="false">IF(ISBLANK(A277),"",K277/$M$1)</f>
        <v>0.0239461549847203</v>
      </c>
      <c r="M277" s="0" t="n">
        <f aca="false">IF(ISBLANK(A277),"",K277/($M$1+SUM(K$3:K276)))</f>
        <v>0.00470485618577389</v>
      </c>
      <c r="N277" s="0" t="n">
        <f aca="false">IF(ISBLANK(A277),"",IF(H278=0,NETWORKDAYS($H$3,H277,holiday!$B$2:$B$10),IF(DAY(H277)&lt;DAY(H278),NETWORKDAYS($H$3,H277,holiday!$B$2:$B$10),0)))</f>
        <v>0</v>
      </c>
      <c r="O277" s="0" t="n">
        <f aca="false">IF(ISBLANK(A277),"",SUMIF($A$3:$A277,O$2,$B$3:$B277))</f>
        <v>300</v>
      </c>
      <c r="P277" s="0" t="n">
        <f aca="false">IF(ISBLANK(A277),"",SUMIF($A$3:$A277,P$2,$B$3:$B277))</f>
        <v>-2800</v>
      </c>
      <c r="Q277" s="0" t="n">
        <f aca="false">IF(ISBLANK(A277),"",SUMIF($A$3:$A277,Q$2,$B$3:$B277))</f>
        <v>700</v>
      </c>
      <c r="R277" s="0" t="n">
        <f aca="false">IF(ISBLANK(A277),"",SUMIF($A$3:$A277,R$2,$B$3:$B277))</f>
        <v>300</v>
      </c>
      <c r="T277" s="0" t="n">
        <f aca="false">IF(ISBLANK(A277),"",IF($A277=T$2,$C277,T276))</f>
        <v>47.605</v>
      </c>
      <c r="U277" s="0" t="n">
        <f aca="false">IF(ISBLANK(A277),"",IF($A277=U$2,$C277,U276))</f>
        <v>22.78</v>
      </c>
      <c r="V277" s="0" t="n">
        <f aca="false">IF(ISBLANK(A277),"",IF($A277=V$2,$C277,V276))</f>
        <v>52.4</v>
      </c>
      <c r="W277" s="0" t="n">
        <f aca="false">IF(ISBLANK(A277),"",IF($A277=W$2,$C277,W276))</f>
        <v>25.7166666666666</v>
      </c>
    </row>
    <row r="278" customFormat="false" ht="12.8" hidden="false" customHeight="false" outlineLevel="0" collapsed="false">
      <c r="A278" s="0" t="n">
        <v>8370</v>
      </c>
      <c r="B278" s="0" t="n">
        <v>100</v>
      </c>
      <c r="C278" s="0" t="n">
        <v>47.555</v>
      </c>
      <c r="D278" s="0" t="s">
        <v>285</v>
      </c>
      <c r="H278" s="8" t="n">
        <f aca="false">IF(ISBLANK(D278),,LEFT(D278,LEN(D278)-6)*1)</f>
        <v>38722.7398263889</v>
      </c>
      <c r="I278" s="9" t="n">
        <f aca="false">IF(ISBLANK(A278),"",-B278*C278)</f>
        <v>-4755.5</v>
      </c>
      <c r="J278" s="9" t="n">
        <f aca="false">IF(ISBLANK(A278),"",-SUM(I$3:I278))</f>
        <v>-1788.76929908324</v>
      </c>
      <c r="K278" s="0" t="n">
        <f aca="false">IF(ISBLANK(A278),"",SUMPRODUCT(O278:R278,T278:W278)-J278)</f>
        <v>1421.76929908322</v>
      </c>
      <c r="L278" s="0" t="n">
        <f aca="false">IF(ISBLANK(A278),"",K278/$M$1)</f>
        <v>0.0236961549847203</v>
      </c>
      <c r="M278" s="0" t="n">
        <f aca="false">IF(ISBLANK(A278),"",K278/($M$1+SUM(K$3:K277)))</f>
        <v>0.00463393506827928</v>
      </c>
      <c r="N278" s="0" t="n">
        <f aca="false">IF(ISBLANK(A278),"",IF(H279=0,NETWORKDAYS($H$3,H278,holiday!$B$2:$B$10),IF(DAY(H278)&lt;DAY(H279),NETWORKDAYS($H$3,H278,holiday!$B$2:$B$10),0)))</f>
        <v>0</v>
      </c>
      <c r="O278" s="0" t="n">
        <f aca="false">IF(ISBLANK(A278),"",SUMIF($A$3:$A278,O$2,$B$3:$B278))</f>
        <v>400</v>
      </c>
      <c r="P278" s="0" t="n">
        <f aca="false">IF(ISBLANK(A278),"",SUMIF($A$3:$A278,P$2,$B$3:$B278))</f>
        <v>-2800</v>
      </c>
      <c r="Q278" s="0" t="n">
        <f aca="false">IF(ISBLANK(A278),"",SUMIF($A$3:$A278,Q$2,$B$3:$B278))</f>
        <v>700</v>
      </c>
      <c r="R278" s="0" t="n">
        <f aca="false">IF(ISBLANK(A278),"",SUMIF($A$3:$A278,R$2,$B$3:$B278))</f>
        <v>300</v>
      </c>
      <c r="T278" s="0" t="n">
        <f aca="false">IF(ISBLANK(A278),"",IF($A278=T$2,$C278,T277))</f>
        <v>47.555</v>
      </c>
      <c r="U278" s="0" t="n">
        <f aca="false">IF(ISBLANK(A278),"",IF($A278=U$2,$C278,U277))</f>
        <v>22.78</v>
      </c>
      <c r="V278" s="0" t="n">
        <f aca="false">IF(ISBLANK(A278),"",IF($A278=V$2,$C278,V277))</f>
        <v>52.4</v>
      </c>
      <c r="W278" s="0" t="n">
        <f aca="false">IF(ISBLANK(A278),"",IF($A278=W$2,$C278,W277))</f>
        <v>25.7166666666666</v>
      </c>
    </row>
    <row r="279" customFormat="false" ht="12.8" hidden="false" customHeight="false" outlineLevel="0" collapsed="false">
      <c r="A279" s="0" t="n">
        <v>8370</v>
      </c>
      <c r="B279" s="0" t="n">
        <v>-100</v>
      </c>
      <c r="C279" s="0" t="n">
        <v>47.43</v>
      </c>
      <c r="D279" s="0" t="s">
        <v>286</v>
      </c>
      <c r="H279" s="8" t="n">
        <f aca="false">IF(ISBLANK(D279),,LEFT(D279,LEN(D279)-6)*1)</f>
        <v>38722.759224537</v>
      </c>
      <c r="I279" s="9" t="n">
        <f aca="false">IF(ISBLANK(A279),"",-B279*C279)</f>
        <v>4743</v>
      </c>
      <c r="J279" s="9" t="n">
        <f aca="false">IF(ISBLANK(A279),"",-SUM(I$3:I279))</f>
        <v>-6531.76929908324</v>
      </c>
      <c r="K279" s="0" t="n">
        <f aca="false">IF(ISBLANK(A279),"",SUMPRODUCT(O279:R279,T279:W279)-J279)</f>
        <v>1371.76929908322</v>
      </c>
      <c r="L279" s="0" t="n">
        <f aca="false">IF(ISBLANK(A279),"",K279/$M$1)</f>
        <v>0.022862821651387</v>
      </c>
      <c r="M279" s="0" t="n">
        <f aca="false">IF(ISBLANK(A279),"",K279/($M$1+SUM(K$3:K278)))</f>
        <v>0.00445034876366255</v>
      </c>
      <c r="N279" s="0" t="n">
        <f aca="false">IF(ISBLANK(A279),"",IF(H280=0,NETWORKDAYS($H$3,H279,holiday!$B$2:$B$10),IF(DAY(H279)&lt;DAY(H280),NETWORKDAYS($H$3,H279,holiday!$B$2:$B$10),0)))</f>
        <v>0</v>
      </c>
      <c r="O279" s="0" t="n">
        <f aca="false">IF(ISBLANK(A279),"",SUMIF($A$3:$A279,O$2,$B$3:$B279))</f>
        <v>300</v>
      </c>
      <c r="P279" s="0" t="n">
        <f aca="false">IF(ISBLANK(A279),"",SUMIF($A$3:$A279,P$2,$B$3:$B279))</f>
        <v>-2800</v>
      </c>
      <c r="Q279" s="0" t="n">
        <f aca="false">IF(ISBLANK(A279),"",SUMIF($A$3:$A279,Q$2,$B$3:$B279))</f>
        <v>700</v>
      </c>
      <c r="R279" s="0" t="n">
        <f aca="false">IF(ISBLANK(A279),"",SUMIF($A$3:$A279,R$2,$B$3:$B279))</f>
        <v>300</v>
      </c>
      <c r="T279" s="0" t="n">
        <f aca="false">IF(ISBLANK(A279),"",IF($A279=T$2,$C279,T278))</f>
        <v>47.43</v>
      </c>
      <c r="U279" s="0" t="n">
        <f aca="false">IF(ISBLANK(A279),"",IF($A279=U$2,$C279,U278))</f>
        <v>22.78</v>
      </c>
      <c r="V279" s="0" t="n">
        <f aca="false">IF(ISBLANK(A279),"",IF($A279=V$2,$C279,V278))</f>
        <v>52.4</v>
      </c>
      <c r="W279" s="0" t="n">
        <f aca="false">IF(ISBLANK(A279),"",IF($A279=W$2,$C279,W278))</f>
        <v>25.7166666666666</v>
      </c>
    </row>
    <row r="280" customFormat="false" ht="12.8" hidden="false" customHeight="false" outlineLevel="0" collapsed="false">
      <c r="A280" s="0" t="n">
        <v>8370</v>
      </c>
      <c r="B280" s="0" t="n">
        <v>-100</v>
      </c>
      <c r="C280" s="0" t="n">
        <v>47.24</v>
      </c>
      <c r="D280" s="0" t="s">
        <v>287</v>
      </c>
      <c r="H280" s="8" t="n">
        <f aca="false">IF(ISBLANK(D280),,LEFT(D280,LEN(D280)-6)*1)</f>
        <v>38722.7594097222</v>
      </c>
      <c r="I280" s="9" t="n">
        <f aca="false">IF(ISBLANK(A280),"",-B280*C280)</f>
        <v>4724</v>
      </c>
      <c r="J280" s="9" t="n">
        <f aca="false">IF(ISBLANK(A280),"",-SUM(I$3:I280))</f>
        <v>-11255.7692990832</v>
      </c>
      <c r="K280" s="0" t="n">
        <f aca="false">IF(ISBLANK(A280),"",SUMPRODUCT(O280:R280,T280:W280)-J280)</f>
        <v>1314.76929908322</v>
      </c>
      <c r="L280" s="0" t="n">
        <f aca="false">IF(ISBLANK(A280),"",K280/$M$1)</f>
        <v>0.021912821651387</v>
      </c>
      <c r="M280" s="0" t="n">
        <f aca="false">IF(ISBLANK(A280),"",K280/($M$1+SUM(K$3:K279)))</f>
        <v>0.00424652855335736</v>
      </c>
      <c r="N280" s="0" t="n">
        <f aca="false">IF(ISBLANK(A280),"",IF(H281=0,NETWORKDAYS($H$3,H280,holiday!$B$2:$B$10),IF(DAY(H280)&lt;DAY(H281),NETWORKDAYS($H$3,H280,holiday!$B$2:$B$10),0)))</f>
        <v>0</v>
      </c>
      <c r="O280" s="0" t="n">
        <f aca="false">IF(ISBLANK(A280),"",SUMIF($A$3:$A280,O$2,$B$3:$B280))</f>
        <v>200</v>
      </c>
      <c r="P280" s="0" t="n">
        <f aca="false">IF(ISBLANK(A280),"",SUMIF($A$3:$A280,P$2,$B$3:$B280))</f>
        <v>-2800</v>
      </c>
      <c r="Q280" s="0" t="n">
        <f aca="false">IF(ISBLANK(A280),"",SUMIF($A$3:$A280,Q$2,$B$3:$B280))</f>
        <v>700</v>
      </c>
      <c r="R280" s="0" t="n">
        <f aca="false">IF(ISBLANK(A280),"",SUMIF($A$3:$A280,R$2,$B$3:$B280))</f>
        <v>300</v>
      </c>
      <c r="T280" s="0" t="n">
        <f aca="false">IF(ISBLANK(A280),"",IF($A280=T$2,$C280,T279))</f>
        <v>47.24</v>
      </c>
      <c r="U280" s="0" t="n">
        <f aca="false">IF(ISBLANK(A280),"",IF($A280=U$2,$C280,U279))</f>
        <v>22.78</v>
      </c>
      <c r="V280" s="0" t="n">
        <f aca="false">IF(ISBLANK(A280),"",IF($A280=V$2,$C280,V279))</f>
        <v>52.4</v>
      </c>
      <c r="W280" s="0" t="n">
        <f aca="false">IF(ISBLANK(A280),"",IF($A280=W$2,$C280,W279))</f>
        <v>25.7166666666666</v>
      </c>
    </row>
    <row r="281" customFormat="false" ht="12.8" hidden="false" customHeight="false" outlineLevel="0" collapsed="false">
      <c r="A281" s="0" t="n">
        <v>980</v>
      </c>
      <c r="B281" s="0" t="n">
        <v>100</v>
      </c>
      <c r="C281" s="0" t="n">
        <v>22.69</v>
      </c>
      <c r="D281" s="0" t="s">
        <v>288</v>
      </c>
      <c r="H281" s="8" t="n">
        <f aca="false">IF(ISBLANK(D281),,LEFT(D281,LEN(D281)-6)*1)</f>
        <v>38722.7615509259</v>
      </c>
      <c r="I281" s="9" t="n">
        <f aca="false">IF(ISBLANK(A281),"",-B281*C281)</f>
        <v>-2269</v>
      </c>
      <c r="J281" s="9" t="n">
        <f aca="false">IF(ISBLANK(A281),"",-SUM(I$3:I281))</f>
        <v>-8986.76929908324</v>
      </c>
      <c r="K281" s="0" t="n">
        <f aca="false">IF(ISBLANK(A281),"",SUMPRODUCT(O281:R281,T281:W281)-J281)</f>
        <v>1566.76929908322</v>
      </c>
      <c r="L281" s="0" t="n">
        <f aca="false">IF(ISBLANK(A281),"",K281/$M$1)</f>
        <v>0.026112821651387</v>
      </c>
      <c r="M281" s="0" t="n">
        <f aca="false">IF(ISBLANK(A281),"",K281/($M$1+SUM(K$3:K280)))</f>
        <v>0.00503905626917237</v>
      </c>
      <c r="N281" s="0" t="n">
        <f aca="false">IF(ISBLANK(A281),"",IF(H282=0,NETWORKDAYS($H$3,H281,holiday!$B$2:$B$10),IF(DAY(H281)&lt;DAY(H282),NETWORKDAYS($H$3,H281,holiday!$B$2:$B$10),0)))</f>
        <v>0</v>
      </c>
      <c r="O281" s="0" t="n">
        <f aca="false">IF(ISBLANK(A281),"",SUMIF($A$3:$A281,O$2,$B$3:$B281))</f>
        <v>200</v>
      </c>
      <c r="P281" s="0" t="n">
        <f aca="false">IF(ISBLANK(A281),"",SUMIF($A$3:$A281,P$2,$B$3:$B281))</f>
        <v>-2700</v>
      </c>
      <c r="Q281" s="0" t="n">
        <f aca="false">IF(ISBLANK(A281),"",SUMIF($A$3:$A281,Q$2,$B$3:$B281))</f>
        <v>700</v>
      </c>
      <c r="R281" s="0" t="n">
        <f aca="false">IF(ISBLANK(A281),"",SUMIF($A$3:$A281,R$2,$B$3:$B281))</f>
        <v>300</v>
      </c>
      <c r="T281" s="0" t="n">
        <f aca="false">IF(ISBLANK(A281),"",IF($A281=T$2,$C281,T280))</f>
        <v>47.24</v>
      </c>
      <c r="U281" s="0" t="n">
        <f aca="false">IF(ISBLANK(A281),"",IF($A281=U$2,$C281,U280))</f>
        <v>22.69</v>
      </c>
      <c r="V281" s="0" t="n">
        <f aca="false">IF(ISBLANK(A281),"",IF($A281=V$2,$C281,V280))</f>
        <v>52.4</v>
      </c>
      <c r="W281" s="0" t="n">
        <f aca="false">IF(ISBLANK(A281),"",IF($A281=W$2,$C281,W280))</f>
        <v>25.7166666666666</v>
      </c>
    </row>
    <row r="282" customFormat="false" ht="12.8" hidden="false" customHeight="false" outlineLevel="0" collapsed="false">
      <c r="A282" s="0" t="n">
        <v>980</v>
      </c>
      <c r="B282" s="0" t="n">
        <v>100</v>
      </c>
      <c r="C282" s="0" t="n">
        <v>22.69</v>
      </c>
      <c r="D282" s="0" t="s">
        <v>289</v>
      </c>
      <c r="H282" s="8" t="n">
        <f aca="false">IF(ISBLANK(D282),,LEFT(D282,LEN(D282)-6)*1)</f>
        <v>38722.7621527778</v>
      </c>
      <c r="I282" s="9" t="n">
        <f aca="false">IF(ISBLANK(A282),"",-B282*C282)</f>
        <v>-2269</v>
      </c>
      <c r="J282" s="9" t="n">
        <f aca="false">IF(ISBLANK(A282),"",-SUM(I$3:I282))</f>
        <v>-6717.76929908324</v>
      </c>
      <c r="K282" s="0" t="n">
        <f aca="false">IF(ISBLANK(A282),"",SUMPRODUCT(O282:R282,T282:W282)-J282)</f>
        <v>1566.76929908322</v>
      </c>
      <c r="L282" s="0" t="n">
        <f aca="false">IF(ISBLANK(A282),"",K282/$M$1)</f>
        <v>0.026112821651387</v>
      </c>
      <c r="M282" s="0" t="n">
        <f aca="false">IF(ISBLANK(A282),"",K282/($M$1+SUM(K$3:K281)))</f>
        <v>0.00501379149172367</v>
      </c>
      <c r="N282" s="0" t="n">
        <f aca="false">IF(ISBLANK(A282),"",IF(H283=0,NETWORKDAYS($H$3,H282,holiday!$B$2:$B$10),IF(DAY(H282)&lt;DAY(H283),NETWORKDAYS($H$3,H282,holiday!$B$2:$B$10),0)))</f>
        <v>0</v>
      </c>
      <c r="O282" s="0" t="n">
        <f aca="false">IF(ISBLANK(A282),"",SUMIF($A$3:$A282,O$2,$B$3:$B282))</f>
        <v>200</v>
      </c>
      <c r="P282" s="0" t="n">
        <f aca="false">IF(ISBLANK(A282),"",SUMIF($A$3:$A282,P$2,$B$3:$B282))</f>
        <v>-2600</v>
      </c>
      <c r="Q282" s="0" t="n">
        <f aca="false">IF(ISBLANK(A282),"",SUMIF($A$3:$A282,Q$2,$B$3:$B282))</f>
        <v>700</v>
      </c>
      <c r="R282" s="0" t="n">
        <f aca="false">IF(ISBLANK(A282),"",SUMIF($A$3:$A282,R$2,$B$3:$B282))</f>
        <v>300</v>
      </c>
      <c r="T282" s="0" t="n">
        <f aca="false">IF(ISBLANK(A282),"",IF($A282=T$2,$C282,T281))</f>
        <v>47.24</v>
      </c>
      <c r="U282" s="0" t="n">
        <f aca="false">IF(ISBLANK(A282),"",IF($A282=U$2,$C282,U281))</f>
        <v>22.69</v>
      </c>
      <c r="V282" s="0" t="n">
        <f aca="false">IF(ISBLANK(A282),"",IF($A282=V$2,$C282,V281))</f>
        <v>52.4</v>
      </c>
      <c r="W282" s="0" t="n">
        <f aca="false">IF(ISBLANK(A282),"",IF($A282=W$2,$C282,W281))</f>
        <v>25.7166666666666</v>
      </c>
    </row>
    <row r="283" customFormat="false" ht="12.8" hidden="false" customHeight="false" outlineLevel="0" collapsed="false">
      <c r="A283" s="0" t="n">
        <v>679</v>
      </c>
      <c r="B283" s="0" t="n">
        <v>-100</v>
      </c>
      <c r="C283" s="0" t="n">
        <v>52.575</v>
      </c>
      <c r="D283" s="0" t="s">
        <v>290</v>
      </c>
      <c r="H283" s="8" t="n">
        <f aca="false">IF(ISBLANK(D283),,LEFT(D283,LEN(D283)-6)*1)</f>
        <v>38722.7916898148</v>
      </c>
      <c r="I283" s="9" t="n">
        <f aca="false">IF(ISBLANK(A283),"",-B283*C283)</f>
        <v>5257.5</v>
      </c>
      <c r="J283" s="9" t="n">
        <f aca="false">IF(ISBLANK(A283),"",-SUM(I$3:I283))</f>
        <v>-11975.2692990832</v>
      </c>
      <c r="K283" s="0" t="n">
        <f aca="false">IF(ISBLANK(A283),"",SUMPRODUCT(O283:R283,T283:W283)-J283)</f>
        <v>1689.26929908322</v>
      </c>
      <c r="L283" s="0" t="n">
        <f aca="false">IF(ISBLANK(A283),"",K283/$M$1)</f>
        <v>0.0281544883180537</v>
      </c>
      <c r="M283" s="0" t="n">
        <f aca="false">IF(ISBLANK(A283),"",K283/($M$1+SUM(K$3:K282)))</f>
        <v>0.00537883328663731</v>
      </c>
      <c r="N283" s="0" t="n">
        <f aca="false">IF(ISBLANK(A283),"",IF(H284=0,NETWORKDAYS($H$3,H283,holiday!$B$2:$B$10),IF(DAY(H283)&lt;DAY(H284),NETWORKDAYS($H$3,H283,holiday!$B$2:$B$10),0)))</f>
        <v>0</v>
      </c>
      <c r="O283" s="0" t="n">
        <f aca="false">IF(ISBLANK(A283),"",SUMIF($A$3:$A283,O$2,$B$3:$B283))</f>
        <v>200</v>
      </c>
      <c r="P283" s="0" t="n">
        <f aca="false">IF(ISBLANK(A283),"",SUMIF($A$3:$A283,P$2,$B$3:$B283))</f>
        <v>-2600</v>
      </c>
      <c r="Q283" s="0" t="n">
        <f aca="false">IF(ISBLANK(A283),"",SUMIF($A$3:$A283,Q$2,$B$3:$B283))</f>
        <v>600</v>
      </c>
      <c r="R283" s="0" t="n">
        <f aca="false">IF(ISBLANK(A283),"",SUMIF($A$3:$A283,R$2,$B$3:$B283))</f>
        <v>300</v>
      </c>
      <c r="T283" s="0" t="n">
        <f aca="false">IF(ISBLANK(A283),"",IF($A283=T$2,$C283,T282))</f>
        <v>47.24</v>
      </c>
      <c r="U283" s="0" t="n">
        <f aca="false">IF(ISBLANK(A283),"",IF($A283=U$2,$C283,U282))</f>
        <v>22.69</v>
      </c>
      <c r="V283" s="0" t="n">
        <f aca="false">IF(ISBLANK(A283),"",IF($A283=V$2,$C283,V282))</f>
        <v>52.575</v>
      </c>
      <c r="W283" s="0" t="n">
        <f aca="false">IF(ISBLANK(A283),"",IF($A283=W$2,$C283,W282))</f>
        <v>25.7166666666666</v>
      </c>
    </row>
    <row r="284" customFormat="false" ht="12.8" hidden="false" customHeight="false" outlineLevel="0" collapsed="false">
      <c r="A284" s="0" t="n">
        <v>980</v>
      </c>
      <c r="B284" s="0" t="n">
        <v>100</v>
      </c>
      <c r="C284" s="0" t="n">
        <v>22.59</v>
      </c>
      <c r="D284" s="0" t="s">
        <v>291</v>
      </c>
      <c r="H284" s="8" t="n">
        <f aca="false">IF(ISBLANK(D284),,LEFT(D284,LEN(D284)-6)*1)</f>
        <v>38722.7954282407</v>
      </c>
      <c r="I284" s="9" t="n">
        <f aca="false">IF(ISBLANK(A284),"",-B284*C284)</f>
        <v>-2259</v>
      </c>
      <c r="J284" s="9" t="n">
        <f aca="false">IF(ISBLANK(A284),"",-SUM(I$3:I284))</f>
        <v>-9716.26929908324</v>
      </c>
      <c r="K284" s="0" t="n">
        <f aca="false">IF(ISBLANK(A284),"",SUMPRODUCT(O284:R284,T284:W284)-J284)</f>
        <v>1949.26929908322</v>
      </c>
      <c r="L284" s="0" t="n">
        <f aca="false">IF(ISBLANK(A284),"",K284/$M$1)</f>
        <v>0.032487821651387</v>
      </c>
      <c r="M284" s="0" t="n">
        <f aca="false">IF(ISBLANK(A284),"",K284/($M$1+SUM(K$3:K283)))</f>
        <v>0.00617349782868254</v>
      </c>
      <c r="N284" s="0" t="n">
        <f aca="false">IF(ISBLANK(A284),"",IF(H285=0,NETWORKDAYS($H$3,H284,holiday!$B$2:$B$10),IF(DAY(H284)&lt;DAY(H285),NETWORKDAYS($H$3,H284,holiday!$B$2:$B$10),0)))</f>
        <v>0</v>
      </c>
      <c r="O284" s="0" t="n">
        <f aca="false">IF(ISBLANK(A284),"",SUMIF($A$3:$A284,O$2,$B$3:$B284))</f>
        <v>200</v>
      </c>
      <c r="P284" s="0" t="n">
        <f aca="false">IF(ISBLANK(A284),"",SUMIF($A$3:$A284,P$2,$B$3:$B284))</f>
        <v>-2500</v>
      </c>
      <c r="Q284" s="0" t="n">
        <f aca="false">IF(ISBLANK(A284),"",SUMIF($A$3:$A284,Q$2,$B$3:$B284))</f>
        <v>600</v>
      </c>
      <c r="R284" s="0" t="n">
        <f aca="false">IF(ISBLANK(A284),"",SUMIF($A$3:$A284,R$2,$B$3:$B284))</f>
        <v>300</v>
      </c>
      <c r="T284" s="0" t="n">
        <f aca="false">IF(ISBLANK(A284),"",IF($A284=T$2,$C284,T283))</f>
        <v>47.24</v>
      </c>
      <c r="U284" s="0" t="n">
        <f aca="false">IF(ISBLANK(A284),"",IF($A284=U$2,$C284,U283))</f>
        <v>22.59</v>
      </c>
      <c r="V284" s="0" t="n">
        <f aca="false">IF(ISBLANK(A284),"",IF($A284=V$2,$C284,V283))</f>
        <v>52.575</v>
      </c>
      <c r="W284" s="0" t="n">
        <f aca="false">IF(ISBLANK(A284),"",IF($A284=W$2,$C284,W283))</f>
        <v>25.7166666666666</v>
      </c>
    </row>
    <row r="285" customFormat="false" ht="12.8" hidden="false" customHeight="false" outlineLevel="0" collapsed="false">
      <c r="A285" s="0" t="n">
        <v>980</v>
      </c>
      <c r="B285" s="0" t="n">
        <v>100</v>
      </c>
      <c r="C285" s="0" t="n">
        <v>22.6</v>
      </c>
      <c r="D285" s="0" t="s">
        <v>292</v>
      </c>
      <c r="H285" s="8" t="n">
        <f aca="false">IF(ISBLANK(D285),,LEFT(D285,LEN(D285)-6)*1)</f>
        <v>38722.7961226852</v>
      </c>
      <c r="I285" s="9" t="n">
        <f aca="false">IF(ISBLANK(A285),"",-B285*C285)</f>
        <v>-2260</v>
      </c>
      <c r="J285" s="9" t="n">
        <f aca="false">IF(ISBLANK(A285),"",-SUM(I$3:I285))</f>
        <v>-7456.26929908324</v>
      </c>
      <c r="K285" s="0" t="n">
        <f aca="false">IF(ISBLANK(A285),"",SUMPRODUCT(O285:R285,T285:W285)-J285)</f>
        <v>1924.26929908322</v>
      </c>
      <c r="L285" s="0" t="n">
        <f aca="false">IF(ISBLANK(A285),"",K285/$M$1)</f>
        <v>0.0320711549847203</v>
      </c>
      <c r="M285" s="0" t="n">
        <f aca="false">IF(ISBLANK(A285),"",K285/($M$1+SUM(K$3:K284)))</f>
        <v>0.00605692831769556</v>
      </c>
      <c r="N285" s="0" t="n">
        <f aca="false">IF(ISBLANK(A285),"",IF(H286=0,NETWORKDAYS($H$3,H285,holiday!$B$2:$B$10),IF(DAY(H285)&lt;DAY(H286),NETWORKDAYS($H$3,H285,holiday!$B$2:$B$10),0)))</f>
        <v>0</v>
      </c>
      <c r="O285" s="0" t="n">
        <f aca="false">IF(ISBLANK(A285),"",SUMIF($A$3:$A285,O$2,$B$3:$B285))</f>
        <v>200</v>
      </c>
      <c r="P285" s="0" t="n">
        <f aca="false">IF(ISBLANK(A285),"",SUMIF($A$3:$A285,P$2,$B$3:$B285))</f>
        <v>-2400</v>
      </c>
      <c r="Q285" s="0" t="n">
        <f aca="false">IF(ISBLANK(A285),"",SUMIF($A$3:$A285,Q$2,$B$3:$B285))</f>
        <v>600</v>
      </c>
      <c r="R285" s="0" t="n">
        <f aca="false">IF(ISBLANK(A285),"",SUMIF($A$3:$A285,R$2,$B$3:$B285))</f>
        <v>300</v>
      </c>
      <c r="T285" s="0" t="n">
        <f aca="false">IF(ISBLANK(A285),"",IF($A285=T$2,$C285,T284))</f>
        <v>47.24</v>
      </c>
      <c r="U285" s="0" t="n">
        <f aca="false">IF(ISBLANK(A285),"",IF($A285=U$2,$C285,U284))</f>
        <v>22.6</v>
      </c>
      <c r="V285" s="0" t="n">
        <f aca="false">IF(ISBLANK(A285),"",IF($A285=V$2,$C285,V284))</f>
        <v>52.575</v>
      </c>
      <c r="W285" s="0" t="n">
        <f aca="false">IF(ISBLANK(A285),"",IF($A285=W$2,$C285,W284))</f>
        <v>25.7166666666666</v>
      </c>
    </row>
    <row r="286" customFormat="false" ht="12.8" hidden="false" customHeight="false" outlineLevel="0" collapsed="false">
      <c r="A286" s="0" t="n">
        <v>8370</v>
      </c>
      <c r="B286" s="0" t="n">
        <v>-100</v>
      </c>
      <c r="C286" s="0" t="n">
        <v>47.62</v>
      </c>
      <c r="D286" s="0" t="s">
        <v>293</v>
      </c>
      <c r="H286" s="8" t="n">
        <f aca="false">IF(ISBLANK(D286),,LEFT(D286,LEN(D286)-6)*1)</f>
        <v>38722.7977430556</v>
      </c>
      <c r="I286" s="9" t="n">
        <f aca="false">IF(ISBLANK(A286),"",-B286*C286)</f>
        <v>4762</v>
      </c>
      <c r="J286" s="9" t="n">
        <f aca="false">IF(ISBLANK(A286),"",-SUM(I$3:I286))</f>
        <v>-12218.2692990832</v>
      </c>
      <c r="K286" s="0" t="n">
        <f aca="false">IF(ISBLANK(A286),"",SUMPRODUCT(O286:R286,T286:W286)-J286)</f>
        <v>2000.26929908322</v>
      </c>
      <c r="L286" s="0" t="n">
        <f aca="false">IF(ISBLANK(A286),"",K286/$M$1)</f>
        <v>0.033337821651387</v>
      </c>
      <c r="M286" s="0" t="n">
        <f aca="false">IF(ISBLANK(A286),"",K286/($M$1+SUM(K$3:K285)))</f>
        <v>0.00625824406330845</v>
      </c>
      <c r="N286" s="0" t="n">
        <f aca="false">IF(ISBLANK(A286),"",IF(H287=0,NETWORKDAYS($H$3,H286,holiday!$B$2:$B$10),IF(DAY(H286)&lt;DAY(H287),NETWORKDAYS($H$3,H286,holiday!$B$2:$B$10),0)))</f>
        <v>0</v>
      </c>
      <c r="O286" s="0" t="n">
        <f aca="false">IF(ISBLANK(A286),"",SUMIF($A$3:$A286,O$2,$B$3:$B286))</f>
        <v>100</v>
      </c>
      <c r="P286" s="0" t="n">
        <f aca="false">IF(ISBLANK(A286),"",SUMIF($A$3:$A286,P$2,$B$3:$B286))</f>
        <v>-2400</v>
      </c>
      <c r="Q286" s="0" t="n">
        <f aca="false">IF(ISBLANK(A286),"",SUMIF($A$3:$A286,Q$2,$B$3:$B286))</f>
        <v>600</v>
      </c>
      <c r="R286" s="0" t="n">
        <f aca="false">IF(ISBLANK(A286),"",SUMIF($A$3:$A286,R$2,$B$3:$B286))</f>
        <v>300</v>
      </c>
      <c r="T286" s="0" t="n">
        <f aca="false">IF(ISBLANK(A286),"",IF($A286=T$2,$C286,T285))</f>
        <v>47.62</v>
      </c>
      <c r="U286" s="0" t="n">
        <f aca="false">IF(ISBLANK(A286),"",IF($A286=U$2,$C286,U285))</f>
        <v>22.6</v>
      </c>
      <c r="V286" s="0" t="n">
        <f aca="false">IF(ISBLANK(A286),"",IF($A286=V$2,$C286,V285))</f>
        <v>52.575</v>
      </c>
      <c r="W286" s="0" t="n">
        <f aca="false">IF(ISBLANK(A286),"",IF($A286=W$2,$C286,W285))</f>
        <v>25.7166666666666</v>
      </c>
    </row>
    <row r="287" customFormat="false" ht="12.8" hidden="false" customHeight="false" outlineLevel="0" collapsed="false">
      <c r="A287" s="0" t="n">
        <v>980</v>
      </c>
      <c r="B287" s="0" t="n">
        <v>100</v>
      </c>
      <c r="C287" s="0" t="n">
        <v>22.6</v>
      </c>
      <c r="D287" s="0" t="s">
        <v>294</v>
      </c>
      <c r="H287" s="8" t="n">
        <f aca="false">IF(ISBLANK(D287),,LEFT(D287,LEN(D287)-6)*1)</f>
        <v>38722.8100115741</v>
      </c>
      <c r="I287" s="9" t="n">
        <f aca="false">IF(ISBLANK(A287),"",-B287*C287)</f>
        <v>-2260</v>
      </c>
      <c r="J287" s="9" t="n">
        <f aca="false">IF(ISBLANK(A287),"",-SUM(I$3:I287))</f>
        <v>-9958.26929908324</v>
      </c>
      <c r="K287" s="0" t="n">
        <f aca="false">IF(ISBLANK(A287),"",SUMPRODUCT(O287:R287,T287:W287)-J287)</f>
        <v>2000.26929908322</v>
      </c>
      <c r="L287" s="0" t="n">
        <f aca="false">IF(ISBLANK(A287),"",K287/$M$1)</f>
        <v>0.033337821651387</v>
      </c>
      <c r="M287" s="0" t="n">
        <f aca="false">IF(ISBLANK(A287),"",K287/($M$1+SUM(K$3:K286)))</f>
        <v>0.00621932202814799</v>
      </c>
      <c r="N287" s="0" t="n">
        <f aca="false">IF(ISBLANK(A287),"",IF(H288=0,NETWORKDAYS($H$3,H287,holiday!$B$2:$B$10),IF(DAY(H287)&lt;DAY(H288),NETWORKDAYS($H$3,H287,holiday!$B$2:$B$10),0)))</f>
        <v>0</v>
      </c>
      <c r="O287" s="0" t="n">
        <f aca="false">IF(ISBLANK(A287),"",SUMIF($A$3:$A287,O$2,$B$3:$B287))</f>
        <v>100</v>
      </c>
      <c r="P287" s="0" t="n">
        <f aca="false">IF(ISBLANK(A287),"",SUMIF($A$3:$A287,P$2,$B$3:$B287))</f>
        <v>-2300</v>
      </c>
      <c r="Q287" s="0" t="n">
        <f aca="false">IF(ISBLANK(A287),"",SUMIF($A$3:$A287,Q$2,$B$3:$B287))</f>
        <v>600</v>
      </c>
      <c r="R287" s="0" t="n">
        <f aca="false">IF(ISBLANK(A287),"",SUMIF($A$3:$A287,R$2,$B$3:$B287))</f>
        <v>300</v>
      </c>
      <c r="T287" s="0" t="n">
        <f aca="false">IF(ISBLANK(A287),"",IF($A287=T$2,$C287,T286))</f>
        <v>47.62</v>
      </c>
      <c r="U287" s="0" t="n">
        <f aca="false">IF(ISBLANK(A287),"",IF($A287=U$2,$C287,U286))</f>
        <v>22.6</v>
      </c>
      <c r="V287" s="0" t="n">
        <f aca="false">IF(ISBLANK(A287),"",IF($A287=V$2,$C287,V286))</f>
        <v>52.575</v>
      </c>
      <c r="W287" s="0" t="n">
        <f aca="false">IF(ISBLANK(A287),"",IF($A287=W$2,$C287,W286))</f>
        <v>25.7166666666666</v>
      </c>
    </row>
    <row r="288" customFormat="false" ht="12.8" hidden="false" customHeight="false" outlineLevel="0" collapsed="false">
      <c r="A288" s="0" t="n">
        <v>980</v>
      </c>
      <c r="B288" s="0" t="n">
        <v>100</v>
      </c>
      <c r="C288" s="0" t="n">
        <v>22.6</v>
      </c>
      <c r="D288" s="0" t="s">
        <v>295</v>
      </c>
      <c r="H288" s="8" t="n">
        <f aca="false">IF(ISBLANK(D288),,LEFT(D288,LEN(D288)-6)*1)</f>
        <v>38722.8106828704</v>
      </c>
      <c r="I288" s="9" t="n">
        <f aca="false">IF(ISBLANK(A288),"",-B288*C288)</f>
        <v>-2260</v>
      </c>
      <c r="J288" s="9" t="n">
        <f aca="false">IF(ISBLANK(A288),"",-SUM(I$3:I288))</f>
        <v>-7698.26929908324</v>
      </c>
      <c r="K288" s="0" t="n">
        <f aca="false">IF(ISBLANK(A288),"",SUMPRODUCT(O288:R288,T288:W288)-J288)</f>
        <v>2000.26929908322</v>
      </c>
      <c r="L288" s="0" t="n">
        <f aca="false">IF(ISBLANK(A288),"",K288/$M$1)</f>
        <v>0.033337821651387</v>
      </c>
      <c r="M288" s="0" t="n">
        <f aca="false">IF(ISBLANK(A288),"",K288/($M$1+SUM(K$3:K287)))</f>
        <v>0.00618088113793347</v>
      </c>
      <c r="N288" s="0" t="n">
        <f aca="false">IF(ISBLANK(A288),"",IF(H289=0,NETWORKDAYS($H$3,H288,holiday!$B$2:$B$10),IF(DAY(H288)&lt;DAY(H289),NETWORKDAYS($H$3,H288,holiday!$B$2:$B$10),0)))</f>
        <v>0</v>
      </c>
      <c r="O288" s="0" t="n">
        <f aca="false">IF(ISBLANK(A288),"",SUMIF($A$3:$A288,O$2,$B$3:$B288))</f>
        <v>100</v>
      </c>
      <c r="P288" s="0" t="n">
        <f aca="false">IF(ISBLANK(A288),"",SUMIF($A$3:$A288,P$2,$B$3:$B288))</f>
        <v>-2200</v>
      </c>
      <c r="Q288" s="0" t="n">
        <f aca="false">IF(ISBLANK(A288),"",SUMIF($A$3:$A288,Q$2,$B$3:$B288))</f>
        <v>600</v>
      </c>
      <c r="R288" s="0" t="n">
        <f aca="false">IF(ISBLANK(A288),"",SUMIF($A$3:$A288,R$2,$B$3:$B288))</f>
        <v>300</v>
      </c>
      <c r="T288" s="0" t="n">
        <f aca="false">IF(ISBLANK(A288),"",IF($A288=T$2,$C288,T287))</f>
        <v>47.62</v>
      </c>
      <c r="U288" s="0" t="n">
        <f aca="false">IF(ISBLANK(A288),"",IF($A288=U$2,$C288,U287))</f>
        <v>22.6</v>
      </c>
      <c r="V288" s="0" t="n">
        <f aca="false">IF(ISBLANK(A288),"",IF($A288=V$2,$C288,V287))</f>
        <v>52.575</v>
      </c>
      <c r="W288" s="0" t="n">
        <f aca="false">IF(ISBLANK(A288),"",IF($A288=W$2,$C288,W287))</f>
        <v>25.7166666666666</v>
      </c>
    </row>
    <row r="289" customFormat="false" ht="12.8" hidden="false" customHeight="false" outlineLevel="0" collapsed="false">
      <c r="A289" s="0" t="n">
        <v>679</v>
      </c>
      <c r="B289" s="0" t="n">
        <v>-100</v>
      </c>
      <c r="C289" s="0" t="n">
        <v>52.28</v>
      </c>
      <c r="D289" s="0" t="s">
        <v>296</v>
      </c>
      <c r="H289" s="8" t="n">
        <f aca="false">IF(ISBLANK(D289),,LEFT(D289,LEN(D289)-6)*1)</f>
        <v>38722.8218981481</v>
      </c>
      <c r="I289" s="9" t="n">
        <f aca="false">IF(ISBLANK(A289),"",-B289*C289)</f>
        <v>5228</v>
      </c>
      <c r="J289" s="9" t="n">
        <f aca="false">IF(ISBLANK(A289),"",-SUM(I$3:I289))</f>
        <v>-12926.2692990832</v>
      </c>
      <c r="K289" s="0" t="n">
        <f aca="false">IF(ISBLANK(A289),"",SUMPRODUCT(O289:R289,T289:W289)-J289)</f>
        <v>1823.26929908322</v>
      </c>
      <c r="L289" s="0" t="n">
        <f aca="false">IF(ISBLANK(A289),"",K289/$M$1)</f>
        <v>0.030387821651387</v>
      </c>
      <c r="M289" s="0" t="n">
        <f aca="false">IF(ISBLANK(A289),"",K289/($M$1+SUM(K$3:K288)))</f>
        <v>0.00559933795930643</v>
      </c>
      <c r="N289" s="0" t="n">
        <f aca="false">IF(ISBLANK(A289),"",IF(H290=0,NETWORKDAYS($H$3,H289,holiday!$B$2:$B$10),IF(DAY(H289)&lt;DAY(H290),NETWORKDAYS($H$3,H289,holiday!$B$2:$B$10),0)))</f>
        <v>0</v>
      </c>
      <c r="O289" s="0" t="n">
        <f aca="false">IF(ISBLANK(A289),"",SUMIF($A$3:$A289,O$2,$B$3:$B289))</f>
        <v>100</v>
      </c>
      <c r="P289" s="0" t="n">
        <f aca="false">IF(ISBLANK(A289),"",SUMIF($A$3:$A289,P$2,$B$3:$B289))</f>
        <v>-2200</v>
      </c>
      <c r="Q289" s="0" t="n">
        <f aca="false">IF(ISBLANK(A289),"",SUMIF($A$3:$A289,Q$2,$B$3:$B289))</f>
        <v>500</v>
      </c>
      <c r="R289" s="0" t="n">
        <f aca="false">IF(ISBLANK(A289),"",SUMIF($A$3:$A289,R$2,$B$3:$B289))</f>
        <v>300</v>
      </c>
      <c r="T289" s="0" t="n">
        <f aca="false">IF(ISBLANK(A289),"",IF($A289=T$2,$C289,T288))</f>
        <v>47.62</v>
      </c>
      <c r="U289" s="0" t="n">
        <f aca="false">IF(ISBLANK(A289),"",IF($A289=U$2,$C289,U288))</f>
        <v>22.6</v>
      </c>
      <c r="V289" s="0" t="n">
        <f aca="false">IF(ISBLANK(A289),"",IF($A289=V$2,$C289,V288))</f>
        <v>52.28</v>
      </c>
      <c r="W289" s="0" t="n">
        <f aca="false">IF(ISBLANK(A289),"",IF($A289=W$2,$C289,W288))</f>
        <v>25.7166666666666</v>
      </c>
    </row>
    <row r="290" customFormat="false" ht="12.8" hidden="false" customHeight="false" outlineLevel="0" collapsed="false">
      <c r="A290" s="0" t="n">
        <v>27969</v>
      </c>
      <c r="B290" s="0" t="n">
        <v>100</v>
      </c>
      <c r="C290" s="0" t="n">
        <v>26.2485714285714</v>
      </c>
      <c r="D290" s="0" t="s">
        <v>297</v>
      </c>
      <c r="H290" s="8" t="n">
        <f aca="false">IF(ISBLANK(D290),,LEFT(D290,LEN(D290)-6)*1)</f>
        <v>38722.8272222222</v>
      </c>
      <c r="I290" s="9" t="n">
        <f aca="false">IF(ISBLANK(A290),"",-B290*C290)</f>
        <v>-2624.85714285714</v>
      </c>
      <c r="J290" s="9" t="n">
        <f aca="false">IF(ISBLANK(A290),"",-SUM(I$3:I290))</f>
        <v>-10301.4121562261</v>
      </c>
      <c r="K290" s="0" t="n">
        <f aca="false">IF(ISBLANK(A290),"",SUMPRODUCT(O290:R290,T290:W290)-J290)</f>
        <v>1982.84072765466</v>
      </c>
      <c r="L290" s="0" t="n">
        <f aca="false">IF(ISBLANK(A290),"",K290/$M$1)</f>
        <v>0.033047345460911</v>
      </c>
      <c r="M290" s="0" t="n">
        <f aca="false">IF(ISBLANK(A290),"",K290/($M$1+SUM(K$3:K289)))</f>
        <v>0.00605548194793755</v>
      </c>
      <c r="N290" s="0" t="n">
        <f aca="false">IF(ISBLANK(A290),"",IF(H291=0,NETWORKDAYS($H$3,H290,holiday!$B$2:$B$10),IF(DAY(H290)&lt;DAY(H291),NETWORKDAYS($H$3,H290,holiday!$B$2:$B$10),0)))</f>
        <v>0</v>
      </c>
      <c r="O290" s="0" t="n">
        <f aca="false">IF(ISBLANK(A290),"",SUMIF($A$3:$A290,O$2,$B$3:$B290))</f>
        <v>100</v>
      </c>
      <c r="P290" s="0" t="n">
        <f aca="false">IF(ISBLANK(A290),"",SUMIF($A$3:$A290,P$2,$B$3:$B290))</f>
        <v>-2200</v>
      </c>
      <c r="Q290" s="0" t="n">
        <f aca="false">IF(ISBLANK(A290),"",SUMIF($A$3:$A290,Q$2,$B$3:$B290))</f>
        <v>500</v>
      </c>
      <c r="R290" s="0" t="n">
        <f aca="false">IF(ISBLANK(A290),"",SUMIF($A$3:$A290,R$2,$B$3:$B290))</f>
        <v>400</v>
      </c>
      <c r="T290" s="0" t="n">
        <f aca="false">IF(ISBLANK(A290),"",IF($A290=T$2,$C290,T289))</f>
        <v>47.62</v>
      </c>
      <c r="U290" s="0" t="n">
        <f aca="false">IF(ISBLANK(A290),"",IF($A290=U$2,$C290,U289))</f>
        <v>22.6</v>
      </c>
      <c r="V290" s="0" t="n">
        <f aca="false">IF(ISBLANK(A290),"",IF($A290=V$2,$C290,V289))</f>
        <v>52.28</v>
      </c>
      <c r="W290" s="0" t="n">
        <f aca="false">IF(ISBLANK(A290),"",IF($A290=W$2,$C290,W289))</f>
        <v>26.2485714285714</v>
      </c>
    </row>
    <row r="291" customFormat="false" ht="12.8" hidden="false" customHeight="false" outlineLevel="0" collapsed="false">
      <c r="A291" s="0" t="n">
        <v>980</v>
      </c>
      <c r="B291" s="0" t="n">
        <v>100</v>
      </c>
      <c r="C291" s="0" t="n">
        <v>22.6</v>
      </c>
      <c r="D291" s="0" t="s">
        <v>298</v>
      </c>
      <c r="H291" s="8" t="n">
        <f aca="false">IF(ISBLANK(D291),,LEFT(D291,LEN(D291)-6)*1)</f>
        <v>38722.8284375</v>
      </c>
      <c r="I291" s="9" t="n">
        <f aca="false">IF(ISBLANK(A291),"",-B291*C291)</f>
        <v>-2260</v>
      </c>
      <c r="J291" s="9" t="n">
        <f aca="false">IF(ISBLANK(A291),"",-SUM(I$3:I291))</f>
        <v>-8041.4121562261</v>
      </c>
      <c r="K291" s="0" t="n">
        <f aca="false">IF(ISBLANK(A291),"",SUMPRODUCT(O291:R291,T291:W291)-J291)</f>
        <v>1982.84072765466</v>
      </c>
      <c r="L291" s="0" t="n">
        <f aca="false">IF(ISBLANK(A291),"",K291/$M$1)</f>
        <v>0.033047345460911</v>
      </c>
      <c r="M291" s="0" t="n">
        <f aca="false">IF(ISBLANK(A291),"",K291/($M$1+SUM(K$3:K290)))</f>
        <v>0.00601903379743317</v>
      </c>
      <c r="N291" s="0" t="n">
        <f aca="false">IF(ISBLANK(A291),"",IF(H292=0,NETWORKDAYS($H$3,H291,holiday!$B$2:$B$10),IF(DAY(H291)&lt;DAY(H292),NETWORKDAYS($H$3,H291,holiday!$B$2:$B$10),0)))</f>
        <v>0</v>
      </c>
      <c r="O291" s="0" t="n">
        <f aca="false">IF(ISBLANK(A291),"",SUMIF($A$3:$A291,O$2,$B$3:$B291))</f>
        <v>100</v>
      </c>
      <c r="P291" s="0" t="n">
        <f aca="false">IF(ISBLANK(A291),"",SUMIF($A$3:$A291,P$2,$B$3:$B291))</f>
        <v>-2100</v>
      </c>
      <c r="Q291" s="0" t="n">
        <f aca="false">IF(ISBLANK(A291),"",SUMIF($A$3:$A291,Q$2,$B$3:$B291))</f>
        <v>500</v>
      </c>
      <c r="R291" s="0" t="n">
        <f aca="false">IF(ISBLANK(A291),"",SUMIF($A$3:$A291,R$2,$B$3:$B291))</f>
        <v>400</v>
      </c>
      <c r="T291" s="0" t="n">
        <f aca="false">IF(ISBLANK(A291),"",IF($A291=T$2,$C291,T290))</f>
        <v>47.62</v>
      </c>
      <c r="U291" s="0" t="n">
        <f aca="false">IF(ISBLANK(A291),"",IF($A291=U$2,$C291,U290))</f>
        <v>22.6</v>
      </c>
      <c r="V291" s="0" t="n">
        <f aca="false">IF(ISBLANK(A291),"",IF($A291=V$2,$C291,V290))</f>
        <v>52.28</v>
      </c>
      <c r="W291" s="0" t="n">
        <f aca="false">IF(ISBLANK(A291),"",IF($A291=W$2,$C291,W290))</f>
        <v>26.2485714285714</v>
      </c>
    </row>
    <row r="292" customFormat="false" ht="12.8" hidden="false" customHeight="false" outlineLevel="0" collapsed="false">
      <c r="A292" s="0" t="n">
        <v>8370</v>
      </c>
      <c r="B292" s="0" t="n">
        <v>-100</v>
      </c>
      <c r="C292" s="0" t="n">
        <v>47.47</v>
      </c>
      <c r="D292" s="0" t="s">
        <v>299</v>
      </c>
      <c r="H292" s="8" t="n">
        <f aca="false">IF(ISBLANK(D292),,LEFT(D292,LEN(D292)-6)*1)</f>
        <v>38722.8309375</v>
      </c>
      <c r="I292" s="9" t="n">
        <f aca="false">IF(ISBLANK(A292),"",-B292*C292)</f>
        <v>4747</v>
      </c>
      <c r="J292" s="9" t="n">
        <f aca="false">IF(ISBLANK(A292),"",-SUM(I$3:I292))</f>
        <v>-12788.4121562261</v>
      </c>
      <c r="K292" s="0" t="n">
        <f aca="false">IF(ISBLANK(A292),"",SUMPRODUCT(O292:R292,T292:W292)-J292)</f>
        <v>1967.84072765466</v>
      </c>
      <c r="L292" s="0" t="n">
        <f aca="false">IF(ISBLANK(A292),"",K292/$M$1)</f>
        <v>0.032797345460911</v>
      </c>
      <c r="M292" s="0" t="n">
        <f aca="false">IF(ISBLANK(A292),"",K292/($M$1+SUM(K$3:K291)))</f>
        <v>0.00593776080088839</v>
      </c>
      <c r="N292" s="0" t="n">
        <f aca="false">IF(ISBLANK(A292),"",IF(H293=0,NETWORKDAYS($H$3,H292,holiday!$B$2:$B$10),IF(DAY(H292)&lt;DAY(H293),NETWORKDAYS($H$3,H292,holiday!$B$2:$B$10),0)))</f>
        <v>0</v>
      </c>
      <c r="O292" s="0" t="n">
        <f aca="false">IF(ISBLANK(A292),"",SUMIF($A$3:$A292,O$2,$B$3:$B292))</f>
        <v>0</v>
      </c>
      <c r="P292" s="0" t="n">
        <f aca="false">IF(ISBLANK(A292),"",SUMIF($A$3:$A292,P$2,$B$3:$B292))</f>
        <v>-2100</v>
      </c>
      <c r="Q292" s="0" t="n">
        <f aca="false">IF(ISBLANK(A292),"",SUMIF($A$3:$A292,Q$2,$B$3:$B292))</f>
        <v>500</v>
      </c>
      <c r="R292" s="0" t="n">
        <f aca="false">IF(ISBLANK(A292),"",SUMIF($A$3:$A292,R$2,$B$3:$B292))</f>
        <v>400</v>
      </c>
      <c r="T292" s="0" t="n">
        <f aca="false">IF(ISBLANK(A292),"",IF($A292=T$2,$C292,T291))</f>
        <v>47.47</v>
      </c>
      <c r="U292" s="0" t="n">
        <f aca="false">IF(ISBLANK(A292),"",IF($A292=U$2,$C292,U291))</f>
        <v>22.6</v>
      </c>
      <c r="V292" s="0" t="n">
        <f aca="false">IF(ISBLANK(A292),"",IF($A292=V$2,$C292,V291))</f>
        <v>52.28</v>
      </c>
      <c r="W292" s="0" t="n">
        <f aca="false">IF(ISBLANK(A292),"",IF($A292=W$2,$C292,W291))</f>
        <v>26.2485714285714</v>
      </c>
    </row>
    <row r="293" customFormat="false" ht="12.8" hidden="false" customHeight="false" outlineLevel="0" collapsed="false">
      <c r="A293" s="0" t="n">
        <v>679</v>
      </c>
      <c r="B293" s="0" t="n">
        <v>100</v>
      </c>
      <c r="C293" s="0" t="n">
        <v>52.21</v>
      </c>
      <c r="D293" s="0" t="s">
        <v>300</v>
      </c>
      <c r="H293" s="8" t="n">
        <f aca="false">IF(ISBLANK(D293),,LEFT(D293,LEN(D293)-6)*1)</f>
        <v>38722.8352546296</v>
      </c>
      <c r="I293" s="9" t="n">
        <f aca="false">IF(ISBLANK(A293),"",-B293*C293)</f>
        <v>-5221</v>
      </c>
      <c r="J293" s="9" t="n">
        <f aca="false">IF(ISBLANK(A293),"",-SUM(I$3:I293))</f>
        <v>-7567.4121562261</v>
      </c>
      <c r="K293" s="0" t="n">
        <f aca="false">IF(ISBLANK(A293),"",SUMPRODUCT(O293:R293,T293:W293)-J293)</f>
        <v>1932.84072765466</v>
      </c>
      <c r="L293" s="0" t="n">
        <f aca="false">IF(ISBLANK(A293),"",K293/$M$1)</f>
        <v>0.0322140121275777</v>
      </c>
      <c r="M293" s="0" t="n">
        <f aca="false">IF(ISBLANK(A293),"",K293/($M$1+SUM(K$3:K292)))</f>
        <v>0.00579772632101096</v>
      </c>
      <c r="N293" s="0" t="n">
        <f aca="false">IF(ISBLANK(A293),"",IF(H294=0,NETWORKDAYS($H$3,H293,holiday!$B$2:$B$10),IF(DAY(H293)&lt;DAY(H294),NETWORKDAYS($H$3,H293,holiday!$B$2:$B$10),0)))</f>
        <v>0</v>
      </c>
      <c r="O293" s="0" t="n">
        <f aca="false">IF(ISBLANK(A293),"",SUMIF($A$3:$A293,O$2,$B$3:$B293))</f>
        <v>0</v>
      </c>
      <c r="P293" s="0" t="n">
        <f aca="false">IF(ISBLANK(A293),"",SUMIF($A$3:$A293,P$2,$B$3:$B293))</f>
        <v>-2100</v>
      </c>
      <c r="Q293" s="0" t="n">
        <f aca="false">IF(ISBLANK(A293),"",SUMIF($A$3:$A293,Q$2,$B$3:$B293))</f>
        <v>600</v>
      </c>
      <c r="R293" s="0" t="n">
        <f aca="false">IF(ISBLANK(A293),"",SUMIF($A$3:$A293,R$2,$B$3:$B293))</f>
        <v>400</v>
      </c>
      <c r="T293" s="0" t="n">
        <f aca="false">IF(ISBLANK(A293),"",IF($A293=T$2,$C293,T292))</f>
        <v>47.47</v>
      </c>
      <c r="U293" s="0" t="n">
        <f aca="false">IF(ISBLANK(A293),"",IF($A293=U$2,$C293,U292))</f>
        <v>22.6</v>
      </c>
      <c r="V293" s="0" t="n">
        <f aca="false">IF(ISBLANK(A293),"",IF($A293=V$2,$C293,V292))</f>
        <v>52.21</v>
      </c>
      <c r="W293" s="0" t="n">
        <f aca="false">IF(ISBLANK(A293),"",IF($A293=W$2,$C293,W292))</f>
        <v>26.2485714285714</v>
      </c>
    </row>
    <row r="294" customFormat="false" ht="12.8" hidden="false" customHeight="false" outlineLevel="0" collapsed="false">
      <c r="A294" s="0" t="n">
        <v>679</v>
      </c>
      <c r="B294" s="0" t="n">
        <v>-100</v>
      </c>
      <c r="C294" s="0" t="n">
        <v>52.32</v>
      </c>
      <c r="D294" s="0" t="s">
        <v>301</v>
      </c>
      <c r="H294" s="8" t="n">
        <f aca="false">IF(ISBLANK(D294),,LEFT(D294,LEN(D294)-6)*1)</f>
        <v>38722.8447569444</v>
      </c>
      <c r="I294" s="9" t="n">
        <f aca="false">IF(ISBLANK(A294),"",-B294*C294)</f>
        <v>5232</v>
      </c>
      <c r="J294" s="9" t="n">
        <f aca="false">IF(ISBLANK(A294),"",-SUM(I$3:I294))</f>
        <v>-12799.4121562261</v>
      </c>
      <c r="K294" s="0" t="n">
        <f aca="false">IF(ISBLANK(A294),"",SUMPRODUCT(O294:R294,T294:W294)-J294)</f>
        <v>1998.84072765466</v>
      </c>
      <c r="L294" s="0" t="n">
        <f aca="false">IF(ISBLANK(A294),"",K294/$M$1)</f>
        <v>0.0333140121275777</v>
      </c>
      <c r="M294" s="0" t="n">
        <f aca="false">IF(ISBLANK(A294),"",K294/($M$1+SUM(K$3:K293)))</f>
        <v>0.00596113809775363</v>
      </c>
      <c r="N294" s="0" t="n">
        <f aca="false">IF(ISBLANK(A294),"",IF(H295=0,NETWORKDAYS($H$3,H294,holiday!$B$2:$B$10),IF(DAY(H294)&lt;DAY(H295),NETWORKDAYS($H$3,H294,holiday!$B$2:$B$10),0)))</f>
        <v>0</v>
      </c>
      <c r="O294" s="0" t="n">
        <f aca="false">IF(ISBLANK(A294),"",SUMIF($A$3:$A294,O$2,$B$3:$B294))</f>
        <v>0</v>
      </c>
      <c r="P294" s="0" t="n">
        <f aca="false">IF(ISBLANK(A294),"",SUMIF($A$3:$A294,P$2,$B$3:$B294))</f>
        <v>-2100</v>
      </c>
      <c r="Q294" s="0" t="n">
        <f aca="false">IF(ISBLANK(A294),"",SUMIF($A$3:$A294,Q$2,$B$3:$B294))</f>
        <v>500</v>
      </c>
      <c r="R294" s="0" t="n">
        <f aca="false">IF(ISBLANK(A294),"",SUMIF($A$3:$A294,R$2,$B$3:$B294))</f>
        <v>400</v>
      </c>
      <c r="T294" s="0" t="n">
        <f aca="false">IF(ISBLANK(A294),"",IF($A294=T$2,$C294,T293))</f>
        <v>47.47</v>
      </c>
      <c r="U294" s="0" t="n">
        <f aca="false">IF(ISBLANK(A294),"",IF($A294=U$2,$C294,U293))</f>
        <v>22.6</v>
      </c>
      <c r="V294" s="0" t="n">
        <f aca="false">IF(ISBLANK(A294),"",IF($A294=V$2,$C294,V293))</f>
        <v>52.32</v>
      </c>
      <c r="W294" s="0" t="n">
        <f aca="false">IF(ISBLANK(A294),"",IF($A294=W$2,$C294,W293))</f>
        <v>26.2485714285714</v>
      </c>
    </row>
    <row r="295" customFormat="false" ht="12.8" hidden="false" customHeight="false" outlineLevel="0" collapsed="false">
      <c r="A295" s="0" t="n">
        <v>679</v>
      </c>
      <c r="B295" s="0" t="n">
        <v>-100</v>
      </c>
      <c r="C295" s="0" t="n">
        <v>52.39</v>
      </c>
      <c r="D295" s="0" t="s">
        <v>302</v>
      </c>
      <c r="H295" s="8" t="n">
        <f aca="false">IF(ISBLANK(D295),,LEFT(D295,LEN(D295)-6)*1)</f>
        <v>38722.8471180556</v>
      </c>
      <c r="I295" s="9" t="n">
        <f aca="false">IF(ISBLANK(A295),"",-B295*C295)</f>
        <v>5239</v>
      </c>
      <c r="J295" s="9" t="n">
        <f aca="false">IF(ISBLANK(A295),"",-SUM(I$3:I295))</f>
        <v>-18038.4121562261</v>
      </c>
      <c r="K295" s="0" t="n">
        <f aca="false">IF(ISBLANK(A295),"",SUMPRODUCT(O295:R295,T295:W295)-J295)</f>
        <v>2033.84072765466</v>
      </c>
      <c r="L295" s="0" t="n">
        <f aca="false">IF(ISBLANK(A295),"",K295/$M$1)</f>
        <v>0.033897345460911</v>
      </c>
      <c r="M295" s="0" t="n">
        <f aca="false">IF(ISBLANK(A295),"",K295/($M$1+SUM(K$3:K294)))</f>
        <v>0.0060295753855868</v>
      </c>
      <c r="N295" s="0" t="n">
        <f aca="false">IF(ISBLANK(A295),"",IF(H296=0,NETWORKDAYS($H$3,H295,holiday!$B$2:$B$10),IF(DAY(H295)&lt;DAY(H296),NETWORKDAYS($H$3,H295,holiday!$B$2:$B$10),0)))</f>
        <v>0</v>
      </c>
      <c r="O295" s="0" t="n">
        <f aca="false">IF(ISBLANK(A295),"",SUMIF($A$3:$A295,O$2,$B$3:$B295))</f>
        <v>0</v>
      </c>
      <c r="P295" s="0" t="n">
        <f aca="false">IF(ISBLANK(A295),"",SUMIF($A$3:$A295,P$2,$B$3:$B295))</f>
        <v>-2100</v>
      </c>
      <c r="Q295" s="0" t="n">
        <f aca="false">IF(ISBLANK(A295),"",SUMIF($A$3:$A295,Q$2,$B$3:$B295))</f>
        <v>400</v>
      </c>
      <c r="R295" s="0" t="n">
        <f aca="false">IF(ISBLANK(A295),"",SUMIF($A$3:$A295,R$2,$B$3:$B295))</f>
        <v>400</v>
      </c>
      <c r="T295" s="0" t="n">
        <f aca="false">IF(ISBLANK(A295),"",IF($A295=T$2,$C295,T294))</f>
        <v>47.47</v>
      </c>
      <c r="U295" s="0" t="n">
        <f aca="false">IF(ISBLANK(A295),"",IF($A295=U$2,$C295,U294))</f>
        <v>22.6</v>
      </c>
      <c r="V295" s="0" t="n">
        <f aca="false">IF(ISBLANK(A295),"",IF($A295=V$2,$C295,V294))</f>
        <v>52.39</v>
      </c>
      <c r="W295" s="0" t="n">
        <f aca="false">IF(ISBLANK(A295),"",IF($A295=W$2,$C295,W294))</f>
        <v>26.2485714285714</v>
      </c>
    </row>
    <row r="296" customFormat="false" ht="12.8" hidden="false" customHeight="false" outlineLevel="0" collapsed="false">
      <c r="A296" s="0" t="n">
        <v>679</v>
      </c>
      <c r="B296" s="0" t="n">
        <v>100</v>
      </c>
      <c r="C296" s="0" t="n">
        <v>52.38</v>
      </c>
      <c r="D296" s="0" t="s">
        <v>303</v>
      </c>
      <c r="H296" s="8" t="n">
        <f aca="false">IF(ISBLANK(D296),,LEFT(D296,LEN(D296)-6)*1)</f>
        <v>38722.8472685185</v>
      </c>
      <c r="I296" s="9" t="n">
        <f aca="false">IF(ISBLANK(A296),"",-B296*C296)</f>
        <v>-5238</v>
      </c>
      <c r="J296" s="9" t="n">
        <f aca="false">IF(ISBLANK(A296),"",-SUM(I$3:I296))</f>
        <v>-12800.4121562261</v>
      </c>
      <c r="K296" s="0" t="n">
        <f aca="false">IF(ISBLANK(A296),"",SUMPRODUCT(O296:R296,T296:W296)-J296)</f>
        <v>2029.84072765466</v>
      </c>
      <c r="L296" s="0" t="n">
        <f aca="false">IF(ISBLANK(A296),"",K296/$M$1)</f>
        <v>0.0338306787942443</v>
      </c>
      <c r="M296" s="0" t="n">
        <f aca="false">IF(ISBLANK(A296),"",K296/($M$1+SUM(K$3:K295)))</f>
        <v>0.00598165007490384</v>
      </c>
      <c r="N296" s="0" t="n">
        <f aca="false">IF(ISBLANK(A296),"",IF(H297=0,NETWORKDAYS($H$3,H296,holiday!$B$2:$B$10),IF(DAY(H296)&lt;DAY(H297),NETWORKDAYS($H$3,H296,holiday!$B$2:$B$10),0)))</f>
        <v>0</v>
      </c>
      <c r="O296" s="0" t="n">
        <f aca="false">IF(ISBLANK(A296),"",SUMIF($A$3:$A296,O$2,$B$3:$B296))</f>
        <v>0</v>
      </c>
      <c r="P296" s="0" t="n">
        <f aca="false">IF(ISBLANK(A296),"",SUMIF($A$3:$A296,P$2,$B$3:$B296))</f>
        <v>-2100</v>
      </c>
      <c r="Q296" s="0" t="n">
        <f aca="false">IF(ISBLANK(A296),"",SUMIF($A$3:$A296,Q$2,$B$3:$B296))</f>
        <v>500</v>
      </c>
      <c r="R296" s="0" t="n">
        <f aca="false">IF(ISBLANK(A296),"",SUMIF($A$3:$A296,R$2,$B$3:$B296))</f>
        <v>400</v>
      </c>
      <c r="T296" s="0" t="n">
        <f aca="false">IF(ISBLANK(A296),"",IF($A296=T$2,$C296,T295))</f>
        <v>47.47</v>
      </c>
      <c r="U296" s="0" t="n">
        <f aca="false">IF(ISBLANK(A296),"",IF($A296=U$2,$C296,U295))</f>
        <v>22.6</v>
      </c>
      <c r="V296" s="0" t="n">
        <f aca="false">IF(ISBLANK(A296),"",IF($A296=V$2,$C296,V295))</f>
        <v>52.38</v>
      </c>
      <c r="W296" s="0" t="n">
        <f aca="false">IF(ISBLANK(A296),"",IF($A296=W$2,$C296,W295))</f>
        <v>26.2485714285714</v>
      </c>
    </row>
    <row r="297" customFormat="false" ht="12.8" hidden="false" customHeight="false" outlineLevel="0" collapsed="false">
      <c r="A297" s="0" t="n">
        <v>980</v>
      </c>
      <c r="B297" s="0" t="n">
        <v>100</v>
      </c>
      <c r="C297" s="0" t="n">
        <v>22.58</v>
      </c>
      <c r="D297" s="0" t="s">
        <v>304</v>
      </c>
      <c r="H297" s="8" t="n">
        <f aca="false">IF(ISBLANK(D297),,LEFT(D297,LEN(D297)-6)*1)</f>
        <v>38722.8504976852</v>
      </c>
      <c r="I297" s="9" t="n">
        <f aca="false">IF(ISBLANK(A297),"",-B297*C297)</f>
        <v>-2258</v>
      </c>
      <c r="J297" s="9" t="n">
        <f aca="false">IF(ISBLANK(A297),"",-SUM(I$3:I297))</f>
        <v>-10542.4121562261</v>
      </c>
      <c r="K297" s="0" t="n">
        <f aca="false">IF(ISBLANK(A297),"",SUMPRODUCT(O297:R297,T297:W297)-J297)</f>
        <v>2071.84072765466</v>
      </c>
      <c r="L297" s="0" t="n">
        <f aca="false">IF(ISBLANK(A297),"",K297/$M$1)</f>
        <v>0.0345306787942443</v>
      </c>
      <c r="M297" s="0" t="n">
        <f aca="false">IF(ISBLANK(A297),"",K297/($M$1+SUM(K$3:K296)))</f>
        <v>0.00606911474240977</v>
      </c>
      <c r="N297" s="0" t="n">
        <f aca="false">IF(ISBLANK(A297),"",IF(H298=0,NETWORKDAYS($H$3,H297,holiday!$B$2:$B$10),IF(DAY(H297)&lt;DAY(H298),NETWORKDAYS($H$3,H297,holiday!$B$2:$B$10),0)))</f>
        <v>0</v>
      </c>
      <c r="O297" s="0" t="n">
        <f aca="false">IF(ISBLANK(A297),"",SUMIF($A$3:$A297,O$2,$B$3:$B297))</f>
        <v>0</v>
      </c>
      <c r="P297" s="0" t="n">
        <f aca="false">IF(ISBLANK(A297),"",SUMIF($A$3:$A297,P$2,$B$3:$B297))</f>
        <v>-2000</v>
      </c>
      <c r="Q297" s="0" t="n">
        <f aca="false">IF(ISBLANK(A297),"",SUMIF($A$3:$A297,Q$2,$B$3:$B297))</f>
        <v>500</v>
      </c>
      <c r="R297" s="0" t="n">
        <f aca="false">IF(ISBLANK(A297),"",SUMIF($A$3:$A297,R$2,$B$3:$B297))</f>
        <v>400</v>
      </c>
      <c r="T297" s="0" t="n">
        <f aca="false">IF(ISBLANK(A297),"",IF($A297=T$2,$C297,T296))</f>
        <v>47.47</v>
      </c>
      <c r="U297" s="0" t="n">
        <f aca="false">IF(ISBLANK(A297),"",IF($A297=U$2,$C297,U296))</f>
        <v>22.58</v>
      </c>
      <c r="V297" s="0" t="n">
        <f aca="false">IF(ISBLANK(A297),"",IF($A297=V$2,$C297,V296))</f>
        <v>52.38</v>
      </c>
      <c r="W297" s="0" t="n">
        <f aca="false">IF(ISBLANK(A297),"",IF($A297=W$2,$C297,W296))</f>
        <v>26.2485714285714</v>
      </c>
    </row>
    <row r="298" customFormat="false" ht="12.8" hidden="false" customHeight="false" outlineLevel="0" collapsed="false">
      <c r="A298" s="0" t="n">
        <v>27969</v>
      </c>
      <c r="B298" s="0" t="n">
        <v>-100</v>
      </c>
      <c r="C298" s="0" t="n">
        <v>27.58</v>
      </c>
      <c r="D298" s="0" t="s">
        <v>305</v>
      </c>
      <c r="H298" s="8" t="n">
        <f aca="false">IF(ISBLANK(D298),,LEFT(D298,LEN(D298)-6)*1)</f>
        <v>38722.8515277778</v>
      </c>
      <c r="I298" s="9" t="n">
        <f aca="false">IF(ISBLANK(A298),"",-B298*C298)</f>
        <v>2758</v>
      </c>
      <c r="J298" s="9" t="n">
        <f aca="false">IF(ISBLANK(A298),"",-SUM(I$3:I298))</f>
        <v>-13300.4121562261</v>
      </c>
      <c r="K298" s="0" t="n">
        <f aca="false">IF(ISBLANK(A298),"",SUMPRODUCT(O298:R298,T298:W298)-J298)</f>
        <v>2604.4121562261</v>
      </c>
      <c r="L298" s="0" t="n">
        <f aca="false">IF(ISBLANK(A298),"",K298/$M$1)</f>
        <v>0.043406869270435</v>
      </c>
      <c r="M298" s="0" t="n">
        <f aca="false">IF(ISBLANK(A298),"",K298/($M$1+SUM(K$3:K297)))</f>
        <v>0.00758317152042026</v>
      </c>
      <c r="N298" s="0" t="n">
        <f aca="false">IF(ISBLANK(A298),"",IF(H299=0,NETWORKDAYS($H$3,H298,holiday!$B$2:$B$10),IF(DAY(H298)&lt;DAY(H299),NETWORKDAYS($H$3,H298,holiday!$B$2:$B$10),0)))</f>
        <v>0</v>
      </c>
      <c r="O298" s="0" t="n">
        <f aca="false">IF(ISBLANK(A298),"",SUMIF($A$3:$A298,O$2,$B$3:$B298))</f>
        <v>0</v>
      </c>
      <c r="P298" s="0" t="n">
        <f aca="false">IF(ISBLANK(A298),"",SUMIF($A$3:$A298,P$2,$B$3:$B298))</f>
        <v>-2000</v>
      </c>
      <c r="Q298" s="0" t="n">
        <f aca="false">IF(ISBLANK(A298),"",SUMIF($A$3:$A298,Q$2,$B$3:$B298))</f>
        <v>500</v>
      </c>
      <c r="R298" s="0" t="n">
        <f aca="false">IF(ISBLANK(A298),"",SUMIF($A$3:$A298,R$2,$B$3:$B298))</f>
        <v>300</v>
      </c>
      <c r="T298" s="0" t="n">
        <f aca="false">IF(ISBLANK(A298),"",IF($A298=T$2,$C298,T297))</f>
        <v>47.47</v>
      </c>
      <c r="U298" s="0" t="n">
        <f aca="false">IF(ISBLANK(A298),"",IF($A298=U$2,$C298,U297))</f>
        <v>22.58</v>
      </c>
      <c r="V298" s="0" t="n">
        <f aca="false">IF(ISBLANK(A298),"",IF($A298=V$2,$C298,V297))</f>
        <v>52.38</v>
      </c>
      <c r="W298" s="0" t="n">
        <f aca="false">IF(ISBLANK(A298),"",IF($A298=W$2,$C298,W297))</f>
        <v>27.58</v>
      </c>
    </row>
    <row r="299" customFormat="false" ht="12.8" hidden="false" customHeight="false" outlineLevel="0" collapsed="false">
      <c r="A299" s="0" t="n">
        <v>8370</v>
      </c>
      <c r="B299" s="0" t="n">
        <v>-100</v>
      </c>
      <c r="C299" s="0" t="n">
        <v>47.67</v>
      </c>
      <c r="D299" s="0" t="s">
        <v>306</v>
      </c>
      <c r="H299" s="8" t="n">
        <f aca="false">IF(ISBLANK(D299),,LEFT(D299,LEN(D299)-6)*1)</f>
        <v>38722.8515856481</v>
      </c>
      <c r="I299" s="9" t="n">
        <f aca="false">IF(ISBLANK(A299),"",-B299*C299)</f>
        <v>4767</v>
      </c>
      <c r="J299" s="9" t="n">
        <f aca="false">IF(ISBLANK(A299),"",-SUM(I$3:I299))</f>
        <v>-18067.4121562261</v>
      </c>
      <c r="K299" s="0" t="n">
        <f aca="false">IF(ISBLANK(A299),"",SUMPRODUCT(O299:R299,T299:W299)-J299)</f>
        <v>2604.4121562261</v>
      </c>
      <c r="L299" s="0" t="n">
        <f aca="false">IF(ISBLANK(A299),"",K299/$M$1)</f>
        <v>0.043406869270435</v>
      </c>
      <c r="M299" s="0" t="n">
        <f aca="false">IF(ISBLANK(A299),"",K299/($M$1+SUM(K$3:K298)))</f>
        <v>0.007526099814646</v>
      </c>
      <c r="N299" s="0" t="n">
        <f aca="false">IF(ISBLANK(A299),"",IF(H300=0,NETWORKDAYS($H$3,H299,holiday!$B$2:$B$10),IF(DAY(H299)&lt;DAY(H300),NETWORKDAYS($H$3,H299,holiday!$B$2:$B$10),0)))</f>
        <v>0</v>
      </c>
      <c r="O299" s="0" t="n">
        <f aca="false">IF(ISBLANK(A299),"",SUMIF($A$3:$A299,O$2,$B$3:$B299))</f>
        <v>-100</v>
      </c>
      <c r="P299" s="0" t="n">
        <f aca="false">IF(ISBLANK(A299),"",SUMIF($A$3:$A299,P$2,$B$3:$B299))</f>
        <v>-2000</v>
      </c>
      <c r="Q299" s="0" t="n">
        <f aca="false">IF(ISBLANK(A299),"",SUMIF($A$3:$A299,Q$2,$B$3:$B299))</f>
        <v>500</v>
      </c>
      <c r="R299" s="0" t="n">
        <f aca="false">IF(ISBLANK(A299),"",SUMIF($A$3:$A299,R$2,$B$3:$B299))</f>
        <v>300</v>
      </c>
      <c r="T299" s="0" t="n">
        <f aca="false">IF(ISBLANK(A299),"",IF($A299=T$2,$C299,T298))</f>
        <v>47.67</v>
      </c>
      <c r="U299" s="0" t="n">
        <f aca="false">IF(ISBLANK(A299),"",IF($A299=U$2,$C299,U298))</f>
        <v>22.58</v>
      </c>
      <c r="V299" s="0" t="n">
        <f aca="false">IF(ISBLANK(A299),"",IF($A299=V$2,$C299,V298))</f>
        <v>52.38</v>
      </c>
      <c r="W299" s="0" t="n">
        <f aca="false">IF(ISBLANK(A299),"",IF($A299=W$2,$C299,W298))</f>
        <v>27.58</v>
      </c>
    </row>
    <row r="300" customFormat="false" ht="12.8" hidden="false" customHeight="false" outlineLevel="0" collapsed="false">
      <c r="A300" s="0" t="n">
        <v>980</v>
      </c>
      <c r="B300" s="0" t="n">
        <v>100</v>
      </c>
      <c r="C300" s="0" t="n">
        <v>22.6</v>
      </c>
      <c r="D300" s="0" t="s">
        <v>307</v>
      </c>
      <c r="H300" s="8" t="n">
        <f aca="false">IF(ISBLANK(D300),,LEFT(D300,LEN(D300)-6)*1)</f>
        <v>38722.8535763889</v>
      </c>
      <c r="I300" s="9" t="n">
        <f aca="false">IF(ISBLANK(A300),"",-B300*C300)</f>
        <v>-2260</v>
      </c>
      <c r="J300" s="9" t="n">
        <f aca="false">IF(ISBLANK(A300),"",-SUM(I$3:I300))</f>
        <v>-15807.4121562261</v>
      </c>
      <c r="K300" s="0" t="n">
        <f aca="false">IF(ISBLANK(A300),"",SUMPRODUCT(O300:R300,T300:W300)-J300)</f>
        <v>2564.4121562261</v>
      </c>
      <c r="L300" s="0" t="n">
        <f aca="false">IF(ISBLANK(A300),"",K300/$M$1)</f>
        <v>0.0427402026037683</v>
      </c>
      <c r="M300" s="0" t="n">
        <f aca="false">IF(ISBLANK(A300),"",K300/($M$1+SUM(K$3:K299)))</f>
        <v>0.00735515419331876</v>
      </c>
      <c r="N300" s="0" t="n">
        <f aca="false">IF(ISBLANK(A300),"",IF(H301=0,NETWORKDAYS($H$3,H300,holiday!$B$2:$B$10),IF(DAY(H300)&lt;DAY(H301),NETWORKDAYS($H$3,H300,holiday!$B$2:$B$10),0)))</f>
        <v>0</v>
      </c>
      <c r="O300" s="0" t="n">
        <f aca="false">IF(ISBLANK(A300),"",SUMIF($A$3:$A300,O$2,$B$3:$B300))</f>
        <v>-100</v>
      </c>
      <c r="P300" s="0" t="n">
        <f aca="false">IF(ISBLANK(A300),"",SUMIF($A$3:$A300,P$2,$B$3:$B300))</f>
        <v>-1900</v>
      </c>
      <c r="Q300" s="0" t="n">
        <f aca="false">IF(ISBLANK(A300),"",SUMIF($A$3:$A300,Q$2,$B$3:$B300))</f>
        <v>500</v>
      </c>
      <c r="R300" s="0" t="n">
        <f aca="false">IF(ISBLANK(A300),"",SUMIF($A$3:$A300,R$2,$B$3:$B300))</f>
        <v>300</v>
      </c>
      <c r="T300" s="0" t="n">
        <f aca="false">IF(ISBLANK(A300),"",IF($A300=T$2,$C300,T299))</f>
        <v>47.67</v>
      </c>
      <c r="U300" s="0" t="n">
        <f aca="false">IF(ISBLANK(A300),"",IF($A300=U$2,$C300,U299))</f>
        <v>22.6</v>
      </c>
      <c r="V300" s="0" t="n">
        <f aca="false">IF(ISBLANK(A300),"",IF($A300=V$2,$C300,V299))</f>
        <v>52.38</v>
      </c>
      <c r="W300" s="0" t="n">
        <f aca="false">IF(ISBLANK(A300),"",IF($A300=W$2,$C300,W299))</f>
        <v>27.58</v>
      </c>
    </row>
    <row r="301" customFormat="false" ht="12.8" hidden="false" customHeight="false" outlineLevel="0" collapsed="false">
      <c r="A301" s="0" t="n">
        <v>980</v>
      </c>
      <c r="B301" s="0" t="n">
        <v>100</v>
      </c>
      <c r="C301" s="0" t="n">
        <v>22.6</v>
      </c>
      <c r="D301" s="0" t="s">
        <v>308</v>
      </c>
      <c r="H301" s="8" t="n">
        <f aca="false">IF(ISBLANK(D301),,LEFT(D301,LEN(D301)-6)*1)</f>
        <v>38722.8542476852</v>
      </c>
      <c r="I301" s="9" t="n">
        <f aca="false">IF(ISBLANK(A301),"",-B301*C301)</f>
        <v>-2260</v>
      </c>
      <c r="J301" s="9" t="n">
        <f aca="false">IF(ISBLANK(A301),"",-SUM(I$3:I301))</f>
        <v>-13547.4121562261</v>
      </c>
      <c r="K301" s="0" t="n">
        <f aca="false">IF(ISBLANK(A301),"",SUMPRODUCT(O301:R301,T301:W301)-J301)</f>
        <v>2564.4121562261</v>
      </c>
      <c r="L301" s="0" t="n">
        <f aca="false">IF(ISBLANK(A301),"",K301/$M$1)</f>
        <v>0.0427402026037683</v>
      </c>
      <c r="M301" s="0" t="n">
        <f aca="false">IF(ISBLANK(A301),"",K301/($M$1+SUM(K$3:K300)))</f>
        <v>0.00730145089614268</v>
      </c>
      <c r="N301" s="0" t="n">
        <f aca="false">IF(ISBLANK(A301),"",IF(H302=0,NETWORKDAYS($H$3,H301,holiday!$B$2:$B$10),IF(DAY(H301)&lt;DAY(H302),NETWORKDAYS($H$3,H301,holiday!$B$2:$B$10),0)))</f>
        <v>0</v>
      </c>
      <c r="O301" s="0" t="n">
        <f aca="false">IF(ISBLANK(A301),"",SUMIF($A$3:$A301,O$2,$B$3:$B301))</f>
        <v>-100</v>
      </c>
      <c r="P301" s="0" t="n">
        <f aca="false">IF(ISBLANK(A301),"",SUMIF($A$3:$A301,P$2,$B$3:$B301))</f>
        <v>-1800</v>
      </c>
      <c r="Q301" s="0" t="n">
        <f aca="false">IF(ISBLANK(A301),"",SUMIF($A$3:$A301,Q$2,$B$3:$B301))</f>
        <v>500</v>
      </c>
      <c r="R301" s="0" t="n">
        <f aca="false">IF(ISBLANK(A301),"",SUMIF($A$3:$A301,R$2,$B$3:$B301))</f>
        <v>300</v>
      </c>
      <c r="T301" s="0" t="n">
        <f aca="false">IF(ISBLANK(A301),"",IF($A301=T$2,$C301,T300))</f>
        <v>47.67</v>
      </c>
      <c r="U301" s="0" t="n">
        <f aca="false">IF(ISBLANK(A301),"",IF($A301=U$2,$C301,U300))</f>
        <v>22.6</v>
      </c>
      <c r="V301" s="0" t="n">
        <f aca="false">IF(ISBLANK(A301),"",IF($A301=V$2,$C301,V300))</f>
        <v>52.38</v>
      </c>
      <c r="W301" s="0" t="n">
        <f aca="false">IF(ISBLANK(A301),"",IF($A301=W$2,$C301,W300))</f>
        <v>27.58</v>
      </c>
    </row>
    <row r="302" customFormat="false" ht="12.8" hidden="false" customHeight="false" outlineLevel="0" collapsed="false">
      <c r="A302" s="0" t="n">
        <v>980</v>
      </c>
      <c r="B302" s="0" t="n">
        <v>100</v>
      </c>
      <c r="C302" s="0" t="n">
        <v>22.6</v>
      </c>
      <c r="D302" s="0" t="s">
        <v>309</v>
      </c>
      <c r="H302" s="8" t="n">
        <f aca="false">IF(ISBLANK(D302),,LEFT(D302,LEN(D302)-6)*1)</f>
        <v>38722.8556944444</v>
      </c>
      <c r="I302" s="9" t="n">
        <f aca="false">IF(ISBLANK(A302),"",-B302*C302)</f>
        <v>-2260</v>
      </c>
      <c r="J302" s="9" t="n">
        <f aca="false">IF(ISBLANK(A302),"",-SUM(I$3:I302))</f>
        <v>-11287.4121562261</v>
      </c>
      <c r="K302" s="0" t="n">
        <f aca="false">IF(ISBLANK(A302),"",SUMPRODUCT(O302:R302,T302:W302)-J302)</f>
        <v>2564.4121562261</v>
      </c>
      <c r="L302" s="0" t="n">
        <f aca="false">IF(ISBLANK(A302),"",K302/$M$1)</f>
        <v>0.0427402026037683</v>
      </c>
      <c r="M302" s="0" t="n">
        <f aca="false">IF(ISBLANK(A302),"",K302/($M$1+SUM(K$3:K301)))</f>
        <v>0.00724852613847321</v>
      </c>
      <c r="N302" s="0" t="n">
        <f aca="false">IF(ISBLANK(A302),"",IF(H303=0,NETWORKDAYS($H$3,H302,holiday!$B$2:$B$10),IF(DAY(H302)&lt;DAY(H303),NETWORKDAYS($H$3,H302,holiday!$B$2:$B$10),0)))</f>
        <v>0</v>
      </c>
      <c r="O302" s="0" t="n">
        <f aca="false">IF(ISBLANK(A302),"",SUMIF($A$3:$A302,O$2,$B$3:$B302))</f>
        <v>-100</v>
      </c>
      <c r="P302" s="0" t="n">
        <f aca="false">IF(ISBLANK(A302),"",SUMIF($A$3:$A302,P$2,$B$3:$B302))</f>
        <v>-1700</v>
      </c>
      <c r="Q302" s="0" t="n">
        <f aca="false">IF(ISBLANK(A302),"",SUMIF($A$3:$A302,Q$2,$B$3:$B302))</f>
        <v>500</v>
      </c>
      <c r="R302" s="0" t="n">
        <f aca="false">IF(ISBLANK(A302),"",SUMIF($A$3:$A302,R$2,$B$3:$B302))</f>
        <v>300</v>
      </c>
      <c r="T302" s="0" t="n">
        <f aca="false">IF(ISBLANK(A302),"",IF($A302=T$2,$C302,T301))</f>
        <v>47.67</v>
      </c>
      <c r="U302" s="0" t="n">
        <f aca="false">IF(ISBLANK(A302),"",IF($A302=U$2,$C302,U301))</f>
        <v>22.6</v>
      </c>
      <c r="V302" s="0" t="n">
        <f aca="false">IF(ISBLANK(A302),"",IF($A302=V$2,$C302,V301))</f>
        <v>52.38</v>
      </c>
      <c r="W302" s="0" t="n">
        <f aca="false">IF(ISBLANK(A302),"",IF($A302=W$2,$C302,W301))</f>
        <v>27.58</v>
      </c>
    </row>
    <row r="303" customFormat="false" ht="12.8" hidden="false" customHeight="false" outlineLevel="0" collapsed="false">
      <c r="A303" s="0" t="n">
        <v>980</v>
      </c>
      <c r="B303" s="0" t="n">
        <v>100</v>
      </c>
      <c r="C303" s="0" t="n">
        <v>22.6</v>
      </c>
      <c r="D303" s="0" t="s">
        <v>310</v>
      </c>
      <c r="H303" s="8" t="n">
        <f aca="false">IF(ISBLANK(D303),,LEFT(D303,LEN(D303)-6)*1)</f>
        <v>38722.8565972222</v>
      </c>
      <c r="I303" s="9" t="n">
        <f aca="false">IF(ISBLANK(A303),"",-B303*C303)</f>
        <v>-2260</v>
      </c>
      <c r="J303" s="9" t="n">
        <f aca="false">IF(ISBLANK(A303),"",-SUM(I$3:I303))</f>
        <v>-9027.4121562261</v>
      </c>
      <c r="K303" s="0" t="n">
        <f aca="false">IF(ISBLANK(A303),"",SUMPRODUCT(O303:R303,T303:W303)-J303)</f>
        <v>2564.4121562261</v>
      </c>
      <c r="L303" s="0" t="n">
        <f aca="false">IF(ISBLANK(A303),"",K303/$M$1)</f>
        <v>0.0427402026037683</v>
      </c>
      <c r="M303" s="0" t="n">
        <f aca="false">IF(ISBLANK(A303),"",K303/($M$1+SUM(K$3:K302)))</f>
        <v>0.00719636311235139</v>
      </c>
      <c r="N303" s="0" t="n">
        <f aca="false">IF(ISBLANK(A303),"",IF(H304=0,NETWORKDAYS($H$3,H303,holiday!$B$2:$B$10),IF(DAY(H303)&lt;DAY(H304),NETWORKDAYS($H$3,H303,holiday!$B$2:$B$10),0)))</f>
        <v>0</v>
      </c>
      <c r="O303" s="0" t="n">
        <f aca="false">IF(ISBLANK(A303),"",SUMIF($A$3:$A303,O$2,$B$3:$B303))</f>
        <v>-100</v>
      </c>
      <c r="P303" s="0" t="n">
        <f aca="false">IF(ISBLANK(A303),"",SUMIF($A$3:$A303,P$2,$B$3:$B303))</f>
        <v>-1600</v>
      </c>
      <c r="Q303" s="0" t="n">
        <f aca="false">IF(ISBLANK(A303),"",SUMIF($A$3:$A303,Q$2,$B$3:$B303))</f>
        <v>500</v>
      </c>
      <c r="R303" s="0" t="n">
        <f aca="false">IF(ISBLANK(A303),"",SUMIF($A$3:$A303,R$2,$B$3:$B303))</f>
        <v>300</v>
      </c>
      <c r="T303" s="0" t="n">
        <f aca="false">IF(ISBLANK(A303),"",IF($A303=T$2,$C303,T302))</f>
        <v>47.67</v>
      </c>
      <c r="U303" s="0" t="n">
        <f aca="false">IF(ISBLANK(A303),"",IF($A303=U$2,$C303,U302))</f>
        <v>22.6</v>
      </c>
      <c r="V303" s="0" t="n">
        <f aca="false">IF(ISBLANK(A303),"",IF($A303=V$2,$C303,V302))</f>
        <v>52.38</v>
      </c>
      <c r="W303" s="0" t="n">
        <f aca="false">IF(ISBLANK(A303),"",IF($A303=W$2,$C303,W302))</f>
        <v>27.58</v>
      </c>
    </row>
    <row r="304" customFormat="false" ht="12.8" hidden="false" customHeight="false" outlineLevel="0" collapsed="false">
      <c r="A304" s="0" t="n">
        <v>27969</v>
      </c>
      <c r="B304" s="0" t="n">
        <v>-100</v>
      </c>
      <c r="C304" s="0" t="n">
        <v>26.34</v>
      </c>
      <c r="D304" s="0" t="s">
        <v>311</v>
      </c>
      <c r="H304" s="8" t="n">
        <f aca="false">IF(ISBLANK(D304),,LEFT(D304,LEN(D304)-6)*1)</f>
        <v>38722.8583101852</v>
      </c>
      <c r="I304" s="9" t="n">
        <f aca="false">IF(ISBLANK(A304),"",-B304*C304)</f>
        <v>2634</v>
      </c>
      <c r="J304" s="9" t="n">
        <f aca="false">IF(ISBLANK(A304),"",-SUM(I$3:I304))</f>
        <v>-11661.4121562261</v>
      </c>
      <c r="K304" s="0" t="n">
        <f aca="false">IF(ISBLANK(A304),"",SUMPRODUCT(O304:R304,T304:W304)-J304)</f>
        <v>2192.4121562261</v>
      </c>
      <c r="L304" s="0" t="n">
        <f aca="false">IF(ISBLANK(A304),"",K304/$M$1)</f>
        <v>0.0365402026037683</v>
      </c>
      <c r="M304" s="0" t="n">
        <f aca="false">IF(ISBLANK(A304),"",K304/($M$1+SUM(K$3:K303)))</f>
        <v>0.00610848194204069</v>
      </c>
      <c r="N304" s="0" t="n">
        <f aca="false">IF(ISBLANK(A304),"",IF(H305=0,NETWORKDAYS($H$3,H304,holiday!$B$2:$B$10),IF(DAY(H304)&lt;DAY(H305),NETWORKDAYS($H$3,H304,holiday!$B$2:$B$10),0)))</f>
        <v>0</v>
      </c>
      <c r="O304" s="0" t="n">
        <f aca="false">IF(ISBLANK(A304),"",SUMIF($A$3:$A304,O$2,$B$3:$B304))</f>
        <v>-100</v>
      </c>
      <c r="P304" s="0" t="n">
        <f aca="false">IF(ISBLANK(A304),"",SUMIF($A$3:$A304,P$2,$B$3:$B304))</f>
        <v>-1600</v>
      </c>
      <c r="Q304" s="0" t="n">
        <f aca="false">IF(ISBLANK(A304),"",SUMIF($A$3:$A304,Q$2,$B$3:$B304))</f>
        <v>500</v>
      </c>
      <c r="R304" s="0" t="n">
        <f aca="false">IF(ISBLANK(A304),"",SUMIF($A$3:$A304,R$2,$B$3:$B304))</f>
        <v>200</v>
      </c>
      <c r="T304" s="0" t="n">
        <f aca="false">IF(ISBLANK(A304),"",IF($A304=T$2,$C304,T303))</f>
        <v>47.67</v>
      </c>
      <c r="U304" s="0" t="n">
        <f aca="false">IF(ISBLANK(A304),"",IF($A304=U$2,$C304,U303))</f>
        <v>22.6</v>
      </c>
      <c r="V304" s="0" t="n">
        <f aca="false">IF(ISBLANK(A304),"",IF($A304=V$2,$C304,V303))</f>
        <v>52.38</v>
      </c>
      <c r="W304" s="0" t="n">
        <f aca="false">IF(ISBLANK(A304),"",IF($A304=W$2,$C304,W303))</f>
        <v>26.34</v>
      </c>
    </row>
    <row r="305" customFormat="false" ht="12.8" hidden="false" customHeight="false" outlineLevel="0" collapsed="false">
      <c r="A305" s="0" t="n">
        <v>980</v>
      </c>
      <c r="B305" s="0" t="n">
        <v>100</v>
      </c>
      <c r="C305" s="0" t="n">
        <v>22.6</v>
      </c>
      <c r="D305" s="0" t="s">
        <v>312</v>
      </c>
      <c r="H305" s="8" t="n">
        <f aca="false">IF(ISBLANK(D305),,LEFT(D305,LEN(D305)-6)*1)</f>
        <v>38722.8647222222</v>
      </c>
      <c r="I305" s="9" t="n">
        <f aca="false">IF(ISBLANK(A305),"",-B305*C305)</f>
        <v>-2260</v>
      </c>
      <c r="J305" s="9" t="n">
        <f aca="false">IF(ISBLANK(A305),"",-SUM(I$3:I305))</f>
        <v>-9401.4121562261</v>
      </c>
      <c r="K305" s="0" t="n">
        <f aca="false">IF(ISBLANK(A305),"",SUMPRODUCT(O305:R305,T305:W305)-J305)</f>
        <v>2192.4121562261</v>
      </c>
      <c r="L305" s="0" t="n">
        <f aca="false">IF(ISBLANK(A305),"",K305/$M$1)</f>
        <v>0.0365402026037683</v>
      </c>
      <c r="M305" s="0" t="n">
        <f aca="false">IF(ISBLANK(A305),"",K305/($M$1+SUM(K$3:K304)))</f>
        <v>0.00607139493571289</v>
      </c>
      <c r="N305" s="0" t="n">
        <f aca="false">IF(ISBLANK(A305),"",IF(H306=0,NETWORKDAYS($H$3,H305,holiday!$B$2:$B$10),IF(DAY(H305)&lt;DAY(H306),NETWORKDAYS($H$3,H305,holiday!$B$2:$B$10),0)))</f>
        <v>0</v>
      </c>
      <c r="O305" s="0" t="n">
        <f aca="false">IF(ISBLANK(A305),"",SUMIF($A$3:$A305,O$2,$B$3:$B305))</f>
        <v>-100</v>
      </c>
      <c r="P305" s="0" t="n">
        <f aca="false">IF(ISBLANK(A305),"",SUMIF($A$3:$A305,P$2,$B$3:$B305))</f>
        <v>-1500</v>
      </c>
      <c r="Q305" s="0" t="n">
        <f aca="false">IF(ISBLANK(A305),"",SUMIF($A$3:$A305,Q$2,$B$3:$B305))</f>
        <v>500</v>
      </c>
      <c r="R305" s="0" t="n">
        <f aca="false">IF(ISBLANK(A305),"",SUMIF($A$3:$A305,R$2,$B$3:$B305))</f>
        <v>200</v>
      </c>
      <c r="T305" s="0" t="n">
        <f aca="false">IF(ISBLANK(A305),"",IF($A305=T$2,$C305,T304))</f>
        <v>47.67</v>
      </c>
      <c r="U305" s="0" t="n">
        <f aca="false">IF(ISBLANK(A305),"",IF($A305=U$2,$C305,U304))</f>
        <v>22.6</v>
      </c>
      <c r="V305" s="0" t="n">
        <f aca="false">IF(ISBLANK(A305),"",IF($A305=V$2,$C305,V304))</f>
        <v>52.38</v>
      </c>
      <c r="W305" s="0" t="n">
        <f aca="false">IF(ISBLANK(A305),"",IF($A305=W$2,$C305,W304))</f>
        <v>26.34</v>
      </c>
    </row>
    <row r="306" customFormat="false" ht="12.8" hidden="false" customHeight="false" outlineLevel="0" collapsed="false">
      <c r="A306" s="0" t="n">
        <v>980</v>
      </c>
      <c r="B306" s="0" t="n">
        <v>100</v>
      </c>
      <c r="C306" s="0" t="n">
        <v>22.590294117647</v>
      </c>
      <c r="D306" s="0" t="s">
        <v>313</v>
      </c>
      <c r="H306" s="8" t="n">
        <f aca="false">IF(ISBLANK(D306),,LEFT(D306,LEN(D306)-6)*1)</f>
        <v>38722.8682638889</v>
      </c>
      <c r="I306" s="9" t="n">
        <f aca="false">IF(ISBLANK(A306),"",-B306*C306)</f>
        <v>-2259.0294117647</v>
      </c>
      <c r="J306" s="9" t="n">
        <f aca="false">IF(ISBLANK(A306),"",-SUM(I$3:I306))</f>
        <v>-7142.3827444614</v>
      </c>
      <c r="K306" s="0" t="n">
        <f aca="false">IF(ISBLANK(A306),"",SUMPRODUCT(O306:R306,T306:W306)-J306)</f>
        <v>2206.9709797556</v>
      </c>
      <c r="L306" s="0" t="n">
        <f aca="false">IF(ISBLANK(A306),"",K306/$M$1)</f>
        <v>0.0367828496625933</v>
      </c>
      <c r="M306" s="0" t="n">
        <f aca="false">IF(ISBLANK(A306),"",K306/($M$1+SUM(K$3:K305)))</f>
        <v>0.00607482965010929</v>
      </c>
      <c r="N306" s="0" t="n">
        <f aca="false">IF(ISBLANK(A306),"",IF(H307=0,NETWORKDAYS($H$3,H306,holiday!$B$2:$B$10),IF(DAY(H306)&lt;DAY(H307),NETWORKDAYS($H$3,H306,holiday!$B$2:$B$10),0)))</f>
        <v>0</v>
      </c>
      <c r="O306" s="0" t="n">
        <f aca="false">IF(ISBLANK(A306),"",SUMIF($A$3:$A306,O$2,$B$3:$B306))</f>
        <v>-100</v>
      </c>
      <c r="P306" s="0" t="n">
        <f aca="false">IF(ISBLANK(A306),"",SUMIF($A$3:$A306,P$2,$B$3:$B306))</f>
        <v>-1400</v>
      </c>
      <c r="Q306" s="0" t="n">
        <f aca="false">IF(ISBLANK(A306),"",SUMIF($A$3:$A306,Q$2,$B$3:$B306))</f>
        <v>500</v>
      </c>
      <c r="R306" s="0" t="n">
        <f aca="false">IF(ISBLANK(A306),"",SUMIF($A$3:$A306,R$2,$B$3:$B306))</f>
        <v>200</v>
      </c>
      <c r="T306" s="0" t="n">
        <f aca="false">IF(ISBLANK(A306),"",IF($A306=T$2,$C306,T305))</f>
        <v>47.67</v>
      </c>
      <c r="U306" s="0" t="n">
        <f aca="false">IF(ISBLANK(A306),"",IF($A306=U$2,$C306,U305))</f>
        <v>22.590294117647</v>
      </c>
      <c r="V306" s="0" t="n">
        <f aca="false">IF(ISBLANK(A306),"",IF($A306=V$2,$C306,V305))</f>
        <v>52.38</v>
      </c>
      <c r="W306" s="0" t="n">
        <f aca="false">IF(ISBLANK(A306),"",IF($A306=W$2,$C306,W305))</f>
        <v>26.34</v>
      </c>
    </row>
    <row r="307" customFormat="false" ht="12.8" hidden="false" customHeight="false" outlineLevel="0" collapsed="false">
      <c r="A307" s="0" t="n">
        <v>8370</v>
      </c>
      <c r="B307" s="0" t="n">
        <v>100</v>
      </c>
      <c r="C307" s="0" t="n">
        <v>47.4</v>
      </c>
      <c r="D307" s="0" t="s">
        <v>314</v>
      </c>
      <c r="H307" s="8" t="n">
        <f aca="false">IF(ISBLANK(D307),,LEFT(D307,LEN(D307)-6)*1)</f>
        <v>38722.8743171296</v>
      </c>
      <c r="I307" s="9" t="n">
        <f aca="false">IF(ISBLANK(A307),"",-B307*C307)</f>
        <v>-4740</v>
      </c>
      <c r="J307" s="9" t="n">
        <f aca="false">IF(ISBLANK(A307),"",-SUM(I$3:I307))</f>
        <v>-2402.3827444614</v>
      </c>
      <c r="K307" s="0" t="n">
        <f aca="false">IF(ISBLANK(A307),"",SUMPRODUCT(O307:R307,T307:W307)-J307)</f>
        <v>2233.9709797556</v>
      </c>
      <c r="L307" s="0" t="n">
        <f aca="false">IF(ISBLANK(A307),"",K307/$M$1)</f>
        <v>0.0372328496625933</v>
      </c>
      <c r="M307" s="0" t="n">
        <f aca="false">IF(ISBLANK(A307),"",K307/($M$1+SUM(K$3:K306)))</f>
        <v>0.00611201941093895</v>
      </c>
      <c r="N307" s="0" t="n">
        <f aca="false">IF(ISBLANK(A307),"",IF(H308=0,NETWORKDAYS($H$3,H307,holiday!$B$2:$B$10),IF(DAY(H307)&lt;DAY(H308),NETWORKDAYS($H$3,H307,holiday!$B$2:$B$10),0)))</f>
        <v>0</v>
      </c>
      <c r="O307" s="0" t="n">
        <f aca="false">IF(ISBLANK(A307),"",SUMIF($A$3:$A307,O$2,$B$3:$B307))</f>
        <v>0</v>
      </c>
      <c r="P307" s="0" t="n">
        <f aca="false">IF(ISBLANK(A307),"",SUMIF($A$3:$A307,P$2,$B$3:$B307))</f>
        <v>-1400</v>
      </c>
      <c r="Q307" s="0" t="n">
        <f aca="false">IF(ISBLANK(A307),"",SUMIF($A$3:$A307,Q$2,$B$3:$B307))</f>
        <v>500</v>
      </c>
      <c r="R307" s="0" t="n">
        <f aca="false">IF(ISBLANK(A307),"",SUMIF($A$3:$A307,R$2,$B$3:$B307))</f>
        <v>200</v>
      </c>
      <c r="T307" s="0" t="n">
        <f aca="false">IF(ISBLANK(A307),"",IF($A307=T$2,$C307,T306))</f>
        <v>47.4</v>
      </c>
      <c r="U307" s="0" t="n">
        <f aca="false">IF(ISBLANK(A307),"",IF($A307=U$2,$C307,U306))</f>
        <v>22.590294117647</v>
      </c>
      <c r="V307" s="0" t="n">
        <f aca="false">IF(ISBLANK(A307),"",IF($A307=V$2,$C307,V306))</f>
        <v>52.38</v>
      </c>
      <c r="W307" s="0" t="n">
        <f aca="false">IF(ISBLANK(A307),"",IF($A307=W$2,$C307,W306))</f>
        <v>26.34</v>
      </c>
    </row>
    <row r="308" customFormat="false" ht="12.8" hidden="false" customHeight="false" outlineLevel="0" collapsed="false">
      <c r="A308" s="0" t="n">
        <v>8370</v>
      </c>
      <c r="B308" s="0" t="n">
        <v>100</v>
      </c>
      <c r="C308" s="0" t="n">
        <v>47.41</v>
      </c>
      <c r="D308" s="0" t="s">
        <v>315</v>
      </c>
      <c r="H308" s="8" t="n">
        <f aca="false">IF(ISBLANK(D308),,LEFT(D308,LEN(D308)-6)*1)</f>
        <v>38722.8743518519</v>
      </c>
      <c r="I308" s="9" t="n">
        <f aca="false">IF(ISBLANK(A308),"",-B308*C308)</f>
        <v>-4741</v>
      </c>
      <c r="J308" s="9" t="n">
        <f aca="false">IF(ISBLANK(A308),"",-SUM(I$3:I308))</f>
        <v>2338.6172555386</v>
      </c>
      <c r="K308" s="0" t="n">
        <f aca="false">IF(ISBLANK(A308),"",SUMPRODUCT(O308:R308,T308:W308)-J308)</f>
        <v>2233.9709797556</v>
      </c>
      <c r="L308" s="0" t="n">
        <f aca="false">IF(ISBLANK(A308),"",K308/$M$1)</f>
        <v>0.0372328496625933</v>
      </c>
      <c r="M308" s="0" t="n">
        <f aca="false">IF(ISBLANK(A308),"",K308/($M$1+SUM(K$3:K307)))</f>
        <v>0.00607488956798014</v>
      </c>
      <c r="N308" s="0" t="n">
        <f aca="false">IF(ISBLANK(A308),"",IF(H309=0,NETWORKDAYS($H$3,H308,holiday!$B$2:$B$10),IF(DAY(H308)&lt;DAY(H309),NETWORKDAYS($H$3,H308,holiday!$B$2:$B$10),0)))</f>
        <v>0</v>
      </c>
      <c r="O308" s="0" t="n">
        <f aca="false">IF(ISBLANK(A308),"",SUMIF($A$3:$A308,O$2,$B$3:$B308))</f>
        <v>100</v>
      </c>
      <c r="P308" s="0" t="n">
        <f aca="false">IF(ISBLANK(A308),"",SUMIF($A$3:$A308,P$2,$B$3:$B308))</f>
        <v>-1400</v>
      </c>
      <c r="Q308" s="0" t="n">
        <f aca="false">IF(ISBLANK(A308),"",SUMIF($A$3:$A308,Q$2,$B$3:$B308))</f>
        <v>500</v>
      </c>
      <c r="R308" s="0" t="n">
        <f aca="false">IF(ISBLANK(A308),"",SUMIF($A$3:$A308,R$2,$B$3:$B308))</f>
        <v>200</v>
      </c>
      <c r="T308" s="0" t="n">
        <f aca="false">IF(ISBLANK(A308),"",IF($A308=T$2,$C308,T307))</f>
        <v>47.41</v>
      </c>
      <c r="U308" s="0" t="n">
        <f aca="false">IF(ISBLANK(A308),"",IF($A308=U$2,$C308,U307))</f>
        <v>22.590294117647</v>
      </c>
      <c r="V308" s="0" t="n">
        <f aca="false">IF(ISBLANK(A308),"",IF($A308=V$2,$C308,V307))</f>
        <v>52.38</v>
      </c>
      <c r="W308" s="0" t="n">
        <f aca="false">IF(ISBLANK(A308),"",IF($A308=W$2,$C308,W307))</f>
        <v>26.34</v>
      </c>
    </row>
    <row r="309" customFormat="false" ht="12.8" hidden="false" customHeight="false" outlineLevel="0" collapsed="false">
      <c r="A309" s="0" t="n">
        <v>679</v>
      </c>
      <c r="B309" s="0" t="n">
        <v>-100</v>
      </c>
      <c r="C309" s="0" t="n">
        <v>53.3</v>
      </c>
      <c r="D309" s="0" t="s">
        <v>316</v>
      </c>
      <c r="H309" s="8" t="n">
        <f aca="false">IF(ISBLANK(D309),,LEFT(D309,LEN(D309)-6)*1)</f>
        <v>38722.879375</v>
      </c>
      <c r="I309" s="9" t="n">
        <f aca="false">IF(ISBLANK(A309),"",-B309*C309)</f>
        <v>5330</v>
      </c>
      <c r="J309" s="9" t="n">
        <f aca="false">IF(ISBLANK(A309),"",-SUM(I$3:I309))</f>
        <v>-2991.3827444614</v>
      </c>
      <c r="K309" s="0" t="n">
        <f aca="false">IF(ISBLANK(A309),"",SUMPRODUCT(O309:R309,T309:W309)-J309)</f>
        <v>2693.9709797556</v>
      </c>
      <c r="L309" s="0" t="n">
        <f aca="false">IF(ISBLANK(A309),"",K309/$M$1)</f>
        <v>0.04489951632926</v>
      </c>
      <c r="M309" s="0" t="n">
        <f aca="false">IF(ISBLANK(A309),"",K309/($M$1+SUM(K$3:K308)))</f>
        <v>0.00728154375936571</v>
      </c>
      <c r="N309" s="0" t="n">
        <f aca="false">IF(ISBLANK(A309),"",IF(H310=0,NETWORKDAYS($H$3,H309,holiday!$B$2:$B$10),IF(DAY(H309)&lt;DAY(H310),NETWORKDAYS($H$3,H309,holiday!$B$2:$B$10),0)))</f>
        <v>0</v>
      </c>
      <c r="O309" s="0" t="n">
        <f aca="false">IF(ISBLANK(A309),"",SUMIF($A$3:$A309,O$2,$B$3:$B309))</f>
        <v>100</v>
      </c>
      <c r="P309" s="0" t="n">
        <f aca="false">IF(ISBLANK(A309),"",SUMIF($A$3:$A309,P$2,$B$3:$B309))</f>
        <v>-1400</v>
      </c>
      <c r="Q309" s="0" t="n">
        <f aca="false">IF(ISBLANK(A309),"",SUMIF($A$3:$A309,Q$2,$B$3:$B309))</f>
        <v>400</v>
      </c>
      <c r="R309" s="0" t="n">
        <f aca="false">IF(ISBLANK(A309),"",SUMIF($A$3:$A309,R$2,$B$3:$B309))</f>
        <v>200</v>
      </c>
      <c r="T309" s="0" t="n">
        <f aca="false">IF(ISBLANK(A309),"",IF($A309=T$2,$C309,T308))</f>
        <v>47.41</v>
      </c>
      <c r="U309" s="0" t="n">
        <f aca="false">IF(ISBLANK(A309),"",IF($A309=U$2,$C309,U308))</f>
        <v>22.590294117647</v>
      </c>
      <c r="V309" s="0" t="n">
        <f aca="false">IF(ISBLANK(A309),"",IF($A309=V$2,$C309,V308))</f>
        <v>53.3</v>
      </c>
      <c r="W309" s="0" t="n">
        <f aca="false">IF(ISBLANK(A309),"",IF($A309=W$2,$C309,W308))</f>
        <v>26.34</v>
      </c>
    </row>
    <row r="310" customFormat="false" ht="12.8" hidden="false" customHeight="false" outlineLevel="0" collapsed="false">
      <c r="A310" s="0" t="n">
        <v>679</v>
      </c>
      <c r="B310" s="0" t="n">
        <v>-100</v>
      </c>
      <c r="C310" s="0" t="n">
        <v>52.74</v>
      </c>
      <c r="D310" s="0" t="s">
        <v>317</v>
      </c>
      <c r="H310" s="8" t="n">
        <f aca="false">IF(ISBLANK(D310),,LEFT(D310,LEN(D310)-6)*1)</f>
        <v>38722.8872916667</v>
      </c>
      <c r="I310" s="9" t="n">
        <f aca="false">IF(ISBLANK(A310),"",-B310*C310)</f>
        <v>5274</v>
      </c>
      <c r="J310" s="9" t="n">
        <f aca="false">IF(ISBLANK(A310),"",-SUM(I$3:I310))</f>
        <v>-8265.3827444614</v>
      </c>
      <c r="K310" s="0" t="n">
        <f aca="false">IF(ISBLANK(A310),"",SUMPRODUCT(O310:R310,T310:W310)-J310)</f>
        <v>2469.9709797556</v>
      </c>
      <c r="L310" s="0" t="n">
        <f aca="false">IF(ISBLANK(A310),"",K310/$M$1)</f>
        <v>0.0411661829959267</v>
      </c>
      <c r="M310" s="0" t="n">
        <f aca="false">IF(ISBLANK(A310),"",K310/($M$1+SUM(K$3:K309)))</f>
        <v>0.00662783250884691</v>
      </c>
      <c r="N310" s="0" t="n">
        <f aca="false">IF(ISBLANK(A310),"",IF(H311=0,NETWORKDAYS($H$3,H310,holiday!$B$2:$B$10),IF(DAY(H310)&lt;DAY(H311),NETWORKDAYS($H$3,H310,holiday!$B$2:$B$10),0)))</f>
        <v>0</v>
      </c>
      <c r="O310" s="0" t="n">
        <f aca="false">IF(ISBLANK(A310),"",SUMIF($A$3:$A310,O$2,$B$3:$B310))</f>
        <v>100</v>
      </c>
      <c r="P310" s="0" t="n">
        <f aca="false">IF(ISBLANK(A310),"",SUMIF($A$3:$A310,P$2,$B$3:$B310))</f>
        <v>-1400</v>
      </c>
      <c r="Q310" s="0" t="n">
        <f aca="false">IF(ISBLANK(A310),"",SUMIF($A$3:$A310,Q$2,$B$3:$B310))</f>
        <v>300</v>
      </c>
      <c r="R310" s="0" t="n">
        <f aca="false">IF(ISBLANK(A310),"",SUMIF($A$3:$A310,R$2,$B$3:$B310))</f>
        <v>200</v>
      </c>
      <c r="T310" s="0" t="n">
        <f aca="false">IF(ISBLANK(A310),"",IF($A310=T$2,$C310,T309))</f>
        <v>47.41</v>
      </c>
      <c r="U310" s="0" t="n">
        <f aca="false">IF(ISBLANK(A310),"",IF($A310=U$2,$C310,U309))</f>
        <v>22.590294117647</v>
      </c>
      <c r="V310" s="0" t="n">
        <f aca="false">IF(ISBLANK(A310),"",IF($A310=V$2,$C310,V309))</f>
        <v>52.74</v>
      </c>
      <c r="W310" s="0" t="n">
        <f aca="false">IF(ISBLANK(A310),"",IF($A310=W$2,$C310,W309))</f>
        <v>26.34</v>
      </c>
    </row>
    <row r="311" customFormat="false" ht="12.8" hidden="false" customHeight="false" outlineLevel="0" collapsed="false">
      <c r="A311" s="0" t="n">
        <v>980</v>
      </c>
      <c r="B311" s="0" t="n">
        <v>-100</v>
      </c>
      <c r="C311" s="0" t="n">
        <v>23</v>
      </c>
      <c r="D311" s="0" t="s">
        <v>318</v>
      </c>
      <c r="H311" s="8" t="n">
        <f aca="false">IF(ISBLANK(D311),,LEFT(D311,LEN(D311)-6)*1)</f>
        <v>38722.8919675926</v>
      </c>
      <c r="I311" s="9" t="n">
        <f aca="false">IF(ISBLANK(A311),"",-B311*C311)</f>
        <v>2300</v>
      </c>
      <c r="J311" s="9" t="n">
        <f aca="false">IF(ISBLANK(A311),"",-SUM(I$3:I311))</f>
        <v>-10565.3827444614</v>
      </c>
      <c r="K311" s="0" t="n">
        <f aca="false">IF(ISBLANK(A311),"",SUMPRODUCT(O311:R311,T311:W311)-J311)</f>
        <v>1896.3827444614</v>
      </c>
      <c r="L311" s="0" t="n">
        <f aca="false">IF(ISBLANK(A311),"",K311/$M$1)</f>
        <v>0.0316063790743567</v>
      </c>
      <c r="M311" s="0" t="n">
        <f aca="false">IF(ISBLANK(A311),"",K311/($M$1+SUM(K$3:K310)))</f>
        <v>0.00505518129047909</v>
      </c>
      <c r="N311" s="0" t="n">
        <f aca="false">IF(ISBLANK(A311),"",IF(H312=0,NETWORKDAYS($H$3,H311,holiday!$B$2:$B$10),IF(DAY(H311)&lt;DAY(H312),NETWORKDAYS($H$3,H311,holiday!$B$2:$B$10),0)))</f>
        <v>0</v>
      </c>
      <c r="O311" s="0" t="n">
        <f aca="false">IF(ISBLANK(A311),"",SUMIF($A$3:$A311,O$2,$B$3:$B311))</f>
        <v>100</v>
      </c>
      <c r="P311" s="0" t="n">
        <f aca="false">IF(ISBLANK(A311),"",SUMIF($A$3:$A311,P$2,$B$3:$B311))</f>
        <v>-1500</v>
      </c>
      <c r="Q311" s="0" t="n">
        <f aca="false">IF(ISBLANK(A311),"",SUMIF($A$3:$A311,Q$2,$B$3:$B311))</f>
        <v>300</v>
      </c>
      <c r="R311" s="0" t="n">
        <f aca="false">IF(ISBLANK(A311),"",SUMIF($A$3:$A311,R$2,$B$3:$B311))</f>
        <v>200</v>
      </c>
      <c r="T311" s="0" t="n">
        <f aca="false">IF(ISBLANK(A311),"",IF($A311=T$2,$C311,T310))</f>
        <v>47.41</v>
      </c>
      <c r="U311" s="0" t="n">
        <f aca="false">IF(ISBLANK(A311),"",IF($A311=U$2,$C311,U310))</f>
        <v>23</v>
      </c>
      <c r="V311" s="0" t="n">
        <f aca="false">IF(ISBLANK(A311),"",IF($A311=V$2,$C311,V310))</f>
        <v>52.74</v>
      </c>
      <c r="W311" s="0" t="n">
        <f aca="false">IF(ISBLANK(A311),"",IF($A311=W$2,$C311,W310))</f>
        <v>26.34</v>
      </c>
    </row>
    <row r="312" customFormat="false" ht="12.8" hidden="false" customHeight="false" outlineLevel="0" collapsed="false">
      <c r="A312" s="0" t="n">
        <v>679</v>
      </c>
      <c r="B312" s="0" t="n">
        <v>100</v>
      </c>
      <c r="C312" s="0" t="n">
        <v>52</v>
      </c>
      <c r="D312" s="0" t="s">
        <v>319</v>
      </c>
      <c r="H312" s="8" t="n">
        <f aca="false">IF(ISBLANK(D312),,LEFT(D312,LEN(D312)-6)*1)</f>
        <v>38722.9549652778</v>
      </c>
      <c r="I312" s="9" t="n">
        <f aca="false">IF(ISBLANK(A312),"",-B312*C312)</f>
        <v>-5200</v>
      </c>
      <c r="J312" s="9" t="n">
        <f aca="false">IF(ISBLANK(A312),"",-SUM(I$3:I312))</f>
        <v>-5365.3827444614</v>
      </c>
      <c r="K312" s="0" t="n">
        <f aca="false">IF(ISBLANK(A312),"",SUMPRODUCT(O312:R312,T312:W312)-J312)</f>
        <v>1674.3827444614</v>
      </c>
      <c r="L312" s="0" t="n">
        <f aca="false">IF(ISBLANK(A312),"",K312/$M$1)</f>
        <v>0.0279063790743567</v>
      </c>
      <c r="M312" s="0" t="n">
        <f aca="false">IF(ISBLANK(A312),"",K312/($M$1+SUM(K$3:K311)))</f>
        <v>0.00444094682398228</v>
      </c>
      <c r="N312" s="0" t="n">
        <f aca="false">IF(ISBLANK(A312),"",IF(H313=0,NETWORKDAYS($H$3,H312,holiday!$B$2:$B$10),IF(DAY(H312)&lt;DAY(H313),NETWORKDAYS($H$3,H312,holiday!$B$2:$B$10),0)))</f>
        <v>3</v>
      </c>
      <c r="O312" s="0" t="n">
        <f aca="false">IF(ISBLANK(A312),"",SUMIF($A$3:$A312,O$2,$B$3:$B312))</f>
        <v>100</v>
      </c>
      <c r="P312" s="0" t="n">
        <f aca="false">IF(ISBLANK(A312),"",SUMIF($A$3:$A312,P$2,$B$3:$B312))</f>
        <v>-1500</v>
      </c>
      <c r="Q312" s="0" t="n">
        <f aca="false">IF(ISBLANK(A312),"",SUMIF($A$3:$A312,Q$2,$B$3:$B312))</f>
        <v>400</v>
      </c>
      <c r="R312" s="0" t="n">
        <f aca="false">IF(ISBLANK(A312),"",SUMIF($A$3:$A312,R$2,$B$3:$B312))</f>
        <v>200</v>
      </c>
      <c r="T312" s="0" t="n">
        <f aca="false">IF(ISBLANK(A312),"",IF($A312=T$2,$C312,T311))</f>
        <v>47.41</v>
      </c>
      <c r="U312" s="0" t="n">
        <f aca="false">IF(ISBLANK(A312),"",IF($A312=U$2,$C312,U311))</f>
        <v>23</v>
      </c>
      <c r="V312" s="0" t="n">
        <f aca="false">IF(ISBLANK(A312),"",IF($A312=V$2,$C312,V311))</f>
        <v>52</v>
      </c>
      <c r="W312" s="0" t="n">
        <f aca="false">IF(ISBLANK(A312),"",IF($A312=W$2,$C312,W311))</f>
        <v>26.34</v>
      </c>
    </row>
    <row r="313" customFormat="false" ht="12.8" hidden="false" customHeight="false" outlineLevel="0" collapsed="false">
      <c r="H313" s="8" t="n">
        <f aca="false">IF(ISBLANK(D313),,LEFT(D313,LEN(D313)-6)*1)</f>
        <v>0</v>
      </c>
      <c r="I313" s="9" t="str">
        <f aca="false">IF(ISBLANK(A313),"",-B313*C313)</f>
        <v/>
      </c>
      <c r="J313" s="9" t="str">
        <f aca="false">IF(ISBLANK(A313),"",-SUM(I$3:I313))</f>
        <v/>
      </c>
      <c r="K313" s="0" t="str">
        <f aca="false">IF(ISBLANK(A313),"",SUMPRODUCT(O313:R313,T313:W313)-J313)</f>
        <v/>
      </c>
      <c r="L313" s="0" t="str">
        <f aca="false">IF(ISBLANK(A313),"",K313/$M$1)</f>
        <v/>
      </c>
      <c r="M313" s="0" t="str">
        <f aca="false">IF(ISBLANK(A313),"",K313/($M$1+SUM(K$3:K312)))</f>
        <v/>
      </c>
      <c r="N313" s="0" t="str">
        <f aca="false">IF(ISBLANK(A313),"",IF(H314=0,NETWORKDAYS($H$3,H313,holiday!$B$2:$B$10),IF(DAY(H313)&lt;DAY(H314),NETWORKDAYS($H$3,H313,holiday!$B$2:$B$10),0)))</f>
        <v/>
      </c>
      <c r="O313" s="0" t="str">
        <f aca="false">IF(ISBLANK(A313),"",SUMIF($A$3:$A313,O$2,$B$3:$B313))</f>
        <v/>
      </c>
      <c r="P313" s="0" t="str">
        <f aca="false">IF(ISBLANK(A313),"",SUMIF($A$3:$A313,P$2,$B$3:$B313))</f>
        <v/>
      </c>
      <c r="Q313" s="0" t="str">
        <f aca="false">IF(ISBLANK(A313),"",SUMIF($A$3:$A313,Q$2,$B$3:$B313))</f>
        <v/>
      </c>
      <c r="R313" s="0" t="str">
        <f aca="false">IF(ISBLANK(A313),"",SUMIF($A$3:$A313,R$2,$B$3:$B313))</f>
        <v/>
      </c>
      <c r="T313" s="0" t="str">
        <f aca="false">IF(ISBLANK(A313),"",IF($A313=T$2,$C313,T312))</f>
        <v/>
      </c>
      <c r="U313" s="0" t="str">
        <f aca="false">IF(ISBLANK(A313),"",IF($A313=U$2,$C313,U312))</f>
        <v/>
      </c>
      <c r="V313" s="0" t="str">
        <f aca="false">IF(ISBLANK(A313),"",IF($A313=V$2,$C313,V312))</f>
        <v/>
      </c>
      <c r="W313" s="0" t="str">
        <f aca="false">IF(ISBLANK(A313),"",IF($A313=W$2,$C313,W312))</f>
        <v/>
      </c>
    </row>
    <row r="314" customFormat="false" ht="12.8" hidden="false" customHeight="false" outlineLevel="0" collapsed="false">
      <c r="H314" s="8" t="n">
        <f aca="false">IF(ISBLANK(D314),,LEFT(D314,LEN(D314)-6)*1)</f>
        <v>0</v>
      </c>
      <c r="I314" s="9" t="str">
        <f aca="false">IF(ISBLANK(A314),"",-B314*C314)</f>
        <v/>
      </c>
      <c r="J314" s="9" t="str">
        <f aca="false">IF(ISBLANK(A314),"",-SUM(I$3:I314))</f>
        <v/>
      </c>
      <c r="K314" s="0" t="str">
        <f aca="false">IF(ISBLANK(A314),"",SUMPRODUCT(O314:R314,T314:W314)-J314)</f>
        <v/>
      </c>
      <c r="L314" s="0" t="str">
        <f aca="false">IF(ISBLANK(A314),"",K314/$M$1)</f>
        <v/>
      </c>
      <c r="M314" s="0" t="str">
        <f aca="false">IF(ISBLANK(A314),"",K314/($M$1+SUM(K$3:K313)))</f>
        <v/>
      </c>
      <c r="N314" s="0" t="str">
        <f aca="false">IF(ISBLANK(A314),"",IF(H315=0,NETWORKDAYS($H$3,H314,holiday!$B$2:$B$10),IF(DAY(H314)&lt;DAY(H315),NETWORKDAYS($H$3,H314,holiday!$B$2:$B$10),0)))</f>
        <v/>
      </c>
      <c r="O314" s="0" t="str">
        <f aca="false">IF(ISBLANK(A314),"",SUMIF($A$3:$A314,O$2,$B$3:$B314))</f>
        <v/>
      </c>
      <c r="P314" s="0" t="str">
        <f aca="false">IF(ISBLANK(A314),"",SUMIF($A$3:$A314,P$2,$B$3:$B314))</f>
        <v/>
      </c>
      <c r="Q314" s="0" t="str">
        <f aca="false">IF(ISBLANK(A314),"",SUMIF($A$3:$A314,Q$2,$B$3:$B314))</f>
        <v/>
      </c>
      <c r="R314" s="0" t="str">
        <f aca="false">IF(ISBLANK(A314),"",SUMIF($A$3:$A314,R$2,$B$3:$B314))</f>
        <v/>
      </c>
      <c r="T314" s="0" t="str">
        <f aca="false">IF(ISBLANK(A314),"",IF($A314=T$2,$C314,T313))</f>
        <v/>
      </c>
      <c r="U314" s="0" t="str">
        <f aca="false">IF(ISBLANK(A314),"",IF($A314=U$2,$C314,U313))</f>
        <v/>
      </c>
      <c r="V314" s="0" t="str">
        <f aca="false">IF(ISBLANK(A314),"",IF($A314=V$2,$C314,V313))</f>
        <v/>
      </c>
      <c r="W314" s="0" t="str">
        <f aca="false">IF(ISBLANK(A314),"",IF($A314=W$2,$C314,W313))</f>
        <v/>
      </c>
    </row>
    <row r="315" customFormat="false" ht="12.8" hidden="false" customHeight="false" outlineLevel="0" collapsed="false">
      <c r="H315" s="8" t="n">
        <f aca="false">IF(ISBLANK(D315),,LEFT(D315,LEN(D315)-6)*1)</f>
        <v>0</v>
      </c>
      <c r="I315" s="9" t="str">
        <f aca="false">IF(ISBLANK(A315),"",-B315*C315)</f>
        <v/>
      </c>
      <c r="J315" s="9" t="str">
        <f aca="false">IF(ISBLANK(A315),"",-SUM(I$3:I315))</f>
        <v/>
      </c>
      <c r="K315" s="0" t="str">
        <f aca="false">IF(ISBLANK(A315),"",SUMPRODUCT(O315:R315,T315:W315)-J315)</f>
        <v/>
      </c>
      <c r="L315" s="0" t="str">
        <f aca="false">IF(ISBLANK(A315),"",K315/$M$1)</f>
        <v/>
      </c>
      <c r="M315" s="0" t="str">
        <f aca="false">IF(ISBLANK(A315),"",K315/($M$1+SUM(K$3:K314)))</f>
        <v/>
      </c>
      <c r="N315" s="0" t="str">
        <f aca="false">IF(ISBLANK(A315),"",IF(H316=0,NETWORKDAYS($H$3,H315,holiday!$B$2:$B$10),IF(DAY(H315)&lt;DAY(H316),NETWORKDAYS($H$3,H315,holiday!$B$2:$B$10),0)))</f>
        <v/>
      </c>
      <c r="O315" s="0" t="str">
        <f aca="false">IF(ISBLANK(A315),"",SUMIF($A$3:$A315,O$2,$B$3:$B315))</f>
        <v/>
      </c>
      <c r="P315" s="0" t="str">
        <f aca="false">IF(ISBLANK(A315),"",SUMIF($A$3:$A315,P$2,$B$3:$B315))</f>
        <v/>
      </c>
      <c r="Q315" s="0" t="str">
        <f aca="false">IF(ISBLANK(A315),"",SUMIF($A$3:$A315,Q$2,$B$3:$B315))</f>
        <v/>
      </c>
      <c r="R315" s="0" t="str">
        <f aca="false">IF(ISBLANK(A315),"",SUMIF($A$3:$A315,R$2,$B$3:$B315))</f>
        <v/>
      </c>
      <c r="T315" s="0" t="str">
        <f aca="false">IF(ISBLANK(A315),"",IF($A315=T$2,$C315,T314))</f>
        <v/>
      </c>
      <c r="U315" s="0" t="str">
        <f aca="false">IF(ISBLANK(A315),"",IF($A315=U$2,$C315,U314))</f>
        <v/>
      </c>
      <c r="V315" s="0" t="str">
        <f aca="false">IF(ISBLANK(A315),"",IF($A315=V$2,$C315,V314))</f>
        <v/>
      </c>
      <c r="W315" s="0" t="str">
        <f aca="false">IF(ISBLANK(A315),"",IF($A315=W$2,$C315,W314))</f>
        <v/>
      </c>
    </row>
    <row r="316" customFormat="false" ht="12.8" hidden="false" customHeight="false" outlineLevel="0" collapsed="false">
      <c r="H316" s="8" t="n">
        <f aca="false">IF(ISBLANK(D316),,LEFT(D316,LEN(D316)-6)*1)</f>
        <v>0</v>
      </c>
      <c r="I316" s="9" t="str">
        <f aca="false">IF(ISBLANK(A316),"",-B316*C316)</f>
        <v/>
      </c>
      <c r="J316" s="9" t="str">
        <f aca="false">IF(ISBLANK(A316),"",-SUM(I$3:I316))</f>
        <v/>
      </c>
      <c r="K316" s="0" t="str">
        <f aca="false">IF(ISBLANK(A316),"",SUMPRODUCT(O316:R316,T316:W316)-J316)</f>
        <v/>
      </c>
      <c r="L316" s="0" t="str">
        <f aca="false">IF(ISBLANK(A316),"",K316/$M$1)</f>
        <v/>
      </c>
      <c r="M316" s="0" t="str">
        <f aca="false">IF(ISBLANK(A316),"",K316/($M$1+SUM(K$3:K315)))</f>
        <v/>
      </c>
      <c r="N316" s="0" t="str">
        <f aca="false">IF(ISBLANK(A316),"",IF(H317=0,NETWORKDAYS($H$3,H316,holiday!$B$2:$B$10),IF(DAY(H316)&lt;DAY(H317),NETWORKDAYS($H$3,H316,holiday!$B$2:$B$10),0)))</f>
        <v/>
      </c>
      <c r="O316" s="0" t="str">
        <f aca="false">IF(ISBLANK(A316),"",SUMIF($A$3:$A316,O$2,$B$3:$B316))</f>
        <v/>
      </c>
      <c r="P316" s="0" t="str">
        <f aca="false">IF(ISBLANK(A316),"",SUMIF($A$3:$A316,P$2,$B$3:$B316))</f>
        <v/>
      </c>
      <c r="Q316" s="0" t="str">
        <f aca="false">IF(ISBLANK(A316),"",SUMIF($A$3:$A316,Q$2,$B$3:$B316))</f>
        <v/>
      </c>
      <c r="R316" s="0" t="str">
        <f aca="false">IF(ISBLANK(A316),"",SUMIF($A$3:$A316,R$2,$B$3:$B316))</f>
        <v/>
      </c>
      <c r="T316" s="0" t="str">
        <f aca="false">IF(ISBLANK(A316),"",IF($A316=T$2,$C316,T315))</f>
        <v/>
      </c>
      <c r="U316" s="0" t="str">
        <f aca="false">IF(ISBLANK(A316),"",IF($A316=U$2,$C316,U315))</f>
        <v/>
      </c>
      <c r="V316" s="0" t="str">
        <f aca="false">IF(ISBLANK(A316),"",IF($A316=V$2,$C316,V315))</f>
        <v/>
      </c>
      <c r="W316" s="0" t="str">
        <f aca="false">IF(ISBLANK(A316),"",IF($A316=W$2,$C316,W315))</f>
        <v/>
      </c>
    </row>
    <row r="317" customFormat="false" ht="12.8" hidden="false" customHeight="false" outlineLevel="0" collapsed="false">
      <c r="H317" s="8" t="n">
        <f aca="false">IF(ISBLANK(D317),,LEFT(D317,LEN(D317)-6)*1)</f>
        <v>0</v>
      </c>
      <c r="I317" s="9" t="str">
        <f aca="false">IF(ISBLANK(A317),"",-B317*C317)</f>
        <v/>
      </c>
      <c r="J317" s="9" t="str">
        <f aca="false">IF(ISBLANK(A317),"",-SUM(I$3:I317))</f>
        <v/>
      </c>
      <c r="K317" s="0" t="str">
        <f aca="false">IF(ISBLANK(A317),"",SUMPRODUCT(O317:R317,T317:W317)-J317)</f>
        <v/>
      </c>
      <c r="L317" s="0" t="str">
        <f aca="false">IF(ISBLANK(A317),"",K317/$M$1)</f>
        <v/>
      </c>
      <c r="M317" s="0" t="str">
        <f aca="false">IF(ISBLANK(A317),"",K317/($M$1+SUM(K$3:K316)))</f>
        <v/>
      </c>
      <c r="N317" s="0" t="str">
        <f aca="false">IF(ISBLANK(A317),"",IF(H318=0,NETWORKDAYS($H$3,H317,holiday!$B$2:$B$10),IF(DAY(H317)&lt;DAY(H318),NETWORKDAYS($H$3,H317,holiday!$B$2:$B$10),0)))</f>
        <v/>
      </c>
      <c r="O317" s="0" t="str">
        <f aca="false">IF(ISBLANK(A317),"",SUMIF($A$3:$A317,O$2,$B$3:$B317))</f>
        <v/>
      </c>
      <c r="P317" s="0" t="str">
        <f aca="false">IF(ISBLANK(A317),"",SUMIF($A$3:$A317,P$2,$B$3:$B317))</f>
        <v/>
      </c>
      <c r="Q317" s="0" t="str">
        <f aca="false">IF(ISBLANK(A317),"",SUMIF($A$3:$A317,Q$2,$B$3:$B317))</f>
        <v/>
      </c>
      <c r="R317" s="0" t="str">
        <f aca="false">IF(ISBLANK(A317),"",SUMIF($A$3:$A317,R$2,$B$3:$B317))</f>
        <v/>
      </c>
      <c r="T317" s="0" t="str">
        <f aca="false">IF(ISBLANK(A317),"",IF($A317=T$2,$C317,T316))</f>
        <v/>
      </c>
      <c r="U317" s="0" t="str">
        <f aca="false">IF(ISBLANK(A317),"",IF($A317=U$2,$C317,U316))</f>
        <v/>
      </c>
      <c r="V317" s="0" t="str">
        <f aca="false">IF(ISBLANK(A317),"",IF($A317=V$2,$C317,V316))</f>
        <v/>
      </c>
      <c r="W317" s="0" t="str">
        <f aca="false">IF(ISBLANK(A317),"",IF($A317=W$2,$C317,W316))</f>
        <v/>
      </c>
    </row>
    <row r="318" customFormat="false" ht="12.8" hidden="false" customHeight="false" outlineLevel="0" collapsed="false">
      <c r="H318" s="8" t="n">
        <f aca="false">IF(ISBLANK(D318),,LEFT(D318,LEN(D318)-6)*1)</f>
        <v>0</v>
      </c>
      <c r="I318" s="9" t="str">
        <f aca="false">IF(ISBLANK(A318),"",-B318*C318)</f>
        <v/>
      </c>
      <c r="J318" s="9" t="str">
        <f aca="false">IF(ISBLANK(A318),"",-SUM(I$3:I318))</f>
        <v/>
      </c>
      <c r="K318" s="0" t="str">
        <f aca="false">IF(ISBLANK(A318),"",SUMPRODUCT(O318:R318,T318:W318)-J318)</f>
        <v/>
      </c>
      <c r="L318" s="0" t="str">
        <f aca="false">IF(ISBLANK(A318),"",K318/$M$1)</f>
        <v/>
      </c>
      <c r="M318" s="0" t="str">
        <f aca="false">IF(ISBLANK(A318),"",K318/($M$1+SUM(K$3:K317)))</f>
        <v/>
      </c>
      <c r="N318" s="0" t="str">
        <f aca="false">IF(ISBLANK(A318),"",IF(H319=0,NETWORKDAYS($H$3,H318,holiday!$B$2:$B$10),IF(DAY(H318)&lt;DAY(H319),NETWORKDAYS($H$3,H318,holiday!$B$2:$B$10),0)))</f>
        <v/>
      </c>
      <c r="O318" s="0" t="str">
        <f aca="false">IF(ISBLANK(A318),"",SUMIF($A$3:$A318,O$2,$B$3:$B318))</f>
        <v/>
      </c>
      <c r="P318" s="0" t="str">
        <f aca="false">IF(ISBLANK(A318),"",SUMIF($A$3:$A318,P$2,$B$3:$B318))</f>
        <v/>
      </c>
      <c r="Q318" s="0" t="str">
        <f aca="false">IF(ISBLANK(A318),"",SUMIF($A$3:$A318,Q$2,$B$3:$B318))</f>
        <v/>
      </c>
      <c r="R318" s="0" t="str">
        <f aca="false">IF(ISBLANK(A318),"",SUMIF($A$3:$A318,R$2,$B$3:$B318))</f>
        <v/>
      </c>
      <c r="T318" s="0" t="str">
        <f aca="false">IF(ISBLANK(A318),"",IF($A318=T$2,$C318,T317))</f>
        <v/>
      </c>
      <c r="U318" s="0" t="str">
        <f aca="false">IF(ISBLANK(A318),"",IF($A318=U$2,$C318,U317))</f>
        <v/>
      </c>
      <c r="V318" s="0" t="str">
        <f aca="false">IF(ISBLANK(A318),"",IF($A318=V$2,$C318,V317))</f>
        <v/>
      </c>
      <c r="W318" s="0" t="str">
        <f aca="false">IF(ISBLANK(A318),"",IF($A318=W$2,$C318,W317))</f>
        <v/>
      </c>
    </row>
    <row r="319" customFormat="false" ht="12.8" hidden="false" customHeight="false" outlineLevel="0" collapsed="false">
      <c r="H319" s="8" t="n">
        <f aca="false">IF(ISBLANK(D319),,LEFT(D319,LEN(D319)-6)*1)</f>
        <v>0</v>
      </c>
      <c r="I319" s="9" t="str">
        <f aca="false">IF(ISBLANK(A319),"",-B319*C319)</f>
        <v/>
      </c>
      <c r="J319" s="9" t="str">
        <f aca="false">IF(ISBLANK(A319),"",-SUM(I$3:I319))</f>
        <v/>
      </c>
      <c r="K319" s="0" t="str">
        <f aca="false">IF(ISBLANK(A319),"",SUMPRODUCT(O319:R319,T319:W319)-J319)</f>
        <v/>
      </c>
      <c r="L319" s="0" t="str">
        <f aca="false">IF(ISBLANK(A319),"",K319/$M$1)</f>
        <v/>
      </c>
      <c r="M319" s="0" t="str">
        <f aca="false">IF(ISBLANK(A319),"",K319/($M$1+SUM(K$3:K318)))</f>
        <v/>
      </c>
      <c r="N319" s="0" t="str">
        <f aca="false">IF(ISBLANK(A319),"",IF(H320=0,NETWORKDAYS($H$3,H319,holiday!$B$2:$B$10),IF(DAY(H319)&lt;DAY(H320),NETWORKDAYS($H$3,H319,holiday!$B$2:$B$10),0)))</f>
        <v/>
      </c>
      <c r="O319" s="0" t="str">
        <f aca="false">IF(ISBLANK(A319),"",SUMIF($A$3:$A319,O$2,$B$3:$B319))</f>
        <v/>
      </c>
      <c r="P319" s="0" t="str">
        <f aca="false">IF(ISBLANK(A319),"",SUMIF($A$3:$A319,P$2,$B$3:$B319))</f>
        <v/>
      </c>
      <c r="Q319" s="0" t="str">
        <f aca="false">IF(ISBLANK(A319),"",SUMIF($A$3:$A319,Q$2,$B$3:$B319))</f>
        <v/>
      </c>
      <c r="R319" s="0" t="str">
        <f aca="false">IF(ISBLANK(A319),"",SUMIF($A$3:$A319,R$2,$B$3:$B319))</f>
        <v/>
      </c>
      <c r="T319" s="0" t="str">
        <f aca="false">IF(ISBLANK(A319),"",IF($A319=T$2,$C319,T318))</f>
        <v/>
      </c>
      <c r="U319" s="0" t="str">
        <f aca="false">IF(ISBLANK(A319),"",IF($A319=U$2,$C319,U318))</f>
        <v/>
      </c>
      <c r="V319" s="0" t="str">
        <f aca="false">IF(ISBLANK(A319),"",IF($A319=V$2,$C319,V318))</f>
        <v/>
      </c>
      <c r="W319" s="0" t="str">
        <f aca="false">IF(ISBLANK(A319),"",IF($A319=W$2,$C319,W318))</f>
        <v/>
      </c>
    </row>
    <row r="320" customFormat="false" ht="12.8" hidden="false" customHeight="false" outlineLevel="0" collapsed="false">
      <c r="H320" s="8" t="n">
        <f aca="false">IF(ISBLANK(D320),,LEFT(D320,LEN(D320)-6)*1)</f>
        <v>0</v>
      </c>
      <c r="I320" s="9" t="str">
        <f aca="false">IF(ISBLANK(A320),"",-B320*C320)</f>
        <v/>
      </c>
      <c r="J320" s="9" t="str">
        <f aca="false">IF(ISBLANK(A320),"",-SUM(I$3:I320))</f>
        <v/>
      </c>
      <c r="K320" s="0" t="str">
        <f aca="false">IF(ISBLANK(A320),"",SUMPRODUCT(O320:R320,T320:W320)-J320)</f>
        <v/>
      </c>
      <c r="L320" s="0" t="str">
        <f aca="false">IF(ISBLANK(A320),"",K320/$M$1)</f>
        <v/>
      </c>
      <c r="M320" s="0" t="str">
        <f aca="false">IF(ISBLANK(A320),"",K320/($M$1+SUM(K$3:K319)))</f>
        <v/>
      </c>
      <c r="N320" s="0" t="str">
        <f aca="false">IF(ISBLANK(A320),"",IF(H321=0,NETWORKDAYS($H$3,H320,holiday!$B$2:$B$10),IF(DAY(H320)&lt;DAY(H321),NETWORKDAYS($H$3,H320,holiday!$B$2:$B$10),0)))</f>
        <v/>
      </c>
      <c r="O320" s="0" t="str">
        <f aca="false">IF(ISBLANK(A320),"",SUMIF($A$3:$A320,O$2,$B$3:$B320))</f>
        <v/>
      </c>
      <c r="P320" s="0" t="str">
        <f aca="false">IF(ISBLANK(A320),"",SUMIF($A$3:$A320,P$2,$B$3:$B320))</f>
        <v/>
      </c>
      <c r="Q320" s="0" t="str">
        <f aca="false">IF(ISBLANK(A320),"",SUMIF($A$3:$A320,Q$2,$B$3:$B320))</f>
        <v/>
      </c>
      <c r="R320" s="0" t="str">
        <f aca="false">IF(ISBLANK(A320),"",SUMIF($A$3:$A320,R$2,$B$3:$B320))</f>
        <v/>
      </c>
      <c r="T320" s="0" t="str">
        <f aca="false">IF(ISBLANK(A320),"",IF($A320=T$2,$C320,T319))</f>
        <v/>
      </c>
      <c r="U320" s="0" t="str">
        <f aca="false">IF(ISBLANK(A320),"",IF($A320=U$2,$C320,U319))</f>
        <v/>
      </c>
      <c r="V320" s="0" t="str">
        <f aca="false">IF(ISBLANK(A320),"",IF($A320=V$2,$C320,V319))</f>
        <v/>
      </c>
      <c r="W320" s="0" t="str">
        <f aca="false">IF(ISBLANK(A320),"",IF($A320=W$2,$C320,W319))</f>
        <v/>
      </c>
    </row>
    <row r="321" customFormat="false" ht="12.8" hidden="false" customHeight="false" outlineLevel="0" collapsed="false">
      <c r="H321" s="8" t="n">
        <f aca="false">IF(ISBLANK(D321),,LEFT(D321,LEN(D321)-6)*1)</f>
        <v>0</v>
      </c>
      <c r="I321" s="9" t="str">
        <f aca="false">IF(ISBLANK(A321),"",-B321*C321)</f>
        <v/>
      </c>
      <c r="J321" s="9" t="str">
        <f aca="false">IF(ISBLANK(A321),"",-SUM(I$3:I321))</f>
        <v/>
      </c>
      <c r="K321" s="0" t="str">
        <f aca="false">IF(ISBLANK(A321),"",SUMPRODUCT(O321:R321,T321:W321)-J321)</f>
        <v/>
      </c>
      <c r="L321" s="0" t="str">
        <f aca="false">IF(ISBLANK(A321),"",K321/$M$1)</f>
        <v/>
      </c>
      <c r="M321" s="0" t="str">
        <f aca="false">IF(ISBLANK(A321),"",K321/($M$1+SUM(K$3:K320)))</f>
        <v/>
      </c>
      <c r="N321" s="0" t="str">
        <f aca="false">IF(ISBLANK(A321),"",IF(H322=0,NETWORKDAYS($H$3,H321,holiday!$B$2:$B$10),IF(DAY(H321)&lt;DAY(H322),NETWORKDAYS($H$3,H321,holiday!$B$2:$B$10),0)))</f>
        <v/>
      </c>
      <c r="O321" s="0" t="str">
        <f aca="false">IF(ISBLANK(A321),"",SUMIF($A$3:$A321,O$2,$B$3:$B321))</f>
        <v/>
      </c>
      <c r="P321" s="0" t="str">
        <f aca="false">IF(ISBLANK(A321),"",SUMIF($A$3:$A321,P$2,$B$3:$B321))</f>
        <v/>
      </c>
      <c r="Q321" s="0" t="str">
        <f aca="false">IF(ISBLANK(A321),"",SUMIF($A$3:$A321,Q$2,$B$3:$B321))</f>
        <v/>
      </c>
      <c r="R321" s="0" t="str">
        <f aca="false">IF(ISBLANK(A321),"",SUMIF($A$3:$A321,R$2,$B$3:$B321))</f>
        <v/>
      </c>
      <c r="T321" s="0" t="str">
        <f aca="false">IF(ISBLANK(A321),"",IF($A321=T$2,$C321,T320))</f>
        <v/>
      </c>
      <c r="U321" s="0" t="str">
        <f aca="false">IF(ISBLANK(A321),"",IF($A321=U$2,$C321,U320))</f>
        <v/>
      </c>
      <c r="V321" s="0" t="str">
        <f aca="false">IF(ISBLANK(A321),"",IF($A321=V$2,$C321,V320))</f>
        <v/>
      </c>
      <c r="W321" s="0" t="str">
        <f aca="false">IF(ISBLANK(A321),"",IF($A321=W$2,$C321,W320))</f>
        <v/>
      </c>
    </row>
    <row r="322" customFormat="false" ht="12.8" hidden="false" customHeight="false" outlineLevel="0" collapsed="false">
      <c r="H322" s="8" t="n">
        <f aca="false">IF(ISBLANK(D322),,LEFT(D322,LEN(D322)-6)*1)</f>
        <v>0</v>
      </c>
      <c r="I322" s="9" t="str">
        <f aca="false">IF(ISBLANK(A322),"",-B322*C322)</f>
        <v/>
      </c>
      <c r="J322" s="9" t="str">
        <f aca="false">IF(ISBLANK(A322),"",-SUM(I$3:I322))</f>
        <v/>
      </c>
      <c r="K322" s="0" t="str">
        <f aca="false">IF(ISBLANK(A322),"",SUMPRODUCT(O322:R322,T322:W322)-J322)</f>
        <v/>
      </c>
      <c r="L322" s="0" t="str">
        <f aca="false">IF(ISBLANK(A322),"",K322/$M$1)</f>
        <v/>
      </c>
      <c r="M322" s="0" t="str">
        <f aca="false">IF(ISBLANK(A322),"",K322/($M$1+SUM(K$3:K321)))</f>
        <v/>
      </c>
      <c r="N322" s="0" t="str">
        <f aca="false">IF(ISBLANK(A322),"",IF(H323=0,NETWORKDAYS($H$3,H322,holiday!$B$2:$B$10),IF(DAY(H322)&lt;DAY(H323),NETWORKDAYS($H$3,H322,holiday!$B$2:$B$10),0)))</f>
        <v/>
      </c>
      <c r="O322" s="0" t="str">
        <f aca="false">IF(ISBLANK(A322),"",SUMIF($A$3:$A322,O$2,$B$3:$B322))</f>
        <v/>
      </c>
      <c r="P322" s="0" t="str">
        <f aca="false">IF(ISBLANK(A322),"",SUMIF($A$3:$A322,P$2,$B$3:$B322))</f>
        <v/>
      </c>
      <c r="Q322" s="0" t="str">
        <f aca="false">IF(ISBLANK(A322),"",SUMIF($A$3:$A322,Q$2,$B$3:$B322))</f>
        <v/>
      </c>
      <c r="R322" s="0" t="str">
        <f aca="false">IF(ISBLANK(A322),"",SUMIF($A$3:$A322,R$2,$B$3:$B322))</f>
        <v/>
      </c>
      <c r="T322" s="0" t="str">
        <f aca="false">IF(ISBLANK(A322),"",IF($A322=T$2,$C322,T321))</f>
        <v/>
      </c>
      <c r="U322" s="0" t="str">
        <f aca="false">IF(ISBLANK(A322),"",IF($A322=U$2,$C322,U321))</f>
        <v/>
      </c>
      <c r="V322" s="0" t="str">
        <f aca="false">IF(ISBLANK(A322),"",IF($A322=V$2,$C322,V321))</f>
        <v/>
      </c>
      <c r="W322" s="0" t="str">
        <f aca="false">IF(ISBLANK(A322),"",IF($A322=W$2,$C322,W321))</f>
        <v/>
      </c>
    </row>
    <row r="323" customFormat="false" ht="12.8" hidden="false" customHeight="false" outlineLevel="0" collapsed="false">
      <c r="H323" s="8" t="n">
        <f aca="false">IF(ISBLANK(D323),,LEFT(D323,LEN(D323)-6)*1)</f>
        <v>0</v>
      </c>
      <c r="I323" s="9" t="str">
        <f aca="false">IF(ISBLANK(A323),"",-B323*C323)</f>
        <v/>
      </c>
      <c r="J323" s="9" t="str">
        <f aca="false">IF(ISBLANK(A323),"",-SUM(I$3:I323))</f>
        <v/>
      </c>
      <c r="K323" s="0" t="str">
        <f aca="false">IF(ISBLANK(A323),"",SUMPRODUCT(O323:R323,T323:W323)-J323)</f>
        <v/>
      </c>
      <c r="L323" s="0" t="str">
        <f aca="false">IF(ISBLANK(A323),"",K323/$M$1)</f>
        <v/>
      </c>
      <c r="M323" s="0" t="str">
        <f aca="false">IF(ISBLANK(A323),"",K323/($M$1+SUM(K$3:K322)))</f>
        <v/>
      </c>
      <c r="N323" s="0" t="str">
        <f aca="false">IF(ISBLANK(A323),"",IF(H324=0,NETWORKDAYS($H$3,H323,holiday!$B$2:$B$10),IF(DAY(H323)&lt;DAY(H324),NETWORKDAYS($H$3,H323,holiday!$B$2:$B$10),0)))</f>
        <v/>
      </c>
      <c r="O323" s="0" t="str">
        <f aca="false">IF(ISBLANK(A323),"",SUMIF($A$3:$A323,O$2,$B$3:$B323))</f>
        <v/>
      </c>
      <c r="P323" s="0" t="str">
        <f aca="false">IF(ISBLANK(A323),"",SUMIF($A$3:$A323,P$2,$B$3:$B323))</f>
        <v/>
      </c>
      <c r="Q323" s="0" t="str">
        <f aca="false">IF(ISBLANK(A323),"",SUMIF($A$3:$A323,Q$2,$B$3:$B323))</f>
        <v/>
      </c>
      <c r="R323" s="0" t="str">
        <f aca="false">IF(ISBLANK(A323),"",SUMIF($A$3:$A323,R$2,$B$3:$B323))</f>
        <v/>
      </c>
      <c r="T323" s="0" t="str">
        <f aca="false">IF(ISBLANK(A323),"",IF($A323=T$2,$C323,T322))</f>
        <v/>
      </c>
      <c r="U323" s="0" t="str">
        <f aca="false">IF(ISBLANK(A323),"",IF($A323=U$2,$C323,U322))</f>
        <v/>
      </c>
      <c r="V323" s="0" t="str">
        <f aca="false">IF(ISBLANK(A323),"",IF($A323=V$2,$C323,V322))</f>
        <v/>
      </c>
      <c r="W323" s="0" t="str">
        <f aca="false">IF(ISBLANK(A323),"",IF($A323=W$2,$C323,W322))</f>
        <v/>
      </c>
    </row>
    <row r="324" customFormat="false" ht="12.8" hidden="false" customHeight="false" outlineLevel="0" collapsed="false">
      <c r="H324" s="8" t="n">
        <f aca="false">IF(ISBLANK(D324),,LEFT(D324,LEN(D324)-6)*1)</f>
        <v>0</v>
      </c>
      <c r="I324" s="9" t="str">
        <f aca="false">IF(ISBLANK(A324),"",-B324*C324)</f>
        <v/>
      </c>
      <c r="J324" s="9" t="str">
        <f aca="false">IF(ISBLANK(A324),"",-SUM(I$3:I324))</f>
        <v/>
      </c>
      <c r="K324" s="0" t="str">
        <f aca="false">IF(ISBLANK(A324),"",SUMPRODUCT(O324:R324,T324:W324)-J324)</f>
        <v/>
      </c>
      <c r="L324" s="0" t="str">
        <f aca="false">IF(ISBLANK(A324),"",K324/$M$1)</f>
        <v/>
      </c>
      <c r="M324" s="0" t="str">
        <f aca="false">IF(ISBLANK(A324),"",K324/($M$1+SUM(K$3:K323)))</f>
        <v/>
      </c>
      <c r="N324" s="0" t="str">
        <f aca="false">IF(ISBLANK(A324),"",IF(H325=0,NETWORKDAYS($H$3,H324,holiday!$B$2:$B$10),IF(DAY(H324)&lt;DAY(H325),NETWORKDAYS($H$3,H324,holiday!$B$2:$B$10),0)))</f>
        <v/>
      </c>
      <c r="O324" s="0" t="str">
        <f aca="false">IF(ISBLANK(A324),"",SUMIF($A$3:$A324,O$2,$B$3:$B324))</f>
        <v/>
      </c>
      <c r="P324" s="0" t="str">
        <f aca="false">IF(ISBLANK(A324),"",SUMIF($A$3:$A324,P$2,$B$3:$B324))</f>
        <v/>
      </c>
      <c r="Q324" s="0" t="str">
        <f aca="false">IF(ISBLANK(A324),"",SUMIF($A$3:$A324,Q$2,$B$3:$B324))</f>
        <v/>
      </c>
      <c r="R324" s="0" t="str">
        <f aca="false">IF(ISBLANK(A324),"",SUMIF($A$3:$A324,R$2,$B$3:$B324))</f>
        <v/>
      </c>
      <c r="T324" s="0" t="str">
        <f aca="false">IF(ISBLANK(A324),"",IF($A324=T$2,$C324,T323))</f>
        <v/>
      </c>
      <c r="U324" s="0" t="str">
        <f aca="false">IF(ISBLANK(A324),"",IF($A324=U$2,$C324,U323))</f>
        <v/>
      </c>
      <c r="V324" s="0" t="str">
        <f aca="false">IF(ISBLANK(A324),"",IF($A324=V$2,$C324,V323))</f>
        <v/>
      </c>
      <c r="W324" s="0" t="str">
        <f aca="false">IF(ISBLANK(A324),"",IF($A324=W$2,$C324,W323))</f>
        <v/>
      </c>
    </row>
    <row r="325" customFormat="false" ht="12.8" hidden="false" customHeight="false" outlineLevel="0" collapsed="false">
      <c r="H325" s="8" t="n">
        <f aca="false">IF(ISBLANK(D325),,LEFT(D325,LEN(D325)-6)*1)</f>
        <v>0</v>
      </c>
      <c r="I325" s="9" t="str">
        <f aca="false">IF(ISBLANK(A325),"",-B325*C325)</f>
        <v/>
      </c>
      <c r="J325" s="9" t="str">
        <f aca="false">IF(ISBLANK(A325),"",-SUM(I$3:I325))</f>
        <v/>
      </c>
      <c r="K325" s="0" t="str">
        <f aca="false">IF(ISBLANK(A325),"",SUMPRODUCT(O325:R325,T325:W325)-J325)</f>
        <v/>
      </c>
      <c r="L325" s="0" t="str">
        <f aca="false">IF(ISBLANK(A325),"",K325/$M$1)</f>
        <v/>
      </c>
      <c r="M325" s="0" t="str">
        <f aca="false">IF(ISBLANK(A325),"",K325/($M$1+SUM(K$3:K324)))</f>
        <v/>
      </c>
      <c r="N325" s="0" t="str">
        <f aca="false">IF(ISBLANK(A325),"",IF(H326=0,NETWORKDAYS($H$3,H325,holiday!$B$2:$B$10),IF(DAY(H325)&lt;DAY(H326),NETWORKDAYS($H$3,H325,holiday!$B$2:$B$10),0)))</f>
        <v/>
      </c>
      <c r="O325" s="0" t="str">
        <f aca="false">IF(ISBLANK(A325),"",SUMIF($A$3:$A325,O$2,$B$3:$B325))</f>
        <v/>
      </c>
      <c r="P325" s="0" t="str">
        <f aca="false">IF(ISBLANK(A325),"",SUMIF($A$3:$A325,P$2,$B$3:$B325))</f>
        <v/>
      </c>
      <c r="Q325" s="0" t="str">
        <f aca="false">IF(ISBLANK(A325),"",SUMIF($A$3:$A325,Q$2,$B$3:$B325))</f>
        <v/>
      </c>
      <c r="R325" s="0" t="str">
        <f aca="false">IF(ISBLANK(A325),"",SUMIF($A$3:$A325,R$2,$B$3:$B325))</f>
        <v/>
      </c>
      <c r="T325" s="0" t="str">
        <f aca="false">IF(ISBLANK(A325),"",IF($A325=T$2,$C325,T324))</f>
        <v/>
      </c>
      <c r="U325" s="0" t="str">
        <f aca="false">IF(ISBLANK(A325),"",IF($A325=U$2,$C325,U324))</f>
        <v/>
      </c>
      <c r="V325" s="0" t="str">
        <f aca="false">IF(ISBLANK(A325),"",IF($A325=V$2,$C325,V324))</f>
        <v/>
      </c>
      <c r="W325" s="0" t="str">
        <f aca="false">IF(ISBLANK(A325),"",IF($A325=W$2,$C325,W324))</f>
        <v/>
      </c>
    </row>
    <row r="326" customFormat="false" ht="12.8" hidden="false" customHeight="false" outlineLevel="0" collapsed="false">
      <c r="H326" s="8" t="n">
        <f aca="false">IF(ISBLANK(D326),,LEFT(D326,LEN(D326)-6)*1)</f>
        <v>0</v>
      </c>
      <c r="I326" s="9" t="str">
        <f aca="false">IF(ISBLANK(A326),"",-B326*C326)</f>
        <v/>
      </c>
      <c r="J326" s="9" t="str">
        <f aca="false">IF(ISBLANK(A326),"",-SUM(I$3:I326))</f>
        <v/>
      </c>
      <c r="K326" s="0" t="str">
        <f aca="false">IF(ISBLANK(A326),"",SUMPRODUCT(O326:R326,T326:W326)-J326)</f>
        <v/>
      </c>
      <c r="L326" s="0" t="str">
        <f aca="false">IF(ISBLANK(A326),"",K326/$M$1)</f>
        <v/>
      </c>
      <c r="M326" s="0" t="str">
        <f aca="false">IF(ISBLANK(A326),"",K326/($M$1+SUM(K$3:K325)))</f>
        <v/>
      </c>
      <c r="N326" s="0" t="str">
        <f aca="false">IF(ISBLANK(A326),"",IF(H327=0,NETWORKDAYS($H$3,H326,holiday!$B$2:$B$10),IF(DAY(H326)&lt;DAY(H327),NETWORKDAYS($H$3,H326,holiday!$B$2:$B$10),0)))</f>
        <v/>
      </c>
      <c r="O326" s="0" t="str">
        <f aca="false">IF(ISBLANK(A326),"",SUMIF($A$3:$A326,O$2,$B$3:$B326))</f>
        <v/>
      </c>
      <c r="P326" s="0" t="str">
        <f aca="false">IF(ISBLANK(A326),"",SUMIF($A$3:$A326,P$2,$B$3:$B326))</f>
        <v/>
      </c>
      <c r="Q326" s="0" t="str">
        <f aca="false">IF(ISBLANK(A326),"",SUMIF($A$3:$A326,Q$2,$B$3:$B326))</f>
        <v/>
      </c>
      <c r="R326" s="0" t="str">
        <f aca="false">IF(ISBLANK(A326),"",SUMIF($A$3:$A326,R$2,$B$3:$B326))</f>
        <v/>
      </c>
      <c r="T326" s="0" t="str">
        <f aca="false">IF(ISBLANK(A326),"",IF($A326=T$2,$C326,T325))</f>
        <v/>
      </c>
      <c r="U326" s="0" t="str">
        <f aca="false">IF(ISBLANK(A326),"",IF($A326=U$2,$C326,U325))</f>
        <v/>
      </c>
      <c r="V326" s="0" t="str">
        <f aca="false">IF(ISBLANK(A326),"",IF($A326=V$2,$C326,V325))</f>
        <v/>
      </c>
      <c r="W326" s="0" t="str">
        <f aca="false">IF(ISBLANK(A326),"",IF($A326=W$2,$C326,W325))</f>
        <v/>
      </c>
    </row>
    <row r="327" customFormat="false" ht="12.8" hidden="false" customHeight="false" outlineLevel="0" collapsed="false">
      <c r="H327" s="8" t="n">
        <f aca="false">IF(ISBLANK(D327),,LEFT(D327,LEN(D327)-6)*1)</f>
        <v>0</v>
      </c>
      <c r="I327" s="9" t="str">
        <f aca="false">IF(ISBLANK(A327),"",-B327*C327)</f>
        <v/>
      </c>
      <c r="J327" s="9" t="str">
        <f aca="false">IF(ISBLANK(A327),"",-SUM(I$3:I327))</f>
        <v/>
      </c>
      <c r="K327" s="0" t="str">
        <f aca="false">IF(ISBLANK(A327),"",SUMPRODUCT(O327:R327,T327:W327)-J327)</f>
        <v/>
      </c>
      <c r="L327" s="0" t="str">
        <f aca="false">IF(ISBLANK(A327),"",K327/$M$1)</f>
        <v/>
      </c>
      <c r="M327" s="0" t="str">
        <f aca="false">IF(ISBLANK(A327),"",K327/($M$1+SUM(K$3:K326)))</f>
        <v/>
      </c>
      <c r="N327" s="0" t="str">
        <f aca="false">IF(ISBLANK(A327),"",IF(H328=0,NETWORKDAYS($H$3,H327,holiday!$B$2:$B$10),IF(DAY(H327)&lt;DAY(H328),NETWORKDAYS($H$3,H327,holiday!$B$2:$B$10),0)))</f>
        <v/>
      </c>
      <c r="O327" s="0" t="str">
        <f aca="false">IF(ISBLANK(A327),"",SUMIF($A$3:$A327,O$2,$B$3:$B327))</f>
        <v/>
      </c>
      <c r="P327" s="0" t="str">
        <f aca="false">IF(ISBLANK(A327),"",SUMIF($A$3:$A327,P$2,$B$3:$B327))</f>
        <v/>
      </c>
      <c r="Q327" s="0" t="str">
        <f aca="false">IF(ISBLANK(A327),"",SUMIF($A$3:$A327,Q$2,$B$3:$B327))</f>
        <v/>
      </c>
      <c r="R327" s="0" t="str">
        <f aca="false">IF(ISBLANK(A327),"",SUMIF($A$3:$A327,R$2,$B$3:$B327))</f>
        <v/>
      </c>
      <c r="T327" s="0" t="str">
        <f aca="false">IF(ISBLANK(A327),"",IF($A327=T$2,$C327,T326))</f>
        <v/>
      </c>
      <c r="U327" s="0" t="str">
        <f aca="false">IF(ISBLANK(A327),"",IF($A327=U$2,$C327,U326))</f>
        <v/>
      </c>
      <c r="V327" s="0" t="str">
        <f aca="false">IF(ISBLANK(A327),"",IF($A327=V$2,$C327,V326))</f>
        <v/>
      </c>
      <c r="W327" s="0" t="str">
        <f aca="false">IF(ISBLANK(A327),"",IF($A327=W$2,$C327,W326))</f>
        <v/>
      </c>
    </row>
    <row r="328" customFormat="false" ht="12.8" hidden="false" customHeight="false" outlineLevel="0" collapsed="false">
      <c r="H328" s="8" t="n">
        <f aca="false">IF(ISBLANK(D328),,LEFT(D328,LEN(D328)-6)*1)</f>
        <v>0</v>
      </c>
      <c r="I328" s="9" t="str">
        <f aca="false">IF(ISBLANK(A328),"",-B328*C328)</f>
        <v/>
      </c>
      <c r="J328" s="9" t="str">
        <f aca="false">IF(ISBLANK(A328),"",-SUM(I$3:I328))</f>
        <v/>
      </c>
      <c r="K328" s="0" t="str">
        <f aca="false">IF(ISBLANK(A328),"",SUMPRODUCT(O328:R328,T328:W328)-J328)</f>
        <v/>
      </c>
      <c r="L328" s="0" t="str">
        <f aca="false">IF(ISBLANK(A328),"",K328/$M$1)</f>
        <v/>
      </c>
      <c r="M328" s="0" t="str">
        <f aca="false">IF(ISBLANK(A328),"",K328/($M$1+SUM(K$3:K327)))</f>
        <v/>
      </c>
      <c r="N328" s="0" t="str">
        <f aca="false">IF(ISBLANK(A328),"",IF(H329=0,NETWORKDAYS($H$3,H328,holiday!$B$2:$B$10),IF(DAY(H328)&lt;DAY(H329),NETWORKDAYS($H$3,H328,holiday!$B$2:$B$10),0)))</f>
        <v/>
      </c>
      <c r="O328" s="0" t="str">
        <f aca="false">IF(ISBLANK(A328),"",SUMIF($A$3:$A328,O$2,$B$3:$B328))</f>
        <v/>
      </c>
      <c r="P328" s="0" t="str">
        <f aca="false">IF(ISBLANK(A328),"",SUMIF($A$3:$A328,P$2,$B$3:$B328))</f>
        <v/>
      </c>
      <c r="Q328" s="0" t="str">
        <f aca="false">IF(ISBLANK(A328),"",SUMIF($A$3:$A328,Q$2,$B$3:$B328))</f>
        <v/>
      </c>
      <c r="R328" s="0" t="str">
        <f aca="false">IF(ISBLANK(A328),"",SUMIF($A$3:$A328,R$2,$B$3:$B328))</f>
        <v/>
      </c>
      <c r="T328" s="0" t="str">
        <f aca="false">IF(ISBLANK(A328),"",IF($A328=T$2,$C328,T327))</f>
        <v/>
      </c>
      <c r="U328" s="0" t="str">
        <f aca="false">IF(ISBLANK(A328),"",IF($A328=U$2,$C328,U327))</f>
        <v/>
      </c>
      <c r="V328" s="0" t="str">
        <f aca="false">IF(ISBLANK(A328),"",IF($A328=V$2,$C328,V327))</f>
        <v/>
      </c>
      <c r="W328" s="0" t="str">
        <f aca="false">IF(ISBLANK(A328),"",IF($A328=W$2,$C328,W327))</f>
        <v/>
      </c>
    </row>
    <row r="329" customFormat="false" ht="12.8" hidden="false" customHeight="false" outlineLevel="0" collapsed="false">
      <c r="H329" s="8" t="n">
        <f aca="false">IF(ISBLANK(D329),,LEFT(D329,LEN(D329)-6)*1)</f>
        <v>0</v>
      </c>
      <c r="I329" s="9" t="str">
        <f aca="false">IF(ISBLANK(A329),"",-B329*C329)</f>
        <v/>
      </c>
      <c r="J329" s="9" t="str">
        <f aca="false">IF(ISBLANK(A329),"",-SUM(I$3:I329))</f>
        <v/>
      </c>
      <c r="K329" s="0" t="str">
        <f aca="false">IF(ISBLANK(A329),"",SUMPRODUCT(O329:R329,T329:W329)-J329)</f>
        <v/>
      </c>
      <c r="L329" s="0" t="str">
        <f aca="false">IF(ISBLANK(A329),"",K329/$M$1)</f>
        <v/>
      </c>
      <c r="M329" s="0" t="str">
        <f aca="false">IF(ISBLANK(A329),"",K329/($M$1+SUM(K$3:K328)))</f>
        <v/>
      </c>
      <c r="N329" s="0" t="str">
        <f aca="false">IF(ISBLANK(A329),"",IF(H330=0,NETWORKDAYS($H$3,H329,holiday!$B$2:$B$10),IF(DAY(H329)&lt;DAY(H330),NETWORKDAYS($H$3,H329,holiday!$B$2:$B$10),0)))</f>
        <v/>
      </c>
      <c r="O329" s="0" t="str">
        <f aca="false">IF(ISBLANK(A329),"",SUMIF($A$3:$A329,O$2,$B$3:$B329))</f>
        <v/>
      </c>
      <c r="P329" s="0" t="str">
        <f aca="false">IF(ISBLANK(A329),"",SUMIF($A$3:$A329,P$2,$B$3:$B329))</f>
        <v/>
      </c>
      <c r="Q329" s="0" t="str">
        <f aca="false">IF(ISBLANK(A329),"",SUMIF($A$3:$A329,Q$2,$B$3:$B329))</f>
        <v/>
      </c>
      <c r="R329" s="0" t="str">
        <f aca="false">IF(ISBLANK(A329),"",SUMIF($A$3:$A329,R$2,$B$3:$B329))</f>
        <v/>
      </c>
      <c r="T329" s="0" t="str">
        <f aca="false">IF(ISBLANK(A329),"",IF($A329=T$2,$C329,T328))</f>
        <v/>
      </c>
      <c r="U329" s="0" t="str">
        <f aca="false">IF(ISBLANK(A329),"",IF($A329=U$2,$C329,U328))</f>
        <v/>
      </c>
      <c r="V329" s="0" t="str">
        <f aca="false">IF(ISBLANK(A329),"",IF($A329=V$2,$C329,V328))</f>
        <v/>
      </c>
      <c r="W329" s="0" t="str">
        <f aca="false">IF(ISBLANK(A329),"",IF($A329=W$2,$C329,W328))</f>
        <v/>
      </c>
    </row>
    <row r="330" customFormat="false" ht="12.8" hidden="false" customHeight="false" outlineLevel="0" collapsed="false">
      <c r="H330" s="8" t="n">
        <f aca="false">IF(ISBLANK(D330),,LEFT(D330,LEN(D330)-6)*1)</f>
        <v>0</v>
      </c>
      <c r="I330" s="9" t="str">
        <f aca="false">IF(ISBLANK(A330),"",-B330*C330)</f>
        <v/>
      </c>
      <c r="J330" s="9" t="str">
        <f aca="false">IF(ISBLANK(A330),"",-SUM(I$3:I330))</f>
        <v/>
      </c>
      <c r="K330" s="0" t="str">
        <f aca="false">IF(ISBLANK(A330),"",SUMPRODUCT(O330:R330,T330:W330)-J330)</f>
        <v/>
      </c>
      <c r="L330" s="0" t="str">
        <f aca="false">IF(ISBLANK(A330),"",K330/$M$1)</f>
        <v/>
      </c>
      <c r="M330" s="0" t="str">
        <f aca="false">IF(ISBLANK(A330),"",K330/($M$1+SUM(K$3:K329)))</f>
        <v/>
      </c>
      <c r="N330" s="0" t="str">
        <f aca="false">IF(ISBLANK(A330),"",IF(H331=0,NETWORKDAYS($H$3,H330,holiday!$B$2:$B$10),IF(DAY(H330)&lt;DAY(H331),NETWORKDAYS($H$3,H330,holiday!$B$2:$B$10),0)))</f>
        <v/>
      </c>
      <c r="O330" s="0" t="str">
        <f aca="false">IF(ISBLANK(A330),"",SUMIF($A$3:$A330,O$2,$B$3:$B330))</f>
        <v/>
      </c>
      <c r="P330" s="0" t="str">
        <f aca="false">IF(ISBLANK(A330),"",SUMIF($A$3:$A330,P$2,$B$3:$B330))</f>
        <v/>
      </c>
      <c r="Q330" s="0" t="str">
        <f aca="false">IF(ISBLANK(A330),"",SUMIF($A$3:$A330,Q$2,$B$3:$B330))</f>
        <v/>
      </c>
      <c r="R330" s="0" t="str">
        <f aca="false">IF(ISBLANK(A330),"",SUMIF($A$3:$A330,R$2,$B$3:$B330))</f>
        <v/>
      </c>
      <c r="T330" s="0" t="str">
        <f aca="false">IF(ISBLANK(A330),"",IF($A330=T$2,$C330,T329))</f>
        <v/>
      </c>
      <c r="U330" s="0" t="str">
        <f aca="false">IF(ISBLANK(A330),"",IF($A330=U$2,$C330,U329))</f>
        <v/>
      </c>
      <c r="V330" s="0" t="str">
        <f aca="false">IF(ISBLANK(A330),"",IF($A330=V$2,$C330,V329))</f>
        <v/>
      </c>
      <c r="W330" s="0" t="str">
        <f aca="false">IF(ISBLANK(A330),"",IF($A330=W$2,$C330,W329))</f>
        <v/>
      </c>
    </row>
    <row r="331" customFormat="false" ht="12.8" hidden="false" customHeight="false" outlineLevel="0" collapsed="false">
      <c r="H331" s="8" t="n">
        <f aca="false">IF(ISBLANK(D331),,LEFT(D331,LEN(D331)-6)*1)</f>
        <v>0</v>
      </c>
      <c r="I331" s="9" t="str">
        <f aca="false">IF(ISBLANK(A331),"",-B331*C331)</f>
        <v/>
      </c>
      <c r="J331" s="9" t="str">
        <f aca="false">IF(ISBLANK(A331),"",-SUM(I$3:I331))</f>
        <v/>
      </c>
      <c r="K331" s="0" t="str">
        <f aca="false">IF(ISBLANK(A331),"",SUMPRODUCT(O331:R331,T331:W331)-J331)</f>
        <v/>
      </c>
      <c r="L331" s="0" t="str">
        <f aca="false">IF(ISBLANK(A331),"",K331/$M$1)</f>
        <v/>
      </c>
      <c r="M331" s="0" t="str">
        <f aca="false">IF(ISBLANK(A331),"",K331/($M$1+SUM(K$3:K330)))</f>
        <v/>
      </c>
      <c r="N331" s="0" t="str">
        <f aca="false">IF(ISBLANK(A331),"",IF(H332=0,NETWORKDAYS($H$3,H331,holiday!$B$2:$B$10),IF(DAY(H331)&lt;DAY(H332),NETWORKDAYS($H$3,H331,holiday!$B$2:$B$10),0)))</f>
        <v/>
      </c>
      <c r="O331" s="0" t="str">
        <f aca="false">IF(ISBLANK(A331),"",SUMIF($A$3:$A331,O$2,$B$3:$B331))</f>
        <v/>
      </c>
      <c r="P331" s="0" t="str">
        <f aca="false">IF(ISBLANK(A331),"",SUMIF($A$3:$A331,P$2,$B$3:$B331))</f>
        <v/>
      </c>
      <c r="Q331" s="0" t="str">
        <f aca="false">IF(ISBLANK(A331),"",SUMIF($A$3:$A331,Q$2,$B$3:$B331))</f>
        <v/>
      </c>
      <c r="R331" s="0" t="str">
        <f aca="false">IF(ISBLANK(A331),"",SUMIF($A$3:$A331,R$2,$B$3:$B331))</f>
        <v/>
      </c>
      <c r="T331" s="0" t="str">
        <f aca="false">IF(ISBLANK(A331),"",IF($A331=T$2,$C331,T330))</f>
        <v/>
      </c>
      <c r="U331" s="0" t="str">
        <f aca="false">IF(ISBLANK(A331),"",IF($A331=U$2,$C331,U330))</f>
        <v/>
      </c>
      <c r="V331" s="0" t="str">
        <f aca="false">IF(ISBLANK(A331),"",IF($A331=V$2,$C331,V330))</f>
        <v/>
      </c>
      <c r="W331" s="0" t="str">
        <f aca="false">IF(ISBLANK(A331),"",IF($A331=W$2,$C331,W330))</f>
        <v/>
      </c>
    </row>
    <row r="332" customFormat="false" ht="12.8" hidden="false" customHeight="false" outlineLevel="0" collapsed="false">
      <c r="H332" s="8" t="n">
        <f aca="false">IF(ISBLANK(D332),,LEFT(D332,LEN(D332)-6)*1)</f>
        <v>0</v>
      </c>
      <c r="I332" s="9" t="str">
        <f aca="false">IF(ISBLANK(A332),"",-B332*C332)</f>
        <v/>
      </c>
      <c r="J332" s="9" t="str">
        <f aca="false">IF(ISBLANK(A332),"",-SUM(I$3:I332))</f>
        <v/>
      </c>
      <c r="K332" s="0" t="str">
        <f aca="false">IF(ISBLANK(A332),"",SUMPRODUCT(O332:R332,T332:W332)-J332)</f>
        <v/>
      </c>
      <c r="L332" s="0" t="str">
        <f aca="false">IF(ISBLANK(A332),"",K332/$M$1)</f>
        <v/>
      </c>
      <c r="M332" s="0" t="str">
        <f aca="false">IF(ISBLANK(A332),"",K332/($M$1+SUM(K$3:K331)))</f>
        <v/>
      </c>
      <c r="N332" s="0" t="str">
        <f aca="false">IF(ISBLANK(A332),"",IF(H333=0,NETWORKDAYS($H$3,H332,holiday!$B$2:$B$10),IF(DAY(H332)&lt;DAY(H333),NETWORKDAYS($H$3,H332,holiday!$B$2:$B$10),0)))</f>
        <v/>
      </c>
      <c r="O332" s="0" t="str">
        <f aca="false">IF(ISBLANK(A332),"",SUMIF($A$3:$A332,O$2,$B$3:$B332))</f>
        <v/>
      </c>
      <c r="P332" s="0" t="str">
        <f aca="false">IF(ISBLANK(A332),"",SUMIF($A$3:$A332,P$2,$B$3:$B332))</f>
        <v/>
      </c>
      <c r="Q332" s="0" t="str">
        <f aca="false">IF(ISBLANK(A332),"",SUMIF($A$3:$A332,Q$2,$B$3:$B332))</f>
        <v/>
      </c>
      <c r="R332" s="0" t="str">
        <f aca="false">IF(ISBLANK(A332),"",SUMIF($A$3:$A332,R$2,$B$3:$B332))</f>
        <v/>
      </c>
      <c r="T332" s="0" t="str">
        <f aca="false">IF(ISBLANK(A332),"",IF($A332=T$2,$C332,T331))</f>
        <v/>
      </c>
      <c r="U332" s="0" t="str">
        <f aca="false">IF(ISBLANK(A332),"",IF($A332=U$2,$C332,U331))</f>
        <v/>
      </c>
      <c r="V332" s="0" t="str">
        <f aca="false">IF(ISBLANK(A332),"",IF($A332=V$2,$C332,V331))</f>
        <v/>
      </c>
      <c r="W332" s="0" t="str">
        <f aca="false">IF(ISBLANK(A332),"",IF($A332=W$2,$C332,W331))</f>
        <v/>
      </c>
    </row>
    <row r="333" customFormat="false" ht="12.8" hidden="false" customHeight="false" outlineLevel="0" collapsed="false">
      <c r="H333" s="8" t="n">
        <f aca="false">IF(ISBLANK(D333),,LEFT(D333,LEN(D333)-6)*1)</f>
        <v>0</v>
      </c>
      <c r="I333" s="9" t="str">
        <f aca="false">IF(ISBLANK(A333),"",-B333*C333)</f>
        <v/>
      </c>
      <c r="J333" s="9" t="str">
        <f aca="false">IF(ISBLANK(A333),"",-SUM(I$3:I333))</f>
        <v/>
      </c>
      <c r="K333" s="0" t="str">
        <f aca="false">IF(ISBLANK(A333),"",SUMPRODUCT(O333:R333,T333:W333)-J333)</f>
        <v/>
      </c>
      <c r="L333" s="0" t="str">
        <f aca="false">IF(ISBLANK(A333),"",K333/$M$1)</f>
        <v/>
      </c>
      <c r="M333" s="0" t="str">
        <f aca="false">IF(ISBLANK(A333),"",K333/($M$1+SUM(K$3:K332)))</f>
        <v/>
      </c>
      <c r="N333" s="0" t="str">
        <f aca="false">IF(ISBLANK(A333),"",IF(H334=0,NETWORKDAYS($H$3,H333,holiday!$B$2:$B$10),IF(DAY(H333)&lt;DAY(H334),NETWORKDAYS($H$3,H333,holiday!$B$2:$B$10),0)))</f>
        <v/>
      </c>
      <c r="O333" s="0" t="str">
        <f aca="false">IF(ISBLANK(A333),"",SUMIF($A$3:$A333,O$2,$B$3:$B333))</f>
        <v/>
      </c>
      <c r="P333" s="0" t="str">
        <f aca="false">IF(ISBLANK(A333),"",SUMIF($A$3:$A333,P$2,$B$3:$B333))</f>
        <v/>
      </c>
      <c r="Q333" s="0" t="str">
        <f aca="false">IF(ISBLANK(A333),"",SUMIF($A$3:$A333,Q$2,$B$3:$B333))</f>
        <v/>
      </c>
      <c r="R333" s="0" t="str">
        <f aca="false">IF(ISBLANK(A333),"",SUMIF($A$3:$A333,R$2,$B$3:$B333))</f>
        <v/>
      </c>
      <c r="T333" s="0" t="str">
        <f aca="false">IF(ISBLANK(A333),"",IF($A333=T$2,$C333,T332))</f>
        <v/>
      </c>
      <c r="U333" s="0" t="str">
        <f aca="false">IF(ISBLANK(A333),"",IF($A333=U$2,$C333,U332))</f>
        <v/>
      </c>
      <c r="V333" s="0" t="str">
        <f aca="false">IF(ISBLANK(A333),"",IF($A333=V$2,$C333,V332))</f>
        <v/>
      </c>
      <c r="W333" s="0" t="str">
        <f aca="false">IF(ISBLANK(A333),"",IF($A333=W$2,$C333,W332))</f>
        <v/>
      </c>
    </row>
    <row r="334" customFormat="false" ht="12.8" hidden="false" customHeight="false" outlineLevel="0" collapsed="false">
      <c r="H334" s="8" t="n">
        <f aca="false">IF(ISBLANK(D334),,LEFT(D334,LEN(D334)-6)*1)</f>
        <v>0</v>
      </c>
      <c r="I334" s="9" t="str">
        <f aca="false">IF(ISBLANK(A334),"",-B334*C334)</f>
        <v/>
      </c>
      <c r="J334" s="9" t="str">
        <f aca="false">IF(ISBLANK(A334),"",-SUM(I$3:I334))</f>
        <v/>
      </c>
      <c r="K334" s="0" t="str">
        <f aca="false">IF(ISBLANK(A334),"",SUMPRODUCT(O334:R334,T334:W334)-J334)</f>
        <v/>
      </c>
      <c r="L334" s="0" t="str">
        <f aca="false">IF(ISBLANK(A334),"",K334/$M$1)</f>
        <v/>
      </c>
      <c r="M334" s="0" t="str">
        <f aca="false">IF(ISBLANK(A334),"",K334/($M$1+SUM(K$3:K333)))</f>
        <v/>
      </c>
      <c r="N334" s="0" t="str">
        <f aca="false">IF(ISBLANK(A334),"",IF(H335=0,NETWORKDAYS($H$3,H334,holiday!$B$2:$B$10),IF(DAY(H334)&lt;DAY(H335),NETWORKDAYS($H$3,H334,holiday!$B$2:$B$10),0)))</f>
        <v/>
      </c>
      <c r="O334" s="0" t="str">
        <f aca="false">IF(ISBLANK(A334),"",SUMIF($A$3:$A334,O$2,$B$3:$B334))</f>
        <v/>
      </c>
      <c r="P334" s="0" t="str">
        <f aca="false">IF(ISBLANK(A334),"",SUMIF($A$3:$A334,P$2,$B$3:$B334))</f>
        <v/>
      </c>
      <c r="Q334" s="0" t="str">
        <f aca="false">IF(ISBLANK(A334),"",SUMIF($A$3:$A334,Q$2,$B$3:$B334))</f>
        <v/>
      </c>
      <c r="R334" s="0" t="str">
        <f aca="false">IF(ISBLANK(A334),"",SUMIF($A$3:$A334,R$2,$B$3:$B334))</f>
        <v/>
      </c>
      <c r="T334" s="0" t="str">
        <f aca="false">IF(ISBLANK(A334),"",IF($A334=T$2,$C334,T333))</f>
        <v/>
      </c>
      <c r="U334" s="0" t="str">
        <f aca="false">IF(ISBLANK(A334),"",IF($A334=U$2,$C334,U333))</f>
        <v/>
      </c>
      <c r="V334" s="0" t="str">
        <f aca="false">IF(ISBLANK(A334),"",IF($A334=V$2,$C334,V333))</f>
        <v/>
      </c>
      <c r="W334" s="0" t="str">
        <f aca="false">IF(ISBLANK(A334),"",IF($A334=W$2,$C334,W333))</f>
        <v/>
      </c>
    </row>
    <row r="335" customFormat="false" ht="12.8" hidden="false" customHeight="false" outlineLevel="0" collapsed="false">
      <c r="H335" s="8" t="n">
        <f aca="false">IF(ISBLANK(D335),,LEFT(D335,LEN(D335)-6)*1)</f>
        <v>0</v>
      </c>
      <c r="I335" s="9" t="str">
        <f aca="false">IF(ISBLANK(A335),"",-B335*C335)</f>
        <v/>
      </c>
      <c r="J335" s="9" t="str">
        <f aca="false">IF(ISBLANK(A335),"",-SUM(I$3:I335))</f>
        <v/>
      </c>
      <c r="K335" s="0" t="str">
        <f aca="false">IF(ISBLANK(A335),"",SUMPRODUCT(O335:R335,T335:W335)-J335)</f>
        <v/>
      </c>
      <c r="L335" s="0" t="str">
        <f aca="false">IF(ISBLANK(A335),"",K335/$M$1)</f>
        <v/>
      </c>
      <c r="M335" s="0" t="str">
        <f aca="false">IF(ISBLANK(A335),"",K335/($M$1+SUM(K$3:K334)))</f>
        <v/>
      </c>
      <c r="N335" s="0" t="str">
        <f aca="false">IF(ISBLANK(A335),"",IF(H336=0,NETWORKDAYS($H$3,H335,holiday!$B$2:$B$10),IF(DAY(H335)&lt;DAY(H336),NETWORKDAYS($H$3,H335,holiday!$B$2:$B$10),0)))</f>
        <v/>
      </c>
      <c r="O335" s="0" t="str">
        <f aca="false">IF(ISBLANK(A335),"",SUMIF($A$3:$A335,O$2,$B$3:$B335))</f>
        <v/>
      </c>
      <c r="P335" s="0" t="str">
        <f aca="false">IF(ISBLANK(A335),"",SUMIF($A$3:$A335,P$2,$B$3:$B335))</f>
        <v/>
      </c>
      <c r="Q335" s="0" t="str">
        <f aca="false">IF(ISBLANK(A335),"",SUMIF($A$3:$A335,Q$2,$B$3:$B335))</f>
        <v/>
      </c>
      <c r="R335" s="0" t="str">
        <f aca="false">IF(ISBLANK(A335),"",SUMIF($A$3:$A335,R$2,$B$3:$B335))</f>
        <v/>
      </c>
      <c r="T335" s="0" t="str">
        <f aca="false">IF(ISBLANK(A335),"",IF($A335=T$2,$C335,T334))</f>
        <v/>
      </c>
      <c r="U335" s="0" t="str">
        <f aca="false">IF(ISBLANK(A335),"",IF($A335=U$2,$C335,U334))</f>
        <v/>
      </c>
      <c r="V335" s="0" t="str">
        <f aca="false">IF(ISBLANK(A335),"",IF($A335=V$2,$C335,V334))</f>
        <v/>
      </c>
      <c r="W335" s="0" t="str">
        <f aca="false">IF(ISBLANK(A335),"",IF($A335=W$2,$C335,W334))</f>
        <v/>
      </c>
    </row>
    <row r="336" customFormat="false" ht="12.8" hidden="false" customHeight="false" outlineLevel="0" collapsed="false">
      <c r="H336" s="8" t="n">
        <f aca="false">IF(ISBLANK(D336),,LEFT(D336,LEN(D336)-6)*1)</f>
        <v>0</v>
      </c>
      <c r="I336" s="9" t="str">
        <f aca="false">IF(ISBLANK(A336),"",-B336*C336)</f>
        <v/>
      </c>
      <c r="J336" s="9" t="str">
        <f aca="false">IF(ISBLANK(A336),"",-SUM(I$3:I336))</f>
        <v/>
      </c>
      <c r="K336" s="0" t="str">
        <f aca="false">IF(ISBLANK(A336),"",SUMPRODUCT(O336:R336,T336:W336)-J336)</f>
        <v/>
      </c>
      <c r="L336" s="0" t="str">
        <f aca="false">IF(ISBLANK(A336),"",K336/$M$1)</f>
        <v/>
      </c>
      <c r="M336" s="0" t="str">
        <f aca="false">IF(ISBLANK(A336),"",K336/($M$1+SUM(K$3:K335)))</f>
        <v/>
      </c>
      <c r="N336" s="0" t="str">
        <f aca="false">IF(ISBLANK(A336),"",IF(H337=0,NETWORKDAYS($H$3,H336,holiday!$B$2:$B$10),IF(DAY(H336)&lt;DAY(H337),NETWORKDAYS($H$3,H336,holiday!$B$2:$B$10),0)))</f>
        <v/>
      </c>
      <c r="O336" s="0" t="str">
        <f aca="false">IF(ISBLANK(A336),"",SUMIF($A$3:$A336,O$2,$B$3:$B336))</f>
        <v/>
      </c>
      <c r="P336" s="0" t="str">
        <f aca="false">IF(ISBLANK(A336),"",SUMIF($A$3:$A336,P$2,$B$3:$B336))</f>
        <v/>
      </c>
      <c r="Q336" s="0" t="str">
        <f aca="false">IF(ISBLANK(A336),"",SUMIF($A$3:$A336,Q$2,$B$3:$B336))</f>
        <v/>
      </c>
      <c r="R336" s="0" t="str">
        <f aca="false">IF(ISBLANK(A336),"",SUMIF($A$3:$A336,R$2,$B$3:$B336))</f>
        <v/>
      </c>
      <c r="T336" s="0" t="str">
        <f aca="false">IF(ISBLANK(A336),"",IF($A336=T$2,$C336,T335))</f>
        <v/>
      </c>
      <c r="U336" s="0" t="str">
        <f aca="false">IF(ISBLANK(A336),"",IF($A336=U$2,$C336,U335))</f>
        <v/>
      </c>
      <c r="V336" s="0" t="str">
        <f aca="false">IF(ISBLANK(A336),"",IF($A336=V$2,$C336,V335))</f>
        <v/>
      </c>
      <c r="W336" s="0" t="str">
        <f aca="false">IF(ISBLANK(A336),"",IF($A336=W$2,$C336,W335))</f>
        <v/>
      </c>
    </row>
    <row r="337" customFormat="false" ht="12.8" hidden="false" customHeight="false" outlineLevel="0" collapsed="false">
      <c r="H337" s="8" t="n">
        <f aca="false">IF(ISBLANK(D337),,LEFT(D337,LEN(D337)-6)*1)</f>
        <v>0</v>
      </c>
      <c r="I337" s="9" t="str">
        <f aca="false">IF(ISBLANK(A337),"",-B337*C337)</f>
        <v/>
      </c>
      <c r="J337" s="9" t="str">
        <f aca="false">IF(ISBLANK(A337),"",-SUM(I$3:I337))</f>
        <v/>
      </c>
      <c r="K337" s="0" t="str">
        <f aca="false">IF(ISBLANK(A337),"",SUMPRODUCT(O337:R337,T337:W337)-J337)</f>
        <v/>
      </c>
      <c r="L337" s="0" t="str">
        <f aca="false">IF(ISBLANK(A337),"",K337/$M$1)</f>
        <v/>
      </c>
      <c r="M337" s="0" t="str">
        <f aca="false">IF(ISBLANK(A337),"",K337/($M$1+SUM(K$3:K336)))</f>
        <v/>
      </c>
      <c r="N337" s="0" t="str">
        <f aca="false">IF(ISBLANK(A337),"",IF(H338=0,NETWORKDAYS($H$3,H337,holiday!$B$2:$B$10),IF(DAY(H337)&lt;DAY(H338),NETWORKDAYS($H$3,H337,holiday!$B$2:$B$10),0)))</f>
        <v/>
      </c>
      <c r="O337" s="0" t="str">
        <f aca="false">IF(ISBLANK(A337),"",SUMIF($A$3:$A337,O$2,$B$3:$B337))</f>
        <v/>
      </c>
      <c r="P337" s="0" t="str">
        <f aca="false">IF(ISBLANK(A337),"",SUMIF($A$3:$A337,P$2,$B$3:$B337))</f>
        <v/>
      </c>
      <c r="Q337" s="0" t="str">
        <f aca="false">IF(ISBLANK(A337),"",SUMIF($A$3:$A337,Q$2,$B$3:$B337))</f>
        <v/>
      </c>
      <c r="R337" s="0" t="str">
        <f aca="false">IF(ISBLANK(A337),"",SUMIF($A$3:$A337,R$2,$B$3:$B337))</f>
        <v/>
      </c>
      <c r="T337" s="0" t="str">
        <f aca="false">IF(ISBLANK(A337),"",IF($A337=T$2,$C337,T336))</f>
        <v/>
      </c>
      <c r="U337" s="0" t="str">
        <f aca="false">IF(ISBLANK(A337),"",IF($A337=U$2,$C337,U336))</f>
        <v/>
      </c>
      <c r="V337" s="0" t="str">
        <f aca="false">IF(ISBLANK(A337),"",IF($A337=V$2,$C337,V336))</f>
        <v/>
      </c>
      <c r="W337" s="0" t="str">
        <f aca="false">IF(ISBLANK(A337),"",IF($A337=W$2,$C337,W336))</f>
        <v/>
      </c>
    </row>
    <row r="338" customFormat="false" ht="12.8" hidden="false" customHeight="false" outlineLevel="0" collapsed="false">
      <c r="H338" s="8" t="n">
        <f aca="false">IF(ISBLANK(D338),,LEFT(D338,LEN(D338)-6)*1)</f>
        <v>0</v>
      </c>
      <c r="I338" s="9" t="str">
        <f aca="false">IF(ISBLANK(A338),"",-B338*C338)</f>
        <v/>
      </c>
      <c r="J338" s="9" t="str">
        <f aca="false">IF(ISBLANK(A338),"",-SUM(I$3:I338))</f>
        <v/>
      </c>
      <c r="K338" s="0" t="str">
        <f aca="false">IF(ISBLANK(A338),"",SUMPRODUCT(O338:R338,T338:W338)-J338)</f>
        <v/>
      </c>
      <c r="L338" s="0" t="str">
        <f aca="false">IF(ISBLANK(A338),"",K338/$M$1)</f>
        <v/>
      </c>
      <c r="M338" s="0" t="str">
        <f aca="false">IF(ISBLANK(A338),"",K338/($M$1+SUM(K$3:K337)))</f>
        <v/>
      </c>
      <c r="N338" s="0" t="str">
        <f aca="false">IF(ISBLANK(A338),"",IF(H339=0,NETWORKDAYS($H$3,H338,holiday!$B$2:$B$10),IF(DAY(H338)&lt;DAY(H339),NETWORKDAYS($H$3,H338,holiday!$B$2:$B$10),0)))</f>
        <v/>
      </c>
      <c r="O338" s="0" t="str">
        <f aca="false">IF(ISBLANK(A338),"",SUMIF($A$3:$A338,O$2,$B$3:$B338))</f>
        <v/>
      </c>
      <c r="P338" s="0" t="str">
        <f aca="false">IF(ISBLANK(A338),"",SUMIF($A$3:$A338,P$2,$B$3:$B338))</f>
        <v/>
      </c>
      <c r="Q338" s="0" t="str">
        <f aca="false">IF(ISBLANK(A338),"",SUMIF($A$3:$A338,Q$2,$B$3:$B338))</f>
        <v/>
      </c>
      <c r="R338" s="0" t="str">
        <f aca="false">IF(ISBLANK(A338),"",SUMIF($A$3:$A338,R$2,$B$3:$B338))</f>
        <v/>
      </c>
      <c r="T338" s="0" t="str">
        <f aca="false">IF(ISBLANK(A338),"",IF($A338=T$2,$C338,T337))</f>
        <v/>
      </c>
      <c r="U338" s="0" t="str">
        <f aca="false">IF(ISBLANK(A338),"",IF($A338=U$2,$C338,U337))</f>
        <v/>
      </c>
      <c r="V338" s="0" t="str">
        <f aca="false">IF(ISBLANK(A338),"",IF($A338=V$2,$C338,V337))</f>
        <v/>
      </c>
      <c r="W338" s="0" t="str">
        <f aca="false">IF(ISBLANK(A338),"",IF($A338=W$2,$C338,W337))</f>
        <v/>
      </c>
    </row>
    <row r="339" customFormat="false" ht="12.8" hidden="false" customHeight="false" outlineLevel="0" collapsed="false">
      <c r="H339" s="8" t="n">
        <f aca="false">IF(ISBLANK(D339),,LEFT(D339,LEN(D339)-6)*1)</f>
        <v>0</v>
      </c>
      <c r="I339" s="9" t="str">
        <f aca="false">IF(ISBLANK(A339),"",-B339*C339)</f>
        <v/>
      </c>
      <c r="J339" s="9" t="str">
        <f aca="false">IF(ISBLANK(A339),"",-SUM(I$3:I339))</f>
        <v/>
      </c>
      <c r="K339" s="0" t="str">
        <f aca="false">IF(ISBLANK(A339),"",SUMPRODUCT(O339:R339,T339:W339)-J339)</f>
        <v/>
      </c>
      <c r="L339" s="0" t="str">
        <f aca="false">IF(ISBLANK(A339),"",K339/$M$1)</f>
        <v/>
      </c>
      <c r="M339" s="0" t="str">
        <f aca="false">IF(ISBLANK(A339),"",K339/($M$1+SUM(K$3:K338)))</f>
        <v/>
      </c>
      <c r="N339" s="0" t="str">
        <f aca="false">IF(ISBLANK(A339),"",IF(H340=0,NETWORKDAYS($H$3,H339,holiday!$B$2:$B$10),IF(DAY(H339)&lt;DAY(H340),NETWORKDAYS($H$3,H339,holiday!$B$2:$B$10),0)))</f>
        <v/>
      </c>
      <c r="O339" s="0" t="str">
        <f aca="false">IF(ISBLANK(A339),"",SUMIF($A$3:$A339,O$2,$B$3:$B339))</f>
        <v/>
      </c>
      <c r="P339" s="0" t="str">
        <f aca="false">IF(ISBLANK(A339),"",SUMIF($A$3:$A339,P$2,$B$3:$B339))</f>
        <v/>
      </c>
      <c r="Q339" s="0" t="str">
        <f aca="false">IF(ISBLANK(A339),"",SUMIF($A$3:$A339,Q$2,$B$3:$B339))</f>
        <v/>
      </c>
      <c r="R339" s="0" t="str">
        <f aca="false">IF(ISBLANK(A339),"",SUMIF($A$3:$A339,R$2,$B$3:$B339))</f>
        <v/>
      </c>
      <c r="T339" s="0" t="str">
        <f aca="false">IF(ISBLANK(A339),"",IF($A339=T$2,$C339,T338))</f>
        <v/>
      </c>
      <c r="U339" s="0" t="str">
        <f aca="false">IF(ISBLANK(A339),"",IF($A339=U$2,$C339,U338))</f>
        <v/>
      </c>
      <c r="V339" s="0" t="str">
        <f aca="false">IF(ISBLANK(A339),"",IF($A339=V$2,$C339,V338))</f>
        <v/>
      </c>
      <c r="W339" s="0" t="str">
        <f aca="false">IF(ISBLANK(A339),"",IF($A339=W$2,$C339,W338))</f>
        <v/>
      </c>
    </row>
    <row r="340" customFormat="false" ht="12.8" hidden="false" customHeight="false" outlineLevel="0" collapsed="false">
      <c r="H340" s="8" t="n">
        <f aca="false">IF(ISBLANK(D340),,LEFT(D340,LEN(D340)-6)*1)</f>
        <v>0</v>
      </c>
      <c r="I340" s="9" t="str">
        <f aca="false">IF(ISBLANK(A340),"",-B340*C340)</f>
        <v/>
      </c>
      <c r="J340" s="9" t="str">
        <f aca="false">IF(ISBLANK(A340),"",-SUM(I$3:I340))</f>
        <v/>
      </c>
      <c r="K340" s="0" t="str">
        <f aca="false">IF(ISBLANK(A340),"",SUMPRODUCT(O340:R340,T340:W340)-J340)</f>
        <v/>
      </c>
      <c r="L340" s="0" t="str">
        <f aca="false">IF(ISBLANK(A340),"",K340/$M$1)</f>
        <v/>
      </c>
      <c r="M340" s="0" t="str">
        <f aca="false">IF(ISBLANK(A340),"",K340/($M$1+SUM(K$3:K339)))</f>
        <v/>
      </c>
      <c r="N340" s="0" t="str">
        <f aca="false">IF(ISBLANK(A340),"",IF(H341=0,NETWORKDAYS($H$3,H340,holiday!$B$2:$B$10),IF(DAY(H340)&lt;DAY(H341),NETWORKDAYS($H$3,H340,holiday!$B$2:$B$10),0)))</f>
        <v/>
      </c>
      <c r="O340" s="0" t="str">
        <f aca="false">IF(ISBLANK(A340),"",SUMIF($A$3:$A340,O$2,$B$3:$B340))</f>
        <v/>
      </c>
      <c r="P340" s="0" t="str">
        <f aca="false">IF(ISBLANK(A340),"",SUMIF($A$3:$A340,P$2,$B$3:$B340))</f>
        <v/>
      </c>
      <c r="Q340" s="0" t="str">
        <f aca="false">IF(ISBLANK(A340),"",SUMIF($A$3:$A340,Q$2,$B$3:$B340))</f>
        <v/>
      </c>
      <c r="R340" s="0" t="str">
        <f aca="false">IF(ISBLANK(A340),"",SUMIF($A$3:$A340,R$2,$B$3:$B340))</f>
        <v/>
      </c>
      <c r="T340" s="0" t="str">
        <f aca="false">IF(ISBLANK(A340),"",IF($A340=T$2,$C340,T339))</f>
        <v/>
      </c>
      <c r="U340" s="0" t="str">
        <f aca="false">IF(ISBLANK(A340),"",IF($A340=U$2,$C340,U339))</f>
        <v/>
      </c>
      <c r="V340" s="0" t="str">
        <f aca="false">IF(ISBLANK(A340),"",IF($A340=V$2,$C340,V339))</f>
        <v/>
      </c>
      <c r="W340" s="0" t="str">
        <f aca="false">IF(ISBLANK(A340),"",IF($A340=W$2,$C340,W339))</f>
        <v/>
      </c>
    </row>
    <row r="341" customFormat="false" ht="12.8" hidden="false" customHeight="false" outlineLevel="0" collapsed="false">
      <c r="H341" s="8" t="n">
        <f aca="false">IF(ISBLANK(D341),,LEFT(D341,LEN(D341)-6)*1)</f>
        <v>0</v>
      </c>
      <c r="I341" s="9" t="str">
        <f aca="false">IF(ISBLANK(A341),"",-B341*C341)</f>
        <v/>
      </c>
      <c r="J341" s="9" t="str">
        <f aca="false">IF(ISBLANK(A341),"",-SUM(I$3:I341))</f>
        <v/>
      </c>
      <c r="K341" s="0" t="str">
        <f aca="false">IF(ISBLANK(A341),"",SUMPRODUCT(O341:R341,T341:W341)-J341)</f>
        <v/>
      </c>
      <c r="L341" s="0" t="str">
        <f aca="false">IF(ISBLANK(A341),"",K341/$M$1)</f>
        <v/>
      </c>
      <c r="M341" s="0" t="str">
        <f aca="false">IF(ISBLANK(A341),"",K341/($M$1+SUM(K$3:K340)))</f>
        <v/>
      </c>
      <c r="N341" s="0" t="str">
        <f aca="false">IF(ISBLANK(A341),"",IF(H342=0,NETWORKDAYS($H$3,H341,holiday!$B$2:$B$10),IF(DAY(H341)&lt;DAY(H342),NETWORKDAYS($H$3,H341,holiday!$B$2:$B$10),0)))</f>
        <v/>
      </c>
      <c r="O341" s="0" t="str">
        <f aca="false">IF(ISBLANK(A341),"",SUMIF($A$3:$A341,O$2,$B$3:$B341))</f>
        <v/>
      </c>
      <c r="P341" s="0" t="str">
        <f aca="false">IF(ISBLANK(A341),"",SUMIF($A$3:$A341,P$2,$B$3:$B341))</f>
        <v/>
      </c>
      <c r="Q341" s="0" t="str">
        <f aca="false">IF(ISBLANK(A341),"",SUMIF($A$3:$A341,Q$2,$B$3:$B341))</f>
        <v/>
      </c>
      <c r="R341" s="0" t="str">
        <f aca="false">IF(ISBLANK(A341),"",SUMIF($A$3:$A341,R$2,$B$3:$B341))</f>
        <v/>
      </c>
      <c r="T341" s="0" t="str">
        <f aca="false">IF(ISBLANK(A341),"",IF($A341=T$2,$C341,T340))</f>
        <v/>
      </c>
      <c r="U341" s="0" t="str">
        <f aca="false">IF(ISBLANK(A341),"",IF($A341=U$2,$C341,U340))</f>
        <v/>
      </c>
      <c r="V341" s="0" t="str">
        <f aca="false">IF(ISBLANK(A341),"",IF($A341=V$2,$C341,V340))</f>
        <v/>
      </c>
      <c r="W341" s="0" t="str">
        <f aca="false">IF(ISBLANK(A341),"",IF($A341=W$2,$C341,W340))</f>
        <v/>
      </c>
    </row>
    <row r="342" customFormat="false" ht="12.8" hidden="false" customHeight="false" outlineLevel="0" collapsed="false">
      <c r="H342" s="8" t="n">
        <f aca="false">IF(ISBLANK(D342),,LEFT(D342,LEN(D342)-6)*1)</f>
        <v>0</v>
      </c>
      <c r="I342" s="9" t="str">
        <f aca="false">IF(ISBLANK(A342),"",-B342*C342)</f>
        <v/>
      </c>
      <c r="J342" s="9" t="str">
        <f aca="false">IF(ISBLANK(A342),"",-SUM(I$3:I342))</f>
        <v/>
      </c>
      <c r="K342" s="0" t="str">
        <f aca="false">IF(ISBLANK(A342),"",SUMPRODUCT(O342:R342,T342:W342)-J342)</f>
        <v/>
      </c>
      <c r="L342" s="0" t="str">
        <f aca="false">IF(ISBLANK(A342),"",K342/$M$1)</f>
        <v/>
      </c>
      <c r="M342" s="0" t="str">
        <f aca="false">IF(ISBLANK(A342),"",K342/($M$1+SUM(K$3:K341)))</f>
        <v/>
      </c>
      <c r="N342" s="0" t="str">
        <f aca="false">IF(ISBLANK(A342),"",IF(H343=0,NETWORKDAYS($H$3,H342,holiday!$B$2:$B$10),IF(DAY(H342)&lt;DAY(H343),NETWORKDAYS($H$3,H342,holiday!$B$2:$B$10),0)))</f>
        <v/>
      </c>
      <c r="O342" s="0" t="str">
        <f aca="false">IF(ISBLANK(A342),"",SUMIF($A$3:$A342,O$2,$B$3:$B342))</f>
        <v/>
      </c>
      <c r="P342" s="0" t="str">
        <f aca="false">IF(ISBLANK(A342),"",SUMIF($A$3:$A342,P$2,$B$3:$B342))</f>
        <v/>
      </c>
      <c r="Q342" s="0" t="str">
        <f aca="false">IF(ISBLANK(A342),"",SUMIF($A$3:$A342,Q$2,$B$3:$B342))</f>
        <v/>
      </c>
      <c r="R342" s="0" t="str">
        <f aca="false">IF(ISBLANK(A342),"",SUMIF($A$3:$A342,R$2,$B$3:$B342))</f>
        <v/>
      </c>
      <c r="T342" s="0" t="str">
        <f aca="false">IF(ISBLANK(A342),"",IF($A342=T$2,$C342,T341))</f>
        <v/>
      </c>
      <c r="U342" s="0" t="str">
        <f aca="false">IF(ISBLANK(A342),"",IF($A342=U$2,$C342,U341))</f>
        <v/>
      </c>
      <c r="V342" s="0" t="str">
        <f aca="false">IF(ISBLANK(A342),"",IF($A342=V$2,$C342,V341))</f>
        <v/>
      </c>
      <c r="W342" s="0" t="str">
        <f aca="false">IF(ISBLANK(A342),"",IF($A342=W$2,$C342,W341))</f>
        <v/>
      </c>
    </row>
    <row r="343" customFormat="false" ht="12.8" hidden="false" customHeight="false" outlineLevel="0" collapsed="false">
      <c r="H343" s="8" t="n">
        <f aca="false">IF(ISBLANK(D343),,LEFT(D343,LEN(D343)-6)*1)</f>
        <v>0</v>
      </c>
      <c r="I343" s="9" t="str">
        <f aca="false">IF(ISBLANK(A343),"",-B343*C343)</f>
        <v/>
      </c>
      <c r="J343" s="9" t="str">
        <f aca="false">IF(ISBLANK(A343),"",-SUM(I$3:I343))</f>
        <v/>
      </c>
      <c r="K343" s="0" t="str">
        <f aca="false">IF(ISBLANK(A343),"",SUMPRODUCT(O343:R343,T343:W343)-J343)</f>
        <v/>
      </c>
      <c r="L343" s="0" t="str">
        <f aca="false">IF(ISBLANK(A343),"",K343/$M$1)</f>
        <v/>
      </c>
      <c r="M343" s="0" t="str">
        <f aca="false">IF(ISBLANK(A343),"",K343/($M$1+SUM(K$3:K342)))</f>
        <v/>
      </c>
      <c r="N343" s="0" t="str">
        <f aca="false">IF(ISBLANK(A343),"",IF(H344=0,NETWORKDAYS($H$3,H343,holiday!$B$2:$B$10),IF(DAY(H343)&lt;DAY(H344),NETWORKDAYS($H$3,H343,holiday!$B$2:$B$10),0)))</f>
        <v/>
      </c>
      <c r="O343" s="0" t="str">
        <f aca="false">IF(ISBLANK(A343),"",SUMIF($A$3:$A343,O$2,$B$3:$B343))</f>
        <v/>
      </c>
      <c r="P343" s="0" t="str">
        <f aca="false">IF(ISBLANK(A343),"",SUMIF($A$3:$A343,P$2,$B$3:$B343))</f>
        <v/>
      </c>
      <c r="Q343" s="0" t="str">
        <f aca="false">IF(ISBLANK(A343),"",SUMIF($A$3:$A343,Q$2,$B$3:$B343))</f>
        <v/>
      </c>
      <c r="R343" s="0" t="str">
        <f aca="false">IF(ISBLANK(A343),"",SUMIF($A$3:$A343,R$2,$B$3:$B343))</f>
        <v/>
      </c>
      <c r="T343" s="0" t="str">
        <f aca="false">IF(ISBLANK(A343),"",IF($A343=T$2,$C343,T342))</f>
        <v/>
      </c>
      <c r="U343" s="0" t="str">
        <f aca="false">IF(ISBLANK(A343),"",IF($A343=U$2,$C343,U342))</f>
        <v/>
      </c>
      <c r="V343" s="0" t="str">
        <f aca="false">IF(ISBLANK(A343),"",IF($A343=V$2,$C343,V342))</f>
        <v/>
      </c>
      <c r="W343" s="0" t="str">
        <f aca="false">IF(ISBLANK(A343),"",IF($A343=W$2,$C343,W342))</f>
        <v/>
      </c>
    </row>
    <row r="344" customFormat="false" ht="12.8" hidden="false" customHeight="false" outlineLevel="0" collapsed="false">
      <c r="H344" s="8" t="n">
        <f aca="false">IF(ISBLANK(D344),,LEFT(D344,LEN(D344)-6)*1)</f>
        <v>0</v>
      </c>
      <c r="I344" s="9" t="str">
        <f aca="false">IF(ISBLANK(A344),"",-B344*C344)</f>
        <v/>
      </c>
      <c r="J344" s="9" t="str">
        <f aca="false">IF(ISBLANK(A344),"",-SUM(I$3:I344))</f>
        <v/>
      </c>
      <c r="K344" s="0" t="str">
        <f aca="false">IF(ISBLANK(A344),"",SUMPRODUCT(O344:R344,T344:W344)-J344)</f>
        <v/>
      </c>
      <c r="L344" s="0" t="str">
        <f aca="false">IF(ISBLANK(A344),"",K344/$M$1)</f>
        <v/>
      </c>
      <c r="M344" s="0" t="str">
        <f aca="false">IF(ISBLANK(A344),"",K344/($M$1+SUM(K$3:K343)))</f>
        <v/>
      </c>
      <c r="N344" s="0" t="str">
        <f aca="false">IF(ISBLANK(A344),"",IF(H345=0,NETWORKDAYS($H$3,H344,holiday!$B$2:$B$10),IF(DAY(H344)&lt;DAY(H345),NETWORKDAYS($H$3,H344,holiday!$B$2:$B$10),0)))</f>
        <v/>
      </c>
      <c r="O344" s="0" t="str">
        <f aca="false">IF(ISBLANK(A344),"",SUMIF($A$3:$A344,O$2,$B$3:$B344))</f>
        <v/>
      </c>
      <c r="P344" s="0" t="str">
        <f aca="false">IF(ISBLANK(A344),"",SUMIF($A$3:$A344,P$2,$B$3:$B344))</f>
        <v/>
      </c>
      <c r="Q344" s="0" t="str">
        <f aca="false">IF(ISBLANK(A344),"",SUMIF($A$3:$A344,Q$2,$B$3:$B344))</f>
        <v/>
      </c>
      <c r="R344" s="0" t="str">
        <f aca="false">IF(ISBLANK(A344),"",SUMIF($A$3:$A344,R$2,$B$3:$B344))</f>
        <v/>
      </c>
      <c r="T344" s="0" t="str">
        <f aca="false">IF(ISBLANK(A344),"",IF($A344=T$2,$C344,T343))</f>
        <v/>
      </c>
      <c r="U344" s="0" t="str">
        <f aca="false">IF(ISBLANK(A344),"",IF($A344=U$2,$C344,U343))</f>
        <v/>
      </c>
      <c r="V344" s="0" t="str">
        <f aca="false">IF(ISBLANK(A344),"",IF($A344=V$2,$C344,V343))</f>
        <v/>
      </c>
      <c r="W344" s="0" t="str">
        <f aca="false">IF(ISBLANK(A344),"",IF($A344=W$2,$C344,W343))</f>
        <v/>
      </c>
    </row>
    <row r="345" customFormat="false" ht="12.8" hidden="false" customHeight="false" outlineLevel="0" collapsed="false">
      <c r="H345" s="8" t="n">
        <f aca="false">IF(ISBLANK(D345),,LEFT(D345,LEN(D345)-6)*1)</f>
        <v>0</v>
      </c>
      <c r="I345" s="9" t="str">
        <f aca="false">IF(ISBLANK(A345),"",-B345*C345)</f>
        <v/>
      </c>
      <c r="J345" s="9" t="str">
        <f aca="false">IF(ISBLANK(A345),"",-SUM(I$3:I345))</f>
        <v/>
      </c>
      <c r="K345" s="0" t="str">
        <f aca="false">IF(ISBLANK(A345),"",SUMPRODUCT(O345:R345,T345:W345)-J345)</f>
        <v/>
      </c>
      <c r="L345" s="0" t="str">
        <f aca="false">IF(ISBLANK(A345),"",K345/$M$1)</f>
        <v/>
      </c>
      <c r="M345" s="0" t="str">
        <f aca="false">IF(ISBLANK(A345),"",K345/($M$1+SUM(K$3:K344)))</f>
        <v/>
      </c>
      <c r="N345" s="0" t="str">
        <f aca="false">IF(ISBLANK(A345),"",IF(H346=0,NETWORKDAYS($H$3,H345,holiday!$B$2:$B$10),IF(DAY(H345)&lt;DAY(H346),NETWORKDAYS($H$3,H345,holiday!$B$2:$B$10),0)))</f>
        <v/>
      </c>
      <c r="O345" s="0" t="str">
        <f aca="false">IF(ISBLANK(A345),"",SUMIF($A$3:$A345,O$2,$B$3:$B345))</f>
        <v/>
      </c>
      <c r="P345" s="0" t="str">
        <f aca="false">IF(ISBLANK(A345),"",SUMIF($A$3:$A345,P$2,$B$3:$B345))</f>
        <v/>
      </c>
      <c r="Q345" s="0" t="str">
        <f aca="false">IF(ISBLANK(A345),"",SUMIF($A$3:$A345,Q$2,$B$3:$B345))</f>
        <v/>
      </c>
      <c r="R345" s="0" t="str">
        <f aca="false">IF(ISBLANK(A345),"",SUMIF($A$3:$A345,R$2,$B$3:$B345))</f>
        <v/>
      </c>
      <c r="T345" s="0" t="str">
        <f aca="false">IF(ISBLANK(A345),"",IF($A345=T$2,$C345,T344))</f>
        <v/>
      </c>
      <c r="U345" s="0" t="str">
        <f aca="false">IF(ISBLANK(A345),"",IF($A345=U$2,$C345,U344))</f>
        <v/>
      </c>
      <c r="V345" s="0" t="str">
        <f aca="false">IF(ISBLANK(A345),"",IF($A345=V$2,$C345,V344))</f>
        <v/>
      </c>
      <c r="W345" s="0" t="str">
        <f aca="false">IF(ISBLANK(A345),"",IF($A345=W$2,$C345,W344))</f>
        <v/>
      </c>
    </row>
    <row r="346" customFormat="false" ht="12.8" hidden="false" customHeight="false" outlineLevel="0" collapsed="false">
      <c r="H346" s="8" t="n">
        <f aca="false">IF(ISBLANK(D346),,LEFT(D346,LEN(D346)-6)*1)</f>
        <v>0</v>
      </c>
      <c r="I346" s="9" t="str">
        <f aca="false">IF(ISBLANK(A346),"",-B346*C346)</f>
        <v/>
      </c>
      <c r="J346" s="9" t="str">
        <f aca="false">IF(ISBLANK(A346),"",-SUM(I$3:I346))</f>
        <v/>
      </c>
      <c r="K346" s="0" t="str">
        <f aca="false">IF(ISBLANK(A346),"",SUMPRODUCT(O346:R346,T346:W346)-J346)</f>
        <v/>
      </c>
      <c r="L346" s="0" t="str">
        <f aca="false">IF(ISBLANK(A346),"",K346/$M$1)</f>
        <v/>
      </c>
      <c r="M346" s="0" t="str">
        <f aca="false">IF(ISBLANK(A346),"",K346/($M$1+SUM(K$3:K345)))</f>
        <v/>
      </c>
      <c r="N346" s="0" t="str">
        <f aca="false">IF(ISBLANK(A346),"",IF(H347=0,NETWORKDAYS($H$3,H346,holiday!$B$2:$B$10),IF(DAY(H346)&lt;DAY(H347),NETWORKDAYS($H$3,H346,holiday!$B$2:$B$10),0)))</f>
        <v/>
      </c>
      <c r="O346" s="0" t="str">
        <f aca="false">IF(ISBLANK(A346),"",SUMIF($A$3:$A346,O$2,$B$3:$B346))</f>
        <v/>
      </c>
      <c r="P346" s="0" t="str">
        <f aca="false">IF(ISBLANK(A346),"",SUMIF($A$3:$A346,P$2,$B$3:$B346))</f>
        <v/>
      </c>
      <c r="Q346" s="0" t="str">
        <f aca="false">IF(ISBLANK(A346),"",SUMIF($A$3:$A346,Q$2,$B$3:$B346))</f>
        <v/>
      </c>
      <c r="R346" s="0" t="str">
        <f aca="false">IF(ISBLANK(A346),"",SUMIF($A$3:$A346,R$2,$B$3:$B346))</f>
        <v/>
      </c>
      <c r="T346" s="0" t="str">
        <f aca="false">IF(ISBLANK(A346),"",IF($A346=T$2,$C346,T345))</f>
        <v/>
      </c>
      <c r="U346" s="0" t="str">
        <f aca="false">IF(ISBLANK(A346),"",IF($A346=U$2,$C346,U345))</f>
        <v/>
      </c>
      <c r="V346" s="0" t="str">
        <f aca="false">IF(ISBLANK(A346),"",IF($A346=V$2,$C346,V345))</f>
        <v/>
      </c>
      <c r="W346" s="0" t="str">
        <f aca="false">IF(ISBLANK(A346),"",IF($A346=W$2,$C346,W345))</f>
        <v/>
      </c>
    </row>
    <row r="347" customFormat="false" ht="12.8" hidden="false" customHeight="false" outlineLevel="0" collapsed="false">
      <c r="H347" s="8" t="n">
        <f aca="false">IF(ISBLANK(D347),,LEFT(D347,LEN(D347)-6)*1)</f>
        <v>0</v>
      </c>
      <c r="I347" s="9" t="str">
        <f aca="false">IF(ISBLANK(A347),"",-B347*C347)</f>
        <v/>
      </c>
      <c r="J347" s="9" t="str">
        <f aca="false">IF(ISBLANK(A347),"",-SUM(I$3:I347))</f>
        <v/>
      </c>
      <c r="K347" s="0" t="str">
        <f aca="false">IF(ISBLANK(A347),"",SUMPRODUCT(O347:R347,T347:W347)-J347)</f>
        <v/>
      </c>
      <c r="L347" s="0" t="str">
        <f aca="false">IF(ISBLANK(A347),"",K347/$M$1)</f>
        <v/>
      </c>
      <c r="M347" s="0" t="str">
        <f aca="false">IF(ISBLANK(A347),"",K347/($M$1+SUM(K$3:K346)))</f>
        <v/>
      </c>
      <c r="N347" s="0" t="str">
        <f aca="false">IF(ISBLANK(A347),"",IF(H348=0,NETWORKDAYS($H$3,H347,holiday!$B$2:$B$10),IF(DAY(H347)&lt;DAY(H348),NETWORKDAYS($H$3,H347,holiday!$B$2:$B$10),0)))</f>
        <v/>
      </c>
      <c r="O347" s="0" t="str">
        <f aca="false">IF(ISBLANK(A347),"",SUMIF($A$3:$A347,O$2,$B$3:$B347))</f>
        <v/>
      </c>
      <c r="P347" s="0" t="str">
        <f aca="false">IF(ISBLANK(A347),"",SUMIF($A$3:$A347,P$2,$B$3:$B347))</f>
        <v/>
      </c>
      <c r="Q347" s="0" t="str">
        <f aca="false">IF(ISBLANK(A347),"",SUMIF($A$3:$A347,Q$2,$B$3:$B347))</f>
        <v/>
      </c>
      <c r="R347" s="0" t="str">
        <f aca="false">IF(ISBLANK(A347),"",SUMIF($A$3:$A347,R$2,$B$3:$B347))</f>
        <v/>
      </c>
      <c r="T347" s="0" t="str">
        <f aca="false">IF(ISBLANK(A347),"",IF($A347=T$2,$C347,T346))</f>
        <v/>
      </c>
      <c r="U347" s="0" t="str">
        <f aca="false">IF(ISBLANK(A347),"",IF($A347=U$2,$C347,U346))</f>
        <v/>
      </c>
      <c r="V347" s="0" t="str">
        <f aca="false">IF(ISBLANK(A347),"",IF($A347=V$2,$C347,V346))</f>
        <v/>
      </c>
      <c r="W347" s="0" t="str">
        <f aca="false">IF(ISBLANK(A347),"",IF($A347=W$2,$C347,W346))</f>
        <v/>
      </c>
    </row>
    <row r="348" customFormat="false" ht="12.8" hidden="false" customHeight="false" outlineLevel="0" collapsed="false">
      <c r="H348" s="8" t="n">
        <f aca="false">IF(ISBLANK(D348),,LEFT(D348,LEN(D348)-6)*1)</f>
        <v>0</v>
      </c>
      <c r="I348" s="9" t="str">
        <f aca="false">IF(ISBLANK(A348),"",-B348*C348)</f>
        <v/>
      </c>
      <c r="J348" s="9" t="str">
        <f aca="false">IF(ISBLANK(A348),"",-SUM(I$3:I348))</f>
        <v/>
      </c>
      <c r="K348" s="0" t="str">
        <f aca="false">IF(ISBLANK(A348),"",SUMPRODUCT(O348:R348,T348:W348)-J348)</f>
        <v/>
      </c>
      <c r="L348" s="0" t="str">
        <f aca="false">IF(ISBLANK(A348),"",K348/$M$1)</f>
        <v/>
      </c>
      <c r="M348" s="0" t="str">
        <f aca="false">IF(ISBLANK(A348),"",K348/($M$1+SUM(K$3:K347)))</f>
        <v/>
      </c>
      <c r="N348" s="0" t="str">
        <f aca="false">IF(ISBLANK(A348),"",IF(H349=0,NETWORKDAYS($H$3,H348,holiday!$B$2:$B$10),IF(DAY(H348)&lt;DAY(H349),NETWORKDAYS($H$3,H348,holiday!$B$2:$B$10),0)))</f>
        <v/>
      </c>
      <c r="O348" s="0" t="str">
        <f aca="false">IF(ISBLANK(A348),"",SUMIF($A$3:$A348,O$2,$B$3:$B348))</f>
        <v/>
      </c>
      <c r="P348" s="0" t="str">
        <f aca="false">IF(ISBLANK(A348),"",SUMIF($A$3:$A348,P$2,$B$3:$B348))</f>
        <v/>
      </c>
      <c r="Q348" s="0" t="str">
        <f aca="false">IF(ISBLANK(A348),"",SUMIF($A$3:$A348,Q$2,$B$3:$B348))</f>
        <v/>
      </c>
      <c r="R348" s="0" t="str">
        <f aca="false">IF(ISBLANK(A348),"",SUMIF($A$3:$A348,R$2,$B$3:$B348))</f>
        <v/>
      </c>
      <c r="T348" s="0" t="str">
        <f aca="false">IF(ISBLANK(A348),"",IF($A348=T$2,$C348,T347))</f>
        <v/>
      </c>
      <c r="U348" s="0" t="str">
        <f aca="false">IF(ISBLANK(A348),"",IF($A348=U$2,$C348,U347))</f>
        <v/>
      </c>
      <c r="V348" s="0" t="str">
        <f aca="false">IF(ISBLANK(A348),"",IF($A348=V$2,$C348,V347))</f>
        <v/>
      </c>
      <c r="W348" s="0" t="str">
        <f aca="false">IF(ISBLANK(A348),"",IF($A348=W$2,$C348,W347))</f>
        <v/>
      </c>
    </row>
    <row r="349" customFormat="false" ht="12.8" hidden="false" customHeight="false" outlineLevel="0" collapsed="false">
      <c r="H349" s="8" t="n">
        <f aca="false">IF(ISBLANK(D349),,LEFT(D349,LEN(D349)-6)*1)</f>
        <v>0</v>
      </c>
      <c r="I349" s="9" t="str">
        <f aca="false">IF(ISBLANK(A349),"",-B349*C349)</f>
        <v/>
      </c>
      <c r="J349" s="9" t="str">
        <f aca="false">IF(ISBLANK(A349),"",-SUM(I$3:I349))</f>
        <v/>
      </c>
      <c r="K349" s="0" t="str">
        <f aca="false">IF(ISBLANK(A349),"",SUMPRODUCT(O349:R349,T349:W349)-J349)</f>
        <v/>
      </c>
      <c r="L349" s="0" t="str">
        <f aca="false">IF(ISBLANK(A349),"",K349/$M$1)</f>
        <v/>
      </c>
      <c r="M349" s="0" t="str">
        <f aca="false">IF(ISBLANK(A349),"",K349/($M$1+SUM(K$3:K348)))</f>
        <v/>
      </c>
      <c r="N349" s="0" t="str">
        <f aca="false">IF(ISBLANK(A349),"",IF(H350=0,NETWORKDAYS($H$3,H349,holiday!$B$2:$B$10),IF(DAY(H349)&lt;DAY(H350),NETWORKDAYS($H$3,H349,holiday!$B$2:$B$10),0)))</f>
        <v/>
      </c>
      <c r="O349" s="0" t="str">
        <f aca="false">IF(ISBLANK(A349),"",SUMIF($A$3:$A349,O$2,$B$3:$B349))</f>
        <v/>
      </c>
      <c r="P349" s="0" t="str">
        <f aca="false">IF(ISBLANK(A349),"",SUMIF($A$3:$A349,P$2,$B$3:$B349))</f>
        <v/>
      </c>
      <c r="Q349" s="0" t="str">
        <f aca="false">IF(ISBLANK(A349),"",SUMIF($A$3:$A349,Q$2,$B$3:$B349))</f>
        <v/>
      </c>
      <c r="R349" s="0" t="str">
        <f aca="false">IF(ISBLANK(A349),"",SUMIF($A$3:$A349,R$2,$B$3:$B349))</f>
        <v/>
      </c>
      <c r="T349" s="0" t="str">
        <f aca="false">IF(ISBLANK(A349),"",IF($A349=T$2,$C349,T348))</f>
        <v/>
      </c>
      <c r="U349" s="0" t="str">
        <f aca="false">IF(ISBLANK(A349),"",IF($A349=U$2,$C349,U348))</f>
        <v/>
      </c>
      <c r="V349" s="0" t="str">
        <f aca="false">IF(ISBLANK(A349),"",IF($A349=V$2,$C349,V348))</f>
        <v/>
      </c>
      <c r="W349" s="0" t="str">
        <f aca="false">IF(ISBLANK(A349),"",IF($A349=W$2,$C349,W348))</f>
        <v/>
      </c>
    </row>
    <row r="350" customFormat="false" ht="12.8" hidden="false" customHeight="false" outlineLevel="0" collapsed="false">
      <c r="H350" s="8" t="n">
        <f aca="false">IF(ISBLANK(D350),,LEFT(D350,LEN(D350)-6)*1)</f>
        <v>0</v>
      </c>
      <c r="I350" s="9" t="str">
        <f aca="false">IF(ISBLANK(A350),"",-B350*C350)</f>
        <v/>
      </c>
      <c r="J350" s="9" t="str">
        <f aca="false">IF(ISBLANK(A350),"",-SUM(I$3:I350))</f>
        <v/>
      </c>
      <c r="K350" s="0" t="str">
        <f aca="false">IF(ISBLANK(A350),"",SUMPRODUCT(O350:R350,T350:W350)-J350)</f>
        <v/>
      </c>
      <c r="L350" s="0" t="str">
        <f aca="false">IF(ISBLANK(A350),"",K350/$M$1)</f>
        <v/>
      </c>
      <c r="M350" s="0" t="str">
        <f aca="false">IF(ISBLANK(A350),"",K350/($M$1+SUM(K$3:K349)))</f>
        <v/>
      </c>
      <c r="N350" s="0" t="str">
        <f aca="false">IF(ISBLANK(A350),"",IF(H351=0,NETWORKDAYS($H$3,H350,holiday!$B$2:$B$10),IF(DAY(H350)&lt;DAY(H351),NETWORKDAYS($H$3,H350,holiday!$B$2:$B$10),0)))</f>
        <v/>
      </c>
      <c r="O350" s="0" t="str">
        <f aca="false">IF(ISBLANK(A350),"",SUMIF($A$3:$A350,O$2,$B$3:$B350))</f>
        <v/>
      </c>
      <c r="P350" s="0" t="str">
        <f aca="false">IF(ISBLANK(A350),"",SUMIF($A$3:$A350,P$2,$B$3:$B350))</f>
        <v/>
      </c>
      <c r="Q350" s="0" t="str">
        <f aca="false">IF(ISBLANK(A350),"",SUMIF($A$3:$A350,Q$2,$B$3:$B350))</f>
        <v/>
      </c>
      <c r="R350" s="0" t="str">
        <f aca="false">IF(ISBLANK(A350),"",SUMIF($A$3:$A350,R$2,$B$3:$B350))</f>
        <v/>
      </c>
      <c r="T350" s="0" t="str">
        <f aca="false">IF(ISBLANK(A350),"",IF($A350=T$2,$C350,T349))</f>
        <v/>
      </c>
      <c r="U350" s="0" t="str">
        <f aca="false">IF(ISBLANK(A350),"",IF($A350=U$2,$C350,U349))</f>
        <v/>
      </c>
      <c r="V350" s="0" t="str">
        <f aca="false">IF(ISBLANK(A350),"",IF($A350=V$2,$C350,V349))</f>
        <v/>
      </c>
      <c r="W350" s="0" t="str">
        <f aca="false">IF(ISBLANK(A350),"",IF($A350=W$2,$C350,W349))</f>
        <v/>
      </c>
    </row>
    <row r="351" customFormat="false" ht="12.8" hidden="false" customHeight="false" outlineLevel="0" collapsed="false">
      <c r="H351" s="8" t="n">
        <f aca="false">IF(ISBLANK(D351),,LEFT(D351,LEN(D351)-6)*1)</f>
        <v>0</v>
      </c>
      <c r="I351" s="9" t="str">
        <f aca="false">IF(ISBLANK(A351),"",-B351*C351)</f>
        <v/>
      </c>
      <c r="J351" s="9" t="str">
        <f aca="false">IF(ISBLANK(A351),"",-SUM(I$3:I351))</f>
        <v/>
      </c>
      <c r="K351" s="0" t="str">
        <f aca="false">IF(ISBLANK(A351),"",SUMPRODUCT(O351:R351,T351:W351)-J351)</f>
        <v/>
      </c>
      <c r="L351" s="0" t="str">
        <f aca="false">IF(ISBLANK(A351),"",K351/$M$1)</f>
        <v/>
      </c>
      <c r="M351" s="0" t="str">
        <f aca="false">IF(ISBLANK(A351),"",K351/($M$1+SUM(K$3:K350)))</f>
        <v/>
      </c>
      <c r="N351" s="0" t="str">
        <f aca="false">IF(ISBLANK(A351),"",IF(H352=0,NETWORKDAYS($H$3,H351,holiday!$B$2:$B$10),IF(DAY(H351)&lt;DAY(H352),NETWORKDAYS($H$3,H351,holiday!$B$2:$B$10),0)))</f>
        <v/>
      </c>
      <c r="O351" s="0" t="str">
        <f aca="false">IF(ISBLANK(A351),"",SUMIF($A$3:$A351,O$2,$B$3:$B351))</f>
        <v/>
      </c>
      <c r="P351" s="0" t="str">
        <f aca="false">IF(ISBLANK(A351),"",SUMIF($A$3:$A351,P$2,$B$3:$B351))</f>
        <v/>
      </c>
      <c r="Q351" s="0" t="str">
        <f aca="false">IF(ISBLANK(A351),"",SUMIF($A$3:$A351,Q$2,$B$3:$B351))</f>
        <v/>
      </c>
      <c r="R351" s="0" t="str">
        <f aca="false">IF(ISBLANK(A351),"",SUMIF($A$3:$A351,R$2,$B$3:$B351))</f>
        <v/>
      </c>
      <c r="T351" s="0" t="str">
        <f aca="false">IF(ISBLANK(A351),"",IF($A351=T$2,$C351,T350))</f>
        <v/>
      </c>
      <c r="U351" s="0" t="str">
        <f aca="false">IF(ISBLANK(A351),"",IF($A351=U$2,$C351,U350))</f>
        <v/>
      </c>
      <c r="V351" s="0" t="str">
        <f aca="false">IF(ISBLANK(A351),"",IF($A351=V$2,$C351,V350))</f>
        <v/>
      </c>
      <c r="W351" s="0" t="str">
        <f aca="false">IF(ISBLANK(A351),"",IF($A351=W$2,$C351,W350))</f>
        <v/>
      </c>
    </row>
    <row r="352" customFormat="false" ht="12.8" hidden="false" customHeight="false" outlineLevel="0" collapsed="false">
      <c r="H352" s="8" t="n">
        <f aca="false">IF(ISBLANK(D352),,LEFT(D352,LEN(D352)-6)*1)</f>
        <v>0</v>
      </c>
      <c r="I352" s="9" t="str">
        <f aca="false">IF(ISBLANK(A352),"",-B352*C352)</f>
        <v/>
      </c>
      <c r="J352" s="9" t="str">
        <f aca="false">IF(ISBLANK(A352),"",-SUM(I$3:I352))</f>
        <v/>
      </c>
      <c r="K352" s="0" t="str">
        <f aca="false">IF(ISBLANK(A352),"",SUMPRODUCT(O352:R352,T352:W352)-J352)</f>
        <v/>
      </c>
      <c r="L352" s="0" t="str">
        <f aca="false">IF(ISBLANK(A352),"",K352/$M$1)</f>
        <v/>
      </c>
      <c r="M352" s="0" t="str">
        <f aca="false">IF(ISBLANK(A352),"",K352/($M$1+SUM(K$3:K351)))</f>
        <v/>
      </c>
      <c r="N352" s="0" t="str">
        <f aca="false">IF(ISBLANK(A352),"",IF(H353=0,NETWORKDAYS($H$3,H352,holiday!$B$2:$B$10),IF(DAY(H352)&lt;DAY(H353),NETWORKDAYS($H$3,H352,holiday!$B$2:$B$10),0)))</f>
        <v/>
      </c>
      <c r="O352" s="0" t="str">
        <f aca="false">IF(ISBLANK(A352),"",SUMIF($A$3:$A352,O$2,$B$3:$B352))</f>
        <v/>
      </c>
      <c r="P352" s="0" t="str">
        <f aca="false">IF(ISBLANK(A352),"",SUMIF($A$3:$A352,P$2,$B$3:$B352))</f>
        <v/>
      </c>
      <c r="Q352" s="0" t="str">
        <f aca="false">IF(ISBLANK(A352),"",SUMIF($A$3:$A352,Q$2,$B$3:$B352))</f>
        <v/>
      </c>
      <c r="R352" s="0" t="str">
        <f aca="false">IF(ISBLANK(A352),"",SUMIF($A$3:$A352,R$2,$B$3:$B352))</f>
        <v/>
      </c>
      <c r="T352" s="0" t="str">
        <f aca="false">IF(ISBLANK(A352),"",IF($A352=T$2,$C352,T351))</f>
        <v/>
      </c>
      <c r="U352" s="0" t="str">
        <f aca="false">IF(ISBLANK(A352),"",IF($A352=U$2,$C352,U351))</f>
        <v/>
      </c>
      <c r="V352" s="0" t="str">
        <f aca="false">IF(ISBLANK(A352),"",IF($A352=V$2,$C352,V351))</f>
        <v/>
      </c>
      <c r="W352" s="0" t="str">
        <f aca="false">IF(ISBLANK(A352),"",IF($A352=W$2,$C352,W351))</f>
        <v/>
      </c>
    </row>
    <row r="353" customFormat="false" ht="12.8" hidden="false" customHeight="false" outlineLevel="0" collapsed="false">
      <c r="H353" s="8" t="n">
        <f aca="false">IF(ISBLANK(D353),,LEFT(D353,LEN(D353)-6)*1)</f>
        <v>0</v>
      </c>
      <c r="I353" s="9" t="str">
        <f aca="false">IF(ISBLANK(A353),"",-B353*C353)</f>
        <v/>
      </c>
      <c r="J353" s="9" t="str">
        <f aca="false">IF(ISBLANK(A353),"",-SUM(I$3:I353))</f>
        <v/>
      </c>
      <c r="K353" s="0" t="str">
        <f aca="false">IF(ISBLANK(A353),"",SUMPRODUCT(O353:R353,T353:W353)-J353)</f>
        <v/>
      </c>
      <c r="L353" s="0" t="str">
        <f aca="false">IF(ISBLANK(A353),"",K353/$M$1)</f>
        <v/>
      </c>
      <c r="M353" s="0" t="str">
        <f aca="false">IF(ISBLANK(A353),"",K353/($M$1+SUM(K$3:K352)))</f>
        <v/>
      </c>
      <c r="N353" s="0" t="str">
        <f aca="false">IF(ISBLANK(A353),"",IF(H354=0,NETWORKDAYS($H$3,H353,holiday!$B$2:$B$10),IF(DAY(H353)&lt;DAY(H354),NETWORKDAYS($H$3,H353,holiday!$B$2:$B$10),0)))</f>
        <v/>
      </c>
      <c r="O353" s="0" t="str">
        <f aca="false">IF(ISBLANK(A353),"",SUMIF($A$3:$A353,O$2,$B$3:$B353))</f>
        <v/>
      </c>
      <c r="P353" s="0" t="str">
        <f aca="false">IF(ISBLANK(A353),"",SUMIF($A$3:$A353,P$2,$B$3:$B353))</f>
        <v/>
      </c>
      <c r="Q353" s="0" t="str">
        <f aca="false">IF(ISBLANK(A353),"",SUMIF($A$3:$A353,Q$2,$B$3:$B353))</f>
        <v/>
      </c>
      <c r="R353" s="0" t="str">
        <f aca="false">IF(ISBLANK(A353),"",SUMIF($A$3:$A353,R$2,$B$3:$B353))</f>
        <v/>
      </c>
      <c r="T353" s="0" t="str">
        <f aca="false">IF(ISBLANK(A353),"",IF($A353=T$2,$C353,T352))</f>
        <v/>
      </c>
      <c r="U353" s="0" t="str">
        <f aca="false">IF(ISBLANK(A353),"",IF($A353=U$2,$C353,U352))</f>
        <v/>
      </c>
      <c r="V353" s="0" t="str">
        <f aca="false">IF(ISBLANK(A353),"",IF($A353=V$2,$C353,V352))</f>
        <v/>
      </c>
      <c r="W353" s="0" t="str">
        <f aca="false">IF(ISBLANK(A353),"",IF($A353=W$2,$C353,W352))</f>
        <v/>
      </c>
    </row>
    <row r="354" customFormat="false" ht="12.8" hidden="false" customHeight="false" outlineLevel="0" collapsed="false">
      <c r="H354" s="8" t="n">
        <f aca="false">IF(ISBLANK(D354),,LEFT(D354,LEN(D354)-6)*1)</f>
        <v>0</v>
      </c>
      <c r="I354" s="9" t="str">
        <f aca="false">IF(ISBLANK(A354),"",-B354*C354)</f>
        <v/>
      </c>
      <c r="J354" s="9" t="str">
        <f aca="false">IF(ISBLANK(A354),"",-SUM(I$3:I354))</f>
        <v/>
      </c>
      <c r="K354" s="0" t="str">
        <f aca="false">IF(ISBLANK(A354),"",SUMPRODUCT(O354:R354,T354:W354)-J354)</f>
        <v/>
      </c>
      <c r="L354" s="0" t="str">
        <f aca="false">IF(ISBLANK(A354),"",K354/$M$1)</f>
        <v/>
      </c>
      <c r="M354" s="0" t="str">
        <f aca="false">IF(ISBLANK(A354),"",K354/($M$1+SUM(K$3:K353)))</f>
        <v/>
      </c>
      <c r="N354" s="0" t="str">
        <f aca="false">IF(ISBLANK(A354),"",IF(H355=0,NETWORKDAYS($H$3,H354,holiday!$B$2:$B$10),IF(DAY(H354)&lt;DAY(H355),NETWORKDAYS($H$3,H354,holiday!$B$2:$B$10),0)))</f>
        <v/>
      </c>
      <c r="O354" s="0" t="str">
        <f aca="false">IF(ISBLANK(A354),"",SUMIF($A$3:$A354,O$2,$B$3:$B354))</f>
        <v/>
      </c>
      <c r="P354" s="0" t="str">
        <f aca="false">IF(ISBLANK(A354),"",SUMIF($A$3:$A354,P$2,$B$3:$B354))</f>
        <v/>
      </c>
      <c r="Q354" s="0" t="str">
        <f aca="false">IF(ISBLANK(A354),"",SUMIF($A$3:$A354,Q$2,$B$3:$B354))</f>
        <v/>
      </c>
      <c r="R354" s="0" t="str">
        <f aca="false">IF(ISBLANK(A354),"",SUMIF($A$3:$A354,R$2,$B$3:$B354))</f>
        <v/>
      </c>
      <c r="T354" s="0" t="str">
        <f aca="false">IF(ISBLANK(A354),"",IF($A354=T$2,$C354,T353))</f>
        <v/>
      </c>
      <c r="U354" s="0" t="str">
        <f aca="false">IF(ISBLANK(A354),"",IF($A354=U$2,$C354,U353))</f>
        <v/>
      </c>
      <c r="V354" s="0" t="str">
        <f aca="false">IF(ISBLANK(A354),"",IF($A354=V$2,$C354,V353))</f>
        <v/>
      </c>
      <c r="W354" s="0" t="str">
        <f aca="false">IF(ISBLANK(A354),"",IF($A354=W$2,$C354,W353))</f>
        <v/>
      </c>
    </row>
    <row r="355" customFormat="false" ht="12.8" hidden="false" customHeight="false" outlineLevel="0" collapsed="false">
      <c r="H355" s="8" t="n">
        <f aca="false">IF(ISBLANK(D355),,LEFT(D355,LEN(D355)-6)*1)</f>
        <v>0</v>
      </c>
      <c r="I355" s="9" t="str">
        <f aca="false">IF(ISBLANK(A355),"",-B355*C355)</f>
        <v/>
      </c>
      <c r="J355" s="9" t="str">
        <f aca="false">IF(ISBLANK(A355),"",-SUM(I$3:I355))</f>
        <v/>
      </c>
      <c r="K355" s="0" t="str">
        <f aca="false">IF(ISBLANK(A355),"",SUMPRODUCT(O355:R355,T355:W355)-J355)</f>
        <v/>
      </c>
      <c r="L355" s="0" t="str">
        <f aca="false">IF(ISBLANK(A355),"",K355/$M$1)</f>
        <v/>
      </c>
      <c r="M355" s="0" t="str">
        <f aca="false">IF(ISBLANK(A355),"",K355/($M$1+SUM(K$3:K354)))</f>
        <v/>
      </c>
      <c r="N355" s="0" t="str">
        <f aca="false">IF(ISBLANK(A355),"",IF(H356=0,NETWORKDAYS($H$3,H355,holiday!$B$2:$B$10),IF(DAY(H355)&lt;DAY(H356),NETWORKDAYS($H$3,H355,holiday!$B$2:$B$10),0)))</f>
        <v/>
      </c>
      <c r="O355" s="0" t="str">
        <f aca="false">IF(ISBLANK(A355),"",SUMIF($A$3:$A355,O$2,$B$3:$B355))</f>
        <v/>
      </c>
      <c r="P355" s="0" t="str">
        <f aca="false">IF(ISBLANK(A355),"",SUMIF($A$3:$A355,P$2,$B$3:$B355))</f>
        <v/>
      </c>
      <c r="Q355" s="0" t="str">
        <f aca="false">IF(ISBLANK(A355),"",SUMIF($A$3:$A355,Q$2,$B$3:$B355))</f>
        <v/>
      </c>
      <c r="R355" s="0" t="str">
        <f aca="false">IF(ISBLANK(A355),"",SUMIF($A$3:$A355,R$2,$B$3:$B355))</f>
        <v/>
      </c>
      <c r="T355" s="0" t="str">
        <f aca="false">IF(ISBLANK(A355),"",IF($A355=T$2,$C355,T354))</f>
        <v/>
      </c>
      <c r="U355" s="0" t="str">
        <f aca="false">IF(ISBLANK(A355),"",IF($A355=U$2,$C355,U354))</f>
        <v/>
      </c>
      <c r="V355" s="0" t="str">
        <f aca="false">IF(ISBLANK(A355),"",IF($A355=V$2,$C355,V354))</f>
        <v/>
      </c>
      <c r="W355" s="0" t="str">
        <f aca="false">IF(ISBLANK(A355),"",IF($A355=W$2,$C355,W354))</f>
        <v/>
      </c>
    </row>
    <row r="356" customFormat="false" ht="12.8" hidden="false" customHeight="false" outlineLevel="0" collapsed="false">
      <c r="H356" s="8" t="n">
        <f aca="false">IF(ISBLANK(D356),,LEFT(D356,LEN(D356)-6)*1)</f>
        <v>0</v>
      </c>
      <c r="I356" s="9" t="str">
        <f aca="false">IF(ISBLANK(A356),"",-B356*C356)</f>
        <v/>
      </c>
      <c r="J356" s="9" t="str">
        <f aca="false">IF(ISBLANK(A356),"",-SUM(I$3:I356))</f>
        <v/>
      </c>
      <c r="K356" s="0" t="str">
        <f aca="false">IF(ISBLANK(A356),"",SUMPRODUCT(O356:R356,T356:W356)-J356)</f>
        <v/>
      </c>
      <c r="L356" s="0" t="str">
        <f aca="false">IF(ISBLANK(A356),"",K356/$M$1)</f>
        <v/>
      </c>
      <c r="M356" s="0" t="str">
        <f aca="false">IF(ISBLANK(A356),"",K356/($M$1+SUM(K$3:K355)))</f>
        <v/>
      </c>
      <c r="N356" s="0" t="str">
        <f aca="false">IF(ISBLANK(A356),"",IF(H357=0,NETWORKDAYS($H$3,H356,holiday!$B$2:$B$10),IF(DAY(H356)&lt;DAY(H357),NETWORKDAYS($H$3,H356,holiday!$B$2:$B$10),0)))</f>
        <v/>
      </c>
      <c r="O356" s="0" t="str">
        <f aca="false">IF(ISBLANK(A356),"",SUMIF($A$3:$A356,O$2,$B$3:$B356))</f>
        <v/>
      </c>
      <c r="P356" s="0" t="str">
        <f aca="false">IF(ISBLANK(A356),"",SUMIF($A$3:$A356,P$2,$B$3:$B356))</f>
        <v/>
      </c>
      <c r="Q356" s="0" t="str">
        <f aca="false">IF(ISBLANK(A356),"",SUMIF($A$3:$A356,Q$2,$B$3:$B356))</f>
        <v/>
      </c>
      <c r="R356" s="0" t="str">
        <f aca="false">IF(ISBLANK(A356),"",SUMIF($A$3:$A356,R$2,$B$3:$B356))</f>
        <v/>
      </c>
      <c r="T356" s="0" t="str">
        <f aca="false">IF(ISBLANK(A356),"",IF($A356=T$2,$C356,T355))</f>
        <v/>
      </c>
      <c r="U356" s="0" t="str">
        <f aca="false">IF(ISBLANK(A356),"",IF($A356=U$2,$C356,U355))</f>
        <v/>
      </c>
      <c r="V356" s="0" t="str">
        <f aca="false">IF(ISBLANK(A356),"",IF($A356=V$2,$C356,V355))</f>
        <v/>
      </c>
      <c r="W356" s="0" t="str">
        <f aca="false">IF(ISBLANK(A356),"",IF($A356=W$2,$C356,W355))</f>
        <v/>
      </c>
    </row>
    <row r="357" customFormat="false" ht="12.8" hidden="false" customHeight="false" outlineLevel="0" collapsed="false">
      <c r="H357" s="8" t="n">
        <f aca="false">IF(ISBLANK(D357),,LEFT(D357,LEN(D357)-6)*1)</f>
        <v>0</v>
      </c>
      <c r="I357" s="9" t="str">
        <f aca="false">IF(ISBLANK(A357),"",-B357*C357)</f>
        <v/>
      </c>
      <c r="J357" s="9" t="str">
        <f aca="false">IF(ISBLANK(A357),"",-SUM(I$3:I357))</f>
        <v/>
      </c>
      <c r="K357" s="0" t="str">
        <f aca="false">IF(ISBLANK(A357),"",SUMPRODUCT(O357:R357,T357:W357)-J357)</f>
        <v/>
      </c>
      <c r="L357" s="0" t="str">
        <f aca="false">IF(ISBLANK(A357),"",K357/$M$1)</f>
        <v/>
      </c>
      <c r="M357" s="0" t="str">
        <f aca="false">IF(ISBLANK(A357),"",K357/($M$1+SUM(K$3:K356)))</f>
        <v/>
      </c>
      <c r="N357" s="0" t="str">
        <f aca="false">IF(ISBLANK(A357),"",IF(H358=0,NETWORKDAYS($H$3,H357,holiday!$B$2:$B$10),IF(DAY(H357)&lt;DAY(H358),NETWORKDAYS($H$3,H357,holiday!$B$2:$B$10),0)))</f>
        <v/>
      </c>
      <c r="O357" s="0" t="str">
        <f aca="false">IF(ISBLANK(A357),"",SUMIF($A$3:$A357,O$2,$B$3:$B357))</f>
        <v/>
      </c>
      <c r="P357" s="0" t="str">
        <f aca="false">IF(ISBLANK(A357),"",SUMIF($A$3:$A357,P$2,$B$3:$B357))</f>
        <v/>
      </c>
      <c r="Q357" s="0" t="str">
        <f aca="false">IF(ISBLANK(A357),"",SUMIF($A$3:$A357,Q$2,$B$3:$B357))</f>
        <v/>
      </c>
      <c r="R357" s="0" t="str">
        <f aca="false">IF(ISBLANK(A357),"",SUMIF($A$3:$A357,R$2,$B$3:$B357))</f>
        <v/>
      </c>
      <c r="T357" s="0" t="str">
        <f aca="false">IF(ISBLANK(A357),"",IF($A357=T$2,$C357,T356))</f>
        <v/>
      </c>
      <c r="U357" s="0" t="str">
        <f aca="false">IF(ISBLANK(A357),"",IF($A357=U$2,$C357,U356))</f>
        <v/>
      </c>
      <c r="V357" s="0" t="str">
        <f aca="false">IF(ISBLANK(A357),"",IF($A357=V$2,$C357,V356))</f>
        <v/>
      </c>
      <c r="W357" s="0" t="str">
        <f aca="false">IF(ISBLANK(A357),"",IF($A357=W$2,$C357,W356))</f>
        <v/>
      </c>
    </row>
    <row r="358" customFormat="false" ht="12.8" hidden="false" customHeight="false" outlineLevel="0" collapsed="false">
      <c r="H358" s="8" t="n">
        <f aca="false">IF(ISBLANK(D358),,LEFT(D358,LEN(D358)-6)*1)</f>
        <v>0</v>
      </c>
      <c r="I358" s="9" t="str">
        <f aca="false">IF(ISBLANK(A358),"",-B358*C358)</f>
        <v/>
      </c>
      <c r="J358" s="9" t="str">
        <f aca="false">IF(ISBLANK(A358),"",-SUM(I$3:I358))</f>
        <v/>
      </c>
      <c r="K358" s="0" t="str">
        <f aca="false">IF(ISBLANK(A358),"",SUMPRODUCT(O358:R358,T358:W358)-J358)</f>
        <v/>
      </c>
      <c r="L358" s="0" t="str">
        <f aca="false">IF(ISBLANK(A358),"",K358/$M$1)</f>
        <v/>
      </c>
      <c r="M358" s="0" t="str">
        <f aca="false">IF(ISBLANK(A358),"",K358/($M$1+SUM(K$3:K357)))</f>
        <v/>
      </c>
      <c r="N358" s="0" t="str">
        <f aca="false">IF(ISBLANK(A358),"",IF(H359=0,NETWORKDAYS($H$3,H358,holiday!$B$2:$B$10),IF(DAY(H358)&lt;DAY(H359),NETWORKDAYS($H$3,H358,holiday!$B$2:$B$10),0)))</f>
        <v/>
      </c>
      <c r="O358" s="0" t="str">
        <f aca="false">IF(ISBLANK(A358),"",SUMIF($A$3:$A358,O$2,$B$3:$B358))</f>
        <v/>
      </c>
      <c r="P358" s="0" t="str">
        <f aca="false">IF(ISBLANK(A358),"",SUMIF($A$3:$A358,P$2,$B$3:$B358))</f>
        <v/>
      </c>
      <c r="Q358" s="0" t="str">
        <f aca="false">IF(ISBLANK(A358),"",SUMIF($A$3:$A358,Q$2,$B$3:$B358))</f>
        <v/>
      </c>
      <c r="R358" s="0" t="str">
        <f aca="false">IF(ISBLANK(A358),"",SUMIF($A$3:$A358,R$2,$B$3:$B358))</f>
        <v/>
      </c>
      <c r="T358" s="0" t="str">
        <f aca="false">IF(ISBLANK(A358),"",IF($A358=T$2,$C358,T357))</f>
        <v/>
      </c>
      <c r="U358" s="0" t="str">
        <f aca="false">IF(ISBLANK(A358),"",IF($A358=U$2,$C358,U357))</f>
        <v/>
      </c>
      <c r="V358" s="0" t="str">
        <f aca="false">IF(ISBLANK(A358),"",IF($A358=V$2,$C358,V357))</f>
        <v/>
      </c>
      <c r="W358" s="0" t="str">
        <f aca="false">IF(ISBLANK(A358),"",IF($A358=W$2,$C358,W357))</f>
        <v/>
      </c>
    </row>
    <row r="359" customFormat="false" ht="12.8" hidden="false" customHeight="false" outlineLevel="0" collapsed="false">
      <c r="H359" s="8" t="n">
        <f aca="false">IF(ISBLANK(D359),,LEFT(D359,LEN(D359)-6)*1)</f>
        <v>0</v>
      </c>
      <c r="I359" s="9" t="str">
        <f aca="false">IF(ISBLANK(A359),"",-B359*C359)</f>
        <v/>
      </c>
      <c r="J359" s="9" t="str">
        <f aca="false">IF(ISBLANK(A359),"",-SUM(I$3:I359))</f>
        <v/>
      </c>
      <c r="K359" s="0" t="str">
        <f aca="false">IF(ISBLANK(A359),"",SUMPRODUCT(O359:R359,T359:W359)-J359)</f>
        <v/>
      </c>
      <c r="L359" s="0" t="str">
        <f aca="false">IF(ISBLANK(A359),"",K359/$M$1)</f>
        <v/>
      </c>
      <c r="M359" s="0" t="str">
        <f aca="false">IF(ISBLANK(A359),"",K359/($M$1+SUM(K$3:K358)))</f>
        <v/>
      </c>
      <c r="N359" s="0" t="str">
        <f aca="false">IF(ISBLANK(A359),"",IF(H360=0,NETWORKDAYS($H$3,H359,holiday!$B$2:$B$10),IF(DAY(H359)&lt;DAY(H360),NETWORKDAYS($H$3,H359,holiday!$B$2:$B$10),0)))</f>
        <v/>
      </c>
      <c r="O359" s="0" t="str">
        <f aca="false">IF(ISBLANK(A359),"",SUMIF($A$3:$A359,O$2,$B$3:$B359))</f>
        <v/>
      </c>
      <c r="P359" s="0" t="str">
        <f aca="false">IF(ISBLANK(A359),"",SUMIF($A$3:$A359,P$2,$B$3:$B359))</f>
        <v/>
      </c>
      <c r="Q359" s="0" t="str">
        <f aca="false">IF(ISBLANK(A359),"",SUMIF($A$3:$A359,Q$2,$B$3:$B359))</f>
        <v/>
      </c>
      <c r="R359" s="0" t="str">
        <f aca="false">IF(ISBLANK(A359),"",SUMIF($A$3:$A359,R$2,$B$3:$B359))</f>
        <v/>
      </c>
      <c r="T359" s="0" t="str">
        <f aca="false">IF(ISBLANK(A359),"",IF($A359=T$2,$C359,T358))</f>
        <v/>
      </c>
      <c r="U359" s="0" t="str">
        <f aca="false">IF(ISBLANK(A359),"",IF($A359=U$2,$C359,U358))</f>
        <v/>
      </c>
      <c r="V359" s="0" t="str">
        <f aca="false">IF(ISBLANK(A359),"",IF($A359=V$2,$C359,V358))</f>
        <v/>
      </c>
      <c r="W359" s="0" t="str">
        <f aca="false">IF(ISBLANK(A359),"",IF($A359=W$2,$C359,W358))</f>
        <v/>
      </c>
    </row>
    <row r="360" customFormat="false" ht="12.8" hidden="false" customHeight="false" outlineLevel="0" collapsed="false">
      <c r="H360" s="8" t="n">
        <f aca="false">IF(ISBLANK(D360),,LEFT(D360,LEN(D360)-6)*1)</f>
        <v>0</v>
      </c>
      <c r="I360" s="9" t="str">
        <f aca="false">IF(ISBLANK(A360),"",-B360*C360)</f>
        <v/>
      </c>
      <c r="J360" s="9" t="str">
        <f aca="false">IF(ISBLANK(A360),"",-SUM(I$3:I360))</f>
        <v/>
      </c>
      <c r="K360" s="0" t="str">
        <f aca="false">IF(ISBLANK(A360),"",SUMPRODUCT(O360:R360,T360:W360)-J360)</f>
        <v/>
      </c>
      <c r="L360" s="0" t="str">
        <f aca="false">IF(ISBLANK(A360),"",K360/$M$1)</f>
        <v/>
      </c>
      <c r="M360" s="0" t="str">
        <f aca="false">IF(ISBLANK(A360),"",K360/($M$1+SUM(K$3:K359)))</f>
        <v/>
      </c>
      <c r="N360" s="0" t="str">
        <f aca="false">IF(ISBLANK(A360),"",IF(H361=0,NETWORKDAYS($H$3,H360,holiday!$B$2:$B$10),IF(DAY(H360)&lt;DAY(H361),NETWORKDAYS($H$3,H360,holiday!$B$2:$B$10),0)))</f>
        <v/>
      </c>
      <c r="O360" s="0" t="str">
        <f aca="false">IF(ISBLANK(A360),"",SUMIF($A$3:$A360,O$2,$B$3:$B360))</f>
        <v/>
      </c>
      <c r="P360" s="0" t="str">
        <f aca="false">IF(ISBLANK(A360),"",SUMIF($A$3:$A360,P$2,$B$3:$B360))</f>
        <v/>
      </c>
      <c r="Q360" s="0" t="str">
        <f aca="false">IF(ISBLANK(A360),"",SUMIF($A$3:$A360,Q$2,$B$3:$B360))</f>
        <v/>
      </c>
      <c r="R360" s="0" t="str">
        <f aca="false">IF(ISBLANK(A360),"",SUMIF($A$3:$A360,R$2,$B$3:$B360))</f>
        <v/>
      </c>
      <c r="T360" s="0" t="str">
        <f aca="false">IF(ISBLANK(A360),"",IF($A360=T$2,$C360,T359))</f>
        <v/>
      </c>
      <c r="U360" s="0" t="str">
        <f aca="false">IF(ISBLANK(A360),"",IF($A360=U$2,$C360,U359))</f>
        <v/>
      </c>
      <c r="V360" s="0" t="str">
        <f aca="false">IF(ISBLANK(A360),"",IF($A360=V$2,$C360,V359))</f>
        <v/>
      </c>
      <c r="W360" s="0" t="str">
        <f aca="false">IF(ISBLANK(A360),"",IF($A360=W$2,$C360,W359))</f>
        <v/>
      </c>
    </row>
    <row r="361" customFormat="false" ht="12.8" hidden="false" customHeight="false" outlineLevel="0" collapsed="false">
      <c r="H361" s="8" t="n">
        <f aca="false">IF(ISBLANK(D361),,LEFT(D361,LEN(D361)-6)*1)</f>
        <v>0</v>
      </c>
      <c r="I361" s="9" t="str">
        <f aca="false">IF(ISBLANK(A361),"",-B361*C361)</f>
        <v/>
      </c>
      <c r="J361" s="9" t="str">
        <f aca="false">IF(ISBLANK(A361),"",-SUM(I$3:I361))</f>
        <v/>
      </c>
      <c r="K361" s="0" t="str">
        <f aca="false">IF(ISBLANK(A361),"",SUMPRODUCT(O361:R361,T361:W361)-J361)</f>
        <v/>
      </c>
      <c r="L361" s="0" t="str">
        <f aca="false">IF(ISBLANK(A361),"",K361/$M$1)</f>
        <v/>
      </c>
      <c r="M361" s="0" t="str">
        <f aca="false">IF(ISBLANK(A361),"",K361/($M$1+SUM(K$3:K360)))</f>
        <v/>
      </c>
      <c r="N361" s="0" t="str">
        <f aca="false">IF(ISBLANK(A361),"",IF(H362=0,NETWORKDAYS($H$3,H361,holiday!$B$2:$B$10),IF(DAY(H361)&lt;DAY(H362),NETWORKDAYS($H$3,H361,holiday!$B$2:$B$10),0)))</f>
        <v/>
      </c>
      <c r="O361" s="0" t="str">
        <f aca="false">IF(ISBLANK(A361),"",SUMIF($A$3:$A361,O$2,$B$3:$B361))</f>
        <v/>
      </c>
      <c r="P361" s="0" t="str">
        <f aca="false">IF(ISBLANK(A361),"",SUMIF($A$3:$A361,P$2,$B$3:$B361))</f>
        <v/>
      </c>
      <c r="Q361" s="0" t="str">
        <f aca="false">IF(ISBLANK(A361),"",SUMIF($A$3:$A361,Q$2,$B$3:$B361))</f>
        <v/>
      </c>
      <c r="R361" s="0" t="str">
        <f aca="false">IF(ISBLANK(A361),"",SUMIF($A$3:$A361,R$2,$B$3:$B361))</f>
        <v/>
      </c>
      <c r="T361" s="0" t="str">
        <f aca="false">IF(ISBLANK(A361),"",IF($A361=T$2,$C361,T360))</f>
        <v/>
      </c>
      <c r="U361" s="0" t="str">
        <f aca="false">IF(ISBLANK(A361),"",IF($A361=U$2,$C361,U360))</f>
        <v/>
      </c>
      <c r="V361" s="0" t="str">
        <f aca="false">IF(ISBLANK(A361),"",IF($A361=V$2,$C361,V360))</f>
        <v/>
      </c>
      <c r="W361" s="0" t="str">
        <f aca="false">IF(ISBLANK(A361),"",IF($A361=W$2,$C361,W360))</f>
        <v/>
      </c>
    </row>
    <row r="362" customFormat="false" ht="12.8" hidden="false" customHeight="false" outlineLevel="0" collapsed="false">
      <c r="H362" s="8" t="n">
        <f aca="false">IF(ISBLANK(D362),,LEFT(D362,LEN(D362)-6)*1)</f>
        <v>0</v>
      </c>
      <c r="I362" s="9" t="str">
        <f aca="false">IF(ISBLANK(A362),"",-B362*C362)</f>
        <v/>
      </c>
      <c r="J362" s="9" t="str">
        <f aca="false">IF(ISBLANK(A362),"",-SUM(I$3:I362))</f>
        <v/>
      </c>
      <c r="K362" s="0" t="str">
        <f aca="false">IF(ISBLANK(A362),"",SUMPRODUCT(O362:R362,T362:W362)-J362)</f>
        <v/>
      </c>
      <c r="L362" s="0" t="str">
        <f aca="false">IF(ISBLANK(A362),"",K362/$M$1)</f>
        <v/>
      </c>
      <c r="M362" s="0" t="str">
        <f aca="false">IF(ISBLANK(A362),"",K362/($M$1+SUM(K$3:K361)))</f>
        <v/>
      </c>
      <c r="N362" s="0" t="str">
        <f aca="false">IF(ISBLANK(A362),"",IF(H363=0,NETWORKDAYS($H$3,H362,holiday!$B$2:$B$10),IF(DAY(H362)&lt;DAY(H363),NETWORKDAYS($H$3,H362,holiday!$B$2:$B$10),0)))</f>
        <v/>
      </c>
      <c r="O362" s="0" t="str">
        <f aca="false">IF(ISBLANK(A362),"",SUMIF($A$3:$A362,O$2,$B$3:$B362))</f>
        <v/>
      </c>
      <c r="P362" s="0" t="str">
        <f aca="false">IF(ISBLANK(A362),"",SUMIF($A$3:$A362,P$2,$B$3:$B362))</f>
        <v/>
      </c>
      <c r="Q362" s="0" t="str">
        <f aca="false">IF(ISBLANK(A362),"",SUMIF($A$3:$A362,Q$2,$B$3:$B362))</f>
        <v/>
      </c>
      <c r="R362" s="0" t="str">
        <f aca="false">IF(ISBLANK(A362),"",SUMIF($A$3:$A362,R$2,$B$3:$B362))</f>
        <v/>
      </c>
      <c r="T362" s="0" t="str">
        <f aca="false">IF(ISBLANK(A362),"",IF($A362=T$2,$C362,T361))</f>
        <v/>
      </c>
      <c r="U362" s="0" t="str">
        <f aca="false">IF(ISBLANK(A362),"",IF($A362=U$2,$C362,U361))</f>
        <v/>
      </c>
      <c r="V362" s="0" t="str">
        <f aca="false">IF(ISBLANK(A362),"",IF($A362=V$2,$C362,V361))</f>
        <v/>
      </c>
      <c r="W362" s="0" t="str">
        <f aca="false">IF(ISBLANK(A362),"",IF($A362=W$2,$C362,W361))</f>
        <v/>
      </c>
    </row>
    <row r="363" customFormat="false" ht="12.8" hidden="false" customHeight="false" outlineLevel="0" collapsed="false">
      <c r="H363" s="8" t="n">
        <f aca="false">IF(ISBLANK(D363),,LEFT(D363,LEN(D363)-6)*1)</f>
        <v>0</v>
      </c>
      <c r="I363" s="9" t="str">
        <f aca="false">IF(ISBLANK(A363),"",-B363*C363)</f>
        <v/>
      </c>
      <c r="J363" s="9" t="str">
        <f aca="false">IF(ISBLANK(A363),"",-SUM(I$3:I363))</f>
        <v/>
      </c>
      <c r="K363" s="0" t="str">
        <f aca="false">IF(ISBLANK(A363),"",SUMPRODUCT(O363:R363,T363:W363)-J363)</f>
        <v/>
      </c>
      <c r="L363" s="0" t="str">
        <f aca="false">IF(ISBLANK(A363),"",K363/$M$1)</f>
        <v/>
      </c>
      <c r="M363" s="0" t="str">
        <f aca="false">IF(ISBLANK(A363),"",K363/($M$1+SUM(K$3:K362)))</f>
        <v/>
      </c>
      <c r="N363" s="0" t="str">
        <f aca="false">IF(ISBLANK(A363),"",IF(H364=0,NETWORKDAYS($H$3,H363,holiday!$B$2:$B$10),IF(DAY(H363)&lt;DAY(H364),NETWORKDAYS($H$3,H363,holiday!$B$2:$B$10),0)))</f>
        <v/>
      </c>
      <c r="O363" s="0" t="str">
        <f aca="false">IF(ISBLANK(A363),"",SUMIF($A$3:$A363,O$2,$B$3:$B363))</f>
        <v/>
      </c>
      <c r="P363" s="0" t="str">
        <f aca="false">IF(ISBLANK(A363),"",SUMIF($A$3:$A363,P$2,$B$3:$B363))</f>
        <v/>
      </c>
      <c r="Q363" s="0" t="str">
        <f aca="false">IF(ISBLANK(A363),"",SUMIF($A$3:$A363,Q$2,$B$3:$B363))</f>
        <v/>
      </c>
      <c r="R363" s="0" t="str">
        <f aca="false">IF(ISBLANK(A363),"",SUMIF($A$3:$A363,R$2,$B$3:$B363))</f>
        <v/>
      </c>
      <c r="T363" s="0" t="str">
        <f aca="false">IF(ISBLANK(A363),"",IF($A363=T$2,$C363,T362))</f>
        <v/>
      </c>
      <c r="U363" s="0" t="str">
        <f aca="false">IF(ISBLANK(A363),"",IF($A363=U$2,$C363,U362))</f>
        <v/>
      </c>
      <c r="V363" s="0" t="str">
        <f aca="false">IF(ISBLANK(A363),"",IF($A363=V$2,$C363,V362))</f>
        <v/>
      </c>
      <c r="W363" s="0" t="str">
        <f aca="false">IF(ISBLANK(A363),"",IF($A363=W$2,$C363,W362))</f>
        <v/>
      </c>
    </row>
    <row r="364" customFormat="false" ht="12.8" hidden="false" customHeight="false" outlineLevel="0" collapsed="false">
      <c r="H364" s="8" t="n">
        <f aca="false">IF(ISBLANK(D364),,LEFT(D364,LEN(D364)-6)*1)</f>
        <v>0</v>
      </c>
      <c r="I364" s="9" t="str">
        <f aca="false">IF(ISBLANK(A364),"",-B364*C364)</f>
        <v/>
      </c>
      <c r="J364" s="9" t="str">
        <f aca="false">IF(ISBLANK(A364),"",-SUM(I$3:I364))</f>
        <v/>
      </c>
      <c r="K364" s="0" t="str">
        <f aca="false">IF(ISBLANK(A364),"",SUMPRODUCT(O364:R364,T364:W364)-J364)</f>
        <v/>
      </c>
      <c r="L364" s="0" t="str">
        <f aca="false">IF(ISBLANK(A364),"",K364/$M$1)</f>
        <v/>
      </c>
      <c r="M364" s="0" t="str">
        <f aca="false">IF(ISBLANK(A364),"",K364/($M$1+SUM(K$3:K363)))</f>
        <v/>
      </c>
      <c r="N364" s="0" t="str">
        <f aca="false">IF(ISBLANK(A364),"",IF(H365=0,NETWORKDAYS($H$3,H364,holiday!$B$2:$B$10),IF(DAY(H364)&lt;DAY(H365),NETWORKDAYS($H$3,H364,holiday!$B$2:$B$10),0)))</f>
        <v/>
      </c>
      <c r="O364" s="0" t="str">
        <f aca="false">IF(ISBLANK(A364),"",SUMIF($A$3:$A364,O$2,$B$3:$B364))</f>
        <v/>
      </c>
      <c r="P364" s="0" t="str">
        <f aca="false">IF(ISBLANK(A364),"",SUMIF($A$3:$A364,P$2,$B$3:$B364))</f>
        <v/>
      </c>
      <c r="Q364" s="0" t="str">
        <f aca="false">IF(ISBLANK(A364),"",SUMIF($A$3:$A364,Q$2,$B$3:$B364))</f>
        <v/>
      </c>
      <c r="R364" s="0" t="str">
        <f aca="false">IF(ISBLANK(A364),"",SUMIF($A$3:$A364,R$2,$B$3:$B364))</f>
        <v/>
      </c>
      <c r="T364" s="0" t="str">
        <f aca="false">IF(ISBLANK(A364),"",IF($A364=T$2,$C364,T363))</f>
        <v/>
      </c>
      <c r="U364" s="0" t="str">
        <f aca="false">IF(ISBLANK(A364),"",IF($A364=U$2,$C364,U363))</f>
        <v/>
      </c>
      <c r="V364" s="0" t="str">
        <f aca="false">IF(ISBLANK(A364),"",IF($A364=V$2,$C364,V363))</f>
        <v/>
      </c>
      <c r="W364" s="0" t="str">
        <f aca="false">IF(ISBLANK(A364),"",IF($A364=W$2,$C364,W363))</f>
        <v/>
      </c>
    </row>
    <row r="365" customFormat="false" ht="12.8" hidden="false" customHeight="false" outlineLevel="0" collapsed="false">
      <c r="H365" s="8" t="n">
        <f aca="false">IF(ISBLANK(D365),,LEFT(D365,LEN(D365)-6)*1)</f>
        <v>0</v>
      </c>
      <c r="I365" s="9" t="str">
        <f aca="false">IF(ISBLANK(A365),"",-B365*C365)</f>
        <v/>
      </c>
      <c r="J365" s="9" t="str">
        <f aca="false">IF(ISBLANK(A365),"",-SUM(I$3:I365))</f>
        <v/>
      </c>
      <c r="K365" s="0" t="str">
        <f aca="false">IF(ISBLANK(A365),"",SUMPRODUCT(O365:R365,T365:W365)-J365)</f>
        <v/>
      </c>
      <c r="L365" s="0" t="str">
        <f aca="false">IF(ISBLANK(A365),"",K365/$M$1)</f>
        <v/>
      </c>
      <c r="M365" s="0" t="str">
        <f aca="false">IF(ISBLANK(A365),"",K365/($M$1+SUM(K$3:K364)))</f>
        <v/>
      </c>
      <c r="N365" s="0" t="str">
        <f aca="false">IF(ISBLANK(A365),"",IF(H366=0,NETWORKDAYS($H$3,H365,holiday!$B$2:$B$10),IF(DAY(H365)&lt;DAY(H366),NETWORKDAYS($H$3,H365,holiday!$B$2:$B$10),0)))</f>
        <v/>
      </c>
      <c r="O365" s="0" t="str">
        <f aca="false">IF(ISBLANK(A365),"",SUMIF($A$3:$A365,O$2,$B$3:$B365))</f>
        <v/>
      </c>
      <c r="P365" s="0" t="str">
        <f aca="false">IF(ISBLANK(A365),"",SUMIF($A$3:$A365,P$2,$B$3:$B365))</f>
        <v/>
      </c>
      <c r="Q365" s="0" t="str">
        <f aca="false">IF(ISBLANK(A365),"",SUMIF($A$3:$A365,Q$2,$B$3:$B365))</f>
        <v/>
      </c>
      <c r="R365" s="0" t="str">
        <f aca="false">IF(ISBLANK(A365),"",SUMIF($A$3:$A365,R$2,$B$3:$B365))</f>
        <v/>
      </c>
      <c r="T365" s="0" t="str">
        <f aca="false">IF(ISBLANK(A365),"",IF($A365=T$2,$C365,T364))</f>
        <v/>
      </c>
      <c r="U365" s="0" t="str">
        <f aca="false">IF(ISBLANK(A365),"",IF($A365=U$2,$C365,U364))</f>
        <v/>
      </c>
      <c r="V365" s="0" t="str">
        <f aca="false">IF(ISBLANK(A365),"",IF($A365=V$2,$C365,V364))</f>
        <v/>
      </c>
      <c r="W365" s="0" t="str">
        <f aca="false">IF(ISBLANK(A365),"",IF($A365=W$2,$C365,W364))</f>
        <v/>
      </c>
    </row>
    <row r="366" customFormat="false" ht="12.8" hidden="false" customHeight="false" outlineLevel="0" collapsed="false">
      <c r="H366" s="8" t="n">
        <f aca="false">IF(ISBLANK(D366),,LEFT(D366,LEN(D366)-6)*1)</f>
        <v>0</v>
      </c>
      <c r="I366" s="9" t="str">
        <f aca="false">IF(ISBLANK(A366),"",-B366*C366)</f>
        <v/>
      </c>
      <c r="J366" s="9" t="str">
        <f aca="false">IF(ISBLANK(A366),"",-SUM(I$3:I366))</f>
        <v/>
      </c>
      <c r="K366" s="0" t="str">
        <f aca="false">IF(ISBLANK(A366),"",SUMPRODUCT(O366:R366,T366:W366)-J366)</f>
        <v/>
      </c>
      <c r="L366" s="0" t="str">
        <f aca="false">IF(ISBLANK(A366),"",K366/$M$1)</f>
        <v/>
      </c>
      <c r="M366" s="0" t="str">
        <f aca="false">IF(ISBLANK(A366),"",K366/($M$1+SUM(K$3:K365)))</f>
        <v/>
      </c>
      <c r="N366" s="0" t="str">
        <f aca="false">IF(ISBLANK(A366),"",IF(H367=0,NETWORKDAYS($H$3,H366,holiday!$B$2:$B$10),IF(DAY(H366)&lt;DAY(H367),NETWORKDAYS($H$3,H366,holiday!$B$2:$B$10),0)))</f>
        <v/>
      </c>
      <c r="O366" s="0" t="str">
        <f aca="false">IF(ISBLANK(A366),"",SUMIF($A$3:$A366,O$2,$B$3:$B366))</f>
        <v/>
      </c>
      <c r="P366" s="0" t="str">
        <f aca="false">IF(ISBLANK(A366),"",SUMIF($A$3:$A366,P$2,$B$3:$B366))</f>
        <v/>
      </c>
      <c r="Q366" s="0" t="str">
        <f aca="false">IF(ISBLANK(A366),"",SUMIF($A$3:$A366,Q$2,$B$3:$B366))</f>
        <v/>
      </c>
      <c r="R366" s="0" t="str">
        <f aca="false">IF(ISBLANK(A366),"",SUMIF($A$3:$A366,R$2,$B$3:$B366))</f>
        <v/>
      </c>
      <c r="T366" s="0" t="str">
        <f aca="false">IF(ISBLANK(A366),"",IF($A366=T$2,$C366,T365))</f>
        <v/>
      </c>
      <c r="U366" s="0" t="str">
        <f aca="false">IF(ISBLANK(A366),"",IF($A366=U$2,$C366,U365))</f>
        <v/>
      </c>
      <c r="V366" s="0" t="str">
        <f aca="false">IF(ISBLANK(A366),"",IF($A366=V$2,$C366,V365))</f>
        <v/>
      </c>
      <c r="W366" s="0" t="str">
        <f aca="false">IF(ISBLANK(A366),"",IF($A366=W$2,$C366,W365))</f>
        <v/>
      </c>
    </row>
    <row r="367" customFormat="false" ht="12.8" hidden="false" customHeight="false" outlineLevel="0" collapsed="false">
      <c r="H367" s="8" t="n">
        <f aca="false">IF(ISBLANK(D367),,LEFT(D367,LEN(D367)-6)*1)</f>
        <v>0</v>
      </c>
      <c r="I367" s="9" t="str">
        <f aca="false">IF(ISBLANK(A367),"",-B367*C367)</f>
        <v/>
      </c>
      <c r="J367" s="9" t="str">
        <f aca="false">IF(ISBLANK(A367),"",-SUM(I$3:I367))</f>
        <v/>
      </c>
      <c r="K367" s="0" t="str">
        <f aca="false">IF(ISBLANK(A367),"",SUMPRODUCT(O367:R367,T367:W367)-J367)</f>
        <v/>
      </c>
      <c r="L367" s="0" t="str">
        <f aca="false">IF(ISBLANK(A367),"",K367/$M$1)</f>
        <v/>
      </c>
      <c r="M367" s="0" t="str">
        <f aca="false">IF(ISBLANK(A367),"",K367/($M$1+SUM(K$3:K366)))</f>
        <v/>
      </c>
      <c r="N367" s="0" t="str">
        <f aca="false">IF(ISBLANK(A367),"",IF(H368=0,NETWORKDAYS($H$3,H367,holiday!$B$2:$B$10),IF(DAY(H367)&lt;DAY(H368),NETWORKDAYS($H$3,H367,holiday!$B$2:$B$10),0)))</f>
        <v/>
      </c>
      <c r="O367" s="0" t="str">
        <f aca="false">IF(ISBLANK(A367),"",SUMIF($A$3:$A367,O$2,$B$3:$B367))</f>
        <v/>
      </c>
      <c r="P367" s="0" t="str">
        <f aca="false">IF(ISBLANK(A367),"",SUMIF($A$3:$A367,P$2,$B$3:$B367))</f>
        <v/>
      </c>
      <c r="Q367" s="0" t="str">
        <f aca="false">IF(ISBLANK(A367),"",SUMIF($A$3:$A367,Q$2,$B$3:$B367))</f>
        <v/>
      </c>
      <c r="R367" s="0" t="str">
        <f aca="false">IF(ISBLANK(A367),"",SUMIF($A$3:$A367,R$2,$B$3:$B367))</f>
        <v/>
      </c>
      <c r="T367" s="0" t="str">
        <f aca="false">IF(ISBLANK(A367),"",IF($A367=T$2,$C367,T366))</f>
        <v/>
      </c>
      <c r="U367" s="0" t="str">
        <f aca="false">IF(ISBLANK(A367),"",IF($A367=U$2,$C367,U366))</f>
        <v/>
      </c>
      <c r="V367" s="0" t="str">
        <f aca="false">IF(ISBLANK(A367),"",IF($A367=V$2,$C367,V366))</f>
        <v/>
      </c>
      <c r="W367" s="0" t="str">
        <f aca="false">IF(ISBLANK(A367),"",IF($A367=W$2,$C367,W366))</f>
        <v/>
      </c>
    </row>
    <row r="368" customFormat="false" ht="12.8" hidden="false" customHeight="false" outlineLevel="0" collapsed="false">
      <c r="H368" s="8" t="n">
        <f aca="false">IF(ISBLANK(D368),,LEFT(D368,LEN(D368)-6)*1)</f>
        <v>0</v>
      </c>
      <c r="I368" s="9" t="str">
        <f aca="false">IF(ISBLANK(A368),"",-B368*C368)</f>
        <v/>
      </c>
      <c r="J368" s="9" t="str">
        <f aca="false">IF(ISBLANK(A368),"",-SUM(I$3:I368))</f>
        <v/>
      </c>
      <c r="K368" s="0" t="str">
        <f aca="false">IF(ISBLANK(A368),"",SUMPRODUCT(O368:R368,T368:W368)-J368)</f>
        <v/>
      </c>
      <c r="L368" s="0" t="str">
        <f aca="false">IF(ISBLANK(A368),"",K368/$M$1)</f>
        <v/>
      </c>
      <c r="M368" s="0" t="str">
        <f aca="false">IF(ISBLANK(A368),"",K368/($M$1+SUM(K$3:K367)))</f>
        <v/>
      </c>
      <c r="N368" s="0" t="str">
        <f aca="false">IF(ISBLANK(A368),"",IF(H369=0,NETWORKDAYS($H$3,H368,holiday!$B$2:$B$10),IF(DAY(H368)&lt;DAY(H369),NETWORKDAYS($H$3,H368,holiday!$B$2:$B$10),0)))</f>
        <v/>
      </c>
      <c r="O368" s="0" t="str">
        <f aca="false">IF(ISBLANK(A368),"",SUMIF($A$3:$A368,O$2,$B$3:$B368))</f>
        <v/>
      </c>
      <c r="P368" s="0" t="str">
        <f aca="false">IF(ISBLANK(A368),"",SUMIF($A$3:$A368,P$2,$B$3:$B368))</f>
        <v/>
      </c>
      <c r="Q368" s="0" t="str">
        <f aca="false">IF(ISBLANK(A368),"",SUMIF($A$3:$A368,Q$2,$B$3:$B368))</f>
        <v/>
      </c>
      <c r="R368" s="0" t="str">
        <f aca="false">IF(ISBLANK(A368),"",SUMIF($A$3:$A368,R$2,$B$3:$B368))</f>
        <v/>
      </c>
      <c r="T368" s="0" t="str">
        <f aca="false">IF(ISBLANK(A368),"",IF($A368=T$2,$C368,T367))</f>
        <v/>
      </c>
      <c r="U368" s="0" t="str">
        <f aca="false">IF(ISBLANK(A368),"",IF($A368=U$2,$C368,U367))</f>
        <v/>
      </c>
      <c r="V368" s="0" t="str">
        <f aca="false">IF(ISBLANK(A368),"",IF($A368=V$2,$C368,V367))</f>
        <v/>
      </c>
      <c r="W368" s="0" t="str">
        <f aca="false">IF(ISBLANK(A368),"",IF($A368=W$2,$C368,W367))</f>
        <v/>
      </c>
    </row>
    <row r="369" customFormat="false" ht="12.8" hidden="false" customHeight="false" outlineLevel="0" collapsed="false">
      <c r="H369" s="8" t="n">
        <f aca="false">IF(ISBLANK(D369),,LEFT(D369,LEN(D369)-6)*1)</f>
        <v>0</v>
      </c>
      <c r="I369" s="9" t="str">
        <f aca="false">IF(ISBLANK(A369),"",-B369*C369)</f>
        <v/>
      </c>
      <c r="J369" s="9" t="str">
        <f aca="false">IF(ISBLANK(A369),"",-SUM(I$3:I369))</f>
        <v/>
      </c>
      <c r="K369" s="0" t="str">
        <f aca="false">IF(ISBLANK(A369),"",SUMPRODUCT(O369:R369,T369:W369)-J369)</f>
        <v/>
      </c>
      <c r="L369" s="0" t="str">
        <f aca="false">IF(ISBLANK(A369),"",K369/$M$1)</f>
        <v/>
      </c>
      <c r="M369" s="0" t="str">
        <f aca="false">IF(ISBLANK(A369),"",K369/($M$1+SUM(K$3:K368)))</f>
        <v/>
      </c>
      <c r="N369" s="0" t="str">
        <f aca="false">IF(ISBLANK(A369),"",IF(H370=0,NETWORKDAYS($H$3,H369,holiday!$B$2:$B$10),IF(DAY(H369)&lt;DAY(H370),NETWORKDAYS($H$3,H369,holiday!$B$2:$B$10),0)))</f>
        <v/>
      </c>
      <c r="O369" s="0" t="str">
        <f aca="false">IF(ISBLANK(A369),"",SUMIF($A$3:$A369,O$2,$B$3:$B369))</f>
        <v/>
      </c>
      <c r="P369" s="0" t="str">
        <f aca="false">IF(ISBLANK(A369),"",SUMIF($A$3:$A369,P$2,$B$3:$B369))</f>
        <v/>
      </c>
      <c r="Q369" s="0" t="str">
        <f aca="false">IF(ISBLANK(A369),"",SUMIF($A$3:$A369,Q$2,$B$3:$B369))</f>
        <v/>
      </c>
      <c r="R369" s="0" t="str">
        <f aca="false">IF(ISBLANK(A369),"",SUMIF($A$3:$A369,R$2,$B$3:$B369))</f>
        <v/>
      </c>
      <c r="T369" s="0" t="str">
        <f aca="false">IF(ISBLANK(A369),"",IF($A369=T$2,$C369,T368))</f>
        <v/>
      </c>
      <c r="U369" s="0" t="str">
        <f aca="false">IF(ISBLANK(A369),"",IF($A369=U$2,$C369,U368))</f>
        <v/>
      </c>
      <c r="V369" s="0" t="str">
        <f aca="false">IF(ISBLANK(A369),"",IF($A369=V$2,$C369,V368))</f>
        <v/>
      </c>
      <c r="W369" s="0" t="str">
        <f aca="false">IF(ISBLANK(A369),"",IF($A369=W$2,$C369,W368))</f>
        <v/>
      </c>
    </row>
    <row r="370" customFormat="false" ht="12.8" hidden="false" customHeight="false" outlineLevel="0" collapsed="false">
      <c r="H370" s="8" t="n">
        <f aca="false">IF(ISBLANK(D370),,LEFT(D370,LEN(D370)-6)*1)</f>
        <v>0</v>
      </c>
      <c r="I370" s="9" t="str">
        <f aca="false">IF(ISBLANK(A370),"",-B370*C370)</f>
        <v/>
      </c>
      <c r="J370" s="9" t="str">
        <f aca="false">IF(ISBLANK(A370),"",-SUM(I$3:I370))</f>
        <v/>
      </c>
      <c r="K370" s="0" t="str">
        <f aca="false">IF(ISBLANK(A370),"",SUMPRODUCT(O370:R370,T370:W370)-J370)</f>
        <v/>
      </c>
      <c r="L370" s="0" t="str">
        <f aca="false">IF(ISBLANK(A370),"",K370/$M$1)</f>
        <v/>
      </c>
      <c r="M370" s="0" t="str">
        <f aca="false">IF(ISBLANK(A370),"",K370/($M$1+SUM(K$3:K369)))</f>
        <v/>
      </c>
      <c r="N370" s="0" t="str">
        <f aca="false">IF(ISBLANK(A370),"",IF(H371=0,NETWORKDAYS($H$3,H370,holiday!$B$2:$B$10),IF(DAY(H370)&lt;DAY(H371),NETWORKDAYS($H$3,H370,holiday!$B$2:$B$10),0)))</f>
        <v/>
      </c>
      <c r="O370" s="0" t="str">
        <f aca="false">IF(ISBLANK(A370),"",SUMIF($A$3:$A370,O$2,$B$3:$B370))</f>
        <v/>
      </c>
      <c r="P370" s="0" t="str">
        <f aca="false">IF(ISBLANK(A370),"",SUMIF($A$3:$A370,P$2,$B$3:$B370))</f>
        <v/>
      </c>
      <c r="Q370" s="0" t="str">
        <f aca="false">IF(ISBLANK(A370),"",SUMIF($A$3:$A370,Q$2,$B$3:$B370))</f>
        <v/>
      </c>
      <c r="R370" s="0" t="str">
        <f aca="false">IF(ISBLANK(A370),"",SUMIF($A$3:$A370,R$2,$B$3:$B370))</f>
        <v/>
      </c>
      <c r="T370" s="0" t="str">
        <f aca="false">IF(ISBLANK(A370),"",IF($A370=T$2,$C370,T369))</f>
        <v/>
      </c>
      <c r="U370" s="0" t="str">
        <f aca="false">IF(ISBLANK(A370),"",IF($A370=U$2,$C370,U369))</f>
        <v/>
      </c>
      <c r="V370" s="0" t="str">
        <f aca="false">IF(ISBLANK(A370),"",IF($A370=V$2,$C370,V369))</f>
        <v/>
      </c>
      <c r="W370" s="0" t="str">
        <f aca="false">IF(ISBLANK(A370),"",IF($A370=W$2,$C370,W369))</f>
        <v/>
      </c>
    </row>
    <row r="371" customFormat="false" ht="12.8" hidden="false" customHeight="false" outlineLevel="0" collapsed="false">
      <c r="H371" s="8" t="n">
        <f aca="false">IF(ISBLANK(D371),,LEFT(D371,LEN(D371)-6)*1)</f>
        <v>0</v>
      </c>
      <c r="I371" s="9" t="str">
        <f aca="false">IF(ISBLANK(A371),"",-B371*C371)</f>
        <v/>
      </c>
      <c r="J371" s="9" t="str">
        <f aca="false">IF(ISBLANK(A371),"",-SUM(I$3:I371))</f>
        <v/>
      </c>
      <c r="K371" s="0" t="str">
        <f aca="false">IF(ISBLANK(A371),"",SUMPRODUCT(O371:R371,T371:W371)-J371)</f>
        <v/>
      </c>
      <c r="L371" s="0" t="str">
        <f aca="false">IF(ISBLANK(A371),"",K371/$M$1)</f>
        <v/>
      </c>
      <c r="M371" s="0" t="str">
        <f aca="false">IF(ISBLANK(A371),"",K371/($M$1+SUM(K$3:K370)))</f>
        <v/>
      </c>
      <c r="N371" s="0" t="str">
        <f aca="false">IF(ISBLANK(A371),"",IF(H372=0,NETWORKDAYS($H$3,H371,holiday!$B$2:$B$10),IF(DAY(H371)&lt;DAY(H372),NETWORKDAYS($H$3,H371,holiday!$B$2:$B$10),0)))</f>
        <v/>
      </c>
      <c r="O371" s="0" t="str">
        <f aca="false">IF(ISBLANK(A371),"",SUMIF($A$3:$A371,O$2,$B$3:$B371))</f>
        <v/>
      </c>
      <c r="P371" s="0" t="str">
        <f aca="false">IF(ISBLANK(A371),"",SUMIF($A$3:$A371,P$2,$B$3:$B371))</f>
        <v/>
      </c>
      <c r="Q371" s="0" t="str">
        <f aca="false">IF(ISBLANK(A371),"",SUMIF($A$3:$A371,Q$2,$B$3:$B371))</f>
        <v/>
      </c>
      <c r="R371" s="0" t="str">
        <f aca="false">IF(ISBLANK(A371),"",SUMIF($A$3:$A371,R$2,$B$3:$B371))</f>
        <v/>
      </c>
      <c r="T371" s="0" t="str">
        <f aca="false">IF(ISBLANK(A371),"",IF($A371=T$2,$C371,T370))</f>
        <v/>
      </c>
      <c r="U371" s="0" t="str">
        <f aca="false">IF(ISBLANK(A371),"",IF($A371=U$2,$C371,U370))</f>
        <v/>
      </c>
      <c r="V371" s="0" t="str">
        <f aca="false">IF(ISBLANK(A371),"",IF($A371=V$2,$C371,V370))</f>
        <v/>
      </c>
      <c r="W371" s="0" t="str">
        <f aca="false">IF(ISBLANK(A371),"",IF($A371=W$2,$C371,W370))</f>
        <v/>
      </c>
    </row>
    <row r="372" customFormat="false" ht="12.8" hidden="false" customHeight="false" outlineLevel="0" collapsed="false">
      <c r="H372" s="8" t="n">
        <f aca="false">IF(ISBLANK(D372),,LEFT(D372,LEN(D372)-6)*1)</f>
        <v>0</v>
      </c>
      <c r="I372" s="9" t="str">
        <f aca="false">IF(ISBLANK(A372),"",-B372*C372)</f>
        <v/>
      </c>
      <c r="J372" s="9" t="str">
        <f aca="false">IF(ISBLANK(A372),"",-SUM(I$3:I372))</f>
        <v/>
      </c>
      <c r="K372" s="0" t="str">
        <f aca="false">IF(ISBLANK(A372),"",SUMPRODUCT(O372:R372,T372:W372)-J372)</f>
        <v/>
      </c>
      <c r="L372" s="0" t="str">
        <f aca="false">IF(ISBLANK(A372),"",K372/$M$1)</f>
        <v/>
      </c>
      <c r="M372" s="0" t="str">
        <f aca="false">IF(ISBLANK(A372),"",K372/($M$1+SUM(K$3:K371)))</f>
        <v/>
      </c>
      <c r="N372" s="0" t="str">
        <f aca="false">IF(ISBLANK(A372),"",IF(H373=0,NETWORKDAYS($H$3,H372,holiday!$B$2:$B$10),IF(DAY(H372)&lt;DAY(H373),NETWORKDAYS($H$3,H372,holiday!$B$2:$B$10),0)))</f>
        <v/>
      </c>
      <c r="O372" s="0" t="str">
        <f aca="false">IF(ISBLANK(A372),"",SUMIF($A$3:$A372,O$2,$B$3:$B372))</f>
        <v/>
      </c>
      <c r="P372" s="0" t="str">
        <f aca="false">IF(ISBLANK(A372),"",SUMIF($A$3:$A372,P$2,$B$3:$B372))</f>
        <v/>
      </c>
      <c r="Q372" s="0" t="str">
        <f aca="false">IF(ISBLANK(A372),"",SUMIF($A$3:$A372,Q$2,$B$3:$B372))</f>
        <v/>
      </c>
      <c r="R372" s="0" t="str">
        <f aca="false">IF(ISBLANK(A372),"",SUMIF($A$3:$A372,R$2,$B$3:$B372))</f>
        <v/>
      </c>
      <c r="T372" s="0" t="str">
        <f aca="false">IF(ISBLANK(A372),"",IF($A372=T$2,$C372,T371))</f>
        <v/>
      </c>
      <c r="U372" s="0" t="str">
        <f aca="false">IF(ISBLANK(A372),"",IF($A372=U$2,$C372,U371))</f>
        <v/>
      </c>
      <c r="V372" s="0" t="str">
        <f aca="false">IF(ISBLANK(A372),"",IF($A372=V$2,$C372,V371))</f>
        <v/>
      </c>
      <c r="W372" s="0" t="str">
        <f aca="false">IF(ISBLANK(A372),"",IF($A372=W$2,$C372,W371))</f>
        <v/>
      </c>
    </row>
    <row r="373" customFormat="false" ht="12.8" hidden="false" customHeight="false" outlineLevel="0" collapsed="false">
      <c r="H373" s="8" t="n">
        <f aca="false">IF(ISBLANK(D373),,LEFT(D373,LEN(D373)-6)*1)</f>
        <v>0</v>
      </c>
      <c r="I373" s="9" t="str">
        <f aca="false">IF(ISBLANK(A373),"",-B373*C373)</f>
        <v/>
      </c>
      <c r="J373" s="9" t="str">
        <f aca="false">IF(ISBLANK(A373),"",-SUM(I$3:I373))</f>
        <v/>
      </c>
      <c r="K373" s="0" t="str">
        <f aca="false">IF(ISBLANK(A373),"",SUMPRODUCT(O373:R373,T373:W373)-J373)</f>
        <v/>
      </c>
      <c r="L373" s="0" t="str">
        <f aca="false">IF(ISBLANK(A373),"",K373/$M$1)</f>
        <v/>
      </c>
      <c r="M373" s="0" t="str">
        <f aca="false">IF(ISBLANK(A373),"",K373/($M$1+SUM(K$3:K372)))</f>
        <v/>
      </c>
      <c r="N373" s="0" t="str">
        <f aca="false">IF(ISBLANK(A373),"",IF(H374=0,NETWORKDAYS($H$3,H373,holiday!$B$2:$B$10),IF(DAY(H373)&lt;DAY(H374),NETWORKDAYS($H$3,H373,holiday!$B$2:$B$10),0)))</f>
        <v/>
      </c>
      <c r="O373" s="0" t="str">
        <f aca="false">IF(ISBLANK(A373),"",SUMIF($A$3:$A373,O$2,$B$3:$B373))</f>
        <v/>
      </c>
      <c r="P373" s="0" t="str">
        <f aca="false">IF(ISBLANK(A373),"",SUMIF($A$3:$A373,P$2,$B$3:$B373))</f>
        <v/>
      </c>
      <c r="Q373" s="0" t="str">
        <f aca="false">IF(ISBLANK(A373),"",SUMIF($A$3:$A373,Q$2,$B$3:$B373))</f>
        <v/>
      </c>
      <c r="R373" s="0" t="str">
        <f aca="false">IF(ISBLANK(A373),"",SUMIF($A$3:$A373,R$2,$B$3:$B373))</f>
        <v/>
      </c>
      <c r="T373" s="0" t="str">
        <f aca="false">IF(ISBLANK(A373),"",IF($A373=T$2,$C373,T372))</f>
        <v/>
      </c>
      <c r="U373" s="0" t="str">
        <f aca="false">IF(ISBLANK(A373),"",IF($A373=U$2,$C373,U372))</f>
        <v/>
      </c>
      <c r="V373" s="0" t="str">
        <f aca="false">IF(ISBLANK(A373),"",IF($A373=V$2,$C373,V372))</f>
        <v/>
      </c>
      <c r="W373" s="0" t="str">
        <f aca="false">IF(ISBLANK(A373),"",IF($A373=W$2,$C373,W372))</f>
        <v/>
      </c>
    </row>
    <row r="374" customFormat="false" ht="12.8" hidden="false" customHeight="false" outlineLevel="0" collapsed="false">
      <c r="H374" s="8" t="n">
        <f aca="false">IF(ISBLANK(D374),,LEFT(D374,LEN(D374)-6)*1)</f>
        <v>0</v>
      </c>
      <c r="I374" s="9" t="str">
        <f aca="false">IF(ISBLANK(A374),"",-B374*C374)</f>
        <v/>
      </c>
      <c r="J374" s="9" t="str">
        <f aca="false">IF(ISBLANK(A374),"",-SUM(I$3:I374))</f>
        <v/>
      </c>
      <c r="K374" s="0" t="str">
        <f aca="false">IF(ISBLANK(A374),"",SUMPRODUCT(O374:R374,T374:W374)-J374)</f>
        <v/>
      </c>
      <c r="L374" s="0" t="str">
        <f aca="false">IF(ISBLANK(A374),"",K374/$M$1)</f>
        <v/>
      </c>
      <c r="M374" s="0" t="str">
        <f aca="false">IF(ISBLANK(A374),"",K374/($M$1+SUM(K$3:K373)))</f>
        <v/>
      </c>
      <c r="N374" s="0" t="str">
        <f aca="false">IF(ISBLANK(A374),"",IF(H375=0,NETWORKDAYS($H$3,H374,holiday!$B$2:$B$10),IF(DAY(H374)&lt;DAY(H375),NETWORKDAYS($H$3,H374,holiday!$B$2:$B$10),0)))</f>
        <v/>
      </c>
      <c r="O374" s="0" t="str">
        <f aca="false">IF(ISBLANK(A374),"",SUMIF($A$3:$A374,O$2,$B$3:$B374))</f>
        <v/>
      </c>
      <c r="P374" s="0" t="str">
        <f aca="false">IF(ISBLANK(A374),"",SUMIF($A$3:$A374,P$2,$B$3:$B374))</f>
        <v/>
      </c>
      <c r="Q374" s="0" t="str">
        <f aca="false">IF(ISBLANK(A374),"",SUMIF($A$3:$A374,Q$2,$B$3:$B374))</f>
        <v/>
      </c>
      <c r="R374" s="0" t="str">
        <f aca="false">IF(ISBLANK(A374),"",SUMIF($A$3:$A374,R$2,$B$3:$B374))</f>
        <v/>
      </c>
      <c r="T374" s="0" t="str">
        <f aca="false">IF(ISBLANK(A374),"",IF($A374=T$2,$C374,T373))</f>
        <v/>
      </c>
      <c r="U374" s="0" t="str">
        <f aca="false">IF(ISBLANK(A374),"",IF($A374=U$2,$C374,U373))</f>
        <v/>
      </c>
      <c r="V374" s="0" t="str">
        <f aca="false">IF(ISBLANK(A374),"",IF($A374=V$2,$C374,V373))</f>
        <v/>
      </c>
      <c r="W374" s="0" t="str">
        <f aca="false">IF(ISBLANK(A374),"",IF($A374=W$2,$C374,W373))</f>
        <v/>
      </c>
    </row>
    <row r="375" customFormat="false" ht="12.8" hidden="false" customHeight="false" outlineLevel="0" collapsed="false">
      <c r="H375" s="8" t="n">
        <f aca="false">IF(ISBLANK(D375),,LEFT(D375,LEN(D375)-6)*1)</f>
        <v>0</v>
      </c>
      <c r="I375" s="9" t="str">
        <f aca="false">IF(ISBLANK(A375),"",-B375*C375)</f>
        <v/>
      </c>
      <c r="J375" s="9" t="str">
        <f aca="false">IF(ISBLANK(A375),"",-SUM(I$3:I375))</f>
        <v/>
      </c>
      <c r="K375" s="0" t="str">
        <f aca="false">IF(ISBLANK(A375),"",SUMPRODUCT(O375:R375,T375:W375)-J375)</f>
        <v/>
      </c>
      <c r="L375" s="0" t="str">
        <f aca="false">IF(ISBLANK(A375),"",K375/$M$1)</f>
        <v/>
      </c>
      <c r="M375" s="0" t="str">
        <f aca="false">IF(ISBLANK(A375),"",K375/($M$1+SUM(K$3:K374)))</f>
        <v/>
      </c>
      <c r="N375" s="0" t="str">
        <f aca="false">IF(ISBLANK(A375),"",IF(H376=0,NETWORKDAYS($H$3,H375,holiday!$B$2:$B$10),IF(DAY(H375)&lt;DAY(H376),NETWORKDAYS($H$3,H375,holiday!$B$2:$B$10),0)))</f>
        <v/>
      </c>
      <c r="O375" s="0" t="str">
        <f aca="false">IF(ISBLANK(A375),"",SUMIF($A$3:$A375,O$2,$B$3:$B375))</f>
        <v/>
      </c>
      <c r="P375" s="0" t="str">
        <f aca="false">IF(ISBLANK(A375),"",SUMIF($A$3:$A375,P$2,$B$3:$B375))</f>
        <v/>
      </c>
      <c r="Q375" s="0" t="str">
        <f aca="false">IF(ISBLANK(A375),"",SUMIF($A$3:$A375,Q$2,$B$3:$B375))</f>
        <v/>
      </c>
      <c r="R375" s="0" t="str">
        <f aca="false">IF(ISBLANK(A375),"",SUMIF($A$3:$A375,R$2,$B$3:$B375))</f>
        <v/>
      </c>
      <c r="T375" s="0" t="str">
        <f aca="false">IF(ISBLANK(A375),"",IF($A375=T$2,$C375,T374))</f>
        <v/>
      </c>
      <c r="U375" s="0" t="str">
        <f aca="false">IF(ISBLANK(A375),"",IF($A375=U$2,$C375,U374))</f>
        <v/>
      </c>
      <c r="V375" s="0" t="str">
        <f aca="false">IF(ISBLANK(A375),"",IF($A375=V$2,$C375,V374))</f>
        <v/>
      </c>
      <c r="W375" s="0" t="str">
        <f aca="false">IF(ISBLANK(A375),"",IF($A375=W$2,$C375,W374))</f>
        <v/>
      </c>
    </row>
    <row r="376" customFormat="false" ht="12.8" hidden="false" customHeight="false" outlineLevel="0" collapsed="false">
      <c r="H376" s="8" t="n">
        <f aca="false">IF(ISBLANK(D376),,LEFT(D376,LEN(D376)-6)*1)</f>
        <v>0</v>
      </c>
      <c r="I376" s="9" t="str">
        <f aca="false">IF(ISBLANK(A376),"",-B376*C376)</f>
        <v/>
      </c>
      <c r="J376" s="9" t="str">
        <f aca="false">IF(ISBLANK(A376),"",-SUM(I$3:I376))</f>
        <v/>
      </c>
      <c r="K376" s="0" t="str">
        <f aca="false">IF(ISBLANK(A376),"",SUMPRODUCT(O376:R376,T376:W376)-J376)</f>
        <v/>
      </c>
      <c r="L376" s="0" t="str">
        <f aca="false">IF(ISBLANK(A376),"",K376/$M$1)</f>
        <v/>
      </c>
      <c r="M376" s="0" t="str">
        <f aca="false">IF(ISBLANK(A376),"",K376/($M$1+SUM(K$3:K375)))</f>
        <v/>
      </c>
      <c r="N376" s="0" t="str">
        <f aca="false">IF(ISBLANK(A376),"",IF(H377=0,NETWORKDAYS($H$3,H376,holiday!$B$2:$B$10),IF(DAY(H376)&lt;DAY(H377),NETWORKDAYS($H$3,H376,holiday!$B$2:$B$10),0)))</f>
        <v/>
      </c>
      <c r="O376" s="0" t="str">
        <f aca="false">IF(ISBLANK(A376),"",SUMIF($A$3:$A376,O$2,$B$3:$B376))</f>
        <v/>
      </c>
      <c r="P376" s="0" t="str">
        <f aca="false">IF(ISBLANK(A376),"",SUMIF($A$3:$A376,P$2,$B$3:$B376))</f>
        <v/>
      </c>
      <c r="Q376" s="0" t="str">
        <f aca="false">IF(ISBLANK(A376),"",SUMIF($A$3:$A376,Q$2,$B$3:$B376))</f>
        <v/>
      </c>
      <c r="R376" s="0" t="str">
        <f aca="false">IF(ISBLANK(A376),"",SUMIF($A$3:$A376,R$2,$B$3:$B376))</f>
        <v/>
      </c>
      <c r="T376" s="0" t="str">
        <f aca="false">IF(ISBLANK(A376),"",IF($A376=T$2,$C376,T375))</f>
        <v/>
      </c>
      <c r="U376" s="0" t="str">
        <f aca="false">IF(ISBLANK(A376),"",IF($A376=U$2,$C376,U375))</f>
        <v/>
      </c>
      <c r="V376" s="0" t="str">
        <f aca="false">IF(ISBLANK(A376),"",IF($A376=V$2,$C376,V375))</f>
        <v/>
      </c>
      <c r="W376" s="0" t="str">
        <f aca="false">IF(ISBLANK(A376),"",IF($A376=W$2,$C376,W375))</f>
        <v/>
      </c>
    </row>
    <row r="377" customFormat="false" ht="12.8" hidden="false" customHeight="false" outlineLevel="0" collapsed="false">
      <c r="H377" s="8" t="n">
        <f aca="false">IF(ISBLANK(D377),,LEFT(D377,LEN(D377)-6)*1)</f>
        <v>0</v>
      </c>
      <c r="I377" s="9" t="str">
        <f aca="false">IF(ISBLANK(A377),"",-B377*C377)</f>
        <v/>
      </c>
      <c r="J377" s="9" t="str">
        <f aca="false">IF(ISBLANK(A377),"",-SUM(I$3:I377))</f>
        <v/>
      </c>
      <c r="K377" s="0" t="str">
        <f aca="false">IF(ISBLANK(A377),"",SUMPRODUCT(O377:R377,T377:W377)-J377)</f>
        <v/>
      </c>
      <c r="L377" s="0" t="str">
        <f aca="false">IF(ISBLANK(A377),"",K377/$M$1)</f>
        <v/>
      </c>
      <c r="M377" s="0" t="str">
        <f aca="false">IF(ISBLANK(A377),"",K377/($M$1+SUM(K$3:K376)))</f>
        <v/>
      </c>
      <c r="N377" s="0" t="str">
        <f aca="false">IF(ISBLANK(A377),"",IF(H378=0,NETWORKDAYS($H$3,H377,holiday!$B$2:$B$10),IF(DAY(H377)&lt;DAY(H378),NETWORKDAYS($H$3,H377,holiday!$B$2:$B$10),0)))</f>
        <v/>
      </c>
      <c r="O377" s="0" t="str">
        <f aca="false">IF(ISBLANK(A377),"",SUMIF($A$3:$A377,O$2,$B$3:$B377))</f>
        <v/>
      </c>
      <c r="P377" s="0" t="str">
        <f aca="false">IF(ISBLANK(A377),"",SUMIF($A$3:$A377,P$2,$B$3:$B377))</f>
        <v/>
      </c>
      <c r="Q377" s="0" t="str">
        <f aca="false">IF(ISBLANK(A377),"",SUMIF($A$3:$A377,Q$2,$B$3:$B377))</f>
        <v/>
      </c>
      <c r="R377" s="0" t="str">
        <f aca="false">IF(ISBLANK(A377),"",SUMIF($A$3:$A377,R$2,$B$3:$B377))</f>
        <v/>
      </c>
      <c r="T377" s="0" t="str">
        <f aca="false">IF(ISBLANK(A377),"",IF($A377=T$2,$C377,T376))</f>
        <v/>
      </c>
      <c r="U377" s="0" t="str">
        <f aca="false">IF(ISBLANK(A377),"",IF($A377=U$2,$C377,U376))</f>
        <v/>
      </c>
      <c r="V377" s="0" t="str">
        <f aca="false">IF(ISBLANK(A377),"",IF($A377=V$2,$C377,V376))</f>
        <v/>
      </c>
      <c r="W377" s="0" t="str">
        <f aca="false">IF(ISBLANK(A377),"",IF($A377=W$2,$C377,W376))</f>
        <v/>
      </c>
    </row>
    <row r="378" customFormat="false" ht="12.8" hidden="false" customHeight="false" outlineLevel="0" collapsed="false">
      <c r="H378" s="8" t="n">
        <f aca="false">IF(ISBLANK(D378),,LEFT(D378,LEN(D378)-6)*1)</f>
        <v>0</v>
      </c>
      <c r="I378" s="9" t="str">
        <f aca="false">IF(ISBLANK(A378),"",-B378*C378)</f>
        <v/>
      </c>
      <c r="J378" s="9" t="str">
        <f aca="false">IF(ISBLANK(A378),"",-SUM(I$3:I378))</f>
        <v/>
      </c>
      <c r="K378" s="0" t="str">
        <f aca="false">IF(ISBLANK(A378),"",SUMPRODUCT(O378:R378,T378:W378)-J378)</f>
        <v/>
      </c>
      <c r="L378" s="0" t="str">
        <f aca="false">IF(ISBLANK(A378),"",K378/$M$1)</f>
        <v/>
      </c>
      <c r="M378" s="0" t="str">
        <f aca="false">IF(ISBLANK(A378),"",K378/($M$1+SUM(K$3:K377)))</f>
        <v/>
      </c>
      <c r="N378" s="0" t="str">
        <f aca="false">IF(ISBLANK(A378),"",IF(H379=0,NETWORKDAYS($H$3,H378,holiday!$B$2:$B$10),IF(DAY(H378)&lt;DAY(H379),NETWORKDAYS($H$3,H378,holiday!$B$2:$B$10),0)))</f>
        <v/>
      </c>
      <c r="O378" s="0" t="str">
        <f aca="false">IF(ISBLANK(A378),"",SUMIF($A$3:$A378,O$2,$B$3:$B378))</f>
        <v/>
      </c>
      <c r="P378" s="0" t="str">
        <f aca="false">IF(ISBLANK(A378),"",SUMIF($A$3:$A378,P$2,$B$3:$B378))</f>
        <v/>
      </c>
      <c r="Q378" s="0" t="str">
        <f aca="false">IF(ISBLANK(A378),"",SUMIF($A$3:$A378,Q$2,$B$3:$B378))</f>
        <v/>
      </c>
      <c r="R378" s="0" t="str">
        <f aca="false">IF(ISBLANK(A378),"",SUMIF($A$3:$A378,R$2,$B$3:$B378))</f>
        <v/>
      </c>
      <c r="T378" s="0" t="str">
        <f aca="false">IF(ISBLANK(A378),"",IF($A378=T$2,$C378,T377))</f>
        <v/>
      </c>
      <c r="U378" s="0" t="str">
        <f aca="false">IF(ISBLANK(A378),"",IF($A378=U$2,$C378,U377))</f>
        <v/>
      </c>
      <c r="V378" s="0" t="str">
        <f aca="false">IF(ISBLANK(A378),"",IF($A378=V$2,$C378,V377))</f>
        <v/>
      </c>
      <c r="W378" s="0" t="str">
        <f aca="false">IF(ISBLANK(A378),"",IF($A378=W$2,$C378,W377))</f>
        <v/>
      </c>
    </row>
    <row r="379" customFormat="false" ht="12.8" hidden="false" customHeight="false" outlineLevel="0" collapsed="false">
      <c r="H379" s="8" t="n">
        <f aca="false">IF(ISBLANK(D379),,LEFT(D379,LEN(D379)-6)*1)</f>
        <v>0</v>
      </c>
      <c r="I379" s="9" t="str">
        <f aca="false">IF(ISBLANK(A379),"",-B379*C379)</f>
        <v/>
      </c>
      <c r="J379" s="9" t="str">
        <f aca="false">IF(ISBLANK(A379),"",-SUM(I$3:I379))</f>
        <v/>
      </c>
      <c r="K379" s="0" t="str">
        <f aca="false">IF(ISBLANK(A379),"",SUMPRODUCT(O379:R379,T379:W379)-J379)</f>
        <v/>
      </c>
      <c r="L379" s="0" t="str">
        <f aca="false">IF(ISBLANK(A379),"",K379/$M$1)</f>
        <v/>
      </c>
      <c r="M379" s="0" t="str">
        <f aca="false">IF(ISBLANK(A379),"",K379/($M$1+SUM(K$3:K378)))</f>
        <v/>
      </c>
      <c r="N379" s="0" t="str">
        <f aca="false">IF(ISBLANK(A379),"",IF(H380=0,NETWORKDAYS($H$3,H379,holiday!$B$2:$B$10),IF(DAY(H379)&lt;DAY(H380),NETWORKDAYS($H$3,H379,holiday!$B$2:$B$10),0)))</f>
        <v/>
      </c>
      <c r="O379" s="0" t="str">
        <f aca="false">IF(ISBLANK(A379),"",SUMIF($A$3:$A379,O$2,$B$3:$B379))</f>
        <v/>
      </c>
      <c r="P379" s="0" t="str">
        <f aca="false">IF(ISBLANK(A379),"",SUMIF($A$3:$A379,P$2,$B$3:$B379))</f>
        <v/>
      </c>
      <c r="Q379" s="0" t="str">
        <f aca="false">IF(ISBLANK(A379),"",SUMIF($A$3:$A379,Q$2,$B$3:$B379))</f>
        <v/>
      </c>
      <c r="R379" s="0" t="str">
        <f aca="false">IF(ISBLANK(A379),"",SUMIF($A$3:$A379,R$2,$B$3:$B379))</f>
        <v/>
      </c>
      <c r="T379" s="0" t="str">
        <f aca="false">IF(ISBLANK(A379),"",IF($A379=T$2,$C379,T378))</f>
        <v/>
      </c>
      <c r="U379" s="0" t="str">
        <f aca="false">IF(ISBLANK(A379),"",IF($A379=U$2,$C379,U378))</f>
        <v/>
      </c>
      <c r="V379" s="0" t="str">
        <f aca="false">IF(ISBLANK(A379),"",IF($A379=V$2,$C379,V378))</f>
        <v/>
      </c>
      <c r="W379" s="0" t="str">
        <f aca="false">IF(ISBLANK(A379),"",IF($A379=W$2,$C379,W378))</f>
        <v/>
      </c>
    </row>
    <row r="380" customFormat="false" ht="12.8" hidden="false" customHeight="false" outlineLevel="0" collapsed="false">
      <c r="H380" s="8" t="n">
        <f aca="false">IF(ISBLANK(D380),,LEFT(D380,LEN(D380)-6)*1)</f>
        <v>0</v>
      </c>
      <c r="I380" s="9" t="str">
        <f aca="false">IF(ISBLANK(A380),"",-B380*C380)</f>
        <v/>
      </c>
      <c r="J380" s="9" t="str">
        <f aca="false">IF(ISBLANK(A380),"",-SUM(I$3:I380))</f>
        <v/>
      </c>
      <c r="K380" s="0" t="str">
        <f aca="false">IF(ISBLANK(A380),"",SUMPRODUCT(O380:R380,T380:W380)-J380)</f>
        <v/>
      </c>
      <c r="L380" s="0" t="str">
        <f aca="false">IF(ISBLANK(A380),"",K380/$M$1)</f>
        <v/>
      </c>
      <c r="M380" s="0" t="str">
        <f aca="false">IF(ISBLANK(A380),"",K380/($M$1+SUM(K$3:K379)))</f>
        <v/>
      </c>
      <c r="N380" s="0" t="str">
        <f aca="false">IF(ISBLANK(A380),"",IF(H381=0,NETWORKDAYS($H$3,H380,holiday!$B$2:$B$10),IF(DAY(H380)&lt;DAY(H381),NETWORKDAYS($H$3,H380,holiday!$B$2:$B$10),0)))</f>
        <v/>
      </c>
      <c r="O380" s="0" t="str">
        <f aca="false">IF(ISBLANK(A380),"",SUMIF($A$3:$A380,O$2,$B$3:$B380))</f>
        <v/>
      </c>
      <c r="P380" s="0" t="str">
        <f aca="false">IF(ISBLANK(A380),"",SUMIF($A$3:$A380,P$2,$B$3:$B380))</f>
        <v/>
      </c>
      <c r="Q380" s="0" t="str">
        <f aca="false">IF(ISBLANK(A380),"",SUMIF($A$3:$A380,Q$2,$B$3:$B380))</f>
        <v/>
      </c>
      <c r="R380" s="0" t="str">
        <f aca="false">IF(ISBLANK(A380),"",SUMIF($A$3:$A380,R$2,$B$3:$B380))</f>
        <v/>
      </c>
      <c r="T380" s="0" t="str">
        <f aca="false">IF(ISBLANK(A380),"",IF($A380=T$2,$C380,T379))</f>
        <v/>
      </c>
      <c r="U380" s="0" t="str">
        <f aca="false">IF(ISBLANK(A380),"",IF($A380=U$2,$C380,U379))</f>
        <v/>
      </c>
      <c r="V380" s="0" t="str">
        <f aca="false">IF(ISBLANK(A380),"",IF($A380=V$2,$C380,V379))</f>
        <v/>
      </c>
      <c r="W380" s="0" t="str">
        <f aca="false">IF(ISBLANK(A380),"",IF($A380=W$2,$C380,W379))</f>
        <v/>
      </c>
    </row>
    <row r="381" customFormat="false" ht="12.8" hidden="false" customHeight="false" outlineLevel="0" collapsed="false">
      <c r="H381" s="8" t="n">
        <f aca="false">IF(ISBLANK(D381),,LEFT(D381,LEN(D381)-6)*1)</f>
        <v>0</v>
      </c>
      <c r="I381" s="9" t="str">
        <f aca="false">IF(ISBLANK(A381),"",-B381*C381)</f>
        <v/>
      </c>
      <c r="J381" s="9" t="str">
        <f aca="false">IF(ISBLANK(A381),"",-SUM(I$3:I381))</f>
        <v/>
      </c>
      <c r="K381" s="0" t="str">
        <f aca="false">IF(ISBLANK(A381),"",SUMPRODUCT(O381:R381,T381:W381)-J381)</f>
        <v/>
      </c>
      <c r="L381" s="0" t="str">
        <f aca="false">IF(ISBLANK(A381),"",K381/$M$1)</f>
        <v/>
      </c>
      <c r="M381" s="0" t="str">
        <f aca="false">IF(ISBLANK(A381),"",K381/($M$1+SUM(K$3:K380)))</f>
        <v/>
      </c>
      <c r="N381" s="0" t="str">
        <f aca="false">IF(ISBLANK(A381),"",IF(H382=0,NETWORKDAYS($H$3,H381,holiday!$B$2:$B$10),IF(DAY(H381)&lt;DAY(H382),NETWORKDAYS($H$3,H381,holiday!$B$2:$B$10),0)))</f>
        <v/>
      </c>
      <c r="O381" s="0" t="str">
        <f aca="false">IF(ISBLANK(A381),"",SUMIF($A$3:$A381,O$2,$B$3:$B381))</f>
        <v/>
      </c>
      <c r="P381" s="0" t="str">
        <f aca="false">IF(ISBLANK(A381),"",SUMIF($A$3:$A381,P$2,$B$3:$B381))</f>
        <v/>
      </c>
      <c r="Q381" s="0" t="str">
        <f aca="false">IF(ISBLANK(A381),"",SUMIF($A$3:$A381,Q$2,$B$3:$B381))</f>
        <v/>
      </c>
      <c r="R381" s="0" t="str">
        <f aca="false">IF(ISBLANK(A381),"",SUMIF($A$3:$A381,R$2,$B$3:$B381))</f>
        <v/>
      </c>
      <c r="T381" s="0" t="str">
        <f aca="false">IF(ISBLANK(A381),"",IF($A381=T$2,$C381,T380))</f>
        <v/>
      </c>
      <c r="U381" s="0" t="str">
        <f aca="false">IF(ISBLANK(A381),"",IF($A381=U$2,$C381,U380))</f>
        <v/>
      </c>
      <c r="V381" s="0" t="str">
        <f aca="false">IF(ISBLANK(A381),"",IF($A381=V$2,$C381,V380))</f>
        <v/>
      </c>
      <c r="W381" s="0" t="str">
        <f aca="false">IF(ISBLANK(A381),"",IF($A381=W$2,$C381,W380))</f>
        <v/>
      </c>
    </row>
    <row r="382" customFormat="false" ht="12.8" hidden="false" customHeight="false" outlineLevel="0" collapsed="false">
      <c r="H382" s="8" t="n">
        <f aca="false">IF(ISBLANK(D382),,LEFT(D382,LEN(D382)-6)*1)</f>
        <v>0</v>
      </c>
      <c r="I382" s="9" t="str">
        <f aca="false">IF(ISBLANK(A382),"",-B382*C382)</f>
        <v/>
      </c>
      <c r="J382" s="9" t="str">
        <f aca="false">IF(ISBLANK(A382),"",-SUM(I$3:I382))</f>
        <v/>
      </c>
      <c r="K382" s="0" t="str">
        <f aca="false">IF(ISBLANK(A382),"",SUMPRODUCT(O382:R382,T382:W382)-J382)</f>
        <v/>
      </c>
      <c r="L382" s="0" t="str">
        <f aca="false">IF(ISBLANK(A382),"",K382/$M$1)</f>
        <v/>
      </c>
      <c r="M382" s="0" t="str">
        <f aca="false">IF(ISBLANK(A382),"",K382/($M$1+SUM(K$3:K381)))</f>
        <v/>
      </c>
      <c r="N382" s="0" t="str">
        <f aca="false">IF(ISBLANK(A382),"",IF(H383=0,NETWORKDAYS($H$3,H382,holiday!$B$2:$B$10),IF(DAY(H382)&lt;DAY(H383),NETWORKDAYS($H$3,H382,holiday!$B$2:$B$10),0)))</f>
        <v/>
      </c>
      <c r="O382" s="0" t="str">
        <f aca="false">IF(ISBLANK(A382),"",SUMIF($A$3:$A382,O$2,$B$3:$B382))</f>
        <v/>
      </c>
      <c r="P382" s="0" t="str">
        <f aca="false">IF(ISBLANK(A382),"",SUMIF($A$3:$A382,P$2,$B$3:$B382))</f>
        <v/>
      </c>
      <c r="Q382" s="0" t="str">
        <f aca="false">IF(ISBLANK(A382),"",SUMIF($A$3:$A382,Q$2,$B$3:$B382))</f>
        <v/>
      </c>
      <c r="R382" s="0" t="str">
        <f aca="false">IF(ISBLANK(A382),"",SUMIF($A$3:$A382,R$2,$B$3:$B382))</f>
        <v/>
      </c>
      <c r="T382" s="0" t="str">
        <f aca="false">IF(ISBLANK(A382),"",IF($A382=T$2,$C382,T381))</f>
        <v/>
      </c>
      <c r="U382" s="0" t="str">
        <f aca="false">IF(ISBLANK(A382),"",IF($A382=U$2,$C382,U381))</f>
        <v/>
      </c>
      <c r="V382" s="0" t="str">
        <f aca="false">IF(ISBLANK(A382),"",IF($A382=V$2,$C382,V381))</f>
        <v/>
      </c>
      <c r="W382" s="0" t="str">
        <f aca="false">IF(ISBLANK(A382),"",IF($A382=W$2,$C382,W381))</f>
        <v/>
      </c>
    </row>
    <row r="383" customFormat="false" ht="12.8" hidden="false" customHeight="false" outlineLevel="0" collapsed="false">
      <c r="H383" s="8" t="n">
        <f aca="false">IF(ISBLANK(D383),,LEFT(D383,LEN(D383)-6)*1)</f>
        <v>0</v>
      </c>
      <c r="I383" s="9" t="str">
        <f aca="false">IF(ISBLANK(A383),"",-B383*C383)</f>
        <v/>
      </c>
      <c r="J383" s="9" t="str">
        <f aca="false">IF(ISBLANK(A383),"",-SUM(I$3:I383))</f>
        <v/>
      </c>
      <c r="K383" s="0" t="str">
        <f aca="false">IF(ISBLANK(A383),"",SUMPRODUCT(O383:R383,T383:W383)-J383)</f>
        <v/>
      </c>
      <c r="L383" s="0" t="str">
        <f aca="false">IF(ISBLANK(A383),"",K383/$M$1)</f>
        <v/>
      </c>
      <c r="M383" s="0" t="str">
        <f aca="false">IF(ISBLANK(A383),"",K383/($M$1+SUM(K$3:K382)))</f>
        <v/>
      </c>
      <c r="N383" s="0" t="str">
        <f aca="false">IF(ISBLANK(A383),"",IF(H384=0,NETWORKDAYS($H$3,H383,holiday!$B$2:$B$10),IF(DAY(H383)&lt;DAY(H384),NETWORKDAYS($H$3,H383,holiday!$B$2:$B$10),0)))</f>
        <v/>
      </c>
      <c r="O383" s="0" t="str">
        <f aca="false">IF(ISBLANK(A383),"",SUMIF($A$3:$A383,O$2,$B$3:$B383))</f>
        <v/>
      </c>
      <c r="P383" s="0" t="str">
        <f aca="false">IF(ISBLANK(A383),"",SUMIF($A$3:$A383,P$2,$B$3:$B383))</f>
        <v/>
      </c>
      <c r="Q383" s="0" t="str">
        <f aca="false">IF(ISBLANK(A383),"",SUMIF($A$3:$A383,Q$2,$B$3:$B383))</f>
        <v/>
      </c>
      <c r="R383" s="0" t="str">
        <f aca="false">IF(ISBLANK(A383),"",SUMIF($A$3:$A383,R$2,$B$3:$B383))</f>
        <v/>
      </c>
      <c r="T383" s="0" t="str">
        <f aca="false">IF(ISBLANK(A383),"",IF($A383=T$2,$C383,T382))</f>
        <v/>
      </c>
      <c r="U383" s="0" t="str">
        <f aca="false">IF(ISBLANK(A383),"",IF($A383=U$2,$C383,U382))</f>
        <v/>
      </c>
      <c r="V383" s="0" t="str">
        <f aca="false">IF(ISBLANK(A383),"",IF($A383=V$2,$C383,V382))</f>
        <v/>
      </c>
      <c r="W383" s="0" t="str">
        <f aca="false">IF(ISBLANK(A383),"",IF($A383=W$2,$C383,W382))</f>
        <v/>
      </c>
    </row>
    <row r="384" customFormat="false" ht="12.8" hidden="false" customHeight="false" outlineLevel="0" collapsed="false">
      <c r="H384" s="8" t="n">
        <f aca="false">IF(ISBLANK(D384),,LEFT(D384,LEN(D384)-6)*1)</f>
        <v>0</v>
      </c>
      <c r="I384" s="9" t="str">
        <f aca="false">IF(ISBLANK(A384),"",-B384*C384)</f>
        <v/>
      </c>
      <c r="J384" s="9" t="str">
        <f aca="false">IF(ISBLANK(A384),"",-SUM(I$3:I384))</f>
        <v/>
      </c>
      <c r="K384" s="0" t="str">
        <f aca="false">IF(ISBLANK(A384),"",SUMPRODUCT(O384:R384,T384:W384)-J384)</f>
        <v/>
      </c>
      <c r="L384" s="0" t="str">
        <f aca="false">IF(ISBLANK(A384),"",K384/$M$1)</f>
        <v/>
      </c>
      <c r="M384" s="0" t="str">
        <f aca="false">IF(ISBLANK(A384),"",K384/($M$1+SUM(K$3:K383)))</f>
        <v/>
      </c>
      <c r="N384" s="0" t="str">
        <f aca="false">IF(ISBLANK(A384),"",IF(H385=0,NETWORKDAYS($H$3,H384,holiday!$B$2:$B$10),IF(DAY(H384)&lt;DAY(H385),NETWORKDAYS($H$3,H384,holiday!$B$2:$B$10),0)))</f>
        <v/>
      </c>
      <c r="O384" s="0" t="str">
        <f aca="false">IF(ISBLANK(A384),"",SUMIF($A$3:$A384,O$2,$B$3:$B384))</f>
        <v/>
      </c>
      <c r="P384" s="0" t="str">
        <f aca="false">IF(ISBLANK(A384),"",SUMIF($A$3:$A384,P$2,$B$3:$B384))</f>
        <v/>
      </c>
      <c r="Q384" s="0" t="str">
        <f aca="false">IF(ISBLANK(A384),"",SUMIF($A$3:$A384,Q$2,$B$3:$B384))</f>
        <v/>
      </c>
      <c r="R384" s="0" t="str">
        <f aca="false">IF(ISBLANK(A384),"",SUMIF($A$3:$A384,R$2,$B$3:$B384))</f>
        <v/>
      </c>
      <c r="T384" s="0" t="str">
        <f aca="false">IF(ISBLANK(A384),"",IF($A384=T$2,$C384,T383))</f>
        <v/>
      </c>
      <c r="U384" s="0" t="str">
        <f aca="false">IF(ISBLANK(A384),"",IF($A384=U$2,$C384,U383))</f>
        <v/>
      </c>
      <c r="V384" s="0" t="str">
        <f aca="false">IF(ISBLANK(A384),"",IF($A384=V$2,$C384,V383))</f>
        <v/>
      </c>
      <c r="W384" s="0" t="str">
        <f aca="false">IF(ISBLANK(A384),"",IF($A384=W$2,$C384,W383))</f>
        <v/>
      </c>
    </row>
    <row r="385" customFormat="false" ht="12.8" hidden="false" customHeight="false" outlineLevel="0" collapsed="false">
      <c r="H385" s="8" t="n">
        <f aca="false">IF(ISBLANK(D385),,LEFT(D385,LEN(D385)-6)*1)</f>
        <v>0</v>
      </c>
      <c r="I385" s="9" t="str">
        <f aca="false">IF(ISBLANK(A385),"",-B385*C385)</f>
        <v/>
      </c>
      <c r="J385" s="9" t="str">
        <f aca="false">IF(ISBLANK(A385),"",-SUM(I$3:I385))</f>
        <v/>
      </c>
      <c r="K385" s="0" t="str">
        <f aca="false">IF(ISBLANK(A385),"",SUMPRODUCT(O385:R385,T385:W385)-J385)</f>
        <v/>
      </c>
      <c r="L385" s="0" t="str">
        <f aca="false">IF(ISBLANK(A385),"",K385/$M$1)</f>
        <v/>
      </c>
      <c r="M385" s="0" t="str">
        <f aca="false">IF(ISBLANK(A385),"",K385/($M$1+SUM(K$3:K384)))</f>
        <v/>
      </c>
      <c r="N385" s="0" t="str">
        <f aca="false">IF(ISBLANK(A385),"",IF(H386=0,NETWORKDAYS($H$3,H385,holiday!$B$2:$B$10),IF(DAY(H385)&lt;DAY(H386),NETWORKDAYS($H$3,H385,holiday!$B$2:$B$10),0)))</f>
        <v/>
      </c>
      <c r="O385" s="0" t="str">
        <f aca="false">IF(ISBLANK(A385),"",SUMIF($A$3:$A385,O$2,$B$3:$B385))</f>
        <v/>
      </c>
      <c r="P385" s="0" t="str">
        <f aca="false">IF(ISBLANK(A385),"",SUMIF($A$3:$A385,P$2,$B$3:$B385))</f>
        <v/>
      </c>
      <c r="Q385" s="0" t="str">
        <f aca="false">IF(ISBLANK(A385),"",SUMIF($A$3:$A385,Q$2,$B$3:$B385))</f>
        <v/>
      </c>
      <c r="R385" s="0" t="str">
        <f aca="false">IF(ISBLANK(A385),"",SUMIF($A$3:$A385,R$2,$B$3:$B385))</f>
        <v/>
      </c>
      <c r="T385" s="0" t="str">
        <f aca="false">IF(ISBLANK(A385),"",IF($A385=T$2,$C385,T384))</f>
        <v/>
      </c>
      <c r="U385" s="0" t="str">
        <f aca="false">IF(ISBLANK(A385),"",IF($A385=U$2,$C385,U384))</f>
        <v/>
      </c>
      <c r="V385" s="0" t="str">
        <f aca="false">IF(ISBLANK(A385),"",IF($A385=V$2,$C385,V384))</f>
        <v/>
      </c>
      <c r="W385" s="0" t="str">
        <f aca="false">IF(ISBLANK(A385),"",IF($A385=W$2,$C385,W384))</f>
        <v/>
      </c>
    </row>
    <row r="386" customFormat="false" ht="12.8" hidden="false" customHeight="false" outlineLevel="0" collapsed="false">
      <c r="H386" s="8" t="n">
        <f aca="false">IF(ISBLANK(D386),,LEFT(D386,LEN(D386)-6)*1)</f>
        <v>0</v>
      </c>
      <c r="I386" s="9" t="str">
        <f aca="false">IF(ISBLANK(A386),"",-B386*C386)</f>
        <v/>
      </c>
      <c r="J386" s="9" t="str">
        <f aca="false">IF(ISBLANK(A386),"",-SUM(I$3:I386))</f>
        <v/>
      </c>
      <c r="K386" s="0" t="str">
        <f aca="false">IF(ISBLANK(A386),"",SUMPRODUCT(O386:R386,T386:W386)-J386)</f>
        <v/>
      </c>
      <c r="L386" s="0" t="str">
        <f aca="false">IF(ISBLANK(A386),"",K386/$M$1)</f>
        <v/>
      </c>
      <c r="M386" s="0" t="str">
        <f aca="false">IF(ISBLANK(A386),"",K386/($M$1+SUM(K$3:K385)))</f>
        <v/>
      </c>
      <c r="N386" s="0" t="str">
        <f aca="false">IF(ISBLANK(A386),"",IF(H387=0,NETWORKDAYS($H$3,H386,holiday!$B$2:$B$10),IF(DAY(H386)&lt;DAY(H387),NETWORKDAYS($H$3,H386,holiday!$B$2:$B$10),0)))</f>
        <v/>
      </c>
      <c r="O386" s="0" t="str">
        <f aca="false">IF(ISBLANK(A386),"",SUMIF($A$3:$A386,O$2,$B$3:$B386))</f>
        <v/>
      </c>
      <c r="P386" s="0" t="str">
        <f aca="false">IF(ISBLANK(A386),"",SUMIF($A$3:$A386,P$2,$B$3:$B386))</f>
        <v/>
      </c>
      <c r="Q386" s="0" t="str">
        <f aca="false">IF(ISBLANK(A386),"",SUMIF($A$3:$A386,Q$2,$B$3:$B386))</f>
        <v/>
      </c>
      <c r="R386" s="0" t="str">
        <f aca="false">IF(ISBLANK(A386),"",SUMIF($A$3:$A386,R$2,$B$3:$B386))</f>
        <v/>
      </c>
      <c r="T386" s="0" t="str">
        <f aca="false">IF(ISBLANK(A386),"",IF($A386=T$2,$C386,T385))</f>
        <v/>
      </c>
      <c r="U386" s="0" t="str">
        <f aca="false">IF(ISBLANK(A386),"",IF($A386=U$2,$C386,U385))</f>
        <v/>
      </c>
      <c r="V386" s="0" t="str">
        <f aca="false">IF(ISBLANK(A386),"",IF($A386=V$2,$C386,V385))</f>
        <v/>
      </c>
      <c r="W386" s="0" t="str">
        <f aca="false">IF(ISBLANK(A386),"",IF($A386=W$2,$C386,W385))</f>
        <v/>
      </c>
    </row>
    <row r="387" customFormat="false" ht="12.8" hidden="false" customHeight="false" outlineLevel="0" collapsed="false">
      <c r="H387" s="8" t="n">
        <f aca="false">IF(ISBLANK(D387),,LEFT(D387,LEN(D387)-6)*1)</f>
        <v>0</v>
      </c>
      <c r="I387" s="9" t="str">
        <f aca="false">IF(ISBLANK(A387),"",-B387*C387)</f>
        <v/>
      </c>
      <c r="J387" s="9" t="str">
        <f aca="false">IF(ISBLANK(A387),"",-SUM(I$3:I387))</f>
        <v/>
      </c>
      <c r="K387" s="0" t="str">
        <f aca="false">IF(ISBLANK(A387),"",SUMPRODUCT(O387:R387,T387:W387)-J387)</f>
        <v/>
      </c>
      <c r="L387" s="0" t="str">
        <f aca="false">IF(ISBLANK(A387),"",K387/$M$1)</f>
        <v/>
      </c>
      <c r="M387" s="0" t="str">
        <f aca="false">IF(ISBLANK(A387),"",K387/($M$1+SUM(K$3:K386)))</f>
        <v/>
      </c>
      <c r="N387" s="0" t="str">
        <f aca="false">IF(ISBLANK(A387),"",IF(H388=0,NETWORKDAYS($H$3,H387,holiday!$B$2:$B$10),IF(DAY(H387)&lt;DAY(H388),NETWORKDAYS($H$3,H387,holiday!$B$2:$B$10),0)))</f>
        <v/>
      </c>
      <c r="O387" s="0" t="str">
        <f aca="false">IF(ISBLANK(A387),"",SUMIF($A$3:$A387,O$2,$B$3:$B387))</f>
        <v/>
      </c>
      <c r="P387" s="0" t="str">
        <f aca="false">IF(ISBLANK(A387),"",SUMIF($A$3:$A387,P$2,$B$3:$B387))</f>
        <v/>
      </c>
      <c r="Q387" s="0" t="str">
        <f aca="false">IF(ISBLANK(A387),"",SUMIF($A$3:$A387,Q$2,$B$3:$B387))</f>
        <v/>
      </c>
      <c r="R387" s="0" t="str">
        <f aca="false">IF(ISBLANK(A387),"",SUMIF($A$3:$A387,R$2,$B$3:$B387))</f>
        <v/>
      </c>
      <c r="T387" s="0" t="str">
        <f aca="false">IF(ISBLANK(A387),"",IF($A387=T$2,$C387,T386))</f>
        <v/>
      </c>
      <c r="U387" s="0" t="str">
        <f aca="false">IF(ISBLANK(A387),"",IF($A387=U$2,$C387,U386))</f>
        <v/>
      </c>
      <c r="V387" s="0" t="str">
        <f aca="false">IF(ISBLANK(A387),"",IF($A387=V$2,$C387,V386))</f>
        <v/>
      </c>
      <c r="W387" s="0" t="str">
        <f aca="false">IF(ISBLANK(A387),"",IF($A387=W$2,$C387,W386))</f>
        <v/>
      </c>
    </row>
    <row r="388" customFormat="false" ht="12.8" hidden="false" customHeight="false" outlineLevel="0" collapsed="false">
      <c r="H388" s="8" t="n">
        <f aca="false">IF(ISBLANK(D388),,LEFT(D388,LEN(D388)-6)*1)</f>
        <v>0</v>
      </c>
      <c r="I388" s="9" t="str">
        <f aca="false">IF(ISBLANK(A388),"",-B388*C388)</f>
        <v/>
      </c>
      <c r="J388" s="9" t="str">
        <f aca="false">IF(ISBLANK(A388),"",-SUM(I$3:I388))</f>
        <v/>
      </c>
      <c r="K388" s="0" t="str">
        <f aca="false">IF(ISBLANK(A388),"",SUMPRODUCT(O388:R388,T388:W388)-J388)</f>
        <v/>
      </c>
      <c r="L388" s="0" t="str">
        <f aca="false">IF(ISBLANK(A388),"",K388/$M$1)</f>
        <v/>
      </c>
      <c r="M388" s="0" t="str">
        <f aca="false">IF(ISBLANK(A388),"",K388/($M$1+SUM(K$3:K387)))</f>
        <v/>
      </c>
      <c r="N388" s="0" t="str">
        <f aca="false">IF(ISBLANK(A388),"",IF(H389=0,NETWORKDAYS($H$3,H388,holiday!$B$2:$B$10),IF(DAY(H388)&lt;DAY(H389),NETWORKDAYS($H$3,H388,holiday!$B$2:$B$10),0)))</f>
        <v/>
      </c>
      <c r="O388" s="0" t="str">
        <f aca="false">IF(ISBLANK(A388),"",SUMIF($A$3:$A388,O$2,$B$3:$B388))</f>
        <v/>
      </c>
      <c r="P388" s="0" t="str">
        <f aca="false">IF(ISBLANK(A388),"",SUMIF($A$3:$A388,P$2,$B$3:$B388))</f>
        <v/>
      </c>
      <c r="Q388" s="0" t="str">
        <f aca="false">IF(ISBLANK(A388),"",SUMIF($A$3:$A388,Q$2,$B$3:$B388))</f>
        <v/>
      </c>
      <c r="R388" s="0" t="str">
        <f aca="false">IF(ISBLANK(A388),"",SUMIF($A$3:$A388,R$2,$B$3:$B388))</f>
        <v/>
      </c>
      <c r="T388" s="0" t="str">
        <f aca="false">IF(ISBLANK(A388),"",IF($A388=T$2,$C388,T387))</f>
        <v/>
      </c>
      <c r="U388" s="0" t="str">
        <f aca="false">IF(ISBLANK(A388),"",IF($A388=U$2,$C388,U387))</f>
        <v/>
      </c>
      <c r="V388" s="0" t="str">
        <f aca="false">IF(ISBLANK(A388),"",IF($A388=V$2,$C388,V387))</f>
        <v/>
      </c>
      <c r="W388" s="0" t="str">
        <f aca="false">IF(ISBLANK(A388),"",IF($A388=W$2,$C388,W387))</f>
        <v/>
      </c>
    </row>
    <row r="389" customFormat="false" ht="12.8" hidden="false" customHeight="false" outlineLevel="0" collapsed="false">
      <c r="H389" s="8" t="n">
        <f aca="false">IF(ISBLANK(D389),,LEFT(D389,LEN(D389)-6)*1)</f>
        <v>0</v>
      </c>
      <c r="I389" s="9" t="str">
        <f aca="false">IF(ISBLANK(A389),"",-B389*C389)</f>
        <v/>
      </c>
      <c r="J389" s="9" t="str">
        <f aca="false">IF(ISBLANK(A389),"",-SUM(I$3:I389))</f>
        <v/>
      </c>
      <c r="K389" s="0" t="str">
        <f aca="false">IF(ISBLANK(A389),"",SUMPRODUCT(O389:R389,T389:W389)-J389)</f>
        <v/>
      </c>
      <c r="L389" s="0" t="str">
        <f aca="false">IF(ISBLANK(A389),"",K389/$M$1)</f>
        <v/>
      </c>
      <c r="M389" s="0" t="str">
        <f aca="false">IF(ISBLANK(A389),"",K389/($M$1+SUM(K$3:K388)))</f>
        <v/>
      </c>
      <c r="N389" s="0" t="str">
        <f aca="false">IF(ISBLANK(A389),"",IF(H390=0,NETWORKDAYS($H$3,H389,holiday!$B$2:$B$10),IF(DAY(H389)&lt;DAY(H390),NETWORKDAYS($H$3,H389,holiday!$B$2:$B$10),0)))</f>
        <v/>
      </c>
      <c r="O389" s="0" t="str">
        <f aca="false">IF(ISBLANK(A389),"",SUMIF($A$3:$A389,O$2,$B$3:$B389))</f>
        <v/>
      </c>
      <c r="P389" s="0" t="str">
        <f aca="false">IF(ISBLANK(A389),"",SUMIF($A$3:$A389,P$2,$B$3:$B389))</f>
        <v/>
      </c>
      <c r="Q389" s="0" t="str">
        <f aca="false">IF(ISBLANK(A389),"",SUMIF($A$3:$A389,Q$2,$B$3:$B389))</f>
        <v/>
      </c>
      <c r="R389" s="0" t="str">
        <f aca="false">IF(ISBLANK(A389),"",SUMIF($A$3:$A389,R$2,$B$3:$B389))</f>
        <v/>
      </c>
      <c r="T389" s="0" t="str">
        <f aca="false">IF(ISBLANK(A389),"",IF($A389=T$2,$C389,T388))</f>
        <v/>
      </c>
      <c r="U389" s="0" t="str">
        <f aca="false">IF(ISBLANK(A389),"",IF($A389=U$2,$C389,U388))</f>
        <v/>
      </c>
      <c r="V389" s="0" t="str">
        <f aca="false">IF(ISBLANK(A389),"",IF($A389=V$2,$C389,V388))</f>
        <v/>
      </c>
      <c r="W389" s="0" t="str">
        <f aca="false">IF(ISBLANK(A389),"",IF($A389=W$2,$C389,W388))</f>
        <v/>
      </c>
    </row>
    <row r="390" customFormat="false" ht="12.8" hidden="false" customHeight="false" outlineLevel="0" collapsed="false">
      <c r="H390" s="8" t="n">
        <f aca="false">IF(ISBLANK(D390),,LEFT(D390,LEN(D390)-6)*1)</f>
        <v>0</v>
      </c>
      <c r="I390" s="9" t="str">
        <f aca="false">IF(ISBLANK(A390),"",-B390*C390)</f>
        <v/>
      </c>
      <c r="J390" s="9" t="str">
        <f aca="false">IF(ISBLANK(A390),"",-SUM(I$3:I390))</f>
        <v/>
      </c>
      <c r="K390" s="0" t="str">
        <f aca="false">IF(ISBLANK(A390),"",SUMPRODUCT(O390:R390,T390:W390)-J390)</f>
        <v/>
      </c>
      <c r="L390" s="0" t="str">
        <f aca="false">IF(ISBLANK(A390),"",K390/$M$1)</f>
        <v/>
      </c>
      <c r="M390" s="0" t="str">
        <f aca="false">IF(ISBLANK(A390),"",K390/($M$1+SUM(K$3:K389)))</f>
        <v/>
      </c>
      <c r="N390" s="0" t="str">
        <f aca="false">IF(ISBLANK(A390),"",IF(H391=0,NETWORKDAYS($H$3,H390,holiday!$B$2:$B$10),IF(DAY(H390)&lt;DAY(H391),NETWORKDAYS($H$3,H390,holiday!$B$2:$B$10),0)))</f>
        <v/>
      </c>
      <c r="O390" s="0" t="str">
        <f aca="false">IF(ISBLANK(A390),"",SUMIF($A$3:$A390,O$2,$B$3:$B390))</f>
        <v/>
      </c>
      <c r="P390" s="0" t="str">
        <f aca="false">IF(ISBLANK(A390),"",SUMIF($A$3:$A390,P$2,$B$3:$B390))</f>
        <v/>
      </c>
      <c r="Q390" s="0" t="str">
        <f aca="false">IF(ISBLANK(A390),"",SUMIF($A$3:$A390,Q$2,$B$3:$B390))</f>
        <v/>
      </c>
      <c r="R390" s="0" t="str">
        <f aca="false">IF(ISBLANK(A390),"",SUMIF($A$3:$A390,R$2,$B$3:$B390))</f>
        <v/>
      </c>
      <c r="T390" s="0" t="str">
        <f aca="false">IF(ISBLANK(A390),"",IF($A390=T$2,$C390,T389))</f>
        <v/>
      </c>
      <c r="U390" s="0" t="str">
        <f aca="false">IF(ISBLANK(A390),"",IF($A390=U$2,$C390,U389))</f>
        <v/>
      </c>
      <c r="V390" s="0" t="str">
        <f aca="false">IF(ISBLANK(A390),"",IF($A390=V$2,$C390,V389))</f>
        <v/>
      </c>
      <c r="W390" s="0" t="str">
        <f aca="false">IF(ISBLANK(A390),"",IF($A390=W$2,$C390,W389))</f>
        <v/>
      </c>
    </row>
    <row r="391" customFormat="false" ht="12.8" hidden="false" customHeight="false" outlineLevel="0" collapsed="false">
      <c r="H391" s="8" t="n">
        <f aca="false">IF(ISBLANK(D391),,LEFT(D391,LEN(D391)-6)*1)</f>
        <v>0</v>
      </c>
      <c r="I391" s="9" t="str">
        <f aca="false">IF(ISBLANK(A391),"",-B391*C391)</f>
        <v/>
      </c>
      <c r="J391" s="9" t="str">
        <f aca="false">IF(ISBLANK(A391),"",-SUM(I$3:I391))</f>
        <v/>
      </c>
      <c r="K391" s="0" t="str">
        <f aca="false">IF(ISBLANK(A391),"",SUMPRODUCT(O391:R391,T391:W391)-J391)</f>
        <v/>
      </c>
      <c r="L391" s="0" t="str">
        <f aca="false">IF(ISBLANK(A391),"",K391/$M$1)</f>
        <v/>
      </c>
      <c r="M391" s="0" t="str">
        <f aca="false">IF(ISBLANK(A391),"",K391/($M$1+SUM(K$3:K390)))</f>
        <v/>
      </c>
      <c r="N391" s="0" t="str">
        <f aca="false">IF(ISBLANK(A391),"",IF(H392=0,NETWORKDAYS($H$3,H391,holiday!$B$2:$B$10),IF(DAY(H391)&lt;DAY(H392),NETWORKDAYS($H$3,H391,holiday!$B$2:$B$10),0)))</f>
        <v/>
      </c>
      <c r="O391" s="0" t="str">
        <f aca="false">IF(ISBLANK(A391),"",SUMIF($A$3:$A391,O$2,$B$3:$B391))</f>
        <v/>
      </c>
      <c r="P391" s="0" t="str">
        <f aca="false">IF(ISBLANK(A391),"",SUMIF($A$3:$A391,P$2,$B$3:$B391))</f>
        <v/>
      </c>
      <c r="Q391" s="0" t="str">
        <f aca="false">IF(ISBLANK(A391),"",SUMIF($A$3:$A391,Q$2,$B$3:$B391))</f>
        <v/>
      </c>
      <c r="R391" s="0" t="str">
        <f aca="false">IF(ISBLANK(A391),"",SUMIF($A$3:$A391,R$2,$B$3:$B391))</f>
        <v/>
      </c>
      <c r="T391" s="0" t="str">
        <f aca="false">IF(ISBLANK(A391),"",IF($A391=T$2,$C391,T390))</f>
        <v/>
      </c>
      <c r="U391" s="0" t="str">
        <f aca="false">IF(ISBLANK(A391),"",IF($A391=U$2,$C391,U390))</f>
        <v/>
      </c>
      <c r="V391" s="0" t="str">
        <f aca="false">IF(ISBLANK(A391),"",IF($A391=V$2,$C391,V390))</f>
        <v/>
      </c>
      <c r="W391" s="0" t="str">
        <f aca="false">IF(ISBLANK(A391),"",IF($A391=W$2,$C391,W390))</f>
        <v/>
      </c>
    </row>
    <row r="392" customFormat="false" ht="12.8" hidden="false" customHeight="false" outlineLevel="0" collapsed="false">
      <c r="H392" s="8" t="n">
        <f aca="false">IF(ISBLANK(D392),,LEFT(D392,LEN(D392)-6)*1)</f>
        <v>0</v>
      </c>
      <c r="I392" s="9" t="str">
        <f aca="false">IF(ISBLANK(A392),"",-B392*C392)</f>
        <v/>
      </c>
      <c r="J392" s="9" t="str">
        <f aca="false">IF(ISBLANK(A392),"",-SUM(I$3:I392))</f>
        <v/>
      </c>
      <c r="K392" s="0" t="str">
        <f aca="false">IF(ISBLANK(A392),"",SUMPRODUCT(O392:R392,T392:W392)-J392)</f>
        <v/>
      </c>
      <c r="L392" s="0" t="str">
        <f aca="false">IF(ISBLANK(A392),"",K392/$M$1)</f>
        <v/>
      </c>
      <c r="M392" s="0" t="str">
        <f aca="false">IF(ISBLANK(A392),"",K392/($M$1+SUM(K$3:K391)))</f>
        <v/>
      </c>
      <c r="N392" s="0" t="str">
        <f aca="false">IF(ISBLANK(A392),"",IF(H393=0,NETWORKDAYS($H$3,H392,holiday!$B$2:$B$10),IF(DAY(H392)&lt;DAY(H393),NETWORKDAYS($H$3,H392,holiday!$B$2:$B$10),0)))</f>
        <v/>
      </c>
      <c r="O392" s="0" t="str">
        <f aca="false">IF(ISBLANK(A392),"",SUMIF($A$3:$A392,O$2,$B$3:$B392))</f>
        <v/>
      </c>
      <c r="P392" s="0" t="str">
        <f aca="false">IF(ISBLANK(A392),"",SUMIF($A$3:$A392,P$2,$B$3:$B392))</f>
        <v/>
      </c>
      <c r="Q392" s="0" t="str">
        <f aca="false">IF(ISBLANK(A392),"",SUMIF($A$3:$A392,Q$2,$B$3:$B392))</f>
        <v/>
      </c>
      <c r="R392" s="0" t="str">
        <f aca="false">IF(ISBLANK(A392),"",SUMIF($A$3:$A392,R$2,$B$3:$B392))</f>
        <v/>
      </c>
      <c r="T392" s="0" t="str">
        <f aca="false">IF(ISBLANK(A392),"",IF($A392=T$2,$C392,T391))</f>
        <v/>
      </c>
      <c r="U392" s="0" t="str">
        <f aca="false">IF(ISBLANK(A392),"",IF($A392=U$2,$C392,U391))</f>
        <v/>
      </c>
      <c r="V392" s="0" t="str">
        <f aca="false">IF(ISBLANK(A392),"",IF($A392=V$2,$C392,V391))</f>
        <v/>
      </c>
      <c r="W392" s="0" t="str">
        <f aca="false">IF(ISBLANK(A392),"",IF($A392=W$2,$C392,W391))</f>
        <v/>
      </c>
    </row>
    <row r="393" customFormat="false" ht="12.8" hidden="false" customHeight="false" outlineLevel="0" collapsed="false">
      <c r="H393" s="8" t="n">
        <f aca="false">IF(ISBLANK(D393),,LEFT(D393,LEN(D393)-6)*1)</f>
        <v>0</v>
      </c>
      <c r="I393" s="9" t="str">
        <f aca="false">IF(ISBLANK(A393),"",-B393*C393)</f>
        <v/>
      </c>
      <c r="J393" s="9" t="str">
        <f aca="false">IF(ISBLANK(A393),"",-SUM(I$3:I393))</f>
        <v/>
      </c>
      <c r="K393" s="0" t="str">
        <f aca="false">IF(ISBLANK(A393),"",SUMPRODUCT(O393:R393,T393:W393)-J393)</f>
        <v/>
      </c>
      <c r="L393" s="0" t="str">
        <f aca="false">IF(ISBLANK(A393),"",K393/$M$1)</f>
        <v/>
      </c>
      <c r="M393" s="0" t="str">
        <f aca="false">IF(ISBLANK(A393),"",K393/($M$1+SUM(K$3:K392)))</f>
        <v/>
      </c>
      <c r="N393" s="0" t="str">
        <f aca="false">IF(ISBLANK(A393),"",IF(H394=0,NETWORKDAYS($H$3,H393,holiday!$B$2:$B$10),IF(DAY(H393)&lt;DAY(H394),NETWORKDAYS($H$3,H393,holiday!$B$2:$B$10),0)))</f>
        <v/>
      </c>
      <c r="O393" s="0" t="str">
        <f aca="false">IF(ISBLANK(A393),"",SUMIF($A$3:$A393,O$2,$B$3:$B393))</f>
        <v/>
      </c>
      <c r="P393" s="0" t="str">
        <f aca="false">IF(ISBLANK(A393),"",SUMIF($A$3:$A393,P$2,$B$3:$B393))</f>
        <v/>
      </c>
      <c r="Q393" s="0" t="str">
        <f aca="false">IF(ISBLANK(A393),"",SUMIF($A$3:$A393,Q$2,$B$3:$B393))</f>
        <v/>
      </c>
      <c r="R393" s="0" t="str">
        <f aca="false">IF(ISBLANK(A393),"",SUMIF($A$3:$A393,R$2,$B$3:$B393))</f>
        <v/>
      </c>
      <c r="T393" s="0" t="str">
        <f aca="false">IF(ISBLANK(A393),"",IF($A393=T$2,$C393,T392))</f>
        <v/>
      </c>
      <c r="U393" s="0" t="str">
        <f aca="false">IF(ISBLANK(A393),"",IF($A393=U$2,$C393,U392))</f>
        <v/>
      </c>
      <c r="V393" s="0" t="str">
        <f aca="false">IF(ISBLANK(A393),"",IF($A393=V$2,$C393,V392))</f>
        <v/>
      </c>
      <c r="W393" s="0" t="str">
        <f aca="false">IF(ISBLANK(A393),"",IF($A393=W$2,$C393,W392))</f>
        <v/>
      </c>
    </row>
    <row r="394" customFormat="false" ht="12.8" hidden="false" customHeight="false" outlineLevel="0" collapsed="false">
      <c r="H394" s="8" t="n">
        <f aca="false">IF(ISBLANK(D394),,LEFT(D394,LEN(D394)-6)*1)</f>
        <v>0</v>
      </c>
      <c r="I394" s="9" t="str">
        <f aca="false">IF(ISBLANK(A394),"",-B394*C394)</f>
        <v/>
      </c>
      <c r="J394" s="9" t="str">
        <f aca="false">IF(ISBLANK(A394),"",-SUM(I$3:I394))</f>
        <v/>
      </c>
      <c r="K394" s="0" t="str">
        <f aca="false">IF(ISBLANK(A394),"",SUMPRODUCT(O394:R394,T394:W394)-J394)</f>
        <v/>
      </c>
      <c r="L394" s="0" t="str">
        <f aca="false">IF(ISBLANK(A394),"",K394/$M$1)</f>
        <v/>
      </c>
      <c r="M394" s="0" t="str">
        <f aca="false">IF(ISBLANK(A394),"",K394/($M$1+SUM(K$3:K393)))</f>
        <v/>
      </c>
      <c r="N394" s="0" t="str">
        <f aca="false">IF(ISBLANK(A394),"",IF(H395=0,NETWORKDAYS($H$3,H394,holiday!$B$2:$B$10),IF(DAY(H394)&lt;DAY(H395),NETWORKDAYS($H$3,H394,holiday!$B$2:$B$10),0)))</f>
        <v/>
      </c>
      <c r="O394" s="0" t="str">
        <f aca="false">IF(ISBLANK(A394),"",SUMIF($A$3:$A394,O$2,$B$3:$B394))</f>
        <v/>
      </c>
      <c r="P394" s="0" t="str">
        <f aca="false">IF(ISBLANK(A394),"",SUMIF($A$3:$A394,P$2,$B$3:$B394))</f>
        <v/>
      </c>
      <c r="Q394" s="0" t="str">
        <f aca="false">IF(ISBLANK(A394),"",SUMIF($A$3:$A394,Q$2,$B$3:$B394))</f>
        <v/>
      </c>
      <c r="R394" s="0" t="str">
        <f aca="false">IF(ISBLANK(A394),"",SUMIF($A$3:$A394,R$2,$B$3:$B394))</f>
        <v/>
      </c>
      <c r="T394" s="0" t="str">
        <f aca="false">IF(ISBLANK(A394),"",IF($A394=T$2,$C394,T393))</f>
        <v/>
      </c>
      <c r="U394" s="0" t="str">
        <f aca="false">IF(ISBLANK(A394),"",IF($A394=U$2,$C394,U393))</f>
        <v/>
      </c>
      <c r="V394" s="0" t="str">
        <f aca="false">IF(ISBLANK(A394),"",IF($A394=V$2,$C394,V393))</f>
        <v/>
      </c>
      <c r="W394" s="0" t="str">
        <f aca="false">IF(ISBLANK(A394),"",IF($A394=W$2,$C394,W393))</f>
        <v/>
      </c>
    </row>
    <row r="395" customFormat="false" ht="12.8" hidden="false" customHeight="false" outlineLevel="0" collapsed="false">
      <c r="H395" s="8" t="n">
        <f aca="false">IF(ISBLANK(D395),,LEFT(D395,LEN(D395)-6)*1)</f>
        <v>0</v>
      </c>
      <c r="I395" s="9" t="str">
        <f aca="false">IF(ISBLANK(A395),"",-B395*C395)</f>
        <v/>
      </c>
      <c r="J395" s="9" t="str">
        <f aca="false">IF(ISBLANK(A395),"",-SUM(I$3:I395))</f>
        <v/>
      </c>
      <c r="K395" s="0" t="str">
        <f aca="false">IF(ISBLANK(A395),"",SUMPRODUCT(O395:R395,T395:W395)-J395)</f>
        <v/>
      </c>
      <c r="L395" s="0" t="str">
        <f aca="false">IF(ISBLANK(A395),"",K395/$M$1)</f>
        <v/>
      </c>
      <c r="M395" s="0" t="str">
        <f aca="false">IF(ISBLANK(A395),"",K395/($M$1+SUM(K$3:K394)))</f>
        <v/>
      </c>
      <c r="N395" s="0" t="str">
        <f aca="false">IF(ISBLANK(A395),"",IF(H396=0,NETWORKDAYS($H$3,H395,holiday!$B$2:$B$10),IF(DAY(H395)&lt;DAY(H396),NETWORKDAYS($H$3,H395,holiday!$B$2:$B$10),0)))</f>
        <v/>
      </c>
      <c r="O395" s="0" t="str">
        <f aca="false">IF(ISBLANK(A395),"",SUMIF($A$3:$A395,O$2,$B$3:$B395))</f>
        <v/>
      </c>
      <c r="P395" s="0" t="str">
        <f aca="false">IF(ISBLANK(A395),"",SUMIF($A$3:$A395,P$2,$B$3:$B395))</f>
        <v/>
      </c>
      <c r="Q395" s="0" t="str">
        <f aca="false">IF(ISBLANK(A395),"",SUMIF($A$3:$A395,Q$2,$B$3:$B395))</f>
        <v/>
      </c>
      <c r="R395" s="0" t="str">
        <f aca="false">IF(ISBLANK(A395),"",SUMIF($A$3:$A395,R$2,$B$3:$B395))</f>
        <v/>
      </c>
      <c r="T395" s="0" t="str">
        <f aca="false">IF(ISBLANK(A395),"",IF($A395=T$2,$C395,T394))</f>
        <v/>
      </c>
      <c r="U395" s="0" t="str">
        <f aca="false">IF(ISBLANK(A395),"",IF($A395=U$2,$C395,U394))</f>
        <v/>
      </c>
      <c r="V395" s="0" t="str">
        <f aca="false">IF(ISBLANK(A395),"",IF($A395=V$2,$C395,V394))</f>
        <v/>
      </c>
      <c r="W395" s="0" t="str">
        <f aca="false">IF(ISBLANK(A395),"",IF($A395=W$2,$C395,W394))</f>
        <v/>
      </c>
    </row>
    <row r="396" customFormat="false" ht="12.8" hidden="false" customHeight="false" outlineLevel="0" collapsed="false">
      <c r="H396" s="8" t="n">
        <f aca="false">IF(ISBLANK(D396),,LEFT(D396,LEN(D396)-6)*1)</f>
        <v>0</v>
      </c>
      <c r="I396" s="9" t="str">
        <f aca="false">IF(ISBLANK(A396),"",-B396*C396)</f>
        <v/>
      </c>
      <c r="J396" s="9" t="str">
        <f aca="false">IF(ISBLANK(A396),"",-SUM(I$3:I396))</f>
        <v/>
      </c>
      <c r="K396" s="0" t="str">
        <f aca="false">IF(ISBLANK(A396),"",SUMPRODUCT(O396:R396,T396:W396)-J396)</f>
        <v/>
      </c>
      <c r="L396" s="0" t="str">
        <f aca="false">IF(ISBLANK(A396),"",K396/$M$1)</f>
        <v/>
      </c>
      <c r="M396" s="0" t="str">
        <f aca="false">IF(ISBLANK(A396),"",K396/($M$1+SUM(K$3:K395)))</f>
        <v/>
      </c>
      <c r="N396" s="0" t="str">
        <f aca="false">IF(ISBLANK(A396),"",IF(H397=0,NETWORKDAYS($H$3,H396,holiday!$B$2:$B$10),IF(DAY(H396)&lt;DAY(H397),NETWORKDAYS($H$3,H396,holiday!$B$2:$B$10),0)))</f>
        <v/>
      </c>
      <c r="O396" s="0" t="str">
        <f aca="false">IF(ISBLANK(A396),"",SUMIF($A$3:$A396,O$2,$B$3:$B396))</f>
        <v/>
      </c>
      <c r="P396" s="0" t="str">
        <f aca="false">IF(ISBLANK(A396),"",SUMIF($A$3:$A396,P$2,$B$3:$B396))</f>
        <v/>
      </c>
      <c r="Q396" s="0" t="str">
        <f aca="false">IF(ISBLANK(A396),"",SUMIF($A$3:$A396,Q$2,$B$3:$B396))</f>
        <v/>
      </c>
      <c r="R396" s="0" t="str">
        <f aca="false">IF(ISBLANK(A396),"",SUMIF($A$3:$A396,R$2,$B$3:$B396))</f>
        <v/>
      </c>
      <c r="T396" s="0" t="str">
        <f aca="false">IF(ISBLANK(A396),"",IF($A396=T$2,$C396,T395))</f>
        <v/>
      </c>
      <c r="U396" s="0" t="str">
        <f aca="false">IF(ISBLANK(A396),"",IF($A396=U$2,$C396,U395))</f>
        <v/>
      </c>
      <c r="V396" s="0" t="str">
        <f aca="false">IF(ISBLANK(A396),"",IF($A396=V$2,$C396,V395))</f>
        <v/>
      </c>
      <c r="W396" s="0" t="str">
        <f aca="false">IF(ISBLANK(A396),"",IF($A396=W$2,$C396,W395))</f>
        <v/>
      </c>
    </row>
    <row r="397" customFormat="false" ht="12.8" hidden="false" customHeight="false" outlineLevel="0" collapsed="false">
      <c r="H397" s="8" t="n">
        <f aca="false">IF(ISBLANK(D397),,LEFT(D397,LEN(D397)-6)*1)</f>
        <v>0</v>
      </c>
      <c r="I397" s="9" t="str">
        <f aca="false">IF(ISBLANK(A397),"",-B397*C397)</f>
        <v/>
      </c>
      <c r="J397" s="9" t="str">
        <f aca="false">IF(ISBLANK(A397),"",-SUM(I$3:I397))</f>
        <v/>
      </c>
      <c r="K397" s="0" t="str">
        <f aca="false">IF(ISBLANK(A397),"",SUMPRODUCT(O397:R397,T397:W397)-J397)</f>
        <v/>
      </c>
      <c r="L397" s="0" t="str">
        <f aca="false">IF(ISBLANK(A397),"",K397/$M$1)</f>
        <v/>
      </c>
      <c r="M397" s="0" t="str">
        <f aca="false">IF(ISBLANK(A397),"",K397/($M$1+SUM(K$3:K396)))</f>
        <v/>
      </c>
      <c r="N397" s="0" t="str">
        <f aca="false">IF(ISBLANK(A397),"",IF(H398=0,NETWORKDAYS($H$3,H397,holiday!$B$2:$B$10),IF(DAY(H397)&lt;DAY(H398),NETWORKDAYS($H$3,H397,holiday!$B$2:$B$10),0)))</f>
        <v/>
      </c>
      <c r="O397" s="0" t="str">
        <f aca="false">IF(ISBLANK(A397),"",SUMIF($A$3:$A397,O$2,$B$3:$B397))</f>
        <v/>
      </c>
      <c r="P397" s="0" t="str">
        <f aca="false">IF(ISBLANK(A397),"",SUMIF($A$3:$A397,P$2,$B$3:$B397))</f>
        <v/>
      </c>
      <c r="Q397" s="0" t="str">
        <f aca="false">IF(ISBLANK(A397),"",SUMIF($A$3:$A397,Q$2,$B$3:$B397))</f>
        <v/>
      </c>
      <c r="R397" s="0" t="str">
        <f aca="false">IF(ISBLANK(A397),"",SUMIF($A$3:$A397,R$2,$B$3:$B397))</f>
        <v/>
      </c>
      <c r="T397" s="0" t="str">
        <f aca="false">IF(ISBLANK(A397),"",IF($A397=T$2,$C397,T396))</f>
        <v/>
      </c>
      <c r="U397" s="0" t="str">
        <f aca="false">IF(ISBLANK(A397),"",IF($A397=U$2,$C397,U396))</f>
        <v/>
      </c>
      <c r="V397" s="0" t="str">
        <f aca="false">IF(ISBLANK(A397),"",IF($A397=V$2,$C397,V396))</f>
        <v/>
      </c>
      <c r="W397" s="0" t="str">
        <f aca="false">IF(ISBLANK(A397),"",IF($A397=W$2,$C397,W396))</f>
        <v/>
      </c>
    </row>
    <row r="398" customFormat="false" ht="12.8" hidden="false" customHeight="false" outlineLevel="0" collapsed="false">
      <c r="H398" s="8" t="n">
        <f aca="false">IF(ISBLANK(D398),,LEFT(D398,LEN(D398)-6)*1)</f>
        <v>0</v>
      </c>
      <c r="I398" s="9" t="str">
        <f aca="false">IF(ISBLANK(A398),"",-B398*C398)</f>
        <v/>
      </c>
      <c r="J398" s="9" t="str">
        <f aca="false">IF(ISBLANK(A398),"",-SUM(I$3:I398))</f>
        <v/>
      </c>
      <c r="K398" s="0" t="str">
        <f aca="false">IF(ISBLANK(A398),"",SUMPRODUCT(O398:R398,T398:W398)-J398)</f>
        <v/>
      </c>
      <c r="L398" s="0" t="str">
        <f aca="false">IF(ISBLANK(A398),"",K398/$M$1)</f>
        <v/>
      </c>
      <c r="M398" s="0" t="str">
        <f aca="false">IF(ISBLANK(A398),"",K398/($M$1+SUM(K$3:K397)))</f>
        <v/>
      </c>
      <c r="N398" s="0" t="str">
        <f aca="false">IF(ISBLANK(A398),"",IF(H399=0,NETWORKDAYS($H$3,H398,holiday!$B$2:$B$10),IF(DAY(H398)&lt;DAY(H399),NETWORKDAYS($H$3,H398,holiday!$B$2:$B$10),0)))</f>
        <v/>
      </c>
      <c r="O398" s="0" t="str">
        <f aca="false">IF(ISBLANK(A398),"",SUMIF($A$3:$A398,O$2,$B$3:$B398))</f>
        <v/>
      </c>
      <c r="P398" s="0" t="str">
        <f aca="false">IF(ISBLANK(A398),"",SUMIF($A$3:$A398,P$2,$B$3:$B398))</f>
        <v/>
      </c>
      <c r="Q398" s="0" t="str">
        <f aca="false">IF(ISBLANK(A398),"",SUMIF($A$3:$A398,Q$2,$B$3:$B398))</f>
        <v/>
      </c>
      <c r="R398" s="0" t="str">
        <f aca="false">IF(ISBLANK(A398),"",SUMIF($A$3:$A398,R$2,$B$3:$B398))</f>
        <v/>
      </c>
      <c r="T398" s="0" t="str">
        <f aca="false">IF(ISBLANK(A398),"",IF($A398=T$2,$C398,T397))</f>
        <v/>
      </c>
      <c r="U398" s="0" t="str">
        <f aca="false">IF(ISBLANK(A398),"",IF($A398=U$2,$C398,U397))</f>
        <v/>
      </c>
      <c r="V398" s="0" t="str">
        <f aca="false">IF(ISBLANK(A398),"",IF($A398=V$2,$C398,V397))</f>
        <v/>
      </c>
      <c r="W398" s="0" t="str">
        <f aca="false">IF(ISBLANK(A398),"",IF($A398=W$2,$C398,W397))</f>
        <v/>
      </c>
    </row>
    <row r="399" customFormat="false" ht="12.8" hidden="false" customHeight="false" outlineLevel="0" collapsed="false">
      <c r="H399" s="8" t="n">
        <f aca="false">IF(ISBLANK(D399),,LEFT(D399,LEN(D399)-6)*1)</f>
        <v>0</v>
      </c>
      <c r="I399" s="9" t="str">
        <f aca="false">IF(ISBLANK(A399),"",-B399*C399)</f>
        <v/>
      </c>
      <c r="J399" s="9" t="str">
        <f aca="false">IF(ISBLANK(A399),"",-SUM(I$3:I399))</f>
        <v/>
      </c>
      <c r="K399" s="0" t="str">
        <f aca="false">IF(ISBLANK(A399),"",SUMPRODUCT(O399:R399,T399:W399)-J399)</f>
        <v/>
      </c>
      <c r="L399" s="0" t="str">
        <f aca="false">IF(ISBLANK(A399),"",K399/$M$1)</f>
        <v/>
      </c>
      <c r="M399" s="0" t="str">
        <f aca="false">IF(ISBLANK(A399),"",K399/($M$1+SUM(K$3:K398)))</f>
        <v/>
      </c>
      <c r="N399" s="0" t="str">
        <f aca="false">IF(ISBLANK(A399),"",IF(H400=0,NETWORKDAYS($H$3,H399,holiday!$B$2:$B$10),IF(DAY(H399)&lt;DAY(H400),NETWORKDAYS($H$3,H399,holiday!$B$2:$B$10),0)))</f>
        <v/>
      </c>
      <c r="O399" s="0" t="str">
        <f aca="false">IF(ISBLANK(A399),"",SUMIF($A$3:$A399,O$2,$B$3:$B399))</f>
        <v/>
      </c>
      <c r="P399" s="0" t="str">
        <f aca="false">IF(ISBLANK(A399),"",SUMIF($A$3:$A399,P$2,$B$3:$B399))</f>
        <v/>
      </c>
      <c r="Q399" s="0" t="str">
        <f aca="false">IF(ISBLANK(A399),"",SUMIF($A$3:$A399,Q$2,$B$3:$B399))</f>
        <v/>
      </c>
      <c r="R399" s="0" t="str">
        <f aca="false">IF(ISBLANK(A399),"",SUMIF($A$3:$A399,R$2,$B$3:$B399))</f>
        <v/>
      </c>
      <c r="T399" s="0" t="str">
        <f aca="false">IF(ISBLANK(A399),"",IF($A399=T$2,$C399,T398))</f>
        <v/>
      </c>
      <c r="U399" s="0" t="str">
        <f aca="false">IF(ISBLANK(A399),"",IF($A399=U$2,$C399,U398))</f>
        <v/>
      </c>
      <c r="V399" s="0" t="str">
        <f aca="false">IF(ISBLANK(A399),"",IF($A399=V$2,$C399,V398))</f>
        <v/>
      </c>
      <c r="W399" s="0" t="str">
        <f aca="false">IF(ISBLANK(A399),"",IF($A399=W$2,$C399,W398))</f>
        <v/>
      </c>
    </row>
    <row r="400" customFormat="false" ht="12.8" hidden="false" customHeight="false" outlineLevel="0" collapsed="false">
      <c r="H400" s="8" t="n">
        <f aca="false">IF(ISBLANK(D400),,LEFT(D400,LEN(D400)-6)*1)</f>
        <v>0</v>
      </c>
      <c r="I400" s="9" t="str">
        <f aca="false">IF(ISBLANK(A400),"",-B400*C400)</f>
        <v/>
      </c>
      <c r="J400" s="9" t="str">
        <f aca="false">IF(ISBLANK(A400),"",-SUM(I$3:I400))</f>
        <v/>
      </c>
      <c r="K400" s="0" t="str">
        <f aca="false">IF(ISBLANK(A400),"",SUMPRODUCT(O400:R400,T400:W400)-J400)</f>
        <v/>
      </c>
      <c r="L400" s="0" t="str">
        <f aca="false">IF(ISBLANK(A400),"",K400/$M$1)</f>
        <v/>
      </c>
      <c r="M400" s="0" t="str">
        <f aca="false">IF(ISBLANK(A400),"",K400/($M$1+SUM(K$3:K399)))</f>
        <v/>
      </c>
      <c r="N400" s="0" t="str">
        <f aca="false">IF(ISBLANK(A400),"",IF(H401=0,NETWORKDAYS($H$3,H400,holiday!$B$2:$B$10),IF(DAY(H400)&lt;DAY(H401),NETWORKDAYS($H$3,H400,holiday!$B$2:$B$10),0)))</f>
        <v/>
      </c>
      <c r="O400" s="0" t="str">
        <f aca="false">IF(ISBLANK(A400),"",SUMIF($A$3:$A400,O$2,$B$3:$B400))</f>
        <v/>
      </c>
      <c r="P400" s="0" t="str">
        <f aca="false">IF(ISBLANK(A400),"",SUMIF($A$3:$A400,P$2,$B$3:$B400))</f>
        <v/>
      </c>
      <c r="Q400" s="0" t="str">
        <f aca="false">IF(ISBLANK(A400),"",SUMIF($A$3:$A400,Q$2,$B$3:$B400))</f>
        <v/>
      </c>
      <c r="R400" s="0" t="str">
        <f aca="false">IF(ISBLANK(A400),"",SUMIF($A$3:$A400,R$2,$B$3:$B400))</f>
        <v/>
      </c>
      <c r="T400" s="0" t="str">
        <f aca="false">IF(ISBLANK(A400),"",IF($A400=T$2,$C400,T399))</f>
        <v/>
      </c>
      <c r="U400" s="0" t="str">
        <f aca="false">IF(ISBLANK(A400),"",IF($A400=U$2,$C400,U399))</f>
        <v/>
      </c>
      <c r="V400" s="0" t="str">
        <f aca="false">IF(ISBLANK(A400),"",IF($A400=V$2,$C400,V399))</f>
        <v/>
      </c>
      <c r="W400" s="0" t="str">
        <f aca="false">IF(ISBLANK(A400),"",IF($A400=W$2,$C400,W399))</f>
        <v/>
      </c>
    </row>
    <row r="401" customFormat="false" ht="12.8" hidden="false" customHeight="false" outlineLevel="0" collapsed="false">
      <c r="H401" s="8" t="n">
        <f aca="false">IF(ISBLANK(D401),,LEFT(D401,LEN(D401)-6)*1)</f>
        <v>0</v>
      </c>
      <c r="I401" s="9" t="str">
        <f aca="false">IF(ISBLANK(A401),"",-B401*C401)</f>
        <v/>
      </c>
      <c r="J401" s="9" t="str">
        <f aca="false">IF(ISBLANK(A401),"",-SUM(I$3:I401))</f>
        <v/>
      </c>
      <c r="K401" s="0" t="str">
        <f aca="false">IF(ISBLANK(A401),"",SUMPRODUCT(O401:R401,T401:W401)-J401)</f>
        <v/>
      </c>
      <c r="L401" s="0" t="str">
        <f aca="false">IF(ISBLANK(A401),"",K401/$M$1)</f>
        <v/>
      </c>
      <c r="M401" s="0" t="str">
        <f aca="false">IF(ISBLANK(A401),"",K401/($M$1+SUM(K$3:K400)))</f>
        <v/>
      </c>
      <c r="N401" s="0" t="str">
        <f aca="false">IF(ISBLANK(A401),"",IF(H402=0,NETWORKDAYS($H$3,H401,holiday!$B$2:$B$10),IF(DAY(H401)&lt;DAY(H402),NETWORKDAYS($H$3,H401,holiday!$B$2:$B$10),0)))</f>
        <v/>
      </c>
      <c r="O401" s="0" t="str">
        <f aca="false">IF(ISBLANK(A401),"",SUMIF($A$3:$A401,O$2,$B$3:$B401))</f>
        <v/>
      </c>
      <c r="P401" s="0" t="str">
        <f aca="false">IF(ISBLANK(A401),"",SUMIF($A$3:$A401,P$2,$B$3:$B401))</f>
        <v/>
      </c>
      <c r="Q401" s="0" t="str">
        <f aca="false">IF(ISBLANK(A401),"",SUMIF($A$3:$A401,Q$2,$B$3:$B401))</f>
        <v/>
      </c>
      <c r="R401" s="0" t="str">
        <f aca="false">IF(ISBLANK(A401),"",SUMIF($A$3:$A401,R$2,$B$3:$B401))</f>
        <v/>
      </c>
      <c r="T401" s="0" t="str">
        <f aca="false">IF(ISBLANK(A401),"",IF($A401=T$2,$C401,T400))</f>
        <v/>
      </c>
      <c r="U401" s="0" t="str">
        <f aca="false">IF(ISBLANK(A401),"",IF($A401=U$2,$C401,U400))</f>
        <v/>
      </c>
      <c r="V401" s="0" t="str">
        <f aca="false">IF(ISBLANK(A401),"",IF($A401=V$2,$C401,V400))</f>
        <v/>
      </c>
      <c r="W401" s="0" t="str">
        <f aca="false">IF(ISBLANK(A401),"",IF($A401=W$2,$C401,W400))</f>
        <v/>
      </c>
    </row>
    <row r="402" customFormat="false" ht="12.8" hidden="false" customHeight="false" outlineLevel="0" collapsed="false">
      <c r="H402" s="8" t="n">
        <f aca="false">IF(ISBLANK(D402),,LEFT(D402,LEN(D402)-6)*1)</f>
        <v>0</v>
      </c>
      <c r="I402" s="9" t="str">
        <f aca="false">IF(ISBLANK(A402),"",-B402*C402)</f>
        <v/>
      </c>
      <c r="J402" s="9" t="str">
        <f aca="false">IF(ISBLANK(A402),"",-SUM(I$3:I402))</f>
        <v/>
      </c>
      <c r="K402" s="0" t="str">
        <f aca="false">IF(ISBLANK(A402),"",SUMPRODUCT(O402:R402,T402:W402)-J402)</f>
        <v/>
      </c>
      <c r="L402" s="0" t="str">
        <f aca="false">IF(ISBLANK(A402),"",K402/$M$1)</f>
        <v/>
      </c>
      <c r="M402" s="0" t="str">
        <f aca="false">IF(ISBLANK(A402),"",K402/($M$1+SUM(K$3:K401)))</f>
        <v/>
      </c>
      <c r="N402" s="0" t="str">
        <f aca="false">IF(ISBLANK(A402),"",IF(H403=0,NETWORKDAYS($H$3,H402,holiday!$B$2:$B$10),IF(DAY(H402)&lt;DAY(H403),NETWORKDAYS($H$3,H402,holiday!$B$2:$B$10),0)))</f>
        <v/>
      </c>
      <c r="O402" s="0" t="str">
        <f aca="false">IF(ISBLANK(A402),"",SUMIF($A$3:$A402,O$2,$B$3:$B402))</f>
        <v/>
      </c>
      <c r="P402" s="0" t="str">
        <f aca="false">IF(ISBLANK(A402),"",SUMIF($A$3:$A402,P$2,$B$3:$B402))</f>
        <v/>
      </c>
      <c r="Q402" s="0" t="str">
        <f aca="false">IF(ISBLANK(A402),"",SUMIF($A$3:$A402,Q$2,$B$3:$B402))</f>
        <v/>
      </c>
      <c r="R402" s="0" t="str">
        <f aca="false">IF(ISBLANK(A402),"",SUMIF($A$3:$A402,R$2,$B$3:$B402))</f>
        <v/>
      </c>
      <c r="T402" s="0" t="str">
        <f aca="false">IF(ISBLANK(A402),"",IF($A402=T$2,$C402,T401))</f>
        <v/>
      </c>
      <c r="U402" s="0" t="str">
        <f aca="false">IF(ISBLANK(A402),"",IF($A402=U$2,$C402,U401))</f>
        <v/>
      </c>
      <c r="V402" s="0" t="str">
        <f aca="false">IF(ISBLANK(A402),"",IF($A402=V$2,$C402,V401))</f>
        <v/>
      </c>
      <c r="W402" s="0" t="str">
        <f aca="false">IF(ISBLANK(A402),"",IF($A402=W$2,$C402,W401))</f>
        <v/>
      </c>
    </row>
    <row r="403" customFormat="false" ht="12.8" hidden="false" customHeight="false" outlineLevel="0" collapsed="false">
      <c r="H403" s="8" t="n">
        <f aca="false">IF(ISBLANK(D403),,LEFT(D403,LEN(D403)-6)*1)</f>
        <v>0</v>
      </c>
      <c r="I403" s="9" t="str">
        <f aca="false">IF(ISBLANK(A403),"",-B403*C403)</f>
        <v/>
      </c>
      <c r="J403" s="9" t="str">
        <f aca="false">IF(ISBLANK(A403),"",-SUM(I$3:I403))</f>
        <v/>
      </c>
      <c r="K403" s="0" t="str">
        <f aca="false">IF(ISBLANK(A403),"",SUMPRODUCT(O403:R403,T403:W403)-J403)</f>
        <v/>
      </c>
      <c r="L403" s="0" t="str">
        <f aca="false">IF(ISBLANK(A403),"",K403/$M$1)</f>
        <v/>
      </c>
      <c r="M403" s="0" t="str">
        <f aca="false">IF(ISBLANK(A403),"",K403/($M$1+SUM(K$3:K402)))</f>
        <v/>
      </c>
      <c r="N403" s="0" t="str">
        <f aca="false">IF(ISBLANK(A403),"",IF(H404=0,NETWORKDAYS($H$3,H403,holiday!$B$2:$B$10),IF(DAY(H403)&lt;DAY(H404),NETWORKDAYS($H$3,H403,holiday!$B$2:$B$10),0)))</f>
        <v/>
      </c>
      <c r="O403" s="0" t="str">
        <f aca="false">IF(ISBLANK(A403),"",SUMIF($A$3:$A403,O$2,$B$3:$B403))</f>
        <v/>
      </c>
      <c r="P403" s="0" t="str">
        <f aca="false">IF(ISBLANK(A403),"",SUMIF($A$3:$A403,P$2,$B$3:$B403))</f>
        <v/>
      </c>
      <c r="Q403" s="0" t="str">
        <f aca="false">IF(ISBLANK(A403),"",SUMIF($A$3:$A403,Q$2,$B$3:$B403))</f>
        <v/>
      </c>
      <c r="R403" s="0" t="str">
        <f aca="false">IF(ISBLANK(A403),"",SUMIF($A$3:$A403,R$2,$B$3:$B403))</f>
        <v/>
      </c>
      <c r="T403" s="0" t="str">
        <f aca="false">IF(ISBLANK(A403),"",IF($A403=T$2,$C403,T402))</f>
        <v/>
      </c>
      <c r="U403" s="0" t="str">
        <f aca="false">IF(ISBLANK(A403),"",IF($A403=U$2,$C403,U402))</f>
        <v/>
      </c>
      <c r="V403" s="0" t="str">
        <f aca="false">IF(ISBLANK(A403),"",IF($A403=V$2,$C403,V402))</f>
        <v/>
      </c>
      <c r="W403" s="0" t="str">
        <f aca="false">IF(ISBLANK(A403),"",IF($A403=W$2,$C403,W402))</f>
        <v/>
      </c>
    </row>
    <row r="404" customFormat="false" ht="12.8" hidden="false" customHeight="false" outlineLevel="0" collapsed="false">
      <c r="H404" s="8" t="n">
        <f aca="false">IF(ISBLANK(D404),,LEFT(D404,LEN(D404)-6)*1)</f>
        <v>0</v>
      </c>
      <c r="I404" s="9" t="str">
        <f aca="false">IF(ISBLANK(A404),"",-B404*C404)</f>
        <v/>
      </c>
      <c r="J404" s="9" t="str">
        <f aca="false">IF(ISBLANK(A404),"",-SUM(I$3:I404))</f>
        <v/>
      </c>
      <c r="K404" s="0" t="str">
        <f aca="false">IF(ISBLANK(A404),"",SUMPRODUCT(O404:R404,T404:W404)-J404)</f>
        <v/>
      </c>
      <c r="L404" s="0" t="str">
        <f aca="false">IF(ISBLANK(A404),"",K404/$M$1)</f>
        <v/>
      </c>
      <c r="M404" s="0" t="str">
        <f aca="false">IF(ISBLANK(A404),"",K404/($M$1+SUM(K$3:K403)))</f>
        <v/>
      </c>
      <c r="N404" s="0" t="str">
        <f aca="false">IF(ISBLANK(A404),"",IF(H405=0,NETWORKDAYS($H$3,H404,holiday!$B$2:$B$10),IF(DAY(H404)&lt;DAY(H405),NETWORKDAYS($H$3,H404,holiday!$B$2:$B$10),0)))</f>
        <v/>
      </c>
      <c r="O404" s="0" t="str">
        <f aca="false">IF(ISBLANK(A404),"",SUMIF($A$3:$A404,O$2,$B$3:$B404))</f>
        <v/>
      </c>
      <c r="P404" s="0" t="str">
        <f aca="false">IF(ISBLANK(A404),"",SUMIF($A$3:$A404,P$2,$B$3:$B404))</f>
        <v/>
      </c>
      <c r="Q404" s="0" t="str">
        <f aca="false">IF(ISBLANK(A404),"",SUMIF($A$3:$A404,Q$2,$B$3:$B404))</f>
        <v/>
      </c>
      <c r="R404" s="0" t="str">
        <f aca="false">IF(ISBLANK(A404),"",SUMIF($A$3:$A404,R$2,$B$3:$B404))</f>
        <v/>
      </c>
      <c r="T404" s="0" t="str">
        <f aca="false">IF(ISBLANK(A404),"",IF($A404=T$2,$C404,T403))</f>
        <v/>
      </c>
      <c r="U404" s="0" t="str">
        <f aca="false">IF(ISBLANK(A404),"",IF($A404=U$2,$C404,U403))</f>
        <v/>
      </c>
      <c r="V404" s="0" t="str">
        <f aca="false">IF(ISBLANK(A404),"",IF($A404=V$2,$C404,V403))</f>
        <v/>
      </c>
      <c r="W404" s="0" t="str">
        <f aca="false">IF(ISBLANK(A404),"",IF($A404=W$2,$C404,W403))</f>
        <v/>
      </c>
    </row>
    <row r="405" customFormat="false" ht="12.8" hidden="false" customHeight="false" outlineLevel="0" collapsed="false">
      <c r="H405" s="8" t="n">
        <f aca="false">IF(ISBLANK(D405),,LEFT(D405,LEN(D405)-6)*1)</f>
        <v>0</v>
      </c>
      <c r="I405" s="9" t="str">
        <f aca="false">IF(ISBLANK(A405),"",-B405*C405)</f>
        <v/>
      </c>
      <c r="J405" s="9" t="str">
        <f aca="false">IF(ISBLANK(A405),"",-SUM(I$3:I405))</f>
        <v/>
      </c>
      <c r="K405" s="0" t="str">
        <f aca="false">IF(ISBLANK(A405),"",SUMPRODUCT(O405:R405,T405:W405)-J405)</f>
        <v/>
      </c>
      <c r="L405" s="0" t="str">
        <f aca="false">IF(ISBLANK(A405),"",K405/$M$1)</f>
        <v/>
      </c>
      <c r="M405" s="0" t="str">
        <f aca="false">IF(ISBLANK(A405),"",K405/($M$1+SUM(K$3:K404)))</f>
        <v/>
      </c>
      <c r="N405" s="0" t="str">
        <f aca="false">IF(ISBLANK(A405),"",IF(H406=0,NETWORKDAYS($H$3,H405,holiday!$B$2:$B$10),IF(DAY(H405)&lt;DAY(H406),NETWORKDAYS($H$3,H405,holiday!$B$2:$B$10),0)))</f>
        <v/>
      </c>
      <c r="O405" s="0" t="str">
        <f aca="false">IF(ISBLANK(A405),"",SUMIF($A$3:$A405,O$2,$B$3:$B405))</f>
        <v/>
      </c>
      <c r="P405" s="0" t="str">
        <f aca="false">IF(ISBLANK(A405),"",SUMIF($A$3:$A405,P$2,$B$3:$B405))</f>
        <v/>
      </c>
      <c r="Q405" s="0" t="str">
        <f aca="false">IF(ISBLANK(A405),"",SUMIF($A$3:$A405,Q$2,$B$3:$B405))</f>
        <v/>
      </c>
      <c r="R405" s="0" t="str">
        <f aca="false">IF(ISBLANK(A405),"",SUMIF($A$3:$A405,R$2,$B$3:$B405))</f>
        <v/>
      </c>
      <c r="T405" s="0" t="str">
        <f aca="false">IF(ISBLANK(A405),"",IF($A405=T$2,$C405,T404))</f>
        <v/>
      </c>
      <c r="U405" s="0" t="str">
        <f aca="false">IF(ISBLANK(A405),"",IF($A405=U$2,$C405,U404))</f>
        <v/>
      </c>
      <c r="V405" s="0" t="str">
        <f aca="false">IF(ISBLANK(A405),"",IF($A405=V$2,$C405,V404))</f>
        <v/>
      </c>
      <c r="W405" s="0" t="str">
        <f aca="false">IF(ISBLANK(A405),"",IF($A405=W$2,$C405,W404))</f>
        <v/>
      </c>
    </row>
    <row r="406" customFormat="false" ht="12.8" hidden="false" customHeight="false" outlineLevel="0" collapsed="false">
      <c r="H406" s="8" t="n">
        <f aca="false">IF(ISBLANK(D406),,LEFT(D406,LEN(D406)-6)*1)</f>
        <v>0</v>
      </c>
      <c r="I406" s="9" t="str">
        <f aca="false">IF(ISBLANK(A406),"",-B406*C406)</f>
        <v/>
      </c>
      <c r="J406" s="9" t="str">
        <f aca="false">IF(ISBLANK(A406),"",-SUM(I$3:I406))</f>
        <v/>
      </c>
      <c r="K406" s="0" t="str">
        <f aca="false">IF(ISBLANK(A406),"",SUMPRODUCT(O406:R406,T406:W406)-J406)</f>
        <v/>
      </c>
      <c r="L406" s="0" t="str">
        <f aca="false">IF(ISBLANK(A406),"",K406/$M$1)</f>
        <v/>
      </c>
      <c r="M406" s="0" t="str">
        <f aca="false">IF(ISBLANK(A406),"",K406/($M$1+SUM(K$3:K405)))</f>
        <v/>
      </c>
      <c r="N406" s="0" t="str">
        <f aca="false">IF(ISBLANK(A406),"",IF(H407=0,NETWORKDAYS($H$3,H406,holiday!$B$2:$B$10),IF(DAY(H406)&lt;DAY(H407),NETWORKDAYS($H$3,H406,holiday!$B$2:$B$10),0)))</f>
        <v/>
      </c>
      <c r="O406" s="0" t="str">
        <f aca="false">IF(ISBLANK(A406),"",SUMIF($A$3:$A406,O$2,$B$3:$B406))</f>
        <v/>
      </c>
      <c r="P406" s="0" t="str">
        <f aca="false">IF(ISBLANK(A406),"",SUMIF($A$3:$A406,P$2,$B$3:$B406))</f>
        <v/>
      </c>
      <c r="Q406" s="0" t="str">
        <f aca="false">IF(ISBLANK(A406),"",SUMIF($A$3:$A406,Q$2,$B$3:$B406))</f>
        <v/>
      </c>
      <c r="R406" s="0" t="str">
        <f aca="false">IF(ISBLANK(A406),"",SUMIF($A$3:$A406,R$2,$B$3:$B406))</f>
        <v/>
      </c>
      <c r="T406" s="0" t="str">
        <f aca="false">IF(ISBLANK(A406),"",IF($A406=T$2,$C406,T405))</f>
        <v/>
      </c>
      <c r="U406" s="0" t="str">
        <f aca="false">IF(ISBLANK(A406),"",IF($A406=U$2,$C406,U405))</f>
        <v/>
      </c>
      <c r="V406" s="0" t="str">
        <f aca="false">IF(ISBLANK(A406),"",IF($A406=V$2,$C406,V405))</f>
        <v/>
      </c>
      <c r="W406" s="0" t="str">
        <f aca="false">IF(ISBLANK(A406),"",IF($A406=W$2,$C406,W405))</f>
        <v/>
      </c>
    </row>
    <row r="407" customFormat="false" ht="12.8" hidden="false" customHeight="false" outlineLevel="0" collapsed="false">
      <c r="H407" s="8" t="n">
        <f aca="false">IF(ISBLANK(D407),,LEFT(D407,LEN(D407)-6)*1)</f>
        <v>0</v>
      </c>
      <c r="I407" s="9" t="str">
        <f aca="false">IF(ISBLANK(A407),"",-B407*C407)</f>
        <v/>
      </c>
      <c r="J407" s="9" t="str">
        <f aca="false">IF(ISBLANK(A407),"",-SUM(I$3:I407))</f>
        <v/>
      </c>
      <c r="K407" s="0" t="str">
        <f aca="false">IF(ISBLANK(A407),"",SUMPRODUCT(O407:R407,T407:W407)-J407)</f>
        <v/>
      </c>
      <c r="L407" s="0" t="str">
        <f aca="false">IF(ISBLANK(A407),"",K407/$M$1)</f>
        <v/>
      </c>
      <c r="M407" s="0" t="str">
        <f aca="false">IF(ISBLANK(A407),"",K407/($M$1+SUM(K$3:K406)))</f>
        <v/>
      </c>
      <c r="N407" s="0" t="str">
        <f aca="false">IF(ISBLANK(A407),"",IF(H408=0,NETWORKDAYS($H$3,H407,holiday!$B$2:$B$10),IF(DAY(H407)&lt;DAY(H408),NETWORKDAYS($H$3,H407,holiday!$B$2:$B$10),0)))</f>
        <v/>
      </c>
      <c r="O407" s="0" t="str">
        <f aca="false">IF(ISBLANK(A407),"",SUMIF($A$3:$A407,O$2,$B$3:$B407))</f>
        <v/>
      </c>
      <c r="P407" s="0" t="str">
        <f aca="false">IF(ISBLANK(A407),"",SUMIF($A$3:$A407,P$2,$B$3:$B407))</f>
        <v/>
      </c>
      <c r="Q407" s="0" t="str">
        <f aca="false">IF(ISBLANK(A407),"",SUMIF($A$3:$A407,Q$2,$B$3:$B407))</f>
        <v/>
      </c>
      <c r="R407" s="0" t="str">
        <f aca="false">IF(ISBLANK(A407),"",SUMIF($A$3:$A407,R$2,$B$3:$B407))</f>
        <v/>
      </c>
      <c r="T407" s="0" t="str">
        <f aca="false">IF(ISBLANK(A407),"",IF($A407=T$2,$C407,T406))</f>
        <v/>
      </c>
      <c r="U407" s="0" t="str">
        <f aca="false">IF(ISBLANK(A407),"",IF($A407=U$2,$C407,U406))</f>
        <v/>
      </c>
      <c r="V407" s="0" t="str">
        <f aca="false">IF(ISBLANK(A407),"",IF($A407=V$2,$C407,V406))</f>
        <v/>
      </c>
      <c r="W407" s="0" t="str">
        <f aca="false">IF(ISBLANK(A407),"",IF($A407=W$2,$C407,W406))</f>
        <v/>
      </c>
    </row>
    <row r="408" customFormat="false" ht="12.8" hidden="false" customHeight="false" outlineLevel="0" collapsed="false">
      <c r="H408" s="8" t="n">
        <f aca="false">IF(ISBLANK(D408),,LEFT(D408,LEN(D408)-6)*1)</f>
        <v>0</v>
      </c>
      <c r="I408" s="9" t="str">
        <f aca="false">IF(ISBLANK(A408),"",-B408*C408)</f>
        <v/>
      </c>
      <c r="J408" s="9" t="str">
        <f aca="false">IF(ISBLANK(A408),"",-SUM(I$3:I408))</f>
        <v/>
      </c>
      <c r="K408" s="0" t="str">
        <f aca="false">IF(ISBLANK(A408),"",SUMPRODUCT(O408:R408,T408:W408)-J408)</f>
        <v/>
      </c>
      <c r="L408" s="0" t="str">
        <f aca="false">IF(ISBLANK(A408),"",K408/$M$1)</f>
        <v/>
      </c>
      <c r="M408" s="0" t="str">
        <f aca="false">IF(ISBLANK(A408),"",K408/($M$1+SUM(K$3:K407)))</f>
        <v/>
      </c>
      <c r="N408" s="0" t="str">
        <f aca="false">IF(ISBLANK(A408),"",IF(H409=0,NETWORKDAYS($H$3,H408,holiday!$B$2:$B$10),IF(DAY(H408)&lt;DAY(H409),NETWORKDAYS($H$3,H408,holiday!$B$2:$B$10),0)))</f>
        <v/>
      </c>
      <c r="O408" s="0" t="str">
        <f aca="false">IF(ISBLANK(A408),"",SUMIF($A$3:$A408,O$2,$B$3:$B408))</f>
        <v/>
      </c>
      <c r="P408" s="0" t="str">
        <f aca="false">IF(ISBLANK(A408),"",SUMIF($A$3:$A408,P$2,$B$3:$B408))</f>
        <v/>
      </c>
      <c r="Q408" s="0" t="str">
        <f aca="false">IF(ISBLANK(A408),"",SUMIF($A$3:$A408,Q$2,$B$3:$B408))</f>
        <v/>
      </c>
      <c r="R408" s="0" t="str">
        <f aca="false">IF(ISBLANK(A408),"",SUMIF($A$3:$A408,R$2,$B$3:$B408))</f>
        <v/>
      </c>
      <c r="T408" s="0" t="str">
        <f aca="false">IF(ISBLANK(A408),"",IF($A408=T$2,$C408,T407))</f>
        <v/>
      </c>
      <c r="U408" s="0" t="str">
        <f aca="false">IF(ISBLANK(A408),"",IF($A408=U$2,$C408,U407))</f>
        <v/>
      </c>
      <c r="V408" s="0" t="str">
        <f aca="false">IF(ISBLANK(A408),"",IF($A408=V$2,$C408,V407))</f>
        <v/>
      </c>
      <c r="W408" s="0" t="str">
        <f aca="false">IF(ISBLANK(A408),"",IF($A408=W$2,$C408,W407))</f>
        <v/>
      </c>
    </row>
    <row r="409" customFormat="false" ht="12.8" hidden="false" customHeight="false" outlineLevel="0" collapsed="false">
      <c r="H409" s="8" t="n">
        <f aca="false">IF(ISBLANK(D409),,LEFT(D409,LEN(D409)-6)*1)</f>
        <v>0</v>
      </c>
      <c r="I409" s="9" t="str">
        <f aca="false">IF(ISBLANK(A409),"",-B409*C409)</f>
        <v/>
      </c>
      <c r="J409" s="9" t="str">
        <f aca="false">IF(ISBLANK(A409),"",-SUM(I$3:I409))</f>
        <v/>
      </c>
      <c r="K409" s="0" t="str">
        <f aca="false">IF(ISBLANK(A409),"",SUMPRODUCT(O409:R409,T409:W409)-J409)</f>
        <v/>
      </c>
      <c r="L409" s="0" t="str">
        <f aca="false">IF(ISBLANK(A409),"",K409/$M$1)</f>
        <v/>
      </c>
      <c r="M409" s="0" t="str">
        <f aca="false">IF(ISBLANK(A409),"",K409/($M$1+SUM(K$3:K408)))</f>
        <v/>
      </c>
      <c r="N409" s="0" t="str">
        <f aca="false">IF(ISBLANK(A409),"",IF(H410=0,NETWORKDAYS($H$3,H409,holiday!$B$2:$B$10),IF(DAY(H409)&lt;DAY(H410),NETWORKDAYS($H$3,H409,holiday!$B$2:$B$10),0)))</f>
        <v/>
      </c>
      <c r="O409" s="0" t="str">
        <f aca="false">IF(ISBLANK(A409),"",SUMIF($A$3:$A409,O$2,$B$3:$B409))</f>
        <v/>
      </c>
      <c r="P409" s="0" t="str">
        <f aca="false">IF(ISBLANK(A409),"",SUMIF($A$3:$A409,P$2,$B$3:$B409))</f>
        <v/>
      </c>
      <c r="Q409" s="0" t="str">
        <f aca="false">IF(ISBLANK(A409),"",SUMIF($A$3:$A409,Q$2,$B$3:$B409))</f>
        <v/>
      </c>
      <c r="R409" s="0" t="str">
        <f aca="false">IF(ISBLANK(A409),"",SUMIF($A$3:$A409,R$2,$B$3:$B409))</f>
        <v/>
      </c>
      <c r="T409" s="0" t="str">
        <f aca="false">IF(ISBLANK(A409),"",IF($A409=T$2,$C409,T408))</f>
        <v/>
      </c>
      <c r="U409" s="0" t="str">
        <f aca="false">IF(ISBLANK(A409),"",IF($A409=U$2,$C409,U408))</f>
        <v/>
      </c>
      <c r="V409" s="0" t="str">
        <f aca="false">IF(ISBLANK(A409),"",IF($A409=V$2,$C409,V408))</f>
        <v/>
      </c>
      <c r="W409" s="0" t="str">
        <f aca="false">IF(ISBLANK(A409),"",IF($A409=W$2,$C409,W408))</f>
        <v/>
      </c>
    </row>
    <row r="410" customFormat="false" ht="12.8" hidden="false" customHeight="false" outlineLevel="0" collapsed="false">
      <c r="H410" s="8" t="n">
        <f aca="false">IF(ISBLANK(D410),,LEFT(D410,LEN(D410)-6)*1)</f>
        <v>0</v>
      </c>
      <c r="I410" s="9" t="str">
        <f aca="false">IF(ISBLANK(A410),"",-B410*C410)</f>
        <v/>
      </c>
      <c r="J410" s="9" t="str">
        <f aca="false">IF(ISBLANK(A410),"",-SUM(I$3:I410))</f>
        <v/>
      </c>
      <c r="K410" s="0" t="str">
        <f aca="false">IF(ISBLANK(A410),"",SUMPRODUCT(O410:R410,T410:W410)-J410)</f>
        <v/>
      </c>
      <c r="L410" s="0" t="str">
        <f aca="false">IF(ISBLANK(A410),"",K410/$M$1)</f>
        <v/>
      </c>
      <c r="M410" s="0" t="str">
        <f aca="false">IF(ISBLANK(A410),"",K410/($M$1+SUM(K$3:K409)))</f>
        <v/>
      </c>
      <c r="N410" s="0" t="str">
        <f aca="false">IF(ISBLANK(A410),"",IF(H411=0,NETWORKDAYS($H$3,H410,holiday!$B$2:$B$10),IF(DAY(H410)&lt;DAY(H411),NETWORKDAYS($H$3,H410,holiday!$B$2:$B$10),0)))</f>
        <v/>
      </c>
      <c r="O410" s="0" t="str">
        <f aca="false">IF(ISBLANK(A410),"",SUMIF($A$3:$A410,O$2,$B$3:$B410))</f>
        <v/>
      </c>
      <c r="P410" s="0" t="str">
        <f aca="false">IF(ISBLANK(A410),"",SUMIF($A$3:$A410,P$2,$B$3:$B410))</f>
        <v/>
      </c>
      <c r="Q410" s="0" t="str">
        <f aca="false">IF(ISBLANK(A410),"",SUMIF($A$3:$A410,Q$2,$B$3:$B410))</f>
        <v/>
      </c>
      <c r="R410" s="0" t="str">
        <f aca="false">IF(ISBLANK(A410),"",SUMIF($A$3:$A410,R$2,$B$3:$B410))</f>
        <v/>
      </c>
      <c r="T410" s="0" t="str">
        <f aca="false">IF(ISBLANK(A410),"",IF($A410=T$2,$C410,T409))</f>
        <v/>
      </c>
      <c r="U410" s="0" t="str">
        <f aca="false">IF(ISBLANK(A410),"",IF($A410=U$2,$C410,U409))</f>
        <v/>
      </c>
      <c r="V410" s="0" t="str">
        <f aca="false">IF(ISBLANK(A410),"",IF($A410=V$2,$C410,V409))</f>
        <v/>
      </c>
      <c r="W410" s="0" t="str">
        <f aca="false">IF(ISBLANK(A410),"",IF($A410=W$2,$C410,W409))</f>
        <v/>
      </c>
    </row>
    <row r="411" customFormat="false" ht="12.8" hidden="false" customHeight="false" outlineLevel="0" collapsed="false">
      <c r="H411" s="8" t="n">
        <f aca="false">IF(ISBLANK(D411),,LEFT(D411,LEN(D411)-6)*1)</f>
        <v>0</v>
      </c>
      <c r="I411" s="9" t="str">
        <f aca="false">IF(ISBLANK(A411),"",-B411*C411)</f>
        <v/>
      </c>
      <c r="J411" s="9" t="str">
        <f aca="false">IF(ISBLANK(A411),"",-SUM(I$3:I411))</f>
        <v/>
      </c>
      <c r="K411" s="0" t="str">
        <f aca="false">IF(ISBLANK(A411),"",SUMPRODUCT(O411:R411,T411:W411)-J411)</f>
        <v/>
      </c>
      <c r="L411" s="0" t="str">
        <f aca="false">IF(ISBLANK(A411),"",K411/$M$1)</f>
        <v/>
      </c>
      <c r="M411" s="0" t="str">
        <f aca="false">IF(ISBLANK(A411),"",K411/($M$1+SUM(K$3:K410)))</f>
        <v/>
      </c>
      <c r="N411" s="0" t="str">
        <f aca="false">IF(ISBLANK(A411),"",IF(H412=0,NETWORKDAYS($H$3,H411,holiday!$B$2:$B$10),IF(DAY(H411)&lt;DAY(H412),NETWORKDAYS($H$3,H411,holiday!$B$2:$B$10),0)))</f>
        <v/>
      </c>
      <c r="O411" s="0" t="str">
        <f aca="false">IF(ISBLANK(A411),"",SUMIF($A$3:$A411,O$2,$B$3:$B411))</f>
        <v/>
      </c>
      <c r="P411" s="0" t="str">
        <f aca="false">IF(ISBLANK(A411),"",SUMIF($A$3:$A411,P$2,$B$3:$B411))</f>
        <v/>
      </c>
      <c r="Q411" s="0" t="str">
        <f aca="false">IF(ISBLANK(A411),"",SUMIF($A$3:$A411,Q$2,$B$3:$B411))</f>
        <v/>
      </c>
      <c r="R411" s="0" t="str">
        <f aca="false">IF(ISBLANK(A411),"",SUMIF($A$3:$A411,R$2,$B$3:$B411))</f>
        <v/>
      </c>
      <c r="T411" s="0" t="str">
        <f aca="false">IF(ISBLANK(A411),"",IF($A411=T$2,$C411,T410))</f>
        <v/>
      </c>
      <c r="U411" s="0" t="str">
        <f aca="false">IF(ISBLANK(A411),"",IF($A411=U$2,$C411,U410))</f>
        <v/>
      </c>
      <c r="V411" s="0" t="str">
        <f aca="false">IF(ISBLANK(A411),"",IF($A411=V$2,$C411,V410))</f>
        <v/>
      </c>
      <c r="W411" s="0" t="str">
        <f aca="false">IF(ISBLANK(A411),"",IF($A411=W$2,$C411,W410))</f>
        <v/>
      </c>
    </row>
    <row r="412" customFormat="false" ht="12.8" hidden="false" customHeight="false" outlineLevel="0" collapsed="false">
      <c r="H412" s="8" t="n">
        <f aca="false">IF(ISBLANK(D412),,LEFT(D412,LEN(D412)-6)*1)</f>
        <v>0</v>
      </c>
      <c r="I412" s="9" t="str">
        <f aca="false">IF(ISBLANK(A412),"",-B412*C412)</f>
        <v/>
      </c>
      <c r="J412" s="9" t="str">
        <f aca="false">IF(ISBLANK(A412),"",-SUM(I$3:I412))</f>
        <v/>
      </c>
      <c r="K412" s="0" t="str">
        <f aca="false">IF(ISBLANK(A412),"",SUMPRODUCT(O412:R412,T412:W412)-J412)</f>
        <v/>
      </c>
      <c r="L412" s="0" t="str">
        <f aca="false">IF(ISBLANK(A412),"",K412/$M$1)</f>
        <v/>
      </c>
      <c r="M412" s="0" t="str">
        <f aca="false">IF(ISBLANK(A412),"",K412/($M$1+SUM(K$3:K411)))</f>
        <v/>
      </c>
      <c r="N412" s="0" t="str">
        <f aca="false">IF(ISBLANK(A412),"",IF(H413=0,NETWORKDAYS($H$3,H412,holiday!$B$2:$B$10),IF(DAY(H412)&lt;DAY(H413),NETWORKDAYS($H$3,H412,holiday!$B$2:$B$10),0)))</f>
        <v/>
      </c>
      <c r="O412" s="0" t="str">
        <f aca="false">IF(ISBLANK(A412),"",SUMIF($A$3:$A412,O$2,$B$3:$B412))</f>
        <v/>
      </c>
      <c r="P412" s="0" t="str">
        <f aca="false">IF(ISBLANK(A412),"",SUMIF($A$3:$A412,P$2,$B$3:$B412))</f>
        <v/>
      </c>
      <c r="Q412" s="0" t="str">
        <f aca="false">IF(ISBLANK(A412),"",SUMIF($A$3:$A412,Q$2,$B$3:$B412))</f>
        <v/>
      </c>
      <c r="R412" s="0" t="str">
        <f aca="false">IF(ISBLANK(A412),"",SUMIF($A$3:$A412,R$2,$B$3:$B412))</f>
        <v/>
      </c>
      <c r="T412" s="0" t="str">
        <f aca="false">IF(ISBLANK(A412),"",IF($A412=T$2,$C412,T411))</f>
        <v/>
      </c>
      <c r="U412" s="0" t="str">
        <f aca="false">IF(ISBLANK(A412),"",IF($A412=U$2,$C412,U411))</f>
        <v/>
      </c>
      <c r="V412" s="0" t="str">
        <f aca="false">IF(ISBLANK(A412),"",IF($A412=V$2,$C412,V411))</f>
        <v/>
      </c>
      <c r="W412" s="0" t="str">
        <f aca="false">IF(ISBLANK(A412),"",IF($A412=W$2,$C412,W411))</f>
        <v/>
      </c>
    </row>
    <row r="413" customFormat="false" ht="12.8" hidden="false" customHeight="false" outlineLevel="0" collapsed="false">
      <c r="H413" s="8" t="n">
        <f aca="false">IF(ISBLANK(D413),,LEFT(D413,LEN(D413)-6)*1)</f>
        <v>0</v>
      </c>
      <c r="I413" s="9" t="str">
        <f aca="false">IF(ISBLANK(A413),"",-B413*C413)</f>
        <v/>
      </c>
      <c r="J413" s="9" t="str">
        <f aca="false">IF(ISBLANK(A413),"",-SUM(I$3:I413))</f>
        <v/>
      </c>
      <c r="K413" s="0" t="str">
        <f aca="false">IF(ISBLANK(A413),"",SUMPRODUCT(O413:R413,T413:W413)-J413)</f>
        <v/>
      </c>
      <c r="L413" s="0" t="str">
        <f aca="false">IF(ISBLANK(A413),"",K413/$M$1)</f>
        <v/>
      </c>
      <c r="M413" s="0" t="str">
        <f aca="false">IF(ISBLANK(A413),"",K413/($M$1+SUM(K$3:K412)))</f>
        <v/>
      </c>
      <c r="N413" s="0" t="str">
        <f aca="false">IF(ISBLANK(A413),"",IF(H414=0,NETWORKDAYS($H$3,H413,holiday!$B$2:$B$10),IF(DAY(H413)&lt;DAY(H414),NETWORKDAYS($H$3,H413,holiday!$B$2:$B$10),0)))</f>
        <v/>
      </c>
      <c r="O413" s="0" t="str">
        <f aca="false">IF(ISBLANK(A413),"",SUMIF($A$3:$A413,O$2,$B$3:$B413))</f>
        <v/>
      </c>
      <c r="P413" s="0" t="str">
        <f aca="false">IF(ISBLANK(A413),"",SUMIF($A$3:$A413,P$2,$B$3:$B413))</f>
        <v/>
      </c>
      <c r="Q413" s="0" t="str">
        <f aca="false">IF(ISBLANK(A413),"",SUMIF($A$3:$A413,Q$2,$B$3:$B413))</f>
        <v/>
      </c>
      <c r="R413" s="0" t="str">
        <f aca="false">IF(ISBLANK(A413),"",SUMIF($A$3:$A413,R$2,$B$3:$B413))</f>
        <v/>
      </c>
      <c r="T413" s="0" t="str">
        <f aca="false">IF(ISBLANK(A413),"",IF($A413=T$2,$C413,T412))</f>
        <v/>
      </c>
      <c r="U413" s="0" t="str">
        <f aca="false">IF(ISBLANK(A413),"",IF($A413=U$2,$C413,U412))</f>
        <v/>
      </c>
      <c r="V413" s="0" t="str">
        <f aca="false">IF(ISBLANK(A413),"",IF($A413=V$2,$C413,V412))</f>
        <v/>
      </c>
      <c r="W413" s="0" t="str">
        <f aca="false">IF(ISBLANK(A413),"",IF($A413=W$2,$C413,W412))</f>
        <v/>
      </c>
    </row>
    <row r="414" customFormat="false" ht="12.8" hidden="false" customHeight="false" outlineLevel="0" collapsed="false">
      <c r="H414" s="8" t="n">
        <f aca="false">IF(ISBLANK(D414),,LEFT(D414,LEN(D414)-6)*1)</f>
        <v>0</v>
      </c>
      <c r="I414" s="9" t="str">
        <f aca="false">IF(ISBLANK(A414),"",-B414*C414)</f>
        <v/>
      </c>
      <c r="J414" s="9" t="str">
        <f aca="false">IF(ISBLANK(A414),"",-SUM(I$3:I414))</f>
        <v/>
      </c>
      <c r="K414" s="0" t="str">
        <f aca="false">IF(ISBLANK(A414),"",SUMPRODUCT(O414:R414,T414:W414)-J414)</f>
        <v/>
      </c>
      <c r="L414" s="0" t="str">
        <f aca="false">IF(ISBLANK(A414),"",K414/$M$1)</f>
        <v/>
      </c>
      <c r="M414" s="0" t="str">
        <f aca="false">IF(ISBLANK(A414),"",K414/($M$1+SUM(K$3:K413)))</f>
        <v/>
      </c>
      <c r="N414" s="0" t="str">
        <f aca="false">IF(ISBLANK(A414),"",IF(H415=0,NETWORKDAYS($H$3,H414,holiday!$B$2:$B$10),IF(DAY(H414)&lt;DAY(H415),NETWORKDAYS($H$3,H414,holiday!$B$2:$B$10),0)))</f>
        <v/>
      </c>
      <c r="O414" s="0" t="str">
        <f aca="false">IF(ISBLANK(A414),"",SUMIF($A$3:$A414,O$2,$B$3:$B414))</f>
        <v/>
      </c>
      <c r="P414" s="0" t="str">
        <f aca="false">IF(ISBLANK(A414),"",SUMIF($A$3:$A414,P$2,$B$3:$B414))</f>
        <v/>
      </c>
      <c r="Q414" s="0" t="str">
        <f aca="false">IF(ISBLANK(A414),"",SUMIF($A$3:$A414,Q$2,$B$3:$B414))</f>
        <v/>
      </c>
      <c r="R414" s="0" t="str">
        <f aca="false">IF(ISBLANK(A414),"",SUMIF($A$3:$A414,R$2,$B$3:$B414))</f>
        <v/>
      </c>
      <c r="T414" s="0" t="str">
        <f aca="false">IF(ISBLANK(A414),"",IF($A414=T$2,$C414,T413))</f>
        <v/>
      </c>
      <c r="U414" s="0" t="str">
        <f aca="false">IF(ISBLANK(A414),"",IF($A414=U$2,$C414,U413))</f>
        <v/>
      </c>
      <c r="V414" s="0" t="str">
        <f aca="false">IF(ISBLANK(A414),"",IF($A414=V$2,$C414,V413))</f>
        <v/>
      </c>
      <c r="W414" s="0" t="str">
        <f aca="false">IF(ISBLANK(A414),"",IF($A414=W$2,$C414,W413))</f>
        <v/>
      </c>
    </row>
    <row r="415" customFormat="false" ht="12.8" hidden="false" customHeight="false" outlineLevel="0" collapsed="false">
      <c r="H415" s="8" t="n">
        <f aca="false">IF(ISBLANK(D415),,LEFT(D415,LEN(D415)-6)*1)</f>
        <v>0</v>
      </c>
      <c r="I415" s="9" t="str">
        <f aca="false">IF(ISBLANK(A415),"",-B415*C415)</f>
        <v/>
      </c>
      <c r="J415" s="9" t="str">
        <f aca="false">IF(ISBLANK(A415),"",-SUM(I$3:I415))</f>
        <v/>
      </c>
      <c r="K415" s="0" t="str">
        <f aca="false">IF(ISBLANK(A415),"",SUMPRODUCT(O415:R415,T415:W415)-J415)</f>
        <v/>
      </c>
      <c r="L415" s="0" t="str">
        <f aca="false">IF(ISBLANK(A415),"",K415/$M$1)</f>
        <v/>
      </c>
      <c r="M415" s="0" t="str">
        <f aca="false">IF(ISBLANK(A415),"",K415/($M$1+SUM(K$3:K414)))</f>
        <v/>
      </c>
      <c r="N415" s="0" t="str">
        <f aca="false">IF(ISBLANK(A415),"",IF(H416=0,NETWORKDAYS($H$3,H415,holiday!$B$2:$B$10),IF(DAY(H415)&lt;DAY(H416),NETWORKDAYS($H$3,H415,holiday!$B$2:$B$10),0)))</f>
        <v/>
      </c>
      <c r="O415" s="0" t="str">
        <f aca="false">IF(ISBLANK(A415),"",SUMIF($A$3:$A415,O$2,$B$3:$B415))</f>
        <v/>
      </c>
      <c r="P415" s="0" t="str">
        <f aca="false">IF(ISBLANK(A415),"",SUMIF($A$3:$A415,P$2,$B$3:$B415))</f>
        <v/>
      </c>
      <c r="Q415" s="0" t="str">
        <f aca="false">IF(ISBLANK(A415),"",SUMIF($A$3:$A415,Q$2,$B$3:$B415))</f>
        <v/>
      </c>
      <c r="R415" s="0" t="str">
        <f aca="false">IF(ISBLANK(A415),"",SUMIF($A$3:$A415,R$2,$B$3:$B415))</f>
        <v/>
      </c>
      <c r="T415" s="0" t="str">
        <f aca="false">IF(ISBLANK(A415),"",IF($A415=T$2,$C415,T414))</f>
        <v/>
      </c>
      <c r="U415" s="0" t="str">
        <f aca="false">IF(ISBLANK(A415),"",IF($A415=U$2,$C415,U414))</f>
        <v/>
      </c>
      <c r="V415" s="0" t="str">
        <f aca="false">IF(ISBLANK(A415),"",IF($A415=V$2,$C415,V414))</f>
        <v/>
      </c>
      <c r="W415" s="0" t="str">
        <f aca="false">IF(ISBLANK(A415),"",IF($A415=W$2,$C415,W414))</f>
        <v/>
      </c>
    </row>
    <row r="416" customFormat="false" ht="12.8" hidden="false" customHeight="false" outlineLevel="0" collapsed="false">
      <c r="H416" s="8" t="n">
        <f aca="false">IF(ISBLANK(D416),,LEFT(D416,LEN(D416)-6)*1)</f>
        <v>0</v>
      </c>
      <c r="I416" s="9" t="str">
        <f aca="false">IF(ISBLANK(A416),"",-B416*C416)</f>
        <v/>
      </c>
      <c r="J416" s="9" t="str">
        <f aca="false">IF(ISBLANK(A416),"",-SUM(I$3:I416))</f>
        <v/>
      </c>
      <c r="K416" s="0" t="str">
        <f aca="false">IF(ISBLANK(A416),"",SUMPRODUCT(O416:R416,T416:W416)-J416)</f>
        <v/>
      </c>
      <c r="L416" s="0" t="str">
        <f aca="false">IF(ISBLANK(A416),"",K416/$M$1)</f>
        <v/>
      </c>
      <c r="M416" s="0" t="str">
        <f aca="false">IF(ISBLANK(A416),"",K416/($M$1+SUM(K$3:K415)))</f>
        <v/>
      </c>
      <c r="N416" s="0" t="str">
        <f aca="false">IF(ISBLANK(A416),"",IF(H417=0,NETWORKDAYS($H$3,H416,holiday!$B$2:$B$10),IF(DAY(H416)&lt;DAY(H417),NETWORKDAYS($H$3,H416,holiday!$B$2:$B$10),0)))</f>
        <v/>
      </c>
      <c r="O416" s="0" t="str">
        <f aca="false">IF(ISBLANK(A416),"",SUMIF($A$3:$A416,O$2,$B$3:$B416))</f>
        <v/>
      </c>
      <c r="P416" s="0" t="str">
        <f aca="false">IF(ISBLANK(A416),"",SUMIF($A$3:$A416,P$2,$B$3:$B416))</f>
        <v/>
      </c>
      <c r="Q416" s="0" t="str">
        <f aca="false">IF(ISBLANK(A416),"",SUMIF($A$3:$A416,Q$2,$B$3:$B416))</f>
        <v/>
      </c>
      <c r="R416" s="0" t="str">
        <f aca="false">IF(ISBLANK(A416),"",SUMIF($A$3:$A416,R$2,$B$3:$B416))</f>
        <v/>
      </c>
      <c r="T416" s="0" t="str">
        <f aca="false">IF(ISBLANK(A416),"",IF($A416=T$2,$C416,T415))</f>
        <v/>
      </c>
      <c r="U416" s="0" t="str">
        <f aca="false">IF(ISBLANK(A416),"",IF($A416=U$2,$C416,U415))</f>
        <v/>
      </c>
      <c r="V416" s="0" t="str">
        <f aca="false">IF(ISBLANK(A416),"",IF($A416=V$2,$C416,V415))</f>
        <v/>
      </c>
      <c r="W416" s="0" t="str">
        <f aca="false">IF(ISBLANK(A416),"",IF($A416=W$2,$C416,W415))</f>
        <v/>
      </c>
    </row>
    <row r="417" customFormat="false" ht="12.8" hidden="false" customHeight="false" outlineLevel="0" collapsed="false">
      <c r="H417" s="8" t="n">
        <f aca="false">IF(ISBLANK(D417),,LEFT(D417,LEN(D417)-6)*1)</f>
        <v>0</v>
      </c>
      <c r="I417" s="9" t="str">
        <f aca="false">IF(ISBLANK(A417),"",-B417*C417)</f>
        <v/>
      </c>
      <c r="J417" s="9" t="str">
        <f aca="false">IF(ISBLANK(A417),"",-SUM(I$3:I417))</f>
        <v/>
      </c>
      <c r="K417" s="0" t="str">
        <f aca="false">IF(ISBLANK(A417),"",SUMPRODUCT(O417:R417,T417:W417)-J417)</f>
        <v/>
      </c>
      <c r="L417" s="0" t="str">
        <f aca="false">IF(ISBLANK(A417),"",K417/$M$1)</f>
        <v/>
      </c>
      <c r="M417" s="0" t="str">
        <f aca="false">IF(ISBLANK(A417),"",K417/($M$1+SUM(K$3:K416)))</f>
        <v/>
      </c>
      <c r="N417" s="0" t="str">
        <f aca="false">IF(ISBLANK(A417),"",IF(H418=0,NETWORKDAYS($H$3,H417,holiday!$B$2:$B$10),IF(DAY(H417)&lt;DAY(H418),NETWORKDAYS($H$3,H417,holiday!$B$2:$B$10),0)))</f>
        <v/>
      </c>
      <c r="O417" s="0" t="str">
        <f aca="false">IF(ISBLANK(A417),"",SUMIF($A$3:$A417,O$2,$B$3:$B417))</f>
        <v/>
      </c>
      <c r="P417" s="0" t="str">
        <f aca="false">IF(ISBLANK(A417),"",SUMIF($A$3:$A417,P$2,$B$3:$B417))</f>
        <v/>
      </c>
      <c r="Q417" s="0" t="str">
        <f aca="false">IF(ISBLANK(A417),"",SUMIF($A$3:$A417,Q$2,$B$3:$B417))</f>
        <v/>
      </c>
      <c r="R417" s="0" t="str">
        <f aca="false">IF(ISBLANK(A417),"",SUMIF($A$3:$A417,R$2,$B$3:$B417))</f>
        <v/>
      </c>
      <c r="T417" s="0" t="str">
        <f aca="false">IF(ISBLANK(A417),"",IF($A417=T$2,$C417,T416))</f>
        <v/>
      </c>
      <c r="U417" s="0" t="str">
        <f aca="false">IF(ISBLANK(A417),"",IF($A417=U$2,$C417,U416))</f>
        <v/>
      </c>
      <c r="V417" s="0" t="str">
        <f aca="false">IF(ISBLANK(A417),"",IF($A417=V$2,$C417,V416))</f>
        <v/>
      </c>
      <c r="W417" s="0" t="str">
        <f aca="false">IF(ISBLANK(A417),"",IF($A417=W$2,$C417,W416))</f>
        <v/>
      </c>
    </row>
    <row r="418" customFormat="false" ht="12.8" hidden="false" customHeight="false" outlineLevel="0" collapsed="false">
      <c r="H418" s="8" t="n">
        <f aca="false">IF(ISBLANK(D418),,LEFT(D418,LEN(D418)-6)*1)</f>
        <v>0</v>
      </c>
      <c r="I418" s="9" t="str">
        <f aca="false">IF(ISBLANK(A418),"",-B418*C418)</f>
        <v/>
      </c>
      <c r="J418" s="9" t="str">
        <f aca="false">IF(ISBLANK(A418),"",-SUM(I$3:I418))</f>
        <v/>
      </c>
      <c r="K418" s="0" t="str">
        <f aca="false">IF(ISBLANK(A418),"",SUMPRODUCT(O418:R418,T418:W418)-J418)</f>
        <v/>
      </c>
      <c r="L418" s="0" t="str">
        <f aca="false">IF(ISBLANK(A418),"",K418/$M$1)</f>
        <v/>
      </c>
      <c r="M418" s="0" t="str">
        <f aca="false">IF(ISBLANK(A418),"",K418/($M$1+SUM(K$3:K417)))</f>
        <v/>
      </c>
      <c r="N418" s="0" t="str">
        <f aca="false">IF(ISBLANK(A418),"",IF(H419=0,NETWORKDAYS($H$3,H418,holiday!$B$2:$B$10),IF(DAY(H418)&lt;DAY(H419),NETWORKDAYS($H$3,H418,holiday!$B$2:$B$10),0)))</f>
        <v/>
      </c>
      <c r="O418" s="0" t="str">
        <f aca="false">IF(ISBLANK(A418),"",SUMIF($A$3:$A418,O$2,$B$3:$B418))</f>
        <v/>
      </c>
      <c r="P418" s="0" t="str">
        <f aca="false">IF(ISBLANK(A418),"",SUMIF($A$3:$A418,P$2,$B$3:$B418))</f>
        <v/>
      </c>
      <c r="Q418" s="0" t="str">
        <f aca="false">IF(ISBLANK(A418),"",SUMIF($A$3:$A418,Q$2,$B$3:$B418))</f>
        <v/>
      </c>
      <c r="R418" s="0" t="str">
        <f aca="false">IF(ISBLANK(A418),"",SUMIF($A$3:$A418,R$2,$B$3:$B418))</f>
        <v/>
      </c>
      <c r="T418" s="0" t="str">
        <f aca="false">IF(ISBLANK(A418),"",IF($A418=T$2,$C418,T417))</f>
        <v/>
      </c>
      <c r="U418" s="0" t="str">
        <f aca="false">IF(ISBLANK(A418),"",IF($A418=U$2,$C418,U417))</f>
        <v/>
      </c>
      <c r="V418" s="0" t="str">
        <f aca="false">IF(ISBLANK(A418),"",IF($A418=V$2,$C418,V417))</f>
        <v/>
      </c>
      <c r="W418" s="0" t="str">
        <f aca="false">IF(ISBLANK(A418),"",IF($A418=W$2,$C418,W417))</f>
        <v/>
      </c>
    </row>
    <row r="419" customFormat="false" ht="12.8" hidden="false" customHeight="false" outlineLevel="0" collapsed="false">
      <c r="H419" s="8" t="n">
        <f aca="false">IF(ISBLANK(D419),,LEFT(D419,LEN(D419)-6)*1)</f>
        <v>0</v>
      </c>
      <c r="I419" s="9" t="str">
        <f aca="false">IF(ISBLANK(A419),"",-B419*C419)</f>
        <v/>
      </c>
      <c r="J419" s="9" t="str">
        <f aca="false">IF(ISBLANK(A419),"",-SUM(I$3:I419))</f>
        <v/>
      </c>
      <c r="K419" s="0" t="str">
        <f aca="false">IF(ISBLANK(A419),"",SUMPRODUCT(O419:R419,T419:W419)-J419)</f>
        <v/>
      </c>
      <c r="L419" s="0" t="str">
        <f aca="false">IF(ISBLANK(A419),"",K419/$M$1)</f>
        <v/>
      </c>
      <c r="M419" s="0" t="str">
        <f aca="false">IF(ISBLANK(A419),"",K419/($M$1+SUM(K$3:K418)))</f>
        <v/>
      </c>
      <c r="N419" s="0" t="str">
        <f aca="false">IF(ISBLANK(A419),"",IF(H420=0,NETWORKDAYS($H$3,H419,holiday!$B$2:$B$10),IF(DAY(H419)&lt;DAY(H420),NETWORKDAYS($H$3,H419,holiday!$B$2:$B$10),0)))</f>
        <v/>
      </c>
      <c r="O419" s="0" t="str">
        <f aca="false">IF(ISBLANK(A419),"",SUMIF($A$3:$A419,O$2,$B$3:$B419))</f>
        <v/>
      </c>
      <c r="P419" s="0" t="str">
        <f aca="false">IF(ISBLANK(A419),"",SUMIF($A$3:$A419,P$2,$B$3:$B419))</f>
        <v/>
      </c>
      <c r="Q419" s="0" t="str">
        <f aca="false">IF(ISBLANK(A419),"",SUMIF($A$3:$A419,Q$2,$B$3:$B419))</f>
        <v/>
      </c>
      <c r="R419" s="0" t="str">
        <f aca="false">IF(ISBLANK(A419),"",SUMIF($A$3:$A419,R$2,$B$3:$B419))</f>
        <v/>
      </c>
      <c r="T419" s="0" t="str">
        <f aca="false">IF(ISBLANK(A419),"",IF($A419=T$2,$C419,T418))</f>
        <v/>
      </c>
      <c r="U419" s="0" t="str">
        <f aca="false">IF(ISBLANK(A419),"",IF($A419=U$2,$C419,U418))</f>
        <v/>
      </c>
      <c r="V419" s="0" t="str">
        <f aca="false">IF(ISBLANK(A419),"",IF($A419=V$2,$C419,V418))</f>
        <v/>
      </c>
      <c r="W419" s="0" t="str">
        <f aca="false">IF(ISBLANK(A419),"",IF($A419=W$2,$C419,W418))</f>
        <v/>
      </c>
    </row>
    <row r="420" customFormat="false" ht="12.8" hidden="false" customHeight="false" outlineLevel="0" collapsed="false">
      <c r="H420" s="8" t="n">
        <f aca="false">IF(ISBLANK(D420),,LEFT(D420,LEN(D420)-6)*1)</f>
        <v>0</v>
      </c>
      <c r="I420" s="9" t="str">
        <f aca="false">IF(ISBLANK(A420),"",-B420*C420)</f>
        <v/>
      </c>
      <c r="J420" s="9" t="str">
        <f aca="false">IF(ISBLANK(A420),"",-SUM(I$3:I420))</f>
        <v/>
      </c>
      <c r="K420" s="0" t="str">
        <f aca="false">IF(ISBLANK(A420),"",SUMPRODUCT(O420:R420,T420:W420)-J420)</f>
        <v/>
      </c>
      <c r="L420" s="0" t="str">
        <f aca="false">IF(ISBLANK(A420),"",K420/$M$1)</f>
        <v/>
      </c>
      <c r="M420" s="0" t="str">
        <f aca="false">IF(ISBLANK(A420),"",K420/($M$1+SUM(K$3:K419)))</f>
        <v/>
      </c>
      <c r="N420" s="0" t="str">
        <f aca="false">IF(ISBLANK(A420),"",IF(H421=0,NETWORKDAYS($H$3,H420,holiday!$B$2:$B$10),IF(DAY(H420)&lt;DAY(H421),NETWORKDAYS($H$3,H420,holiday!$B$2:$B$10),0)))</f>
        <v/>
      </c>
      <c r="O420" s="0" t="str">
        <f aca="false">IF(ISBLANK(A420),"",SUMIF($A$3:$A420,O$2,$B$3:$B420))</f>
        <v/>
      </c>
      <c r="P420" s="0" t="str">
        <f aca="false">IF(ISBLANK(A420),"",SUMIF($A$3:$A420,P$2,$B$3:$B420))</f>
        <v/>
      </c>
      <c r="Q420" s="0" t="str">
        <f aca="false">IF(ISBLANK(A420),"",SUMIF($A$3:$A420,Q$2,$B$3:$B420))</f>
        <v/>
      </c>
      <c r="R420" s="0" t="str">
        <f aca="false">IF(ISBLANK(A420),"",SUMIF($A$3:$A420,R$2,$B$3:$B420))</f>
        <v/>
      </c>
      <c r="T420" s="0" t="str">
        <f aca="false">IF(ISBLANK(A420),"",IF($A420=T$2,$C420,T419))</f>
        <v/>
      </c>
      <c r="U420" s="0" t="str">
        <f aca="false">IF(ISBLANK(A420),"",IF($A420=U$2,$C420,U419))</f>
        <v/>
      </c>
      <c r="V420" s="0" t="str">
        <f aca="false">IF(ISBLANK(A420),"",IF($A420=V$2,$C420,V419))</f>
        <v/>
      </c>
      <c r="W420" s="0" t="str">
        <f aca="false">IF(ISBLANK(A420),"",IF($A420=W$2,$C420,W419))</f>
        <v/>
      </c>
    </row>
    <row r="421" customFormat="false" ht="12.8" hidden="false" customHeight="false" outlineLevel="0" collapsed="false">
      <c r="H421" s="8" t="n">
        <f aca="false">IF(ISBLANK(D421),,LEFT(D421,LEN(D421)-6)*1)</f>
        <v>0</v>
      </c>
      <c r="I421" s="9" t="str">
        <f aca="false">IF(ISBLANK(A421),"",-B421*C421)</f>
        <v/>
      </c>
      <c r="J421" s="9" t="str">
        <f aca="false">IF(ISBLANK(A421),"",-SUM(I$3:I421))</f>
        <v/>
      </c>
      <c r="K421" s="0" t="str">
        <f aca="false">IF(ISBLANK(A421),"",SUMPRODUCT(O421:R421,T421:W421)-J421)</f>
        <v/>
      </c>
      <c r="L421" s="0" t="str">
        <f aca="false">IF(ISBLANK(A421),"",K421/$M$1)</f>
        <v/>
      </c>
      <c r="M421" s="0" t="str">
        <f aca="false">IF(ISBLANK(A421),"",K421/($M$1+SUM(K$3:K420)))</f>
        <v/>
      </c>
      <c r="N421" s="0" t="str">
        <f aca="false">IF(ISBLANK(A421),"",IF(H422=0,NETWORKDAYS($H$3,H421,holiday!$B$2:$B$10),IF(DAY(H421)&lt;DAY(H422),NETWORKDAYS($H$3,H421,holiday!$B$2:$B$10),0)))</f>
        <v/>
      </c>
      <c r="O421" s="0" t="str">
        <f aca="false">IF(ISBLANK(A421),"",SUMIF($A$3:$A421,O$2,$B$3:$B421))</f>
        <v/>
      </c>
      <c r="P421" s="0" t="str">
        <f aca="false">IF(ISBLANK(A421),"",SUMIF($A$3:$A421,P$2,$B$3:$B421))</f>
        <v/>
      </c>
      <c r="Q421" s="0" t="str">
        <f aca="false">IF(ISBLANK(A421),"",SUMIF($A$3:$A421,Q$2,$B$3:$B421))</f>
        <v/>
      </c>
      <c r="R421" s="0" t="str">
        <f aca="false">IF(ISBLANK(A421),"",SUMIF($A$3:$A421,R$2,$B$3:$B421))</f>
        <v/>
      </c>
      <c r="T421" s="0" t="str">
        <f aca="false">IF(ISBLANK(A421),"",IF($A421=T$2,$C421,T420))</f>
        <v/>
      </c>
      <c r="U421" s="0" t="str">
        <f aca="false">IF(ISBLANK(A421),"",IF($A421=U$2,$C421,U420))</f>
        <v/>
      </c>
      <c r="V421" s="0" t="str">
        <f aca="false">IF(ISBLANK(A421),"",IF($A421=V$2,$C421,V420))</f>
        <v/>
      </c>
      <c r="W421" s="0" t="str">
        <f aca="false">IF(ISBLANK(A421),"",IF($A421=W$2,$C421,W420))</f>
        <v/>
      </c>
    </row>
    <row r="422" customFormat="false" ht="12.8" hidden="false" customHeight="false" outlineLevel="0" collapsed="false">
      <c r="H422" s="8" t="n">
        <f aca="false">IF(ISBLANK(D422),,LEFT(D422,LEN(D422)-6)*1)</f>
        <v>0</v>
      </c>
      <c r="I422" s="9" t="str">
        <f aca="false">IF(ISBLANK(A422),"",-B422*C422)</f>
        <v/>
      </c>
      <c r="J422" s="9" t="str">
        <f aca="false">IF(ISBLANK(A422),"",-SUM(I$3:I422))</f>
        <v/>
      </c>
      <c r="K422" s="0" t="str">
        <f aca="false">IF(ISBLANK(A422),"",SUMPRODUCT(O422:R422,T422:W422)-J422)</f>
        <v/>
      </c>
      <c r="L422" s="0" t="str">
        <f aca="false">IF(ISBLANK(A422),"",K422/$M$1)</f>
        <v/>
      </c>
      <c r="M422" s="0" t="str">
        <f aca="false">IF(ISBLANK(A422),"",K422/($M$1+SUM(K$3:K421)))</f>
        <v/>
      </c>
      <c r="N422" s="0" t="str">
        <f aca="false">IF(ISBLANK(A422),"",IF(H423=0,NETWORKDAYS($H$3,H422,holiday!$B$2:$B$10),IF(DAY(H422)&lt;DAY(H423),NETWORKDAYS($H$3,H422,holiday!$B$2:$B$10),0)))</f>
        <v/>
      </c>
      <c r="O422" s="0" t="str">
        <f aca="false">IF(ISBLANK(A422),"",SUMIF($A$3:$A422,O$2,$B$3:$B422))</f>
        <v/>
      </c>
      <c r="P422" s="0" t="str">
        <f aca="false">IF(ISBLANK(A422),"",SUMIF($A$3:$A422,P$2,$B$3:$B422))</f>
        <v/>
      </c>
      <c r="Q422" s="0" t="str">
        <f aca="false">IF(ISBLANK(A422),"",SUMIF($A$3:$A422,Q$2,$B$3:$B422))</f>
        <v/>
      </c>
      <c r="R422" s="0" t="str">
        <f aca="false">IF(ISBLANK(A422),"",SUMIF($A$3:$A422,R$2,$B$3:$B422))</f>
        <v/>
      </c>
      <c r="T422" s="0" t="str">
        <f aca="false">IF(ISBLANK(A422),"",IF($A422=T$2,$C422,T421))</f>
        <v/>
      </c>
      <c r="U422" s="0" t="str">
        <f aca="false">IF(ISBLANK(A422),"",IF($A422=U$2,$C422,U421))</f>
        <v/>
      </c>
      <c r="V422" s="0" t="str">
        <f aca="false">IF(ISBLANK(A422),"",IF($A422=V$2,$C422,V421))</f>
        <v/>
      </c>
      <c r="W422" s="0" t="str">
        <f aca="false">IF(ISBLANK(A422),"",IF($A422=W$2,$C422,W421))</f>
        <v/>
      </c>
    </row>
    <row r="423" customFormat="false" ht="12.8" hidden="false" customHeight="false" outlineLevel="0" collapsed="false">
      <c r="H423" s="8" t="n">
        <f aca="false">IF(ISBLANK(D423),,LEFT(D423,LEN(D423)-6)*1)</f>
        <v>0</v>
      </c>
      <c r="I423" s="9" t="str">
        <f aca="false">IF(ISBLANK(A423),"",-B423*C423)</f>
        <v/>
      </c>
      <c r="J423" s="9" t="str">
        <f aca="false">IF(ISBLANK(A423),"",-SUM(I$3:I423))</f>
        <v/>
      </c>
      <c r="K423" s="0" t="str">
        <f aca="false">IF(ISBLANK(A423),"",SUMPRODUCT(O423:R423,T423:W423)-J423)</f>
        <v/>
      </c>
      <c r="L423" s="0" t="str">
        <f aca="false">IF(ISBLANK(A423),"",K423/$M$1)</f>
        <v/>
      </c>
      <c r="M423" s="0" t="str">
        <f aca="false">IF(ISBLANK(A423),"",K423/($M$1+SUM(K$3:K422)))</f>
        <v/>
      </c>
      <c r="N423" s="0" t="str">
        <f aca="false">IF(ISBLANK(A423),"",IF(H424=0,NETWORKDAYS($H$3,H423,holiday!$B$2:$B$10),IF(DAY(H423)&lt;DAY(H424),NETWORKDAYS($H$3,H423,holiday!$B$2:$B$10),0)))</f>
        <v/>
      </c>
      <c r="O423" s="0" t="str">
        <f aca="false">IF(ISBLANK(A423),"",SUMIF($A$3:$A423,O$2,$B$3:$B423))</f>
        <v/>
      </c>
      <c r="P423" s="0" t="str">
        <f aca="false">IF(ISBLANK(A423),"",SUMIF($A$3:$A423,P$2,$B$3:$B423))</f>
        <v/>
      </c>
      <c r="Q423" s="0" t="str">
        <f aca="false">IF(ISBLANK(A423),"",SUMIF($A$3:$A423,Q$2,$B$3:$B423))</f>
        <v/>
      </c>
      <c r="R423" s="0" t="str">
        <f aca="false">IF(ISBLANK(A423),"",SUMIF($A$3:$A423,R$2,$B$3:$B423))</f>
        <v/>
      </c>
      <c r="T423" s="0" t="str">
        <f aca="false">IF(ISBLANK(A423),"",IF($A423=T$2,$C423,T422))</f>
        <v/>
      </c>
      <c r="U423" s="0" t="str">
        <f aca="false">IF(ISBLANK(A423),"",IF($A423=U$2,$C423,U422))</f>
        <v/>
      </c>
      <c r="V423" s="0" t="str">
        <f aca="false">IF(ISBLANK(A423),"",IF($A423=V$2,$C423,V422))</f>
        <v/>
      </c>
      <c r="W423" s="0" t="str">
        <f aca="false">IF(ISBLANK(A423),"",IF($A423=W$2,$C423,W422))</f>
        <v/>
      </c>
    </row>
    <row r="424" customFormat="false" ht="12.8" hidden="false" customHeight="false" outlineLevel="0" collapsed="false">
      <c r="H424" s="8" t="n">
        <f aca="false">IF(ISBLANK(D424),,LEFT(D424,LEN(D424)-6)*1)</f>
        <v>0</v>
      </c>
      <c r="I424" s="9" t="str">
        <f aca="false">IF(ISBLANK(A424),"",-B424*C424)</f>
        <v/>
      </c>
      <c r="J424" s="9" t="str">
        <f aca="false">IF(ISBLANK(A424),"",-SUM(I$3:I424))</f>
        <v/>
      </c>
      <c r="K424" s="0" t="str">
        <f aca="false">IF(ISBLANK(A424),"",SUMPRODUCT(O424:R424,T424:W424)-J424)</f>
        <v/>
      </c>
      <c r="L424" s="0" t="str">
        <f aca="false">IF(ISBLANK(A424),"",K424/$M$1)</f>
        <v/>
      </c>
      <c r="M424" s="0" t="str">
        <f aca="false">IF(ISBLANK(A424),"",K424/($M$1+SUM(K$3:K423)))</f>
        <v/>
      </c>
      <c r="N424" s="0" t="str">
        <f aca="false">IF(ISBLANK(A424),"",IF(H425=0,NETWORKDAYS($H$3,H424,holiday!$B$2:$B$10),IF(DAY(H424)&lt;DAY(H425),NETWORKDAYS($H$3,H424,holiday!$B$2:$B$10),0)))</f>
        <v/>
      </c>
      <c r="O424" s="0" t="str">
        <f aca="false">IF(ISBLANK(A424),"",SUMIF($A$3:$A424,O$2,$B$3:$B424))</f>
        <v/>
      </c>
      <c r="P424" s="0" t="str">
        <f aca="false">IF(ISBLANK(A424),"",SUMIF($A$3:$A424,P$2,$B$3:$B424))</f>
        <v/>
      </c>
      <c r="Q424" s="0" t="str">
        <f aca="false">IF(ISBLANK(A424),"",SUMIF($A$3:$A424,Q$2,$B$3:$B424))</f>
        <v/>
      </c>
      <c r="R424" s="0" t="str">
        <f aca="false">IF(ISBLANK(A424),"",SUMIF($A$3:$A424,R$2,$B$3:$B424))</f>
        <v/>
      </c>
      <c r="T424" s="0" t="str">
        <f aca="false">IF(ISBLANK(A424),"",IF($A424=T$2,$C424,T423))</f>
        <v/>
      </c>
      <c r="U424" s="0" t="str">
        <f aca="false">IF(ISBLANK(A424),"",IF($A424=U$2,$C424,U423))</f>
        <v/>
      </c>
      <c r="V424" s="0" t="str">
        <f aca="false">IF(ISBLANK(A424),"",IF($A424=V$2,$C424,V423))</f>
        <v/>
      </c>
      <c r="W424" s="0" t="str">
        <f aca="false">IF(ISBLANK(A424),"",IF($A424=W$2,$C424,W423))</f>
        <v/>
      </c>
    </row>
    <row r="425" customFormat="false" ht="12.8" hidden="false" customHeight="false" outlineLevel="0" collapsed="false">
      <c r="H425" s="8" t="n">
        <f aca="false">IF(ISBLANK(D425),,LEFT(D425,LEN(D425)-6)*1)</f>
        <v>0</v>
      </c>
      <c r="I425" s="9" t="str">
        <f aca="false">IF(ISBLANK(A425),"",-B425*C425)</f>
        <v/>
      </c>
      <c r="J425" s="9" t="str">
        <f aca="false">IF(ISBLANK(A425),"",-SUM(I$3:I425))</f>
        <v/>
      </c>
      <c r="K425" s="0" t="str">
        <f aca="false">IF(ISBLANK(A425),"",SUMPRODUCT(O425:R425,T425:W425)-J425)</f>
        <v/>
      </c>
      <c r="L425" s="0" t="str">
        <f aca="false">IF(ISBLANK(A425),"",K425/$M$1)</f>
        <v/>
      </c>
      <c r="M425" s="0" t="str">
        <f aca="false">IF(ISBLANK(A425),"",K425/($M$1+SUM(K$3:K424)))</f>
        <v/>
      </c>
      <c r="N425" s="0" t="str">
        <f aca="false">IF(ISBLANK(A425),"",IF(H426=0,NETWORKDAYS($H$3,H425,holiday!$B$2:$B$10),IF(DAY(H425)&lt;DAY(H426),NETWORKDAYS($H$3,H425,holiday!$B$2:$B$10),0)))</f>
        <v/>
      </c>
      <c r="O425" s="0" t="str">
        <f aca="false">IF(ISBLANK(A425),"",SUMIF($A$3:$A425,O$2,$B$3:$B425))</f>
        <v/>
      </c>
      <c r="P425" s="0" t="str">
        <f aca="false">IF(ISBLANK(A425),"",SUMIF($A$3:$A425,P$2,$B$3:$B425))</f>
        <v/>
      </c>
      <c r="Q425" s="0" t="str">
        <f aca="false">IF(ISBLANK(A425),"",SUMIF($A$3:$A425,Q$2,$B$3:$B425))</f>
        <v/>
      </c>
      <c r="R425" s="0" t="str">
        <f aca="false">IF(ISBLANK(A425),"",SUMIF($A$3:$A425,R$2,$B$3:$B425))</f>
        <v/>
      </c>
      <c r="T425" s="0" t="str">
        <f aca="false">IF(ISBLANK(A425),"",IF($A425=T$2,$C425,T424))</f>
        <v/>
      </c>
      <c r="U425" s="0" t="str">
        <f aca="false">IF(ISBLANK(A425),"",IF($A425=U$2,$C425,U424))</f>
        <v/>
      </c>
      <c r="V425" s="0" t="str">
        <f aca="false">IF(ISBLANK(A425),"",IF($A425=V$2,$C425,V424))</f>
        <v/>
      </c>
      <c r="W425" s="0" t="str">
        <f aca="false">IF(ISBLANK(A425),"",IF($A425=W$2,$C425,W424))</f>
        <v/>
      </c>
    </row>
    <row r="426" customFormat="false" ht="12.8" hidden="false" customHeight="false" outlineLevel="0" collapsed="false">
      <c r="H426" s="8" t="n">
        <f aca="false">IF(ISBLANK(D426),,LEFT(D426,LEN(D426)-6)*1)</f>
        <v>0</v>
      </c>
      <c r="I426" s="9" t="str">
        <f aca="false">IF(ISBLANK(A426),"",-B426*C426)</f>
        <v/>
      </c>
      <c r="J426" s="9" t="str">
        <f aca="false">IF(ISBLANK(A426),"",-SUM(I$3:I426))</f>
        <v/>
      </c>
      <c r="K426" s="0" t="str">
        <f aca="false">IF(ISBLANK(A426),"",SUMPRODUCT(O426:R426,T426:W426)-J426)</f>
        <v/>
      </c>
      <c r="L426" s="0" t="str">
        <f aca="false">IF(ISBLANK(A426),"",K426/$M$1)</f>
        <v/>
      </c>
      <c r="M426" s="0" t="str">
        <f aca="false">IF(ISBLANK(A426),"",K426/($M$1+SUM(K$3:K425)))</f>
        <v/>
      </c>
      <c r="N426" s="0" t="str">
        <f aca="false">IF(ISBLANK(A426),"",IF(H427=0,NETWORKDAYS($H$3,H426,holiday!$B$2:$B$10),IF(DAY(H426)&lt;DAY(H427),NETWORKDAYS($H$3,H426,holiday!$B$2:$B$10),0)))</f>
        <v/>
      </c>
      <c r="O426" s="0" t="str">
        <f aca="false">IF(ISBLANK(A426),"",SUMIF($A$3:$A426,O$2,$B$3:$B426))</f>
        <v/>
      </c>
      <c r="P426" s="0" t="str">
        <f aca="false">IF(ISBLANK(A426),"",SUMIF($A$3:$A426,P$2,$B$3:$B426))</f>
        <v/>
      </c>
      <c r="Q426" s="0" t="str">
        <f aca="false">IF(ISBLANK(A426),"",SUMIF($A$3:$A426,Q$2,$B$3:$B426))</f>
        <v/>
      </c>
      <c r="R426" s="0" t="str">
        <f aca="false">IF(ISBLANK(A426),"",SUMIF($A$3:$A426,R$2,$B$3:$B426))</f>
        <v/>
      </c>
      <c r="T426" s="0" t="str">
        <f aca="false">IF(ISBLANK(A426),"",IF($A426=T$2,$C426,T425))</f>
        <v/>
      </c>
      <c r="U426" s="0" t="str">
        <f aca="false">IF(ISBLANK(A426),"",IF($A426=U$2,$C426,U425))</f>
        <v/>
      </c>
      <c r="V426" s="0" t="str">
        <f aca="false">IF(ISBLANK(A426),"",IF($A426=V$2,$C426,V425))</f>
        <v/>
      </c>
      <c r="W426" s="0" t="str">
        <f aca="false">IF(ISBLANK(A426),"",IF($A426=W$2,$C426,W425))</f>
        <v/>
      </c>
    </row>
    <row r="427" customFormat="false" ht="12.8" hidden="false" customHeight="false" outlineLevel="0" collapsed="false">
      <c r="H427" s="8" t="n">
        <f aca="false">IF(ISBLANK(D427),,LEFT(D427,LEN(D427)-6)*1)</f>
        <v>0</v>
      </c>
      <c r="I427" s="9" t="str">
        <f aca="false">IF(ISBLANK(A427),"",-B427*C427)</f>
        <v/>
      </c>
      <c r="J427" s="9" t="str">
        <f aca="false">IF(ISBLANK(A427),"",-SUM(I$3:I427))</f>
        <v/>
      </c>
      <c r="K427" s="0" t="str">
        <f aca="false">IF(ISBLANK(A427),"",SUMPRODUCT(O427:R427,T427:W427)-J427)</f>
        <v/>
      </c>
      <c r="L427" s="0" t="str">
        <f aca="false">IF(ISBLANK(A427),"",K427/$M$1)</f>
        <v/>
      </c>
      <c r="M427" s="0" t="str">
        <f aca="false">IF(ISBLANK(A427),"",K427/($M$1+SUM(K$3:K426)))</f>
        <v/>
      </c>
      <c r="N427" s="0" t="str">
        <f aca="false">IF(ISBLANK(A427),"",IF(H428=0,NETWORKDAYS($H$3,H427,holiday!$B$2:$B$10),IF(DAY(H427)&lt;DAY(H428),NETWORKDAYS($H$3,H427,holiday!$B$2:$B$10),0)))</f>
        <v/>
      </c>
      <c r="O427" s="0" t="str">
        <f aca="false">IF(ISBLANK(A427),"",SUMIF($A$3:$A427,O$2,$B$3:$B427))</f>
        <v/>
      </c>
      <c r="P427" s="0" t="str">
        <f aca="false">IF(ISBLANK(A427),"",SUMIF($A$3:$A427,P$2,$B$3:$B427))</f>
        <v/>
      </c>
      <c r="Q427" s="0" t="str">
        <f aca="false">IF(ISBLANK(A427),"",SUMIF($A$3:$A427,Q$2,$B$3:$B427))</f>
        <v/>
      </c>
      <c r="R427" s="0" t="str">
        <f aca="false">IF(ISBLANK(A427),"",SUMIF($A$3:$A427,R$2,$B$3:$B427))</f>
        <v/>
      </c>
      <c r="T427" s="0" t="str">
        <f aca="false">IF(ISBLANK(A427),"",IF($A427=T$2,$C427,T426))</f>
        <v/>
      </c>
      <c r="U427" s="0" t="str">
        <f aca="false">IF(ISBLANK(A427),"",IF($A427=U$2,$C427,U426))</f>
        <v/>
      </c>
      <c r="V427" s="0" t="str">
        <f aca="false">IF(ISBLANK(A427),"",IF($A427=V$2,$C427,V426))</f>
        <v/>
      </c>
      <c r="W427" s="0" t="str">
        <f aca="false">IF(ISBLANK(A427),"",IF($A427=W$2,$C427,W426))</f>
        <v/>
      </c>
    </row>
    <row r="428" customFormat="false" ht="12.8" hidden="false" customHeight="false" outlineLevel="0" collapsed="false">
      <c r="H428" s="8" t="n">
        <f aca="false">IF(ISBLANK(D428),,LEFT(D428,LEN(D428)-6)*1)</f>
        <v>0</v>
      </c>
      <c r="I428" s="9" t="str">
        <f aca="false">IF(ISBLANK(A428),"",-B428*C428)</f>
        <v/>
      </c>
      <c r="J428" s="9" t="str">
        <f aca="false">IF(ISBLANK(A428),"",-SUM(I$3:I428))</f>
        <v/>
      </c>
      <c r="K428" s="0" t="str">
        <f aca="false">IF(ISBLANK(A428),"",SUMPRODUCT(O428:R428,T428:W428)-J428)</f>
        <v/>
      </c>
      <c r="L428" s="0" t="str">
        <f aca="false">IF(ISBLANK(A428),"",K428/$M$1)</f>
        <v/>
      </c>
      <c r="M428" s="0" t="str">
        <f aca="false">IF(ISBLANK(A428),"",K428/($M$1+SUM(K$3:K427)))</f>
        <v/>
      </c>
      <c r="N428" s="0" t="str">
        <f aca="false">IF(ISBLANK(A428),"",IF(H429=0,NETWORKDAYS($H$3,H428,holiday!$B$2:$B$10),IF(DAY(H428)&lt;DAY(H429),NETWORKDAYS($H$3,H428,holiday!$B$2:$B$10),0)))</f>
        <v/>
      </c>
      <c r="O428" s="0" t="str">
        <f aca="false">IF(ISBLANK(A428),"",SUMIF($A$3:$A428,O$2,$B$3:$B428))</f>
        <v/>
      </c>
      <c r="P428" s="0" t="str">
        <f aca="false">IF(ISBLANK(A428),"",SUMIF($A$3:$A428,P$2,$B$3:$B428))</f>
        <v/>
      </c>
      <c r="Q428" s="0" t="str">
        <f aca="false">IF(ISBLANK(A428),"",SUMIF($A$3:$A428,Q$2,$B$3:$B428))</f>
        <v/>
      </c>
      <c r="R428" s="0" t="str">
        <f aca="false">IF(ISBLANK(A428),"",SUMIF($A$3:$A428,R$2,$B$3:$B428))</f>
        <v/>
      </c>
      <c r="T428" s="0" t="str">
        <f aca="false">IF(ISBLANK(A428),"",IF($A428=T$2,$C428,T427))</f>
        <v/>
      </c>
      <c r="U428" s="0" t="str">
        <f aca="false">IF(ISBLANK(A428),"",IF($A428=U$2,$C428,U427))</f>
        <v/>
      </c>
      <c r="V428" s="0" t="str">
        <f aca="false">IF(ISBLANK(A428),"",IF($A428=V$2,$C428,V427))</f>
        <v/>
      </c>
      <c r="W428" s="0" t="str">
        <f aca="false">IF(ISBLANK(A428),"",IF($A428=W$2,$C428,W427))</f>
        <v/>
      </c>
    </row>
    <row r="429" customFormat="false" ht="12.8" hidden="false" customHeight="false" outlineLevel="0" collapsed="false">
      <c r="H429" s="8" t="n">
        <f aca="false">IF(ISBLANK(D429),,LEFT(D429,LEN(D429)-6)*1)</f>
        <v>0</v>
      </c>
      <c r="I429" s="9" t="str">
        <f aca="false">IF(ISBLANK(A429),"",-B429*C429)</f>
        <v/>
      </c>
      <c r="J429" s="9" t="str">
        <f aca="false">IF(ISBLANK(A429),"",-SUM(I$3:I429))</f>
        <v/>
      </c>
      <c r="K429" s="0" t="str">
        <f aca="false">IF(ISBLANK(A429),"",SUMPRODUCT(O429:R429,T429:W429)-J429)</f>
        <v/>
      </c>
      <c r="L429" s="0" t="str">
        <f aca="false">IF(ISBLANK(A429),"",K429/$M$1)</f>
        <v/>
      </c>
      <c r="M429" s="0" t="str">
        <f aca="false">IF(ISBLANK(A429),"",K429/($M$1+SUM(K$3:K428)))</f>
        <v/>
      </c>
      <c r="N429" s="0" t="str">
        <f aca="false">IF(ISBLANK(A429),"",IF(H430=0,NETWORKDAYS($H$3,H429,holiday!$B$2:$B$10),IF(DAY(H429)&lt;DAY(H430),NETWORKDAYS($H$3,H429,holiday!$B$2:$B$10),0)))</f>
        <v/>
      </c>
      <c r="O429" s="0" t="str">
        <f aca="false">IF(ISBLANK(A429),"",SUMIF($A$3:$A429,O$2,$B$3:$B429))</f>
        <v/>
      </c>
      <c r="P429" s="0" t="str">
        <f aca="false">IF(ISBLANK(A429),"",SUMIF($A$3:$A429,P$2,$B$3:$B429))</f>
        <v/>
      </c>
      <c r="Q429" s="0" t="str">
        <f aca="false">IF(ISBLANK(A429),"",SUMIF($A$3:$A429,Q$2,$B$3:$B429))</f>
        <v/>
      </c>
      <c r="R429" s="0" t="str">
        <f aca="false">IF(ISBLANK(A429),"",SUMIF($A$3:$A429,R$2,$B$3:$B429))</f>
        <v/>
      </c>
      <c r="T429" s="0" t="str">
        <f aca="false">IF(ISBLANK(A429),"",IF($A429=T$2,$C429,T428))</f>
        <v/>
      </c>
      <c r="U429" s="0" t="str">
        <f aca="false">IF(ISBLANK(A429),"",IF($A429=U$2,$C429,U428))</f>
        <v/>
      </c>
      <c r="V429" s="0" t="str">
        <f aca="false">IF(ISBLANK(A429),"",IF($A429=V$2,$C429,V428))</f>
        <v/>
      </c>
      <c r="W429" s="0" t="str">
        <f aca="false">IF(ISBLANK(A429),"",IF($A429=W$2,$C429,W428))</f>
        <v/>
      </c>
    </row>
    <row r="430" customFormat="false" ht="12.8" hidden="false" customHeight="false" outlineLevel="0" collapsed="false">
      <c r="H430" s="8" t="n">
        <f aca="false">IF(ISBLANK(D430),,LEFT(D430,LEN(D430)-6)*1)</f>
        <v>0</v>
      </c>
      <c r="I430" s="9" t="str">
        <f aca="false">IF(ISBLANK(A430),"",-B430*C430)</f>
        <v/>
      </c>
      <c r="J430" s="9" t="str">
        <f aca="false">IF(ISBLANK(A430),"",-SUM(I$3:I430))</f>
        <v/>
      </c>
      <c r="K430" s="0" t="str">
        <f aca="false">IF(ISBLANK(A430),"",SUMPRODUCT(O430:R430,T430:W430)-J430)</f>
        <v/>
      </c>
      <c r="L430" s="0" t="str">
        <f aca="false">IF(ISBLANK(A430),"",K430/$M$1)</f>
        <v/>
      </c>
      <c r="M430" s="0" t="str">
        <f aca="false">IF(ISBLANK(A430),"",K430/($M$1+SUM(K$3:K429)))</f>
        <v/>
      </c>
      <c r="N430" s="0" t="str">
        <f aca="false">IF(ISBLANK(A430),"",IF(H431=0,NETWORKDAYS($H$3,H430,holiday!$B$2:$B$10),IF(DAY(H430)&lt;DAY(H431),NETWORKDAYS($H$3,H430,holiday!$B$2:$B$10),0)))</f>
        <v/>
      </c>
      <c r="O430" s="0" t="str">
        <f aca="false">IF(ISBLANK(A430),"",SUMIF($A$3:$A430,O$2,$B$3:$B430))</f>
        <v/>
      </c>
      <c r="P430" s="0" t="str">
        <f aca="false">IF(ISBLANK(A430),"",SUMIF($A$3:$A430,P$2,$B$3:$B430))</f>
        <v/>
      </c>
      <c r="Q430" s="0" t="str">
        <f aca="false">IF(ISBLANK(A430),"",SUMIF($A$3:$A430,Q$2,$B$3:$B430))</f>
        <v/>
      </c>
      <c r="R430" s="0" t="str">
        <f aca="false">IF(ISBLANK(A430),"",SUMIF($A$3:$A430,R$2,$B$3:$B430))</f>
        <v/>
      </c>
      <c r="T430" s="0" t="str">
        <f aca="false">IF(ISBLANK(A430),"",IF($A430=T$2,$C430,T429))</f>
        <v/>
      </c>
      <c r="U430" s="0" t="str">
        <f aca="false">IF(ISBLANK(A430),"",IF($A430=U$2,$C430,U429))</f>
        <v/>
      </c>
      <c r="V430" s="0" t="str">
        <f aca="false">IF(ISBLANK(A430),"",IF($A430=V$2,$C430,V429))</f>
        <v/>
      </c>
      <c r="W430" s="0" t="str">
        <f aca="false">IF(ISBLANK(A430),"",IF($A430=W$2,$C430,W429))</f>
        <v/>
      </c>
    </row>
    <row r="431" customFormat="false" ht="12.8" hidden="false" customHeight="false" outlineLevel="0" collapsed="false">
      <c r="H431" s="8" t="n">
        <f aca="false">IF(ISBLANK(D431),,LEFT(D431,LEN(D431)-6)*1)</f>
        <v>0</v>
      </c>
      <c r="I431" s="9" t="str">
        <f aca="false">IF(ISBLANK(A431),"",-B431*C431)</f>
        <v/>
      </c>
      <c r="J431" s="9" t="str">
        <f aca="false">IF(ISBLANK(A431),"",-SUM(I$3:I431))</f>
        <v/>
      </c>
      <c r="K431" s="0" t="str">
        <f aca="false">IF(ISBLANK(A431),"",SUMPRODUCT(O431:R431,T431:W431)-J431)</f>
        <v/>
      </c>
      <c r="L431" s="0" t="str">
        <f aca="false">IF(ISBLANK(A431),"",K431/$M$1)</f>
        <v/>
      </c>
      <c r="M431" s="0" t="str">
        <f aca="false">IF(ISBLANK(A431),"",K431/($M$1+SUM(K$3:K430)))</f>
        <v/>
      </c>
      <c r="N431" s="0" t="str">
        <f aca="false">IF(ISBLANK(A431),"",IF(H432=0,NETWORKDAYS($H$3,H431,holiday!$B$2:$B$10),IF(DAY(H431)&lt;DAY(H432),NETWORKDAYS($H$3,H431,holiday!$B$2:$B$10),0)))</f>
        <v/>
      </c>
      <c r="O431" s="0" t="str">
        <f aca="false">IF(ISBLANK(A431),"",SUMIF($A$3:$A431,O$2,$B$3:$B431))</f>
        <v/>
      </c>
      <c r="P431" s="0" t="str">
        <f aca="false">IF(ISBLANK(A431),"",SUMIF($A$3:$A431,P$2,$B$3:$B431))</f>
        <v/>
      </c>
      <c r="Q431" s="0" t="str">
        <f aca="false">IF(ISBLANK(A431),"",SUMIF($A$3:$A431,Q$2,$B$3:$B431))</f>
        <v/>
      </c>
      <c r="R431" s="0" t="str">
        <f aca="false">IF(ISBLANK(A431),"",SUMIF($A$3:$A431,R$2,$B$3:$B431))</f>
        <v/>
      </c>
      <c r="T431" s="0" t="str">
        <f aca="false">IF(ISBLANK(A431),"",IF($A431=T$2,$C431,T430))</f>
        <v/>
      </c>
      <c r="U431" s="0" t="str">
        <f aca="false">IF(ISBLANK(A431),"",IF($A431=U$2,$C431,U430))</f>
        <v/>
      </c>
      <c r="V431" s="0" t="str">
        <f aca="false">IF(ISBLANK(A431),"",IF($A431=V$2,$C431,V430))</f>
        <v/>
      </c>
      <c r="W431" s="0" t="str">
        <f aca="false">IF(ISBLANK(A431),"",IF($A431=W$2,$C431,W430))</f>
        <v/>
      </c>
    </row>
    <row r="432" customFormat="false" ht="12.8" hidden="false" customHeight="false" outlineLevel="0" collapsed="false">
      <c r="H432" s="8" t="n">
        <f aca="false">IF(ISBLANK(D432),,LEFT(D432,LEN(D432)-6)*1)</f>
        <v>0</v>
      </c>
      <c r="I432" s="9" t="str">
        <f aca="false">IF(ISBLANK(A432),"",-B432*C432)</f>
        <v/>
      </c>
      <c r="J432" s="9" t="str">
        <f aca="false">IF(ISBLANK(A432),"",-SUM(I$3:I432))</f>
        <v/>
      </c>
      <c r="K432" s="0" t="str">
        <f aca="false">IF(ISBLANK(A432),"",SUMPRODUCT(O432:R432,T432:W432)-J432)</f>
        <v/>
      </c>
      <c r="L432" s="0" t="str">
        <f aca="false">IF(ISBLANK(A432),"",K432/$M$1)</f>
        <v/>
      </c>
      <c r="M432" s="0" t="str">
        <f aca="false">IF(ISBLANK(A432),"",K432/($M$1+SUM(K$3:K431)))</f>
        <v/>
      </c>
      <c r="N432" s="0" t="str">
        <f aca="false">IF(ISBLANK(A432),"",IF(H433=0,NETWORKDAYS($H$3,H432,holiday!$B$2:$B$10),IF(DAY(H432)&lt;DAY(H433),NETWORKDAYS($H$3,H432,holiday!$B$2:$B$10),0)))</f>
        <v/>
      </c>
      <c r="O432" s="0" t="str">
        <f aca="false">IF(ISBLANK(A432),"",SUMIF($A$3:$A432,O$2,$B$3:$B432))</f>
        <v/>
      </c>
      <c r="P432" s="0" t="str">
        <f aca="false">IF(ISBLANK(A432),"",SUMIF($A$3:$A432,P$2,$B$3:$B432))</f>
        <v/>
      </c>
      <c r="Q432" s="0" t="str">
        <f aca="false">IF(ISBLANK(A432),"",SUMIF($A$3:$A432,Q$2,$B$3:$B432))</f>
        <v/>
      </c>
      <c r="R432" s="0" t="str">
        <f aca="false">IF(ISBLANK(A432),"",SUMIF($A$3:$A432,R$2,$B$3:$B432))</f>
        <v/>
      </c>
      <c r="T432" s="0" t="str">
        <f aca="false">IF(ISBLANK(A432),"",IF($A432=T$2,$C432,T431))</f>
        <v/>
      </c>
      <c r="U432" s="0" t="str">
        <f aca="false">IF(ISBLANK(A432),"",IF($A432=U$2,$C432,U431))</f>
        <v/>
      </c>
      <c r="V432" s="0" t="str">
        <f aca="false">IF(ISBLANK(A432),"",IF($A432=V$2,$C432,V431))</f>
        <v/>
      </c>
      <c r="W432" s="0" t="str">
        <f aca="false">IF(ISBLANK(A432),"",IF($A432=W$2,$C432,W431))</f>
        <v/>
      </c>
    </row>
    <row r="433" customFormat="false" ht="12.8" hidden="false" customHeight="false" outlineLevel="0" collapsed="false">
      <c r="H433" s="8" t="n">
        <f aca="false">IF(ISBLANK(D433),,LEFT(D433,LEN(D433)-6)*1)</f>
        <v>0</v>
      </c>
      <c r="I433" s="9" t="str">
        <f aca="false">IF(ISBLANK(A433),"",-B433*C433)</f>
        <v/>
      </c>
      <c r="J433" s="9" t="str">
        <f aca="false">IF(ISBLANK(A433),"",-SUM(I$3:I433))</f>
        <v/>
      </c>
      <c r="K433" s="0" t="str">
        <f aca="false">IF(ISBLANK(A433),"",SUMPRODUCT(O433:R433,T433:W433)-J433)</f>
        <v/>
      </c>
      <c r="L433" s="0" t="str">
        <f aca="false">IF(ISBLANK(A433),"",K433/$M$1)</f>
        <v/>
      </c>
      <c r="M433" s="0" t="str">
        <f aca="false">IF(ISBLANK(A433),"",K433/($M$1+SUM(K$3:K432)))</f>
        <v/>
      </c>
      <c r="N433" s="0" t="str">
        <f aca="false">IF(ISBLANK(A433),"",IF(H434=0,NETWORKDAYS($H$3,H433,holiday!$B$2:$B$10),IF(DAY(H433)&lt;DAY(H434),NETWORKDAYS($H$3,H433,holiday!$B$2:$B$10),0)))</f>
        <v/>
      </c>
      <c r="O433" s="0" t="str">
        <f aca="false">IF(ISBLANK(A433),"",SUMIF($A$3:$A433,O$2,$B$3:$B433))</f>
        <v/>
      </c>
      <c r="P433" s="0" t="str">
        <f aca="false">IF(ISBLANK(A433),"",SUMIF($A$3:$A433,P$2,$B$3:$B433))</f>
        <v/>
      </c>
      <c r="Q433" s="0" t="str">
        <f aca="false">IF(ISBLANK(A433),"",SUMIF($A$3:$A433,Q$2,$B$3:$B433))</f>
        <v/>
      </c>
      <c r="R433" s="0" t="str">
        <f aca="false">IF(ISBLANK(A433),"",SUMIF($A$3:$A433,R$2,$B$3:$B433))</f>
        <v/>
      </c>
      <c r="T433" s="0" t="str">
        <f aca="false">IF(ISBLANK(A433),"",IF($A433=T$2,$C433,T432))</f>
        <v/>
      </c>
      <c r="U433" s="0" t="str">
        <f aca="false">IF(ISBLANK(A433),"",IF($A433=U$2,$C433,U432))</f>
        <v/>
      </c>
      <c r="V433" s="0" t="str">
        <f aca="false">IF(ISBLANK(A433),"",IF($A433=V$2,$C433,V432))</f>
        <v/>
      </c>
      <c r="W433" s="0" t="str">
        <f aca="false">IF(ISBLANK(A433),"",IF($A433=W$2,$C433,W432))</f>
        <v/>
      </c>
    </row>
    <row r="434" customFormat="false" ht="12.8" hidden="false" customHeight="false" outlineLevel="0" collapsed="false">
      <c r="H434" s="8" t="n">
        <f aca="false">IF(ISBLANK(D434),,LEFT(D434,LEN(D434)-6)*1)</f>
        <v>0</v>
      </c>
      <c r="I434" s="9" t="str">
        <f aca="false">IF(ISBLANK(A434),"",-B434*C434)</f>
        <v/>
      </c>
      <c r="J434" s="9" t="str">
        <f aca="false">IF(ISBLANK(A434),"",-SUM(I$3:I434))</f>
        <v/>
      </c>
      <c r="K434" s="0" t="str">
        <f aca="false">IF(ISBLANK(A434),"",SUMPRODUCT(O434:R434,T434:W434)-J434)</f>
        <v/>
      </c>
      <c r="L434" s="0" t="str">
        <f aca="false">IF(ISBLANK(A434),"",K434/$M$1)</f>
        <v/>
      </c>
      <c r="M434" s="0" t="str">
        <f aca="false">IF(ISBLANK(A434),"",K434/($M$1+SUM(K$3:K433)))</f>
        <v/>
      </c>
      <c r="N434" s="0" t="str">
        <f aca="false">IF(ISBLANK(A434),"",IF(H435=0,NETWORKDAYS($H$3,H434,holiday!$B$2:$B$10),IF(DAY(H434)&lt;DAY(H435),NETWORKDAYS($H$3,H434,holiday!$B$2:$B$10),0)))</f>
        <v/>
      </c>
      <c r="O434" s="0" t="str">
        <f aca="false">IF(ISBLANK(A434),"",SUMIF($A$3:$A434,O$2,$B$3:$B434))</f>
        <v/>
      </c>
      <c r="P434" s="0" t="str">
        <f aca="false">IF(ISBLANK(A434),"",SUMIF($A$3:$A434,P$2,$B$3:$B434))</f>
        <v/>
      </c>
      <c r="Q434" s="0" t="str">
        <f aca="false">IF(ISBLANK(A434),"",SUMIF($A$3:$A434,Q$2,$B$3:$B434))</f>
        <v/>
      </c>
      <c r="R434" s="0" t="str">
        <f aca="false">IF(ISBLANK(A434),"",SUMIF($A$3:$A434,R$2,$B$3:$B434))</f>
        <v/>
      </c>
      <c r="T434" s="0" t="str">
        <f aca="false">IF(ISBLANK(A434),"",IF($A434=T$2,$C434,T433))</f>
        <v/>
      </c>
      <c r="U434" s="0" t="str">
        <f aca="false">IF(ISBLANK(A434),"",IF($A434=U$2,$C434,U433))</f>
        <v/>
      </c>
      <c r="V434" s="0" t="str">
        <f aca="false">IF(ISBLANK(A434),"",IF($A434=V$2,$C434,V433))</f>
        <v/>
      </c>
      <c r="W434" s="0" t="str">
        <f aca="false">IF(ISBLANK(A434),"",IF($A434=W$2,$C434,W433))</f>
        <v/>
      </c>
    </row>
    <row r="435" customFormat="false" ht="12.8" hidden="false" customHeight="false" outlineLevel="0" collapsed="false">
      <c r="H435" s="8" t="n">
        <f aca="false">IF(ISBLANK(D435),,LEFT(D435,LEN(D435)-6)*1)</f>
        <v>0</v>
      </c>
      <c r="I435" s="9" t="str">
        <f aca="false">IF(ISBLANK(A435),"",-B435*C435)</f>
        <v/>
      </c>
      <c r="J435" s="9" t="str">
        <f aca="false">IF(ISBLANK(A435),"",-SUM(I$3:I435))</f>
        <v/>
      </c>
      <c r="K435" s="0" t="str">
        <f aca="false">IF(ISBLANK(A435),"",SUMPRODUCT(O435:R435,T435:W435)-J435)</f>
        <v/>
      </c>
      <c r="L435" s="0" t="str">
        <f aca="false">IF(ISBLANK(A435),"",K435/$M$1)</f>
        <v/>
      </c>
      <c r="M435" s="0" t="str">
        <f aca="false">IF(ISBLANK(A435),"",K435/($M$1+SUM(K$3:K434)))</f>
        <v/>
      </c>
      <c r="N435" s="0" t="str">
        <f aca="false">IF(ISBLANK(A435),"",IF(H436=0,NETWORKDAYS($H$3,H435,holiday!$B$2:$B$10),IF(DAY(H435)&lt;DAY(H436),NETWORKDAYS($H$3,H435,holiday!$B$2:$B$10),0)))</f>
        <v/>
      </c>
      <c r="O435" s="0" t="str">
        <f aca="false">IF(ISBLANK(A435),"",SUMIF($A$3:$A435,O$2,$B$3:$B435))</f>
        <v/>
      </c>
      <c r="P435" s="0" t="str">
        <f aca="false">IF(ISBLANK(A435),"",SUMIF($A$3:$A435,P$2,$B$3:$B435))</f>
        <v/>
      </c>
      <c r="Q435" s="0" t="str">
        <f aca="false">IF(ISBLANK(A435),"",SUMIF($A$3:$A435,Q$2,$B$3:$B435))</f>
        <v/>
      </c>
      <c r="R435" s="0" t="str">
        <f aca="false">IF(ISBLANK(A435),"",SUMIF($A$3:$A435,R$2,$B$3:$B435))</f>
        <v/>
      </c>
      <c r="T435" s="0" t="str">
        <f aca="false">IF(ISBLANK(A435),"",IF($A435=T$2,$C435,T434))</f>
        <v/>
      </c>
      <c r="U435" s="0" t="str">
        <f aca="false">IF(ISBLANK(A435),"",IF($A435=U$2,$C435,U434))</f>
        <v/>
      </c>
      <c r="V435" s="0" t="str">
        <f aca="false">IF(ISBLANK(A435),"",IF($A435=V$2,$C435,V434))</f>
        <v/>
      </c>
      <c r="W435" s="0" t="str">
        <f aca="false">IF(ISBLANK(A435),"",IF($A435=W$2,$C435,W434))</f>
        <v/>
      </c>
    </row>
    <row r="436" customFormat="false" ht="12.8" hidden="false" customHeight="false" outlineLevel="0" collapsed="false">
      <c r="H436" s="8" t="n">
        <f aca="false">IF(ISBLANK(D436),,LEFT(D436,LEN(D436)-6)*1)</f>
        <v>0</v>
      </c>
      <c r="I436" s="9" t="str">
        <f aca="false">IF(ISBLANK(A436),"",-B436*C436)</f>
        <v/>
      </c>
      <c r="J436" s="9" t="str">
        <f aca="false">IF(ISBLANK(A436),"",-SUM(I$3:I436))</f>
        <v/>
      </c>
      <c r="K436" s="0" t="str">
        <f aca="false">IF(ISBLANK(A436),"",SUMPRODUCT(O436:R436,T436:W436)-J436)</f>
        <v/>
      </c>
      <c r="L436" s="0" t="str">
        <f aca="false">IF(ISBLANK(A436),"",K436/$M$1)</f>
        <v/>
      </c>
      <c r="M436" s="0" t="str">
        <f aca="false">IF(ISBLANK(A436),"",K436/($M$1+SUM(K$3:K435)))</f>
        <v/>
      </c>
      <c r="N436" s="0" t="str">
        <f aca="false">IF(ISBLANK(A436),"",IF(H437=0,NETWORKDAYS($H$3,H436,holiday!$B$2:$B$10),IF(DAY(H436)&lt;DAY(H437),NETWORKDAYS($H$3,H436,holiday!$B$2:$B$10),0)))</f>
        <v/>
      </c>
      <c r="O436" s="0" t="str">
        <f aca="false">IF(ISBLANK(A436),"",SUMIF($A$3:$A436,O$2,$B$3:$B436))</f>
        <v/>
      </c>
      <c r="P436" s="0" t="str">
        <f aca="false">IF(ISBLANK(A436),"",SUMIF($A$3:$A436,P$2,$B$3:$B436))</f>
        <v/>
      </c>
      <c r="Q436" s="0" t="str">
        <f aca="false">IF(ISBLANK(A436),"",SUMIF($A$3:$A436,Q$2,$B$3:$B436))</f>
        <v/>
      </c>
      <c r="R436" s="0" t="str">
        <f aca="false">IF(ISBLANK(A436),"",SUMIF($A$3:$A436,R$2,$B$3:$B436))</f>
        <v/>
      </c>
      <c r="T436" s="0" t="str">
        <f aca="false">IF(ISBLANK(A436),"",IF($A436=T$2,$C436,T435))</f>
        <v/>
      </c>
      <c r="U436" s="0" t="str">
        <f aca="false">IF(ISBLANK(A436),"",IF($A436=U$2,$C436,U435))</f>
        <v/>
      </c>
      <c r="V436" s="0" t="str">
        <f aca="false">IF(ISBLANK(A436),"",IF($A436=V$2,$C436,V435))</f>
        <v/>
      </c>
      <c r="W436" s="0" t="str">
        <f aca="false">IF(ISBLANK(A436),"",IF($A436=W$2,$C436,W435))</f>
        <v/>
      </c>
    </row>
    <row r="437" customFormat="false" ht="12.8" hidden="false" customHeight="false" outlineLevel="0" collapsed="false">
      <c r="H437" s="8" t="n">
        <f aca="false">IF(ISBLANK(D437),,LEFT(D437,LEN(D437)-6)*1)</f>
        <v>0</v>
      </c>
      <c r="I437" s="9" t="str">
        <f aca="false">IF(ISBLANK(A437),"",-B437*C437)</f>
        <v/>
      </c>
      <c r="J437" s="9" t="str">
        <f aca="false">IF(ISBLANK(A437),"",-SUM(I$3:I437))</f>
        <v/>
      </c>
      <c r="K437" s="0" t="str">
        <f aca="false">IF(ISBLANK(A437),"",SUMPRODUCT(O437:R437,T437:W437)-J437)</f>
        <v/>
      </c>
      <c r="L437" s="0" t="str">
        <f aca="false">IF(ISBLANK(A437),"",K437/$M$1)</f>
        <v/>
      </c>
      <c r="M437" s="0" t="str">
        <f aca="false">IF(ISBLANK(A437),"",K437/($M$1+SUM(K$3:K436)))</f>
        <v/>
      </c>
      <c r="N437" s="0" t="str">
        <f aca="false">IF(ISBLANK(A437),"",IF(H438=0,NETWORKDAYS($H$3,H437,holiday!$B$2:$B$10),IF(DAY(H437)&lt;DAY(H438),NETWORKDAYS($H$3,H437,holiday!$B$2:$B$10),0)))</f>
        <v/>
      </c>
      <c r="O437" s="0" t="str">
        <f aca="false">IF(ISBLANK(A437),"",SUMIF($A$3:$A437,O$2,$B$3:$B437))</f>
        <v/>
      </c>
      <c r="P437" s="0" t="str">
        <f aca="false">IF(ISBLANK(A437),"",SUMIF($A$3:$A437,P$2,$B$3:$B437))</f>
        <v/>
      </c>
      <c r="Q437" s="0" t="str">
        <f aca="false">IF(ISBLANK(A437),"",SUMIF($A$3:$A437,Q$2,$B$3:$B437))</f>
        <v/>
      </c>
      <c r="R437" s="0" t="str">
        <f aca="false">IF(ISBLANK(A437),"",SUMIF($A$3:$A437,R$2,$B$3:$B437))</f>
        <v/>
      </c>
      <c r="T437" s="0" t="str">
        <f aca="false">IF(ISBLANK(A437),"",IF($A437=T$2,$C437,T436))</f>
        <v/>
      </c>
      <c r="U437" s="0" t="str">
        <f aca="false">IF(ISBLANK(A437),"",IF($A437=U$2,$C437,U436))</f>
        <v/>
      </c>
      <c r="V437" s="0" t="str">
        <f aca="false">IF(ISBLANK(A437),"",IF($A437=V$2,$C437,V436))</f>
        <v/>
      </c>
      <c r="W437" s="0" t="str">
        <f aca="false">IF(ISBLANK(A437),"",IF($A437=W$2,$C437,W436))</f>
        <v/>
      </c>
    </row>
    <row r="438" customFormat="false" ht="12.8" hidden="false" customHeight="false" outlineLevel="0" collapsed="false">
      <c r="H438" s="8" t="n">
        <f aca="false">IF(ISBLANK(D438),,LEFT(D438,LEN(D438)-6)*1)</f>
        <v>0</v>
      </c>
      <c r="I438" s="9" t="str">
        <f aca="false">IF(ISBLANK(A438),"",-B438*C438)</f>
        <v/>
      </c>
      <c r="J438" s="9" t="str">
        <f aca="false">IF(ISBLANK(A438),"",-SUM(I$3:I438))</f>
        <v/>
      </c>
      <c r="K438" s="0" t="str">
        <f aca="false">IF(ISBLANK(A438),"",SUMPRODUCT(O438:R438,T438:W438)-J438)</f>
        <v/>
      </c>
      <c r="L438" s="0" t="str">
        <f aca="false">IF(ISBLANK(A438),"",K438/$M$1)</f>
        <v/>
      </c>
      <c r="M438" s="0" t="str">
        <f aca="false">IF(ISBLANK(A438),"",K438/($M$1+SUM(K$3:K437)))</f>
        <v/>
      </c>
      <c r="N438" s="0" t="str">
        <f aca="false">IF(ISBLANK(A438),"",IF(H439=0,NETWORKDAYS($H$3,H438,holiday!$B$2:$B$10),IF(DAY(H438)&lt;DAY(H439),NETWORKDAYS($H$3,H438,holiday!$B$2:$B$10),0)))</f>
        <v/>
      </c>
      <c r="O438" s="0" t="str">
        <f aca="false">IF(ISBLANK(A438),"",SUMIF($A$3:$A438,O$2,$B$3:$B438))</f>
        <v/>
      </c>
      <c r="P438" s="0" t="str">
        <f aca="false">IF(ISBLANK(A438),"",SUMIF($A$3:$A438,P$2,$B$3:$B438))</f>
        <v/>
      </c>
      <c r="Q438" s="0" t="str">
        <f aca="false">IF(ISBLANK(A438),"",SUMIF($A$3:$A438,Q$2,$B$3:$B438))</f>
        <v/>
      </c>
      <c r="R438" s="0" t="str">
        <f aca="false">IF(ISBLANK(A438),"",SUMIF($A$3:$A438,R$2,$B$3:$B438))</f>
        <v/>
      </c>
      <c r="T438" s="0" t="str">
        <f aca="false">IF(ISBLANK(A438),"",IF($A438=T$2,$C438,T437))</f>
        <v/>
      </c>
      <c r="U438" s="0" t="str">
        <f aca="false">IF(ISBLANK(A438),"",IF($A438=U$2,$C438,U437))</f>
        <v/>
      </c>
      <c r="V438" s="0" t="str">
        <f aca="false">IF(ISBLANK(A438),"",IF($A438=V$2,$C438,V437))</f>
        <v/>
      </c>
      <c r="W438" s="0" t="str">
        <f aca="false">IF(ISBLANK(A438),"",IF($A438=W$2,$C438,W437))</f>
        <v/>
      </c>
    </row>
    <row r="439" customFormat="false" ht="12.8" hidden="false" customHeight="false" outlineLevel="0" collapsed="false">
      <c r="H439" s="8" t="n">
        <f aca="false">IF(ISBLANK(D439),,LEFT(D439,LEN(D439)-6)*1)</f>
        <v>0</v>
      </c>
      <c r="I439" s="9" t="str">
        <f aca="false">IF(ISBLANK(A439),"",-B439*C439)</f>
        <v/>
      </c>
      <c r="J439" s="9" t="str">
        <f aca="false">IF(ISBLANK(A439),"",-SUM(I$3:I439))</f>
        <v/>
      </c>
      <c r="K439" s="0" t="str">
        <f aca="false">IF(ISBLANK(A439),"",SUMPRODUCT(O439:R439,T439:W439)-J439)</f>
        <v/>
      </c>
      <c r="L439" s="0" t="str">
        <f aca="false">IF(ISBLANK(A439),"",K439/$M$1)</f>
        <v/>
      </c>
      <c r="M439" s="0" t="str">
        <f aca="false">IF(ISBLANK(A439),"",K439/($M$1+SUM(K$3:K438)))</f>
        <v/>
      </c>
      <c r="N439" s="0" t="str">
        <f aca="false">IF(ISBLANK(A439),"",IF(H440=0,NETWORKDAYS($H$3,H439,holiday!$B$2:$B$10),IF(DAY(H439)&lt;DAY(H440),NETWORKDAYS($H$3,H439,holiday!$B$2:$B$10),0)))</f>
        <v/>
      </c>
      <c r="O439" s="0" t="str">
        <f aca="false">IF(ISBLANK(A439),"",SUMIF($A$3:$A439,O$2,$B$3:$B439))</f>
        <v/>
      </c>
      <c r="P439" s="0" t="str">
        <f aca="false">IF(ISBLANK(A439),"",SUMIF($A$3:$A439,P$2,$B$3:$B439))</f>
        <v/>
      </c>
      <c r="Q439" s="0" t="str">
        <f aca="false">IF(ISBLANK(A439),"",SUMIF($A$3:$A439,Q$2,$B$3:$B439))</f>
        <v/>
      </c>
      <c r="R439" s="0" t="str">
        <f aca="false">IF(ISBLANK(A439),"",SUMIF($A$3:$A439,R$2,$B$3:$B439))</f>
        <v/>
      </c>
      <c r="T439" s="0" t="str">
        <f aca="false">IF(ISBLANK(A439),"",IF($A439=T$2,$C439,T438))</f>
        <v/>
      </c>
      <c r="U439" s="0" t="str">
        <f aca="false">IF(ISBLANK(A439),"",IF($A439=U$2,$C439,U438))</f>
        <v/>
      </c>
      <c r="V439" s="0" t="str">
        <f aca="false">IF(ISBLANK(A439),"",IF($A439=V$2,$C439,V438))</f>
        <v/>
      </c>
      <c r="W439" s="0" t="str">
        <f aca="false">IF(ISBLANK(A439),"",IF($A439=W$2,$C439,W438))</f>
        <v/>
      </c>
    </row>
    <row r="440" customFormat="false" ht="12.8" hidden="false" customHeight="false" outlineLevel="0" collapsed="false">
      <c r="H440" s="8" t="n">
        <f aca="false">IF(ISBLANK(D440),,LEFT(D440,LEN(D440)-6)*1)</f>
        <v>0</v>
      </c>
      <c r="I440" s="9" t="str">
        <f aca="false">IF(ISBLANK(A440),"",-B440*C440)</f>
        <v/>
      </c>
      <c r="J440" s="9" t="str">
        <f aca="false">IF(ISBLANK(A440),"",-SUM(I$3:I440))</f>
        <v/>
      </c>
      <c r="K440" s="0" t="str">
        <f aca="false">IF(ISBLANK(A440),"",SUMPRODUCT(O440:R440,T440:W440)-J440)</f>
        <v/>
      </c>
      <c r="L440" s="0" t="str">
        <f aca="false">IF(ISBLANK(A440),"",K440/$M$1)</f>
        <v/>
      </c>
      <c r="M440" s="0" t="str">
        <f aca="false">IF(ISBLANK(A440),"",K440/($M$1+SUM(K$3:K439)))</f>
        <v/>
      </c>
      <c r="N440" s="0" t="str">
        <f aca="false">IF(ISBLANK(A440),"",IF(H441=0,NETWORKDAYS($H$3,H440,holiday!$B$2:$B$10),IF(DAY(H440)&lt;DAY(H441),NETWORKDAYS($H$3,H440,holiday!$B$2:$B$10),0)))</f>
        <v/>
      </c>
      <c r="O440" s="0" t="str">
        <f aca="false">IF(ISBLANK(A440),"",SUMIF($A$3:$A440,O$2,$B$3:$B440))</f>
        <v/>
      </c>
      <c r="P440" s="0" t="str">
        <f aca="false">IF(ISBLANK(A440),"",SUMIF($A$3:$A440,P$2,$B$3:$B440))</f>
        <v/>
      </c>
      <c r="Q440" s="0" t="str">
        <f aca="false">IF(ISBLANK(A440),"",SUMIF($A$3:$A440,Q$2,$B$3:$B440))</f>
        <v/>
      </c>
      <c r="R440" s="0" t="str">
        <f aca="false">IF(ISBLANK(A440),"",SUMIF($A$3:$A440,R$2,$B$3:$B440))</f>
        <v/>
      </c>
      <c r="T440" s="0" t="str">
        <f aca="false">IF(ISBLANK(A440),"",IF($A440=T$2,$C440,T439))</f>
        <v/>
      </c>
      <c r="U440" s="0" t="str">
        <f aca="false">IF(ISBLANK(A440),"",IF($A440=U$2,$C440,U439))</f>
        <v/>
      </c>
      <c r="V440" s="0" t="str">
        <f aca="false">IF(ISBLANK(A440),"",IF($A440=V$2,$C440,V439))</f>
        <v/>
      </c>
      <c r="W440" s="0" t="str">
        <f aca="false">IF(ISBLANK(A440),"",IF($A440=W$2,$C440,W439))</f>
        <v/>
      </c>
    </row>
    <row r="441" customFormat="false" ht="12.8" hidden="false" customHeight="false" outlineLevel="0" collapsed="false">
      <c r="H441" s="8" t="n">
        <f aca="false">IF(ISBLANK(D441),,LEFT(D441,LEN(D441)-6)*1)</f>
        <v>0</v>
      </c>
      <c r="I441" s="9" t="str">
        <f aca="false">IF(ISBLANK(A441),"",-B441*C441)</f>
        <v/>
      </c>
      <c r="J441" s="9" t="str">
        <f aca="false">IF(ISBLANK(A441),"",-SUM(I$3:I441))</f>
        <v/>
      </c>
      <c r="K441" s="0" t="str">
        <f aca="false">IF(ISBLANK(A441),"",SUMPRODUCT(O441:R441,T441:W441)-J441)</f>
        <v/>
      </c>
      <c r="L441" s="0" t="str">
        <f aca="false">IF(ISBLANK(A441),"",K441/$M$1)</f>
        <v/>
      </c>
      <c r="M441" s="0" t="str">
        <f aca="false">IF(ISBLANK(A441),"",K441/($M$1+SUM(K$3:K440)))</f>
        <v/>
      </c>
      <c r="N441" s="0" t="str">
        <f aca="false">IF(ISBLANK(A441),"",IF(H442=0,NETWORKDAYS($H$3,H441,holiday!$B$2:$B$10),IF(DAY(H441)&lt;DAY(H442),NETWORKDAYS($H$3,H441,holiday!$B$2:$B$10),0)))</f>
        <v/>
      </c>
      <c r="O441" s="0" t="str">
        <f aca="false">IF(ISBLANK(A441),"",SUMIF($A$3:$A441,O$2,$B$3:$B441))</f>
        <v/>
      </c>
      <c r="P441" s="0" t="str">
        <f aca="false">IF(ISBLANK(A441),"",SUMIF($A$3:$A441,P$2,$B$3:$B441))</f>
        <v/>
      </c>
      <c r="Q441" s="0" t="str">
        <f aca="false">IF(ISBLANK(A441),"",SUMIF($A$3:$A441,Q$2,$B$3:$B441))</f>
        <v/>
      </c>
      <c r="R441" s="0" t="str">
        <f aca="false">IF(ISBLANK(A441),"",SUMIF($A$3:$A441,R$2,$B$3:$B441))</f>
        <v/>
      </c>
      <c r="T441" s="0" t="str">
        <f aca="false">IF(ISBLANK(A441),"",IF($A441=T$2,$C441,T440))</f>
        <v/>
      </c>
      <c r="U441" s="0" t="str">
        <f aca="false">IF(ISBLANK(A441),"",IF($A441=U$2,$C441,U440))</f>
        <v/>
      </c>
      <c r="V441" s="0" t="str">
        <f aca="false">IF(ISBLANK(A441),"",IF($A441=V$2,$C441,V440))</f>
        <v/>
      </c>
      <c r="W441" s="0" t="str">
        <f aca="false">IF(ISBLANK(A441),"",IF($A441=W$2,$C441,W440))</f>
        <v/>
      </c>
    </row>
    <row r="442" customFormat="false" ht="12.8" hidden="false" customHeight="false" outlineLevel="0" collapsed="false">
      <c r="H442" s="8" t="n">
        <f aca="false">IF(ISBLANK(D442),,LEFT(D442,LEN(D442)-6)*1)</f>
        <v>0</v>
      </c>
      <c r="I442" s="9" t="str">
        <f aca="false">IF(ISBLANK(A442),"",-B442*C442)</f>
        <v/>
      </c>
      <c r="J442" s="9" t="str">
        <f aca="false">IF(ISBLANK(A442),"",-SUM(I$3:I442))</f>
        <v/>
      </c>
      <c r="K442" s="0" t="str">
        <f aca="false">IF(ISBLANK(A442),"",SUMPRODUCT(O442:R442,T442:W442)-J442)</f>
        <v/>
      </c>
      <c r="L442" s="0" t="str">
        <f aca="false">IF(ISBLANK(A442),"",K442/$M$1)</f>
        <v/>
      </c>
      <c r="M442" s="0" t="str">
        <f aca="false">IF(ISBLANK(A442),"",K442/($M$1+SUM(K$3:K441)))</f>
        <v/>
      </c>
      <c r="N442" s="0" t="str">
        <f aca="false">IF(ISBLANK(A442),"",IF(H443=0,NETWORKDAYS($H$3,H442,holiday!$B$2:$B$10),IF(DAY(H442)&lt;DAY(H443),NETWORKDAYS($H$3,H442,holiday!$B$2:$B$10),0)))</f>
        <v/>
      </c>
      <c r="O442" s="0" t="str">
        <f aca="false">IF(ISBLANK(A442),"",SUMIF($A$3:$A442,O$2,$B$3:$B442))</f>
        <v/>
      </c>
      <c r="P442" s="0" t="str">
        <f aca="false">IF(ISBLANK(A442),"",SUMIF($A$3:$A442,P$2,$B$3:$B442))</f>
        <v/>
      </c>
      <c r="Q442" s="0" t="str">
        <f aca="false">IF(ISBLANK(A442),"",SUMIF($A$3:$A442,Q$2,$B$3:$B442))</f>
        <v/>
      </c>
      <c r="R442" s="0" t="str">
        <f aca="false">IF(ISBLANK(A442),"",SUMIF($A$3:$A442,R$2,$B$3:$B442))</f>
        <v/>
      </c>
      <c r="T442" s="0" t="str">
        <f aca="false">IF(ISBLANK(A442),"",IF($A442=T$2,$C442,T441))</f>
        <v/>
      </c>
      <c r="U442" s="0" t="str">
        <f aca="false">IF(ISBLANK(A442),"",IF($A442=U$2,$C442,U441))</f>
        <v/>
      </c>
      <c r="V442" s="0" t="str">
        <f aca="false">IF(ISBLANK(A442),"",IF($A442=V$2,$C442,V441))</f>
        <v/>
      </c>
      <c r="W442" s="0" t="str">
        <f aca="false">IF(ISBLANK(A442),"",IF($A442=W$2,$C442,W441))</f>
        <v/>
      </c>
    </row>
    <row r="443" customFormat="false" ht="12.8" hidden="false" customHeight="false" outlineLevel="0" collapsed="false">
      <c r="H443" s="8" t="n">
        <f aca="false">IF(ISBLANK(D443),,LEFT(D443,LEN(D443)-6)*1)</f>
        <v>0</v>
      </c>
      <c r="I443" s="9" t="str">
        <f aca="false">IF(ISBLANK(A443),"",-B443*C443)</f>
        <v/>
      </c>
      <c r="J443" s="9" t="str">
        <f aca="false">IF(ISBLANK(A443),"",-SUM(I$3:I443))</f>
        <v/>
      </c>
      <c r="K443" s="0" t="str">
        <f aca="false">IF(ISBLANK(A443),"",SUMPRODUCT(O443:R443,T443:W443)-J443)</f>
        <v/>
      </c>
      <c r="L443" s="0" t="str">
        <f aca="false">IF(ISBLANK(A443),"",K443/$M$1)</f>
        <v/>
      </c>
      <c r="M443" s="0" t="str">
        <f aca="false">IF(ISBLANK(A443),"",K443/($M$1+SUM(K$3:K442)))</f>
        <v/>
      </c>
      <c r="N443" s="0" t="str">
        <f aca="false">IF(ISBLANK(A443),"",IF(H444=0,NETWORKDAYS($H$3,H443,holiday!$B$2:$B$10),IF(DAY(H443)&lt;DAY(H444),NETWORKDAYS($H$3,H443,holiday!$B$2:$B$10),0)))</f>
        <v/>
      </c>
      <c r="O443" s="0" t="str">
        <f aca="false">IF(ISBLANK(A443),"",SUMIF($A$3:$A443,O$2,$B$3:$B443))</f>
        <v/>
      </c>
      <c r="P443" s="0" t="str">
        <f aca="false">IF(ISBLANK(A443),"",SUMIF($A$3:$A443,P$2,$B$3:$B443))</f>
        <v/>
      </c>
      <c r="Q443" s="0" t="str">
        <f aca="false">IF(ISBLANK(A443),"",SUMIF($A$3:$A443,Q$2,$B$3:$B443))</f>
        <v/>
      </c>
      <c r="R443" s="0" t="str">
        <f aca="false">IF(ISBLANK(A443),"",SUMIF($A$3:$A443,R$2,$B$3:$B443))</f>
        <v/>
      </c>
      <c r="T443" s="0" t="str">
        <f aca="false">IF(ISBLANK(A443),"",IF($A443=T$2,$C443,T442))</f>
        <v/>
      </c>
      <c r="U443" s="0" t="str">
        <f aca="false">IF(ISBLANK(A443),"",IF($A443=U$2,$C443,U442))</f>
        <v/>
      </c>
      <c r="V443" s="0" t="str">
        <f aca="false">IF(ISBLANK(A443),"",IF($A443=V$2,$C443,V442))</f>
        <v/>
      </c>
      <c r="W443" s="0" t="str">
        <f aca="false">IF(ISBLANK(A443),"",IF($A443=W$2,$C443,W442))</f>
        <v/>
      </c>
    </row>
    <row r="444" customFormat="false" ht="12.8" hidden="false" customHeight="false" outlineLevel="0" collapsed="false">
      <c r="H444" s="8" t="n">
        <f aca="false">IF(ISBLANK(D444),,LEFT(D444,LEN(D444)-6)*1)</f>
        <v>0</v>
      </c>
      <c r="I444" s="9" t="str">
        <f aca="false">IF(ISBLANK(A444),"",-B444*C444)</f>
        <v/>
      </c>
      <c r="J444" s="9" t="str">
        <f aca="false">IF(ISBLANK(A444),"",-SUM(I$3:I444))</f>
        <v/>
      </c>
      <c r="K444" s="0" t="str">
        <f aca="false">IF(ISBLANK(A444),"",SUMPRODUCT(O444:R444,T444:W444)-J444)</f>
        <v/>
      </c>
      <c r="L444" s="0" t="str">
        <f aca="false">IF(ISBLANK(A444),"",K444/$M$1)</f>
        <v/>
      </c>
      <c r="M444" s="0" t="str">
        <f aca="false">IF(ISBLANK(A444),"",K444/($M$1+SUM(K$3:K443)))</f>
        <v/>
      </c>
      <c r="N444" s="0" t="str">
        <f aca="false">IF(ISBLANK(A444),"",IF(H445=0,NETWORKDAYS($H$3,H444,holiday!$B$2:$B$10),IF(DAY(H444)&lt;DAY(H445),NETWORKDAYS($H$3,H444,holiday!$B$2:$B$10),0)))</f>
        <v/>
      </c>
      <c r="O444" s="0" t="str">
        <f aca="false">IF(ISBLANK(A444),"",SUMIF($A$3:$A444,O$2,$B$3:$B444))</f>
        <v/>
      </c>
      <c r="P444" s="0" t="str">
        <f aca="false">IF(ISBLANK(A444),"",SUMIF($A$3:$A444,P$2,$B$3:$B444))</f>
        <v/>
      </c>
      <c r="Q444" s="0" t="str">
        <f aca="false">IF(ISBLANK(A444),"",SUMIF($A$3:$A444,Q$2,$B$3:$B444))</f>
        <v/>
      </c>
      <c r="R444" s="0" t="str">
        <f aca="false">IF(ISBLANK(A444),"",SUMIF($A$3:$A444,R$2,$B$3:$B444))</f>
        <v/>
      </c>
      <c r="T444" s="0" t="str">
        <f aca="false">IF(ISBLANK(A444),"",IF($A444=T$2,$C444,T443))</f>
        <v/>
      </c>
      <c r="U444" s="0" t="str">
        <f aca="false">IF(ISBLANK(A444),"",IF($A444=U$2,$C444,U443))</f>
        <v/>
      </c>
      <c r="V444" s="0" t="str">
        <f aca="false">IF(ISBLANK(A444),"",IF($A444=V$2,$C444,V443))</f>
        <v/>
      </c>
      <c r="W444" s="0" t="str">
        <f aca="false">IF(ISBLANK(A444),"",IF($A444=W$2,$C444,W443))</f>
        <v/>
      </c>
    </row>
    <row r="445" customFormat="false" ht="12.8" hidden="false" customHeight="false" outlineLevel="0" collapsed="false">
      <c r="H445" s="8" t="n">
        <f aca="false">IF(ISBLANK(D445),,LEFT(D445,LEN(D445)-6)*1)</f>
        <v>0</v>
      </c>
      <c r="I445" s="9" t="str">
        <f aca="false">IF(ISBLANK(A445),"",-B445*C445)</f>
        <v/>
      </c>
      <c r="J445" s="9" t="str">
        <f aca="false">IF(ISBLANK(A445),"",-SUM(I$3:I445))</f>
        <v/>
      </c>
      <c r="K445" s="0" t="str">
        <f aca="false">IF(ISBLANK(A445),"",SUMPRODUCT(O445:R445,T445:W445)-J445)</f>
        <v/>
      </c>
      <c r="L445" s="0" t="str">
        <f aca="false">IF(ISBLANK(A445),"",K445/$M$1)</f>
        <v/>
      </c>
      <c r="M445" s="0" t="str">
        <f aca="false">IF(ISBLANK(A445),"",K445/($M$1+SUM(K$3:K444)))</f>
        <v/>
      </c>
      <c r="N445" s="0" t="str">
        <f aca="false">IF(ISBLANK(A445),"",IF(H446=0,NETWORKDAYS($H$3,H445,holiday!$B$2:$B$10),IF(DAY(H445)&lt;DAY(H446),NETWORKDAYS($H$3,H445,holiday!$B$2:$B$10),0)))</f>
        <v/>
      </c>
      <c r="O445" s="0" t="str">
        <f aca="false">IF(ISBLANK(A445),"",SUMIF($A$3:$A445,O$2,$B$3:$B445))</f>
        <v/>
      </c>
      <c r="P445" s="0" t="str">
        <f aca="false">IF(ISBLANK(A445),"",SUMIF($A$3:$A445,P$2,$B$3:$B445))</f>
        <v/>
      </c>
      <c r="Q445" s="0" t="str">
        <f aca="false">IF(ISBLANK(A445),"",SUMIF($A$3:$A445,Q$2,$B$3:$B445))</f>
        <v/>
      </c>
      <c r="R445" s="0" t="str">
        <f aca="false">IF(ISBLANK(A445),"",SUMIF($A$3:$A445,R$2,$B$3:$B445))</f>
        <v/>
      </c>
      <c r="T445" s="0" t="str">
        <f aca="false">IF(ISBLANK(A445),"",IF($A445=T$2,$C445,T444))</f>
        <v/>
      </c>
      <c r="U445" s="0" t="str">
        <f aca="false">IF(ISBLANK(A445),"",IF($A445=U$2,$C445,U444))</f>
        <v/>
      </c>
      <c r="V445" s="0" t="str">
        <f aca="false">IF(ISBLANK(A445),"",IF($A445=V$2,$C445,V444))</f>
        <v/>
      </c>
      <c r="W445" s="0" t="str">
        <f aca="false">IF(ISBLANK(A445),"",IF($A445=W$2,$C445,W444))</f>
        <v/>
      </c>
    </row>
    <row r="446" customFormat="false" ht="12.8" hidden="false" customHeight="false" outlineLevel="0" collapsed="false">
      <c r="H446" s="8" t="n">
        <f aca="false">IF(ISBLANK(D446),,LEFT(D446,LEN(D446)-6)*1)</f>
        <v>0</v>
      </c>
      <c r="I446" s="9" t="str">
        <f aca="false">IF(ISBLANK(A446),"",-B446*C446)</f>
        <v/>
      </c>
      <c r="J446" s="9" t="str">
        <f aca="false">IF(ISBLANK(A446),"",-SUM(I$3:I446))</f>
        <v/>
      </c>
      <c r="K446" s="0" t="str">
        <f aca="false">IF(ISBLANK(A446),"",SUMPRODUCT(O446:R446,T446:W446)-J446)</f>
        <v/>
      </c>
      <c r="L446" s="0" t="str">
        <f aca="false">IF(ISBLANK(A446),"",K446/$M$1)</f>
        <v/>
      </c>
      <c r="M446" s="0" t="str">
        <f aca="false">IF(ISBLANK(A446),"",K446/($M$1+SUM(K$3:K445)))</f>
        <v/>
      </c>
      <c r="N446" s="0" t="str">
        <f aca="false">IF(ISBLANK(A446),"",IF(H447=0,NETWORKDAYS($H$3,H446,holiday!$B$2:$B$10),IF(DAY(H446)&lt;DAY(H447),NETWORKDAYS($H$3,H446,holiday!$B$2:$B$10),0)))</f>
        <v/>
      </c>
      <c r="O446" s="0" t="str">
        <f aca="false">IF(ISBLANK(A446),"",SUMIF($A$3:$A446,O$2,$B$3:$B446))</f>
        <v/>
      </c>
      <c r="P446" s="0" t="str">
        <f aca="false">IF(ISBLANK(A446),"",SUMIF($A$3:$A446,P$2,$B$3:$B446))</f>
        <v/>
      </c>
      <c r="Q446" s="0" t="str">
        <f aca="false">IF(ISBLANK(A446),"",SUMIF($A$3:$A446,Q$2,$B$3:$B446))</f>
        <v/>
      </c>
      <c r="R446" s="0" t="str">
        <f aca="false">IF(ISBLANK(A446),"",SUMIF($A$3:$A446,R$2,$B$3:$B446))</f>
        <v/>
      </c>
      <c r="T446" s="0" t="str">
        <f aca="false">IF(ISBLANK(A446),"",IF($A446=T$2,$C446,T445))</f>
        <v/>
      </c>
      <c r="U446" s="0" t="str">
        <f aca="false">IF(ISBLANK(A446),"",IF($A446=U$2,$C446,U445))</f>
        <v/>
      </c>
      <c r="V446" s="0" t="str">
        <f aca="false">IF(ISBLANK(A446),"",IF($A446=V$2,$C446,V445))</f>
        <v/>
      </c>
      <c r="W446" s="0" t="str">
        <f aca="false">IF(ISBLANK(A446),"",IF($A446=W$2,$C446,W445))</f>
        <v/>
      </c>
    </row>
    <row r="447" customFormat="false" ht="12.8" hidden="false" customHeight="false" outlineLevel="0" collapsed="false">
      <c r="H447" s="8" t="n">
        <f aca="false">IF(ISBLANK(D447),,LEFT(D447,LEN(D447)-6)*1)</f>
        <v>0</v>
      </c>
      <c r="I447" s="9" t="str">
        <f aca="false">IF(ISBLANK(A447),"",-B447*C447)</f>
        <v/>
      </c>
      <c r="J447" s="9" t="str">
        <f aca="false">IF(ISBLANK(A447),"",-SUM(I$3:I447))</f>
        <v/>
      </c>
      <c r="K447" s="0" t="str">
        <f aca="false">IF(ISBLANK(A447),"",SUMPRODUCT(O447:R447,T447:W447)-J447)</f>
        <v/>
      </c>
      <c r="L447" s="0" t="str">
        <f aca="false">IF(ISBLANK(A447),"",K447/$M$1)</f>
        <v/>
      </c>
      <c r="M447" s="0" t="str">
        <f aca="false">IF(ISBLANK(A447),"",K447/($M$1+SUM(K$3:K446)))</f>
        <v/>
      </c>
      <c r="N447" s="0" t="str">
        <f aca="false">IF(ISBLANK(A447),"",IF(H448=0,NETWORKDAYS($H$3,H447,holiday!$B$2:$B$10),IF(DAY(H447)&lt;DAY(H448),NETWORKDAYS($H$3,H447,holiday!$B$2:$B$10),0)))</f>
        <v/>
      </c>
      <c r="O447" s="0" t="str">
        <f aca="false">IF(ISBLANK(A447),"",SUMIF($A$3:$A447,O$2,$B$3:$B447))</f>
        <v/>
      </c>
      <c r="P447" s="0" t="str">
        <f aca="false">IF(ISBLANK(A447),"",SUMIF($A$3:$A447,P$2,$B$3:$B447))</f>
        <v/>
      </c>
      <c r="Q447" s="0" t="str">
        <f aca="false">IF(ISBLANK(A447),"",SUMIF($A$3:$A447,Q$2,$B$3:$B447))</f>
        <v/>
      </c>
      <c r="R447" s="0" t="str">
        <f aca="false">IF(ISBLANK(A447),"",SUMIF($A$3:$A447,R$2,$B$3:$B447))</f>
        <v/>
      </c>
      <c r="T447" s="0" t="str">
        <f aca="false">IF(ISBLANK(A447),"",IF($A447=T$2,$C447,T446))</f>
        <v/>
      </c>
      <c r="U447" s="0" t="str">
        <f aca="false">IF(ISBLANK(A447),"",IF($A447=U$2,$C447,U446))</f>
        <v/>
      </c>
      <c r="V447" s="0" t="str">
        <f aca="false">IF(ISBLANK(A447),"",IF($A447=V$2,$C447,V446))</f>
        <v/>
      </c>
      <c r="W447" s="0" t="str">
        <f aca="false">IF(ISBLANK(A447),"",IF($A447=W$2,$C447,W446))</f>
        <v/>
      </c>
    </row>
    <row r="448" customFormat="false" ht="12.8" hidden="false" customHeight="false" outlineLevel="0" collapsed="false">
      <c r="H448" s="8" t="n">
        <f aca="false">IF(ISBLANK(D448),,LEFT(D448,LEN(D448)-6)*1)</f>
        <v>0</v>
      </c>
      <c r="I448" s="9" t="str">
        <f aca="false">IF(ISBLANK(A448),"",-B448*C448)</f>
        <v/>
      </c>
      <c r="J448" s="9" t="str">
        <f aca="false">IF(ISBLANK(A448),"",-SUM(I$3:I448))</f>
        <v/>
      </c>
      <c r="K448" s="0" t="str">
        <f aca="false">IF(ISBLANK(A448),"",SUMPRODUCT(O448:R448,T448:W448)-J448)</f>
        <v/>
      </c>
      <c r="L448" s="0" t="str">
        <f aca="false">IF(ISBLANK(A448),"",K448/$M$1)</f>
        <v/>
      </c>
      <c r="M448" s="0" t="str">
        <f aca="false">IF(ISBLANK(A448),"",K448/($M$1+SUM(K$3:K447)))</f>
        <v/>
      </c>
      <c r="N448" s="0" t="str">
        <f aca="false">IF(ISBLANK(A448),"",IF(H449=0,NETWORKDAYS($H$3,H448,holiday!$B$2:$B$10),IF(DAY(H448)&lt;DAY(H449),NETWORKDAYS($H$3,H448,holiday!$B$2:$B$10),0)))</f>
        <v/>
      </c>
      <c r="O448" s="0" t="str">
        <f aca="false">IF(ISBLANK(A448),"",SUMIF($A$3:$A448,O$2,$B$3:$B448))</f>
        <v/>
      </c>
      <c r="P448" s="0" t="str">
        <f aca="false">IF(ISBLANK(A448),"",SUMIF($A$3:$A448,P$2,$B$3:$B448))</f>
        <v/>
      </c>
      <c r="Q448" s="0" t="str">
        <f aca="false">IF(ISBLANK(A448),"",SUMIF($A$3:$A448,Q$2,$B$3:$B448))</f>
        <v/>
      </c>
      <c r="R448" s="0" t="str">
        <f aca="false">IF(ISBLANK(A448),"",SUMIF($A$3:$A448,R$2,$B$3:$B448))</f>
        <v/>
      </c>
      <c r="T448" s="0" t="str">
        <f aca="false">IF(ISBLANK(A448),"",IF($A448=T$2,$C448,T447))</f>
        <v/>
      </c>
      <c r="U448" s="0" t="str">
        <f aca="false">IF(ISBLANK(A448),"",IF($A448=U$2,$C448,U447))</f>
        <v/>
      </c>
      <c r="V448" s="0" t="str">
        <f aca="false">IF(ISBLANK(A448),"",IF($A448=V$2,$C448,V447))</f>
        <v/>
      </c>
      <c r="W448" s="0" t="str">
        <f aca="false">IF(ISBLANK(A448),"",IF($A448=W$2,$C448,W447))</f>
        <v/>
      </c>
    </row>
    <row r="449" customFormat="false" ht="12.8" hidden="false" customHeight="false" outlineLevel="0" collapsed="false">
      <c r="H449" s="8" t="n">
        <f aca="false">IF(ISBLANK(D449),,LEFT(D449,LEN(D449)-6)*1)</f>
        <v>0</v>
      </c>
      <c r="I449" s="9" t="str">
        <f aca="false">IF(ISBLANK(A449),"",-B449*C449)</f>
        <v/>
      </c>
      <c r="J449" s="9" t="str">
        <f aca="false">IF(ISBLANK(A449),"",-SUM(I$3:I449))</f>
        <v/>
      </c>
      <c r="K449" s="0" t="str">
        <f aca="false">IF(ISBLANK(A449),"",SUMPRODUCT(O449:R449,T449:W449)-J449)</f>
        <v/>
      </c>
      <c r="L449" s="0" t="str">
        <f aca="false">IF(ISBLANK(A449),"",K449/$M$1)</f>
        <v/>
      </c>
      <c r="M449" s="0" t="str">
        <f aca="false">IF(ISBLANK(A449),"",K449/($M$1+SUM(K$3:K448)))</f>
        <v/>
      </c>
      <c r="N449" s="0" t="str">
        <f aca="false">IF(ISBLANK(A449),"",IF(H450=0,NETWORKDAYS($H$3,H449,holiday!$B$2:$B$10),IF(DAY(H449)&lt;DAY(H450),NETWORKDAYS($H$3,H449,holiday!$B$2:$B$10),0)))</f>
        <v/>
      </c>
      <c r="O449" s="0" t="str">
        <f aca="false">IF(ISBLANK(A449),"",SUMIF($A$3:$A449,O$2,$B$3:$B449))</f>
        <v/>
      </c>
      <c r="P449" s="0" t="str">
        <f aca="false">IF(ISBLANK(A449),"",SUMIF($A$3:$A449,P$2,$B$3:$B449))</f>
        <v/>
      </c>
      <c r="Q449" s="0" t="str">
        <f aca="false">IF(ISBLANK(A449),"",SUMIF($A$3:$A449,Q$2,$B$3:$B449))</f>
        <v/>
      </c>
      <c r="R449" s="0" t="str">
        <f aca="false">IF(ISBLANK(A449),"",SUMIF($A$3:$A449,R$2,$B$3:$B449))</f>
        <v/>
      </c>
      <c r="T449" s="0" t="str">
        <f aca="false">IF(ISBLANK(A449),"",IF($A449=T$2,$C449,T448))</f>
        <v/>
      </c>
      <c r="U449" s="0" t="str">
        <f aca="false">IF(ISBLANK(A449),"",IF($A449=U$2,$C449,U448))</f>
        <v/>
      </c>
      <c r="V449" s="0" t="str">
        <f aca="false">IF(ISBLANK(A449),"",IF($A449=V$2,$C449,V448))</f>
        <v/>
      </c>
      <c r="W449" s="0" t="str">
        <f aca="false">IF(ISBLANK(A449),"",IF($A449=W$2,$C449,W448))</f>
        <v/>
      </c>
    </row>
    <row r="450" customFormat="false" ht="12.8" hidden="false" customHeight="false" outlineLevel="0" collapsed="false">
      <c r="H450" s="8" t="n">
        <f aca="false">IF(ISBLANK(D450),,LEFT(D450,LEN(D450)-6)*1)</f>
        <v>0</v>
      </c>
      <c r="I450" s="9" t="str">
        <f aca="false">IF(ISBLANK(A450),"",-B450*C450)</f>
        <v/>
      </c>
      <c r="J450" s="9" t="str">
        <f aca="false">IF(ISBLANK(A450),"",-SUM(I$3:I450))</f>
        <v/>
      </c>
      <c r="K450" s="0" t="str">
        <f aca="false">IF(ISBLANK(A450),"",SUMPRODUCT(O450:R450,T450:W450)-J450)</f>
        <v/>
      </c>
      <c r="L450" s="0" t="str">
        <f aca="false">IF(ISBLANK(A450),"",K450/$M$1)</f>
        <v/>
      </c>
      <c r="M450" s="0" t="str">
        <f aca="false">IF(ISBLANK(A450),"",K450/($M$1+SUM(K$3:K449)))</f>
        <v/>
      </c>
      <c r="N450" s="0" t="str">
        <f aca="false">IF(ISBLANK(A450),"",IF(H451=0,NETWORKDAYS($H$3,H450,holiday!$B$2:$B$10),IF(DAY(H450)&lt;DAY(H451),NETWORKDAYS($H$3,H450,holiday!$B$2:$B$10),0)))</f>
        <v/>
      </c>
      <c r="O450" s="0" t="str">
        <f aca="false">IF(ISBLANK(A450),"",SUMIF($A$3:$A450,O$2,$B$3:$B450))</f>
        <v/>
      </c>
      <c r="P450" s="0" t="str">
        <f aca="false">IF(ISBLANK(A450),"",SUMIF($A$3:$A450,P$2,$B$3:$B450))</f>
        <v/>
      </c>
      <c r="Q450" s="0" t="str">
        <f aca="false">IF(ISBLANK(A450),"",SUMIF($A$3:$A450,Q$2,$B$3:$B450))</f>
        <v/>
      </c>
      <c r="R450" s="0" t="str">
        <f aca="false">IF(ISBLANK(A450),"",SUMIF($A$3:$A450,R$2,$B$3:$B450))</f>
        <v/>
      </c>
      <c r="T450" s="0" t="str">
        <f aca="false">IF(ISBLANK(A450),"",IF($A450=T$2,$C450,T449))</f>
        <v/>
      </c>
      <c r="U450" s="0" t="str">
        <f aca="false">IF(ISBLANK(A450),"",IF($A450=U$2,$C450,U449))</f>
        <v/>
      </c>
      <c r="V450" s="0" t="str">
        <f aca="false">IF(ISBLANK(A450),"",IF($A450=V$2,$C450,V449))</f>
        <v/>
      </c>
      <c r="W450" s="0" t="str">
        <f aca="false">IF(ISBLANK(A450),"",IF($A450=W$2,$C450,W449))</f>
        <v/>
      </c>
    </row>
    <row r="451" customFormat="false" ht="12.8" hidden="false" customHeight="false" outlineLevel="0" collapsed="false">
      <c r="H451" s="8" t="n">
        <f aca="false">IF(ISBLANK(D451),,LEFT(D451,LEN(D451)-6)*1)</f>
        <v>0</v>
      </c>
      <c r="I451" s="9" t="str">
        <f aca="false">IF(ISBLANK(A451),"",-B451*C451)</f>
        <v/>
      </c>
      <c r="J451" s="9" t="str">
        <f aca="false">IF(ISBLANK(A451),"",-SUM(I$3:I451))</f>
        <v/>
      </c>
      <c r="K451" s="0" t="str">
        <f aca="false">IF(ISBLANK(A451),"",SUMPRODUCT(O451:R451,T451:W451)-J451)</f>
        <v/>
      </c>
      <c r="L451" s="0" t="str">
        <f aca="false">IF(ISBLANK(A451),"",K451/$M$1)</f>
        <v/>
      </c>
      <c r="M451" s="0" t="str">
        <f aca="false">IF(ISBLANK(A451),"",K451/($M$1+SUM(K$3:K450)))</f>
        <v/>
      </c>
      <c r="N451" s="0" t="str">
        <f aca="false">IF(ISBLANK(A451),"",IF(H452=0,NETWORKDAYS($H$3,H451,holiday!$B$2:$B$10),IF(DAY(H451)&lt;DAY(H452),NETWORKDAYS($H$3,H451,holiday!$B$2:$B$10),0)))</f>
        <v/>
      </c>
      <c r="O451" s="0" t="str">
        <f aca="false">IF(ISBLANK(A451),"",SUMIF($A$3:$A451,O$2,$B$3:$B451))</f>
        <v/>
      </c>
      <c r="P451" s="0" t="str">
        <f aca="false">IF(ISBLANK(A451),"",SUMIF($A$3:$A451,P$2,$B$3:$B451))</f>
        <v/>
      </c>
      <c r="Q451" s="0" t="str">
        <f aca="false">IF(ISBLANK(A451),"",SUMIF($A$3:$A451,Q$2,$B$3:$B451))</f>
        <v/>
      </c>
      <c r="R451" s="0" t="str">
        <f aca="false">IF(ISBLANK(A451),"",SUMIF($A$3:$A451,R$2,$B$3:$B451))</f>
        <v/>
      </c>
      <c r="T451" s="0" t="str">
        <f aca="false">IF(ISBLANK(A451),"",IF($A451=T$2,$C451,T450))</f>
        <v/>
      </c>
      <c r="U451" s="0" t="str">
        <f aca="false">IF(ISBLANK(A451),"",IF($A451=U$2,$C451,U450))</f>
        <v/>
      </c>
      <c r="V451" s="0" t="str">
        <f aca="false">IF(ISBLANK(A451),"",IF($A451=V$2,$C451,V450))</f>
        <v/>
      </c>
      <c r="W451" s="0" t="str">
        <f aca="false">IF(ISBLANK(A451),"",IF($A451=W$2,$C451,W450))</f>
        <v/>
      </c>
    </row>
    <row r="452" customFormat="false" ht="12.8" hidden="false" customHeight="false" outlineLevel="0" collapsed="false">
      <c r="H452" s="8" t="n">
        <f aca="false">IF(ISBLANK(D452),,LEFT(D452,LEN(D452)-6)*1)</f>
        <v>0</v>
      </c>
      <c r="I452" s="9" t="str">
        <f aca="false">IF(ISBLANK(A452),"",-B452*C452)</f>
        <v/>
      </c>
      <c r="J452" s="9" t="str">
        <f aca="false">IF(ISBLANK(A452),"",-SUM(I$3:I452))</f>
        <v/>
      </c>
      <c r="K452" s="0" t="str">
        <f aca="false">IF(ISBLANK(A452),"",SUMPRODUCT(O452:R452,T452:W452)-J452)</f>
        <v/>
      </c>
      <c r="L452" s="0" t="str">
        <f aca="false">IF(ISBLANK(A452),"",K452/$M$1)</f>
        <v/>
      </c>
      <c r="M452" s="0" t="str">
        <f aca="false">IF(ISBLANK(A452),"",K452/($M$1+SUM(K$3:K451)))</f>
        <v/>
      </c>
      <c r="N452" s="0" t="str">
        <f aca="false">IF(ISBLANK(A452),"",IF(H453=0,NETWORKDAYS($H$3,H452,holiday!$B$2:$B$10),IF(DAY(H452)&lt;DAY(H453),NETWORKDAYS($H$3,H452,holiday!$B$2:$B$10),0)))</f>
        <v/>
      </c>
      <c r="O452" s="0" t="str">
        <f aca="false">IF(ISBLANK(A452),"",SUMIF($A$3:$A452,O$2,$B$3:$B452))</f>
        <v/>
      </c>
      <c r="P452" s="0" t="str">
        <f aca="false">IF(ISBLANK(A452),"",SUMIF($A$3:$A452,P$2,$B$3:$B452))</f>
        <v/>
      </c>
      <c r="Q452" s="0" t="str">
        <f aca="false">IF(ISBLANK(A452),"",SUMIF($A$3:$A452,Q$2,$B$3:$B452))</f>
        <v/>
      </c>
      <c r="R452" s="0" t="str">
        <f aca="false">IF(ISBLANK(A452),"",SUMIF($A$3:$A452,R$2,$B$3:$B452))</f>
        <v/>
      </c>
      <c r="T452" s="0" t="str">
        <f aca="false">IF(ISBLANK(A452),"",IF($A452=T$2,$C452,T451))</f>
        <v/>
      </c>
      <c r="U452" s="0" t="str">
        <f aca="false">IF(ISBLANK(A452),"",IF($A452=U$2,$C452,U451))</f>
        <v/>
      </c>
      <c r="V452" s="0" t="str">
        <f aca="false">IF(ISBLANK(A452),"",IF($A452=V$2,$C452,V451))</f>
        <v/>
      </c>
      <c r="W452" s="0" t="str">
        <f aca="false">IF(ISBLANK(A452),"",IF($A452=W$2,$C452,W451))</f>
        <v/>
      </c>
    </row>
    <row r="453" customFormat="false" ht="12.8" hidden="false" customHeight="false" outlineLevel="0" collapsed="false">
      <c r="H453" s="8" t="n">
        <f aca="false">IF(ISBLANK(D453),,LEFT(D453,LEN(D453)-6)*1)</f>
        <v>0</v>
      </c>
      <c r="I453" s="9" t="str">
        <f aca="false">IF(ISBLANK(A453),"",-B453*C453)</f>
        <v/>
      </c>
      <c r="J453" s="9" t="str">
        <f aca="false">IF(ISBLANK(A453),"",-SUM(I$3:I453))</f>
        <v/>
      </c>
      <c r="K453" s="0" t="str">
        <f aca="false">IF(ISBLANK(A453),"",SUMPRODUCT(O453:R453,T453:W453)-J453)</f>
        <v/>
      </c>
      <c r="L453" s="0" t="str">
        <f aca="false">IF(ISBLANK(A453),"",K453/$M$1)</f>
        <v/>
      </c>
      <c r="M453" s="0" t="str">
        <f aca="false">IF(ISBLANK(A453),"",K453/($M$1+SUM(K$3:K452)))</f>
        <v/>
      </c>
      <c r="N453" s="0" t="str">
        <f aca="false">IF(ISBLANK(A453),"",IF(H454=0,NETWORKDAYS($H$3,H453,holiday!$B$2:$B$10),IF(DAY(H453)&lt;DAY(H454),NETWORKDAYS($H$3,H453,holiday!$B$2:$B$10),0)))</f>
        <v/>
      </c>
      <c r="O453" s="0" t="str">
        <f aca="false">IF(ISBLANK(A453),"",SUMIF($A$3:$A453,O$2,$B$3:$B453))</f>
        <v/>
      </c>
      <c r="P453" s="0" t="str">
        <f aca="false">IF(ISBLANK(A453),"",SUMIF($A$3:$A453,P$2,$B$3:$B453))</f>
        <v/>
      </c>
      <c r="Q453" s="0" t="str">
        <f aca="false">IF(ISBLANK(A453),"",SUMIF($A$3:$A453,Q$2,$B$3:$B453))</f>
        <v/>
      </c>
      <c r="R453" s="0" t="str">
        <f aca="false">IF(ISBLANK(A453),"",SUMIF($A$3:$A453,R$2,$B$3:$B453))</f>
        <v/>
      </c>
      <c r="T453" s="0" t="str">
        <f aca="false">IF(ISBLANK(A453),"",IF($A453=T$2,$C453,T452))</f>
        <v/>
      </c>
      <c r="U453" s="0" t="str">
        <f aca="false">IF(ISBLANK(A453),"",IF($A453=U$2,$C453,U452))</f>
        <v/>
      </c>
      <c r="V453" s="0" t="str">
        <f aca="false">IF(ISBLANK(A453),"",IF($A453=V$2,$C453,V452))</f>
        <v/>
      </c>
      <c r="W453" s="0" t="str">
        <f aca="false">IF(ISBLANK(A453),"",IF($A453=W$2,$C453,W452))</f>
        <v/>
      </c>
    </row>
    <row r="454" customFormat="false" ht="12.8" hidden="false" customHeight="false" outlineLevel="0" collapsed="false">
      <c r="H454" s="8" t="n">
        <f aca="false">IF(ISBLANK(D454),,LEFT(D454,LEN(D454)-6)*1)</f>
        <v>0</v>
      </c>
      <c r="I454" s="9" t="str">
        <f aca="false">IF(ISBLANK(A454),"",-B454*C454)</f>
        <v/>
      </c>
      <c r="J454" s="9" t="str">
        <f aca="false">IF(ISBLANK(A454),"",-SUM(I$3:I454))</f>
        <v/>
      </c>
      <c r="K454" s="0" t="str">
        <f aca="false">IF(ISBLANK(A454),"",SUMPRODUCT(O454:R454,T454:W454)-J454)</f>
        <v/>
      </c>
      <c r="L454" s="0" t="str">
        <f aca="false">IF(ISBLANK(A454),"",K454/$M$1)</f>
        <v/>
      </c>
      <c r="M454" s="0" t="str">
        <f aca="false">IF(ISBLANK(A454),"",K454/($M$1+SUM(K$3:K453)))</f>
        <v/>
      </c>
      <c r="N454" s="0" t="str">
        <f aca="false">IF(ISBLANK(A454),"",IF(H455=0,NETWORKDAYS($H$3,H454,holiday!$B$2:$B$10),IF(DAY(H454)&lt;DAY(H455),NETWORKDAYS($H$3,H454,holiday!$B$2:$B$10),0)))</f>
        <v/>
      </c>
      <c r="O454" s="0" t="str">
        <f aca="false">IF(ISBLANK(A454),"",SUMIF($A$3:$A454,O$2,$B$3:$B454))</f>
        <v/>
      </c>
      <c r="P454" s="0" t="str">
        <f aca="false">IF(ISBLANK(A454),"",SUMIF($A$3:$A454,P$2,$B$3:$B454))</f>
        <v/>
      </c>
      <c r="Q454" s="0" t="str">
        <f aca="false">IF(ISBLANK(A454),"",SUMIF($A$3:$A454,Q$2,$B$3:$B454))</f>
        <v/>
      </c>
      <c r="R454" s="0" t="str">
        <f aca="false">IF(ISBLANK(A454),"",SUMIF($A$3:$A454,R$2,$B$3:$B454))</f>
        <v/>
      </c>
      <c r="T454" s="0" t="str">
        <f aca="false">IF(ISBLANK(A454),"",IF($A454=T$2,$C454,T453))</f>
        <v/>
      </c>
      <c r="U454" s="0" t="str">
        <f aca="false">IF(ISBLANK(A454),"",IF($A454=U$2,$C454,U453))</f>
        <v/>
      </c>
      <c r="V454" s="0" t="str">
        <f aca="false">IF(ISBLANK(A454),"",IF($A454=V$2,$C454,V453))</f>
        <v/>
      </c>
      <c r="W454" s="0" t="str">
        <f aca="false">IF(ISBLANK(A454),"",IF($A454=W$2,$C454,W453))</f>
        <v/>
      </c>
    </row>
    <row r="455" customFormat="false" ht="12.8" hidden="false" customHeight="false" outlineLevel="0" collapsed="false">
      <c r="H455" s="8" t="n">
        <f aca="false">IF(ISBLANK(D455),,LEFT(D455,LEN(D455)-6)*1)</f>
        <v>0</v>
      </c>
      <c r="I455" s="9" t="str">
        <f aca="false">IF(ISBLANK(A455),"",-B455*C455)</f>
        <v/>
      </c>
      <c r="J455" s="9" t="str">
        <f aca="false">IF(ISBLANK(A455),"",-SUM(I$3:I455))</f>
        <v/>
      </c>
      <c r="K455" s="0" t="str">
        <f aca="false">IF(ISBLANK(A455),"",SUMPRODUCT(O455:R455,T455:W455)-J455)</f>
        <v/>
      </c>
      <c r="L455" s="0" t="str">
        <f aca="false">IF(ISBLANK(A455),"",K455/$M$1)</f>
        <v/>
      </c>
      <c r="M455" s="0" t="str">
        <f aca="false">IF(ISBLANK(A455),"",K455/($M$1+SUM(K$3:K454)))</f>
        <v/>
      </c>
      <c r="N455" s="0" t="str">
        <f aca="false">IF(ISBLANK(A455),"",IF(H456=0,NETWORKDAYS($H$3,H455,holiday!$B$2:$B$10),IF(DAY(H455)&lt;DAY(H456),NETWORKDAYS($H$3,H455,holiday!$B$2:$B$10),0)))</f>
        <v/>
      </c>
      <c r="O455" s="0" t="str">
        <f aca="false">IF(ISBLANK(A455),"",SUMIF($A$3:$A455,O$2,$B$3:$B455))</f>
        <v/>
      </c>
      <c r="P455" s="0" t="str">
        <f aca="false">IF(ISBLANK(A455),"",SUMIF($A$3:$A455,P$2,$B$3:$B455))</f>
        <v/>
      </c>
      <c r="Q455" s="0" t="str">
        <f aca="false">IF(ISBLANK(A455),"",SUMIF($A$3:$A455,Q$2,$B$3:$B455))</f>
        <v/>
      </c>
      <c r="R455" s="0" t="str">
        <f aca="false">IF(ISBLANK(A455),"",SUMIF($A$3:$A455,R$2,$B$3:$B455))</f>
        <v/>
      </c>
      <c r="T455" s="0" t="str">
        <f aca="false">IF(ISBLANK(A455),"",IF($A455=T$2,$C455,T454))</f>
        <v/>
      </c>
      <c r="U455" s="0" t="str">
        <f aca="false">IF(ISBLANK(A455),"",IF($A455=U$2,$C455,U454))</f>
        <v/>
      </c>
      <c r="V455" s="0" t="str">
        <f aca="false">IF(ISBLANK(A455),"",IF($A455=V$2,$C455,V454))</f>
        <v/>
      </c>
      <c r="W455" s="0" t="str">
        <f aca="false">IF(ISBLANK(A455),"",IF($A455=W$2,$C455,W454))</f>
        <v/>
      </c>
    </row>
    <row r="456" customFormat="false" ht="12.8" hidden="false" customHeight="false" outlineLevel="0" collapsed="false">
      <c r="H456" s="8" t="n">
        <f aca="false">IF(ISBLANK(D456),,LEFT(D456,LEN(D456)-6)*1)</f>
        <v>0</v>
      </c>
      <c r="I456" s="9" t="str">
        <f aca="false">IF(ISBLANK(A456),"",-B456*C456)</f>
        <v/>
      </c>
      <c r="J456" s="9" t="str">
        <f aca="false">IF(ISBLANK(A456),"",-SUM(I$3:I456))</f>
        <v/>
      </c>
      <c r="K456" s="0" t="str">
        <f aca="false">IF(ISBLANK(A456),"",SUMPRODUCT(O456:R456,T456:W456)-J456)</f>
        <v/>
      </c>
      <c r="L456" s="0" t="str">
        <f aca="false">IF(ISBLANK(A456),"",K456/$M$1)</f>
        <v/>
      </c>
      <c r="M456" s="0" t="str">
        <f aca="false">IF(ISBLANK(A456),"",K456/($M$1+SUM(K$3:K455)))</f>
        <v/>
      </c>
      <c r="N456" s="0" t="str">
        <f aca="false">IF(ISBLANK(A456),"",IF(H457=0,NETWORKDAYS($H$3,H456,holiday!$B$2:$B$10),IF(DAY(H456)&lt;DAY(H457),NETWORKDAYS($H$3,H456,holiday!$B$2:$B$10),0)))</f>
        <v/>
      </c>
      <c r="O456" s="0" t="str">
        <f aca="false">IF(ISBLANK(A456),"",SUMIF($A$3:$A456,O$2,$B$3:$B456))</f>
        <v/>
      </c>
      <c r="P456" s="0" t="str">
        <f aca="false">IF(ISBLANK(A456),"",SUMIF($A$3:$A456,P$2,$B$3:$B456))</f>
        <v/>
      </c>
      <c r="Q456" s="0" t="str">
        <f aca="false">IF(ISBLANK(A456),"",SUMIF($A$3:$A456,Q$2,$B$3:$B456))</f>
        <v/>
      </c>
      <c r="R456" s="0" t="str">
        <f aca="false">IF(ISBLANK(A456),"",SUMIF($A$3:$A456,R$2,$B$3:$B456))</f>
        <v/>
      </c>
      <c r="T456" s="0" t="str">
        <f aca="false">IF(ISBLANK(A456),"",IF($A456=T$2,$C456,T455))</f>
        <v/>
      </c>
      <c r="U456" s="0" t="str">
        <f aca="false">IF(ISBLANK(A456),"",IF($A456=U$2,$C456,U455))</f>
        <v/>
      </c>
      <c r="V456" s="0" t="str">
        <f aca="false">IF(ISBLANK(A456),"",IF($A456=V$2,$C456,V455))</f>
        <v/>
      </c>
      <c r="W456" s="0" t="str">
        <f aca="false">IF(ISBLANK(A456),"",IF($A456=W$2,$C456,W455))</f>
        <v/>
      </c>
    </row>
    <row r="457" customFormat="false" ht="12.8" hidden="false" customHeight="false" outlineLevel="0" collapsed="false">
      <c r="H457" s="8" t="n">
        <f aca="false">IF(ISBLANK(D457),,LEFT(D457,LEN(D457)-6)*1)</f>
        <v>0</v>
      </c>
      <c r="I457" s="9" t="str">
        <f aca="false">IF(ISBLANK(A457),"",-B457*C457)</f>
        <v/>
      </c>
      <c r="J457" s="9" t="str">
        <f aca="false">IF(ISBLANK(A457),"",-SUM(I$3:I457))</f>
        <v/>
      </c>
      <c r="K457" s="0" t="str">
        <f aca="false">IF(ISBLANK(A457),"",SUMPRODUCT(O457:R457,T457:W457)-J457)</f>
        <v/>
      </c>
      <c r="L457" s="0" t="str">
        <f aca="false">IF(ISBLANK(A457),"",K457/$M$1)</f>
        <v/>
      </c>
      <c r="M457" s="0" t="str">
        <f aca="false">IF(ISBLANK(A457),"",K457/($M$1+SUM(K$3:K456)))</f>
        <v/>
      </c>
      <c r="N457" s="0" t="str">
        <f aca="false">IF(ISBLANK(A457),"",IF(H458=0,NETWORKDAYS($H$3,H457,holiday!$B$2:$B$10),IF(DAY(H457)&lt;DAY(H458),NETWORKDAYS($H$3,H457,holiday!$B$2:$B$10),0)))</f>
        <v/>
      </c>
      <c r="O457" s="0" t="str">
        <f aca="false">IF(ISBLANK(A457),"",SUMIF($A$3:$A457,O$2,$B$3:$B457))</f>
        <v/>
      </c>
      <c r="P457" s="0" t="str">
        <f aca="false">IF(ISBLANK(A457),"",SUMIF($A$3:$A457,P$2,$B$3:$B457))</f>
        <v/>
      </c>
      <c r="Q457" s="0" t="str">
        <f aca="false">IF(ISBLANK(A457),"",SUMIF($A$3:$A457,Q$2,$B$3:$B457))</f>
        <v/>
      </c>
      <c r="R457" s="0" t="str">
        <f aca="false">IF(ISBLANK(A457),"",SUMIF($A$3:$A457,R$2,$B$3:$B457))</f>
        <v/>
      </c>
      <c r="T457" s="0" t="str">
        <f aca="false">IF(ISBLANK(A457),"",IF($A457=T$2,$C457,T456))</f>
        <v/>
      </c>
      <c r="U457" s="0" t="str">
        <f aca="false">IF(ISBLANK(A457),"",IF($A457=U$2,$C457,U456))</f>
        <v/>
      </c>
      <c r="V457" s="0" t="str">
        <f aca="false">IF(ISBLANK(A457),"",IF($A457=V$2,$C457,V456))</f>
        <v/>
      </c>
      <c r="W457" s="0" t="str">
        <f aca="false">IF(ISBLANK(A457),"",IF($A457=W$2,$C457,W456))</f>
        <v/>
      </c>
    </row>
    <row r="458" customFormat="false" ht="12.8" hidden="false" customHeight="false" outlineLevel="0" collapsed="false">
      <c r="H458" s="8" t="n">
        <f aca="false">IF(ISBLANK(D458),,LEFT(D458,LEN(D458)-6)*1)</f>
        <v>0</v>
      </c>
      <c r="I458" s="9" t="str">
        <f aca="false">IF(ISBLANK(A458),"",-B458*C458)</f>
        <v/>
      </c>
      <c r="J458" s="9" t="str">
        <f aca="false">IF(ISBLANK(A458),"",-SUM(I$3:I458))</f>
        <v/>
      </c>
      <c r="K458" s="0" t="str">
        <f aca="false">IF(ISBLANK(A458),"",SUMPRODUCT(O458:R458,T458:W458)-J458)</f>
        <v/>
      </c>
      <c r="L458" s="0" t="str">
        <f aca="false">IF(ISBLANK(A458),"",K458/$M$1)</f>
        <v/>
      </c>
      <c r="M458" s="0" t="str">
        <f aca="false">IF(ISBLANK(A458),"",K458/($M$1+SUM(K$3:K457)))</f>
        <v/>
      </c>
      <c r="N458" s="0" t="str">
        <f aca="false">IF(ISBLANK(A458),"",IF(H459=0,NETWORKDAYS($H$3,H458,holiday!$B$2:$B$10),IF(DAY(H458)&lt;DAY(H459),NETWORKDAYS($H$3,H458,holiday!$B$2:$B$10),0)))</f>
        <v/>
      </c>
      <c r="O458" s="0" t="str">
        <f aca="false">IF(ISBLANK(A458),"",SUMIF($A$3:$A458,O$2,$B$3:$B458))</f>
        <v/>
      </c>
      <c r="P458" s="0" t="str">
        <f aca="false">IF(ISBLANK(A458),"",SUMIF($A$3:$A458,P$2,$B$3:$B458))</f>
        <v/>
      </c>
      <c r="Q458" s="0" t="str">
        <f aca="false">IF(ISBLANK(A458),"",SUMIF($A$3:$A458,Q$2,$B$3:$B458))</f>
        <v/>
      </c>
      <c r="R458" s="0" t="str">
        <f aca="false">IF(ISBLANK(A458),"",SUMIF($A$3:$A458,R$2,$B$3:$B458))</f>
        <v/>
      </c>
      <c r="T458" s="0" t="str">
        <f aca="false">IF(ISBLANK(A458),"",IF($A458=T$2,$C458,T457))</f>
        <v/>
      </c>
      <c r="U458" s="0" t="str">
        <f aca="false">IF(ISBLANK(A458),"",IF($A458=U$2,$C458,U457))</f>
        <v/>
      </c>
      <c r="V458" s="0" t="str">
        <f aca="false">IF(ISBLANK(A458),"",IF($A458=V$2,$C458,V457))</f>
        <v/>
      </c>
      <c r="W458" s="0" t="str">
        <f aca="false">IF(ISBLANK(A458),"",IF($A458=W$2,$C458,W457))</f>
        <v/>
      </c>
    </row>
    <row r="459" customFormat="false" ht="12.8" hidden="false" customHeight="false" outlineLevel="0" collapsed="false">
      <c r="H459" s="8" t="n">
        <f aca="false">IF(ISBLANK(D459),,LEFT(D459,LEN(D459)-6)*1)</f>
        <v>0</v>
      </c>
      <c r="I459" s="9" t="str">
        <f aca="false">IF(ISBLANK(A459),"",-B459*C459)</f>
        <v/>
      </c>
      <c r="J459" s="9" t="str">
        <f aca="false">IF(ISBLANK(A459),"",-SUM(I$3:I459))</f>
        <v/>
      </c>
      <c r="K459" s="0" t="str">
        <f aca="false">IF(ISBLANK(A459),"",SUMPRODUCT(O459:R459,T459:W459)-J459)</f>
        <v/>
      </c>
      <c r="L459" s="0" t="str">
        <f aca="false">IF(ISBLANK(A459),"",K459/$M$1)</f>
        <v/>
      </c>
      <c r="M459" s="0" t="str">
        <f aca="false">IF(ISBLANK(A459),"",K459/($M$1+SUM(K$3:K458)))</f>
        <v/>
      </c>
      <c r="N459" s="0" t="str">
        <f aca="false">IF(ISBLANK(A459),"",IF(H460=0,NETWORKDAYS($H$3,H459,holiday!$B$2:$B$10),IF(DAY(H459)&lt;DAY(H460),NETWORKDAYS($H$3,H459,holiday!$B$2:$B$10),0)))</f>
        <v/>
      </c>
      <c r="O459" s="0" t="str">
        <f aca="false">IF(ISBLANK(A459),"",SUMIF($A$3:$A459,O$2,$B$3:$B459))</f>
        <v/>
      </c>
      <c r="P459" s="0" t="str">
        <f aca="false">IF(ISBLANK(A459),"",SUMIF($A$3:$A459,P$2,$B$3:$B459))</f>
        <v/>
      </c>
      <c r="Q459" s="0" t="str">
        <f aca="false">IF(ISBLANK(A459),"",SUMIF($A$3:$A459,Q$2,$B$3:$B459))</f>
        <v/>
      </c>
      <c r="R459" s="0" t="str">
        <f aca="false">IF(ISBLANK(A459),"",SUMIF($A$3:$A459,R$2,$B$3:$B459))</f>
        <v/>
      </c>
      <c r="T459" s="0" t="str">
        <f aca="false">IF(ISBLANK(A459),"",IF($A459=T$2,$C459,T458))</f>
        <v/>
      </c>
      <c r="U459" s="0" t="str">
        <f aca="false">IF(ISBLANK(A459),"",IF($A459=U$2,$C459,U458))</f>
        <v/>
      </c>
      <c r="V459" s="0" t="str">
        <f aca="false">IF(ISBLANK(A459),"",IF($A459=V$2,$C459,V458))</f>
        <v/>
      </c>
      <c r="W459" s="0" t="str">
        <f aca="false">IF(ISBLANK(A459),"",IF($A459=W$2,$C459,W458))</f>
        <v/>
      </c>
    </row>
    <row r="460" customFormat="false" ht="12.8" hidden="false" customHeight="false" outlineLevel="0" collapsed="false">
      <c r="H460" s="8" t="n">
        <f aca="false">IF(ISBLANK(D460),,LEFT(D460,LEN(D460)-6)*1)</f>
        <v>0</v>
      </c>
      <c r="I460" s="9" t="str">
        <f aca="false">IF(ISBLANK(A460),"",-B460*C460)</f>
        <v/>
      </c>
      <c r="J460" s="9" t="str">
        <f aca="false">IF(ISBLANK(A460),"",-SUM(I$3:I460))</f>
        <v/>
      </c>
      <c r="K460" s="0" t="str">
        <f aca="false">IF(ISBLANK(A460),"",SUMPRODUCT(O460:R460,T460:W460)-J460)</f>
        <v/>
      </c>
      <c r="L460" s="0" t="str">
        <f aca="false">IF(ISBLANK(A460),"",K460/$M$1)</f>
        <v/>
      </c>
      <c r="M460" s="0" t="str">
        <f aca="false">IF(ISBLANK(A460),"",K460/($M$1+SUM(K$3:K459)))</f>
        <v/>
      </c>
      <c r="N460" s="0" t="str">
        <f aca="false">IF(ISBLANK(A460),"",IF(H461=0,NETWORKDAYS($H$3,H460,holiday!$B$2:$B$10),IF(DAY(H460)&lt;DAY(H461),NETWORKDAYS($H$3,H460,holiday!$B$2:$B$10),0)))</f>
        <v/>
      </c>
      <c r="O460" s="0" t="str">
        <f aca="false">IF(ISBLANK(A460),"",SUMIF($A$3:$A460,O$2,$B$3:$B460))</f>
        <v/>
      </c>
      <c r="P460" s="0" t="str">
        <f aca="false">IF(ISBLANK(A460),"",SUMIF($A$3:$A460,P$2,$B$3:$B460))</f>
        <v/>
      </c>
      <c r="Q460" s="0" t="str">
        <f aca="false">IF(ISBLANK(A460),"",SUMIF($A$3:$A460,Q$2,$B$3:$B460))</f>
        <v/>
      </c>
      <c r="R460" s="0" t="str">
        <f aca="false">IF(ISBLANK(A460),"",SUMIF($A$3:$A460,R$2,$B$3:$B460))</f>
        <v/>
      </c>
      <c r="T460" s="0" t="str">
        <f aca="false">IF(ISBLANK(A460),"",IF($A460=T$2,$C460,T459))</f>
        <v/>
      </c>
      <c r="U460" s="0" t="str">
        <f aca="false">IF(ISBLANK(A460),"",IF($A460=U$2,$C460,U459))</f>
        <v/>
      </c>
      <c r="V460" s="0" t="str">
        <f aca="false">IF(ISBLANK(A460),"",IF($A460=V$2,$C460,V459))</f>
        <v/>
      </c>
      <c r="W460" s="0" t="str">
        <f aca="false">IF(ISBLANK(A460),"",IF($A460=W$2,$C460,W459))</f>
        <v/>
      </c>
    </row>
    <row r="461" customFormat="false" ht="12.8" hidden="false" customHeight="false" outlineLevel="0" collapsed="false">
      <c r="H461" s="8" t="n">
        <f aca="false">IF(ISBLANK(D461),,LEFT(D461,LEN(D461)-6)*1)</f>
        <v>0</v>
      </c>
      <c r="I461" s="9" t="str">
        <f aca="false">IF(ISBLANK(A461),"",-B461*C461)</f>
        <v/>
      </c>
      <c r="J461" s="9" t="str">
        <f aca="false">IF(ISBLANK(A461),"",-SUM(I$3:I461))</f>
        <v/>
      </c>
      <c r="K461" s="0" t="str">
        <f aca="false">IF(ISBLANK(A461),"",SUMPRODUCT(O461:R461,T461:W461)-J461)</f>
        <v/>
      </c>
      <c r="L461" s="0" t="str">
        <f aca="false">IF(ISBLANK(A461),"",K461/$M$1)</f>
        <v/>
      </c>
      <c r="M461" s="0" t="str">
        <f aca="false">IF(ISBLANK(A461),"",K461/($M$1+SUM(K$3:K460)))</f>
        <v/>
      </c>
      <c r="N461" s="0" t="str">
        <f aca="false">IF(ISBLANK(A461),"",IF(H462=0,NETWORKDAYS($H$3,H461,holiday!$B$2:$B$10),IF(DAY(H461)&lt;DAY(H462),NETWORKDAYS($H$3,H461,holiday!$B$2:$B$10),0)))</f>
        <v/>
      </c>
      <c r="O461" s="0" t="str">
        <f aca="false">IF(ISBLANK(A461),"",SUMIF($A$3:$A461,O$2,$B$3:$B461))</f>
        <v/>
      </c>
      <c r="P461" s="0" t="str">
        <f aca="false">IF(ISBLANK(A461),"",SUMIF($A$3:$A461,P$2,$B$3:$B461))</f>
        <v/>
      </c>
      <c r="Q461" s="0" t="str">
        <f aca="false">IF(ISBLANK(A461),"",SUMIF($A$3:$A461,Q$2,$B$3:$B461))</f>
        <v/>
      </c>
      <c r="R461" s="0" t="str">
        <f aca="false">IF(ISBLANK(A461),"",SUMIF($A$3:$A461,R$2,$B$3:$B461))</f>
        <v/>
      </c>
      <c r="T461" s="0" t="str">
        <f aca="false">IF(ISBLANK(A461),"",IF($A461=T$2,$C461,T460))</f>
        <v/>
      </c>
      <c r="U461" s="0" t="str">
        <f aca="false">IF(ISBLANK(A461),"",IF($A461=U$2,$C461,U460))</f>
        <v/>
      </c>
      <c r="V461" s="0" t="str">
        <f aca="false">IF(ISBLANK(A461),"",IF($A461=V$2,$C461,V460))</f>
        <v/>
      </c>
      <c r="W461" s="0" t="str">
        <f aca="false">IF(ISBLANK(A461),"",IF($A461=W$2,$C461,W460))</f>
        <v/>
      </c>
    </row>
    <row r="462" customFormat="false" ht="12.8" hidden="false" customHeight="false" outlineLevel="0" collapsed="false">
      <c r="H462" s="8" t="n">
        <f aca="false">IF(ISBLANK(D462),,LEFT(D462,LEN(D462)-6)*1)</f>
        <v>0</v>
      </c>
      <c r="I462" s="9" t="str">
        <f aca="false">IF(ISBLANK(A462),"",-B462*C462)</f>
        <v/>
      </c>
      <c r="J462" s="9" t="str">
        <f aca="false">IF(ISBLANK(A462),"",-SUM(I$3:I462))</f>
        <v/>
      </c>
      <c r="K462" s="0" t="str">
        <f aca="false">IF(ISBLANK(A462),"",SUMPRODUCT(O462:R462,T462:W462)-J462)</f>
        <v/>
      </c>
      <c r="L462" s="0" t="str">
        <f aca="false">IF(ISBLANK(A462),"",K462/$M$1)</f>
        <v/>
      </c>
      <c r="M462" s="0" t="str">
        <f aca="false">IF(ISBLANK(A462),"",K462/($M$1+SUM(K$3:K461)))</f>
        <v/>
      </c>
      <c r="N462" s="0" t="str">
        <f aca="false">IF(ISBLANK(A462),"",IF(H463=0,NETWORKDAYS($H$3,H462,holiday!$B$2:$B$10),IF(DAY(H462)&lt;DAY(H463),NETWORKDAYS($H$3,H462,holiday!$B$2:$B$10),0)))</f>
        <v/>
      </c>
      <c r="O462" s="0" t="str">
        <f aca="false">IF(ISBLANK(A462),"",SUMIF($A$3:$A462,O$2,$B$3:$B462))</f>
        <v/>
      </c>
      <c r="P462" s="0" t="str">
        <f aca="false">IF(ISBLANK(A462),"",SUMIF($A$3:$A462,P$2,$B$3:$B462))</f>
        <v/>
      </c>
      <c r="Q462" s="0" t="str">
        <f aca="false">IF(ISBLANK(A462),"",SUMIF($A$3:$A462,Q$2,$B$3:$B462))</f>
        <v/>
      </c>
      <c r="R462" s="0" t="str">
        <f aca="false">IF(ISBLANK(A462),"",SUMIF($A$3:$A462,R$2,$B$3:$B462))</f>
        <v/>
      </c>
      <c r="T462" s="0" t="str">
        <f aca="false">IF(ISBLANK(A462),"",IF($A462=T$2,$C462,T461))</f>
        <v/>
      </c>
      <c r="U462" s="0" t="str">
        <f aca="false">IF(ISBLANK(A462),"",IF($A462=U$2,$C462,U461))</f>
        <v/>
      </c>
      <c r="V462" s="0" t="str">
        <f aca="false">IF(ISBLANK(A462),"",IF($A462=V$2,$C462,V461))</f>
        <v/>
      </c>
      <c r="W462" s="0" t="str">
        <f aca="false">IF(ISBLANK(A462),"",IF($A462=W$2,$C462,W461))</f>
        <v/>
      </c>
    </row>
    <row r="463" customFormat="false" ht="12.8" hidden="false" customHeight="false" outlineLevel="0" collapsed="false">
      <c r="H463" s="8" t="n">
        <f aca="false">IF(ISBLANK(D463),,LEFT(D463,LEN(D463)-6)*1)</f>
        <v>0</v>
      </c>
      <c r="I463" s="9" t="str">
        <f aca="false">IF(ISBLANK(A463),"",-B463*C463)</f>
        <v/>
      </c>
      <c r="J463" s="9" t="str">
        <f aca="false">IF(ISBLANK(A463),"",-SUM(I$3:I463))</f>
        <v/>
      </c>
      <c r="K463" s="0" t="str">
        <f aca="false">IF(ISBLANK(A463),"",SUMPRODUCT(O463:R463,T463:W463)-J463)</f>
        <v/>
      </c>
      <c r="L463" s="0" t="str">
        <f aca="false">IF(ISBLANK(A463),"",K463/$M$1)</f>
        <v/>
      </c>
      <c r="M463" s="0" t="str">
        <f aca="false">IF(ISBLANK(A463),"",K463/($M$1+SUM(K$3:K462)))</f>
        <v/>
      </c>
      <c r="N463" s="0" t="str">
        <f aca="false">IF(ISBLANK(A463),"",IF(H464=0,NETWORKDAYS($H$3,H463,holiday!$B$2:$B$10),IF(DAY(H463)&lt;DAY(H464),NETWORKDAYS($H$3,H463,holiday!$B$2:$B$10),0)))</f>
        <v/>
      </c>
      <c r="O463" s="0" t="str">
        <f aca="false">IF(ISBLANK(A463),"",SUMIF($A$3:$A463,O$2,$B$3:$B463))</f>
        <v/>
      </c>
      <c r="P463" s="0" t="str">
        <f aca="false">IF(ISBLANK(A463),"",SUMIF($A$3:$A463,P$2,$B$3:$B463))</f>
        <v/>
      </c>
      <c r="Q463" s="0" t="str">
        <f aca="false">IF(ISBLANK(A463),"",SUMIF($A$3:$A463,Q$2,$B$3:$B463))</f>
        <v/>
      </c>
      <c r="R463" s="0" t="str">
        <f aca="false">IF(ISBLANK(A463),"",SUMIF($A$3:$A463,R$2,$B$3:$B463))</f>
        <v/>
      </c>
      <c r="T463" s="0" t="str">
        <f aca="false">IF(ISBLANK(A463),"",IF($A463=T$2,$C463,T462))</f>
        <v/>
      </c>
      <c r="U463" s="0" t="str">
        <f aca="false">IF(ISBLANK(A463),"",IF($A463=U$2,$C463,U462))</f>
        <v/>
      </c>
      <c r="V463" s="0" t="str">
        <f aca="false">IF(ISBLANK(A463),"",IF($A463=V$2,$C463,V462))</f>
        <v/>
      </c>
      <c r="W463" s="0" t="str">
        <f aca="false">IF(ISBLANK(A463),"",IF($A463=W$2,$C463,W462))</f>
        <v/>
      </c>
    </row>
    <row r="464" customFormat="false" ht="12.8" hidden="false" customHeight="false" outlineLevel="0" collapsed="false">
      <c r="H464" s="8" t="n">
        <f aca="false">IF(ISBLANK(D464),,LEFT(D464,LEN(D464)-6)*1)</f>
        <v>0</v>
      </c>
      <c r="I464" s="9" t="str">
        <f aca="false">IF(ISBLANK(A464),"",-B464*C464)</f>
        <v/>
      </c>
      <c r="J464" s="9" t="str">
        <f aca="false">IF(ISBLANK(A464),"",-SUM(I$3:I464))</f>
        <v/>
      </c>
      <c r="K464" s="0" t="str">
        <f aca="false">IF(ISBLANK(A464),"",SUMPRODUCT(O464:R464,T464:W464)-J464)</f>
        <v/>
      </c>
      <c r="L464" s="0" t="str">
        <f aca="false">IF(ISBLANK(A464),"",K464/$M$1)</f>
        <v/>
      </c>
      <c r="M464" s="0" t="str">
        <f aca="false">IF(ISBLANK(A464),"",K464/($M$1+SUM(K$3:K463)))</f>
        <v/>
      </c>
      <c r="N464" s="0" t="str">
        <f aca="false">IF(ISBLANK(A464),"",IF(H465=0,NETWORKDAYS($H$3,H464,holiday!$B$2:$B$10),IF(DAY(H464)&lt;DAY(H465),NETWORKDAYS($H$3,H464,holiday!$B$2:$B$10),0)))</f>
        <v/>
      </c>
      <c r="O464" s="0" t="str">
        <f aca="false">IF(ISBLANK(A464),"",SUMIF($A$3:$A464,O$2,$B$3:$B464))</f>
        <v/>
      </c>
      <c r="P464" s="0" t="str">
        <f aca="false">IF(ISBLANK(A464),"",SUMIF($A$3:$A464,P$2,$B$3:$B464))</f>
        <v/>
      </c>
      <c r="Q464" s="0" t="str">
        <f aca="false">IF(ISBLANK(A464),"",SUMIF($A$3:$A464,Q$2,$B$3:$B464))</f>
        <v/>
      </c>
      <c r="R464" s="0" t="str">
        <f aca="false">IF(ISBLANK(A464),"",SUMIF($A$3:$A464,R$2,$B$3:$B464))</f>
        <v/>
      </c>
      <c r="T464" s="0" t="str">
        <f aca="false">IF(ISBLANK(A464),"",IF($A464=T$2,$C464,T463))</f>
        <v/>
      </c>
      <c r="U464" s="0" t="str">
        <f aca="false">IF(ISBLANK(A464),"",IF($A464=U$2,$C464,U463))</f>
        <v/>
      </c>
      <c r="V464" s="0" t="str">
        <f aca="false">IF(ISBLANK(A464),"",IF($A464=V$2,$C464,V463))</f>
        <v/>
      </c>
      <c r="W464" s="0" t="str">
        <f aca="false">IF(ISBLANK(A464),"",IF($A464=W$2,$C464,W463))</f>
        <v/>
      </c>
    </row>
    <row r="465" customFormat="false" ht="12.8" hidden="false" customHeight="false" outlineLevel="0" collapsed="false">
      <c r="H465" s="8" t="n">
        <f aca="false">IF(ISBLANK(D465),,LEFT(D465,LEN(D465)-6)*1)</f>
        <v>0</v>
      </c>
      <c r="I465" s="9" t="str">
        <f aca="false">IF(ISBLANK(A465),"",-B465*C465)</f>
        <v/>
      </c>
      <c r="J465" s="9" t="str">
        <f aca="false">IF(ISBLANK(A465),"",-SUM(I$3:I465))</f>
        <v/>
      </c>
      <c r="K465" s="0" t="str">
        <f aca="false">IF(ISBLANK(A465),"",SUMPRODUCT(O465:R465,T465:W465)-J465)</f>
        <v/>
      </c>
      <c r="L465" s="0" t="str">
        <f aca="false">IF(ISBLANK(A465),"",K465/$M$1)</f>
        <v/>
      </c>
      <c r="M465" s="0" t="str">
        <f aca="false">IF(ISBLANK(A465),"",K465/($M$1+SUM(K$3:K464)))</f>
        <v/>
      </c>
      <c r="N465" s="0" t="str">
        <f aca="false">IF(ISBLANK(A465),"",IF(H466=0,NETWORKDAYS($H$3,H465,holiday!$B$2:$B$10),IF(DAY(H465)&lt;DAY(H466),NETWORKDAYS($H$3,H465,holiday!$B$2:$B$10),0)))</f>
        <v/>
      </c>
      <c r="O465" s="0" t="str">
        <f aca="false">IF(ISBLANK(A465),"",SUMIF($A$3:$A465,O$2,$B$3:$B465))</f>
        <v/>
      </c>
      <c r="P465" s="0" t="str">
        <f aca="false">IF(ISBLANK(A465),"",SUMIF($A$3:$A465,P$2,$B$3:$B465))</f>
        <v/>
      </c>
      <c r="Q465" s="0" t="str">
        <f aca="false">IF(ISBLANK(A465),"",SUMIF($A$3:$A465,Q$2,$B$3:$B465))</f>
        <v/>
      </c>
      <c r="R465" s="0" t="str">
        <f aca="false">IF(ISBLANK(A465),"",SUMIF($A$3:$A465,R$2,$B$3:$B465))</f>
        <v/>
      </c>
      <c r="T465" s="0" t="str">
        <f aca="false">IF(ISBLANK(A465),"",IF($A465=T$2,$C465,T464))</f>
        <v/>
      </c>
      <c r="U465" s="0" t="str">
        <f aca="false">IF(ISBLANK(A465),"",IF($A465=U$2,$C465,U464))</f>
        <v/>
      </c>
      <c r="V465" s="0" t="str">
        <f aca="false">IF(ISBLANK(A465),"",IF($A465=V$2,$C465,V464))</f>
        <v/>
      </c>
      <c r="W465" s="0" t="str">
        <f aca="false">IF(ISBLANK(A465),"",IF($A465=W$2,$C465,W464))</f>
        <v/>
      </c>
    </row>
    <row r="466" customFormat="false" ht="12.8" hidden="false" customHeight="false" outlineLevel="0" collapsed="false">
      <c r="H466" s="8" t="n">
        <f aca="false">IF(ISBLANK(D466),,LEFT(D466,LEN(D466)-6)*1)</f>
        <v>0</v>
      </c>
      <c r="I466" s="9" t="str">
        <f aca="false">IF(ISBLANK(A466),"",-B466*C466)</f>
        <v/>
      </c>
      <c r="J466" s="9" t="str">
        <f aca="false">IF(ISBLANK(A466),"",-SUM(I$3:I466))</f>
        <v/>
      </c>
      <c r="K466" s="0" t="str">
        <f aca="false">IF(ISBLANK(A466),"",SUMPRODUCT(O466:R466,T466:W466)-J466)</f>
        <v/>
      </c>
      <c r="L466" s="0" t="str">
        <f aca="false">IF(ISBLANK(A466),"",K466/$M$1)</f>
        <v/>
      </c>
      <c r="M466" s="0" t="str">
        <f aca="false">IF(ISBLANK(A466),"",K466/($M$1+SUM(K$3:K465)))</f>
        <v/>
      </c>
      <c r="N466" s="0" t="str">
        <f aca="false">IF(ISBLANK(A466),"",IF(H467=0,NETWORKDAYS($H$3,H466,holiday!$B$2:$B$10),IF(DAY(H466)&lt;DAY(H467),NETWORKDAYS($H$3,H466,holiday!$B$2:$B$10),0)))</f>
        <v/>
      </c>
      <c r="O466" s="0" t="str">
        <f aca="false">IF(ISBLANK(A466),"",SUMIF($A$3:$A466,O$2,$B$3:$B466))</f>
        <v/>
      </c>
      <c r="P466" s="0" t="str">
        <f aca="false">IF(ISBLANK(A466),"",SUMIF($A$3:$A466,P$2,$B$3:$B466))</f>
        <v/>
      </c>
      <c r="Q466" s="0" t="str">
        <f aca="false">IF(ISBLANK(A466),"",SUMIF($A$3:$A466,Q$2,$B$3:$B466))</f>
        <v/>
      </c>
      <c r="R466" s="0" t="str">
        <f aca="false">IF(ISBLANK(A466),"",SUMIF($A$3:$A466,R$2,$B$3:$B466))</f>
        <v/>
      </c>
      <c r="T466" s="0" t="str">
        <f aca="false">IF(ISBLANK(A466),"",IF($A466=T$2,$C466,T465))</f>
        <v/>
      </c>
      <c r="U466" s="0" t="str">
        <f aca="false">IF(ISBLANK(A466),"",IF($A466=U$2,$C466,U465))</f>
        <v/>
      </c>
      <c r="V466" s="0" t="str">
        <f aca="false">IF(ISBLANK(A466),"",IF($A466=V$2,$C466,V465))</f>
        <v/>
      </c>
      <c r="W466" s="0" t="str">
        <f aca="false">IF(ISBLANK(A466),"",IF($A466=W$2,$C466,W465))</f>
        <v/>
      </c>
    </row>
    <row r="467" customFormat="false" ht="12.8" hidden="false" customHeight="false" outlineLevel="0" collapsed="false">
      <c r="H467" s="8" t="n">
        <f aca="false">IF(ISBLANK(D467),,LEFT(D467,LEN(D467)-6)*1)</f>
        <v>0</v>
      </c>
      <c r="I467" s="9" t="str">
        <f aca="false">IF(ISBLANK(A467),"",-B467*C467)</f>
        <v/>
      </c>
      <c r="J467" s="9" t="str">
        <f aca="false">IF(ISBLANK(A467),"",-SUM(I$3:I467))</f>
        <v/>
      </c>
      <c r="K467" s="0" t="str">
        <f aca="false">IF(ISBLANK(A467),"",SUMPRODUCT(O467:R467,T467:W467)-J467)</f>
        <v/>
      </c>
      <c r="L467" s="0" t="str">
        <f aca="false">IF(ISBLANK(A467),"",K467/$M$1)</f>
        <v/>
      </c>
      <c r="M467" s="0" t="str">
        <f aca="false">IF(ISBLANK(A467),"",K467/($M$1+SUM(K$3:K466)))</f>
        <v/>
      </c>
      <c r="N467" s="0" t="str">
        <f aca="false">IF(ISBLANK(A467),"",IF(H468=0,NETWORKDAYS($H$3,H467,holiday!$B$2:$B$10),IF(DAY(H467)&lt;DAY(H468),NETWORKDAYS($H$3,H467,holiday!$B$2:$B$10),0)))</f>
        <v/>
      </c>
      <c r="O467" s="0" t="str">
        <f aca="false">IF(ISBLANK(A467),"",SUMIF($A$3:$A467,O$2,$B$3:$B467))</f>
        <v/>
      </c>
      <c r="P467" s="0" t="str">
        <f aca="false">IF(ISBLANK(A467),"",SUMIF($A$3:$A467,P$2,$B$3:$B467))</f>
        <v/>
      </c>
      <c r="Q467" s="0" t="str">
        <f aca="false">IF(ISBLANK(A467),"",SUMIF($A$3:$A467,Q$2,$B$3:$B467))</f>
        <v/>
      </c>
      <c r="R467" s="0" t="str">
        <f aca="false">IF(ISBLANK(A467),"",SUMIF($A$3:$A467,R$2,$B$3:$B467))</f>
        <v/>
      </c>
      <c r="T467" s="0" t="str">
        <f aca="false">IF(ISBLANK(A467),"",IF($A467=T$2,$C467,T466))</f>
        <v/>
      </c>
      <c r="U467" s="0" t="str">
        <f aca="false">IF(ISBLANK(A467),"",IF($A467=U$2,$C467,U466))</f>
        <v/>
      </c>
      <c r="V467" s="0" t="str">
        <f aca="false">IF(ISBLANK(A467),"",IF($A467=V$2,$C467,V466))</f>
        <v/>
      </c>
      <c r="W467" s="0" t="str">
        <f aca="false">IF(ISBLANK(A467),"",IF($A467=W$2,$C467,W466))</f>
        <v/>
      </c>
    </row>
    <row r="468" customFormat="false" ht="12.8" hidden="false" customHeight="false" outlineLevel="0" collapsed="false">
      <c r="H468" s="8" t="n">
        <f aca="false">IF(ISBLANK(D468),,LEFT(D468,LEN(D468)-6)*1)</f>
        <v>0</v>
      </c>
      <c r="I468" s="9" t="str">
        <f aca="false">IF(ISBLANK(A468),"",-B468*C468)</f>
        <v/>
      </c>
      <c r="J468" s="9" t="str">
        <f aca="false">IF(ISBLANK(A468),"",-SUM(I$3:I468))</f>
        <v/>
      </c>
      <c r="K468" s="0" t="str">
        <f aca="false">IF(ISBLANK(A468),"",SUMPRODUCT(O468:R468,T468:W468)-J468)</f>
        <v/>
      </c>
      <c r="L468" s="0" t="str">
        <f aca="false">IF(ISBLANK(A468),"",K468/$M$1)</f>
        <v/>
      </c>
      <c r="M468" s="0" t="str">
        <f aca="false">IF(ISBLANK(A468),"",K468/($M$1+SUM(K$3:K467)))</f>
        <v/>
      </c>
      <c r="N468" s="0" t="str">
        <f aca="false">IF(ISBLANK(A468),"",IF(H469=0,NETWORKDAYS($H$3,H468,holiday!$B$2:$B$10),IF(DAY(H468)&lt;DAY(H469),NETWORKDAYS($H$3,H468,holiday!$B$2:$B$10),0)))</f>
        <v/>
      </c>
      <c r="O468" s="0" t="str">
        <f aca="false">IF(ISBLANK(A468),"",SUMIF($A$3:$A468,O$2,$B$3:$B468))</f>
        <v/>
      </c>
      <c r="P468" s="0" t="str">
        <f aca="false">IF(ISBLANK(A468),"",SUMIF($A$3:$A468,P$2,$B$3:$B468))</f>
        <v/>
      </c>
      <c r="Q468" s="0" t="str">
        <f aca="false">IF(ISBLANK(A468),"",SUMIF($A$3:$A468,Q$2,$B$3:$B468))</f>
        <v/>
      </c>
      <c r="R468" s="0" t="str">
        <f aca="false">IF(ISBLANK(A468),"",SUMIF($A$3:$A468,R$2,$B$3:$B468))</f>
        <v/>
      </c>
      <c r="T468" s="0" t="str">
        <f aca="false">IF(ISBLANK(A468),"",IF($A468=T$2,$C468,T467))</f>
        <v/>
      </c>
      <c r="U468" s="0" t="str">
        <f aca="false">IF(ISBLANK(A468),"",IF($A468=U$2,$C468,U467))</f>
        <v/>
      </c>
      <c r="V468" s="0" t="str">
        <f aca="false">IF(ISBLANK(A468),"",IF($A468=V$2,$C468,V467))</f>
        <v/>
      </c>
      <c r="W468" s="0" t="str">
        <f aca="false">IF(ISBLANK(A468),"",IF($A468=W$2,$C468,W467))</f>
        <v/>
      </c>
    </row>
    <row r="469" customFormat="false" ht="12.8" hidden="false" customHeight="false" outlineLevel="0" collapsed="false">
      <c r="H469" s="8" t="n">
        <f aca="false">IF(ISBLANK(D469),,LEFT(D469,LEN(D469)-6)*1)</f>
        <v>0</v>
      </c>
      <c r="I469" s="9" t="str">
        <f aca="false">IF(ISBLANK(A469),"",-B469*C469)</f>
        <v/>
      </c>
      <c r="J469" s="9" t="str">
        <f aca="false">IF(ISBLANK(A469),"",-SUM(I$3:I469))</f>
        <v/>
      </c>
      <c r="K469" s="0" t="str">
        <f aca="false">IF(ISBLANK(A469),"",SUMPRODUCT(O469:R469,T469:W469)-J469)</f>
        <v/>
      </c>
      <c r="L469" s="0" t="str">
        <f aca="false">IF(ISBLANK(A469),"",K469/$M$1)</f>
        <v/>
      </c>
      <c r="M469" s="0" t="str">
        <f aca="false">IF(ISBLANK(A469),"",K469/($M$1+SUM(K$3:K468)))</f>
        <v/>
      </c>
      <c r="N469" s="0" t="str">
        <f aca="false">IF(ISBLANK(A469),"",IF(H470=0,NETWORKDAYS($H$3,H469,holiday!$B$2:$B$10),IF(DAY(H469)&lt;DAY(H470),NETWORKDAYS($H$3,H469,holiday!$B$2:$B$10),0)))</f>
        <v/>
      </c>
      <c r="O469" s="0" t="str">
        <f aca="false">IF(ISBLANK(A469),"",SUMIF($A$3:$A469,O$2,$B$3:$B469))</f>
        <v/>
      </c>
      <c r="P469" s="0" t="str">
        <f aca="false">IF(ISBLANK(A469),"",SUMIF($A$3:$A469,P$2,$B$3:$B469))</f>
        <v/>
      </c>
      <c r="Q469" s="0" t="str">
        <f aca="false">IF(ISBLANK(A469),"",SUMIF($A$3:$A469,Q$2,$B$3:$B469))</f>
        <v/>
      </c>
      <c r="R469" s="0" t="str">
        <f aca="false">IF(ISBLANK(A469),"",SUMIF($A$3:$A469,R$2,$B$3:$B469))</f>
        <v/>
      </c>
      <c r="T469" s="0" t="str">
        <f aca="false">IF(ISBLANK(A469),"",IF($A469=T$2,$C469,T468))</f>
        <v/>
      </c>
      <c r="U469" s="0" t="str">
        <f aca="false">IF(ISBLANK(A469),"",IF($A469=U$2,$C469,U468))</f>
        <v/>
      </c>
      <c r="V469" s="0" t="str">
        <f aca="false">IF(ISBLANK(A469),"",IF($A469=V$2,$C469,V468))</f>
        <v/>
      </c>
      <c r="W469" s="0" t="str">
        <f aca="false">IF(ISBLANK(A469),"",IF($A469=W$2,$C469,W468))</f>
        <v/>
      </c>
    </row>
    <row r="470" customFormat="false" ht="12.8" hidden="false" customHeight="false" outlineLevel="0" collapsed="false">
      <c r="H470" s="8" t="n">
        <f aca="false">IF(ISBLANK(D470),,LEFT(D470,LEN(D470)-6)*1)</f>
        <v>0</v>
      </c>
      <c r="I470" s="9" t="str">
        <f aca="false">IF(ISBLANK(A470),"",-B470*C470)</f>
        <v/>
      </c>
      <c r="J470" s="9" t="str">
        <f aca="false">IF(ISBLANK(A470),"",-SUM(I$3:I470))</f>
        <v/>
      </c>
      <c r="K470" s="0" t="str">
        <f aca="false">IF(ISBLANK(A470),"",SUMPRODUCT(O470:R470,T470:W470)-J470)</f>
        <v/>
      </c>
      <c r="L470" s="0" t="str">
        <f aca="false">IF(ISBLANK(A470),"",K470/$M$1)</f>
        <v/>
      </c>
      <c r="M470" s="0" t="str">
        <f aca="false">IF(ISBLANK(A470),"",K470/($M$1+SUM(K$3:K469)))</f>
        <v/>
      </c>
      <c r="N470" s="0" t="str">
        <f aca="false">IF(ISBLANK(A470),"",IF(H471=0,NETWORKDAYS($H$3,H470,holiday!$B$2:$B$10),IF(DAY(H470)&lt;DAY(H471),NETWORKDAYS($H$3,H470,holiday!$B$2:$B$10),0)))</f>
        <v/>
      </c>
      <c r="O470" s="0" t="str">
        <f aca="false">IF(ISBLANK(A470),"",SUMIF($A$3:$A470,O$2,$B$3:$B470))</f>
        <v/>
      </c>
      <c r="P470" s="0" t="str">
        <f aca="false">IF(ISBLANK(A470),"",SUMIF($A$3:$A470,P$2,$B$3:$B470))</f>
        <v/>
      </c>
      <c r="Q470" s="0" t="str">
        <f aca="false">IF(ISBLANK(A470),"",SUMIF($A$3:$A470,Q$2,$B$3:$B470))</f>
        <v/>
      </c>
      <c r="R470" s="0" t="str">
        <f aca="false">IF(ISBLANK(A470),"",SUMIF($A$3:$A470,R$2,$B$3:$B470))</f>
        <v/>
      </c>
      <c r="T470" s="0" t="str">
        <f aca="false">IF(ISBLANK(A470),"",IF($A470=T$2,$C470,T469))</f>
        <v/>
      </c>
      <c r="U470" s="0" t="str">
        <f aca="false">IF(ISBLANK(A470),"",IF($A470=U$2,$C470,U469))</f>
        <v/>
      </c>
      <c r="V470" s="0" t="str">
        <f aca="false">IF(ISBLANK(A470),"",IF($A470=V$2,$C470,V469))</f>
        <v/>
      </c>
      <c r="W470" s="0" t="str">
        <f aca="false">IF(ISBLANK(A470),"",IF($A470=W$2,$C470,W469))</f>
        <v/>
      </c>
    </row>
    <row r="471" customFormat="false" ht="12.8" hidden="false" customHeight="false" outlineLevel="0" collapsed="false">
      <c r="H471" s="8" t="n">
        <f aca="false">IF(ISBLANK(D471),,LEFT(D471,LEN(D471)-6)*1)</f>
        <v>0</v>
      </c>
      <c r="I471" s="9" t="str">
        <f aca="false">IF(ISBLANK(A471),"",-B471*C471)</f>
        <v/>
      </c>
      <c r="J471" s="9" t="str">
        <f aca="false">IF(ISBLANK(A471),"",-SUM(I$3:I471))</f>
        <v/>
      </c>
      <c r="K471" s="0" t="str">
        <f aca="false">IF(ISBLANK(A471),"",SUMPRODUCT(O471:R471,T471:W471)-J471)</f>
        <v/>
      </c>
      <c r="L471" s="0" t="str">
        <f aca="false">IF(ISBLANK(A471),"",K471/$M$1)</f>
        <v/>
      </c>
      <c r="M471" s="0" t="str">
        <f aca="false">IF(ISBLANK(A471),"",K471/($M$1+SUM(K$3:K470)))</f>
        <v/>
      </c>
      <c r="N471" s="0" t="str">
        <f aca="false">IF(ISBLANK(A471),"",IF(H472=0,NETWORKDAYS($H$3,H471,holiday!$B$2:$B$10),IF(DAY(H471)&lt;DAY(H472),NETWORKDAYS($H$3,H471,holiday!$B$2:$B$10),0)))</f>
        <v/>
      </c>
      <c r="O471" s="0" t="str">
        <f aca="false">IF(ISBLANK(A471),"",SUMIF($A$3:$A471,O$2,$B$3:$B471))</f>
        <v/>
      </c>
      <c r="P471" s="0" t="str">
        <f aca="false">IF(ISBLANK(A471),"",SUMIF($A$3:$A471,P$2,$B$3:$B471))</f>
        <v/>
      </c>
      <c r="Q471" s="0" t="str">
        <f aca="false">IF(ISBLANK(A471),"",SUMIF($A$3:$A471,Q$2,$B$3:$B471))</f>
        <v/>
      </c>
      <c r="R471" s="0" t="str">
        <f aca="false">IF(ISBLANK(A471),"",SUMIF($A$3:$A471,R$2,$B$3:$B471))</f>
        <v/>
      </c>
      <c r="T471" s="0" t="str">
        <f aca="false">IF(ISBLANK(A471),"",IF($A471=T$2,$C471,T470))</f>
        <v/>
      </c>
      <c r="U471" s="0" t="str">
        <f aca="false">IF(ISBLANK(A471),"",IF($A471=U$2,$C471,U470))</f>
        <v/>
      </c>
      <c r="V471" s="0" t="str">
        <f aca="false">IF(ISBLANK(A471),"",IF($A471=V$2,$C471,V470))</f>
        <v/>
      </c>
      <c r="W471" s="0" t="str">
        <f aca="false">IF(ISBLANK(A471),"",IF($A471=W$2,$C471,W470))</f>
        <v/>
      </c>
    </row>
    <row r="472" customFormat="false" ht="12.8" hidden="false" customHeight="false" outlineLevel="0" collapsed="false">
      <c r="H472" s="8" t="n">
        <f aca="false">IF(ISBLANK(D472),,LEFT(D472,LEN(D472)-6)*1)</f>
        <v>0</v>
      </c>
      <c r="I472" s="9" t="str">
        <f aca="false">IF(ISBLANK(A472),"",-B472*C472)</f>
        <v/>
      </c>
      <c r="J472" s="9" t="str">
        <f aca="false">IF(ISBLANK(A472),"",-SUM(I$3:I472))</f>
        <v/>
      </c>
      <c r="K472" s="0" t="str">
        <f aca="false">IF(ISBLANK(A472),"",SUMPRODUCT(O472:R472,T472:W472)-J472)</f>
        <v/>
      </c>
      <c r="L472" s="0" t="str">
        <f aca="false">IF(ISBLANK(A472),"",K472/$M$1)</f>
        <v/>
      </c>
      <c r="M472" s="0" t="str">
        <f aca="false">IF(ISBLANK(A472),"",K472/($M$1+SUM(K$3:K471)))</f>
        <v/>
      </c>
      <c r="N472" s="0" t="str">
        <f aca="false">IF(ISBLANK(A472),"",IF(H473=0,NETWORKDAYS($H$3,H472,holiday!$B$2:$B$10),IF(DAY(H472)&lt;DAY(H473),NETWORKDAYS($H$3,H472,holiday!$B$2:$B$10),0)))</f>
        <v/>
      </c>
      <c r="O472" s="0" t="str">
        <f aca="false">IF(ISBLANK(A472),"",SUMIF($A$3:$A472,O$2,$B$3:$B472))</f>
        <v/>
      </c>
      <c r="P472" s="0" t="str">
        <f aca="false">IF(ISBLANK(A472),"",SUMIF($A$3:$A472,P$2,$B$3:$B472))</f>
        <v/>
      </c>
      <c r="Q472" s="0" t="str">
        <f aca="false">IF(ISBLANK(A472),"",SUMIF($A$3:$A472,Q$2,$B$3:$B472))</f>
        <v/>
      </c>
      <c r="R472" s="0" t="str">
        <f aca="false">IF(ISBLANK(A472),"",SUMIF($A$3:$A472,R$2,$B$3:$B472))</f>
        <v/>
      </c>
      <c r="T472" s="0" t="str">
        <f aca="false">IF(ISBLANK(A472),"",IF($A472=T$2,$C472,T471))</f>
        <v/>
      </c>
      <c r="U472" s="0" t="str">
        <f aca="false">IF(ISBLANK(A472),"",IF($A472=U$2,$C472,U471))</f>
        <v/>
      </c>
      <c r="V472" s="0" t="str">
        <f aca="false">IF(ISBLANK(A472),"",IF($A472=V$2,$C472,V471))</f>
        <v/>
      </c>
      <c r="W472" s="0" t="str">
        <f aca="false">IF(ISBLANK(A472),"",IF($A472=W$2,$C472,W471))</f>
        <v/>
      </c>
    </row>
    <row r="473" customFormat="false" ht="12.8" hidden="false" customHeight="false" outlineLevel="0" collapsed="false">
      <c r="H473" s="8" t="n">
        <f aca="false">IF(ISBLANK(D473),,LEFT(D473,LEN(D473)-6)*1)</f>
        <v>0</v>
      </c>
      <c r="I473" s="9" t="str">
        <f aca="false">IF(ISBLANK(A473),"",-B473*C473)</f>
        <v/>
      </c>
      <c r="J473" s="9" t="str">
        <f aca="false">IF(ISBLANK(A473),"",-SUM(I$3:I473))</f>
        <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63"/>
  <sheetViews>
    <sheetView windowProtection="false" showFormulas="false" showGridLines="true" showRowColHeaders="true" showZeros="true" rightToLeft="false" tabSelected="false" showOutlineSymbols="true" defaultGridColor="true" view="normal" topLeftCell="A28" colorId="64" zoomScale="80" zoomScaleNormal="80" zoomScalePageLayoutView="100" workbookViewId="0">
      <selection pane="topLeft" activeCell="H10" activeCellId="0" sqref="H10"/>
    </sheetView>
  </sheetViews>
  <sheetFormatPr defaultRowHeight="14.1"/>
  <cols>
    <col collapsed="false" hidden="false" max="1" min="1" style="10" width="30.7397959183673"/>
    <col collapsed="false" hidden="false" max="2" min="2" style="10" width="9.64795918367347"/>
    <col collapsed="false" hidden="false" max="3" min="3" style="10" width="10.0714285714286"/>
    <col collapsed="false" hidden="false" max="4" min="4" style="10" width="9.64795918367347"/>
    <col collapsed="false" hidden="false" max="5" min="5" style="10" width="10.0714285714286"/>
    <col collapsed="false" hidden="false" max="7" min="6" style="10" width="9.64795918367347"/>
    <col collapsed="false" hidden="false" max="9" min="8" style="10" width="10.4744897959184"/>
    <col collapsed="false" hidden="false" max="10" min="10" style="10" width="11.0357142857143"/>
    <col collapsed="false" hidden="false" max="1025" min="11" style="10" width="9.64795918367347"/>
  </cols>
  <sheetData>
    <row r="1" customFormat="false" ht="14.1" hidden="false" customHeight="false" outlineLevel="0" collapsed="false">
      <c r="A1" s="11" t="s">
        <v>320</v>
      </c>
      <c r="B1" s="11"/>
      <c r="C1" s="11" t="s">
        <v>321</v>
      </c>
      <c r="D1" s="11" t="s">
        <v>322</v>
      </c>
      <c r="E1" s="11" t="s">
        <v>323</v>
      </c>
      <c r="F1" s="11" t="s">
        <v>324</v>
      </c>
      <c r="G1" s="11" t="s">
        <v>325</v>
      </c>
      <c r="H1" s="0"/>
      <c r="I1" s="0"/>
      <c r="J1" s="0"/>
    </row>
    <row r="2" customFormat="false" ht="14.1" hidden="false" customHeight="false" outlineLevel="0" collapsed="false">
      <c r="A2" s="12" t="s">
        <v>326</v>
      </c>
      <c r="B2" s="13"/>
      <c r="C2" s="13" t="n">
        <v>-2.72</v>
      </c>
      <c r="D2" s="13" t="n">
        <v>5.53</v>
      </c>
      <c r="E2" s="13" t="n">
        <v>-15.05</v>
      </c>
      <c r="F2" s="13" t="n">
        <v>-17.86</v>
      </c>
      <c r="G2" s="13" t="n">
        <v>-18.21</v>
      </c>
      <c r="H2" s="0"/>
      <c r="I2" s="0"/>
      <c r="J2" s="0"/>
    </row>
    <row r="3" customFormat="false" ht="14.1" hidden="false" customHeight="false" outlineLevel="0" collapsed="false">
      <c r="A3" s="12" t="s">
        <v>327</v>
      </c>
      <c r="B3" s="13"/>
      <c r="C3" s="13" t="n">
        <v>-3.35</v>
      </c>
      <c r="D3" s="13" t="n">
        <v>6.48</v>
      </c>
      <c r="E3" s="13" t="n">
        <v>-14.48</v>
      </c>
      <c r="F3" s="13" t="n">
        <v>-16.13</v>
      </c>
      <c r="G3" s="13" t="n">
        <v>-15.66</v>
      </c>
      <c r="H3" s="0"/>
      <c r="I3" s="0"/>
      <c r="J3" s="0"/>
    </row>
    <row r="4" customFormat="false" ht="14.1" hidden="false" customHeight="false" outlineLevel="0" collapsed="false">
      <c r="A4" s="12" t="s">
        <v>328</v>
      </c>
      <c r="B4" s="13"/>
      <c r="C4" s="14" t="s">
        <v>329</v>
      </c>
      <c r="D4" s="14" t="n">
        <v>3.97</v>
      </c>
      <c r="E4" s="14" t="n">
        <v>6.36</v>
      </c>
      <c r="F4" s="14" t="n">
        <v>5.26</v>
      </c>
      <c r="G4" s="14" t="n">
        <v>5.13</v>
      </c>
      <c r="H4" s="0"/>
      <c r="I4" s="0"/>
      <c r="J4" s="0"/>
    </row>
    <row r="5" customFormat="false" ht="14.1" hidden="false" customHeight="false" outlineLevel="0" collapsed="false">
      <c r="A5" s="12" t="s">
        <v>330</v>
      </c>
      <c r="B5" s="13"/>
      <c r="C5" s="14" t="s">
        <v>329</v>
      </c>
      <c r="D5" s="14" t="n">
        <v>4.82</v>
      </c>
      <c r="E5" s="14" t="n">
        <v>6.92</v>
      </c>
      <c r="F5" s="14" t="n">
        <v>5.73</v>
      </c>
      <c r="G5" s="14" t="n">
        <v>5.48</v>
      </c>
      <c r="H5" s="0"/>
      <c r="I5" s="0"/>
      <c r="J5" s="0"/>
    </row>
    <row r="6" customFormat="false" ht="14.1" hidden="false" customHeight="false" outlineLevel="0" collapsed="false">
      <c r="A6" s="12" t="s">
        <v>331</v>
      </c>
      <c r="B6" s="13"/>
      <c r="C6" s="14" t="s">
        <v>329</v>
      </c>
      <c r="D6" s="14" t="n">
        <v>0.76</v>
      </c>
      <c r="E6" s="14" t="n">
        <v>0.65</v>
      </c>
      <c r="F6" s="14" t="n">
        <v>0.57</v>
      </c>
      <c r="G6" s="14" t="n">
        <v>0.49</v>
      </c>
      <c r="H6" s="0"/>
      <c r="I6" s="0"/>
      <c r="J6" s="0"/>
    </row>
    <row r="7" customFormat="false" ht="14.1" hidden="false" customHeight="false" outlineLevel="0" collapsed="false">
      <c r="A7" s="12" t="s">
        <v>332</v>
      </c>
      <c r="B7" s="13"/>
      <c r="C7" s="14" t="s">
        <v>329</v>
      </c>
      <c r="D7" s="14" t="s">
        <v>329</v>
      </c>
      <c r="E7" s="14" t="s">
        <v>329</v>
      </c>
      <c r="F7" s="14" t="s">
        <v>329</v>
      </c>
      <c r="G7" s="14" t="s">
        <v>329</v>
      </c>
      <c r="H7" s="0"/>
      <c r="I7" s="0"/>
      <c r="J7" s="0"/>
    </row>
    <row r="8" customFormat="false" ht="14.1" hidden="false" customHeight="false" outlineLevel="0" collapsed="false">
      <c r="A8" s="12" t="s">
        <v>333</v>
      </c>
      <c r="B8" s="13"/>
      <c r="C8" s="14" t="s">
        <v>329</v>
      </c>
      <c r="D8" s="14" t="s">
        <v>329</v>
      </c>
      <c r="E8" s="14" t="n">
        <v>0.92</v>
      </c>
      <c r="F8" s="14" t="n">
        <v>0.92</v>
      </c>
      <c r="G8" s="14" t="n">
        <v>0.93</v>
      </c>
      <c r="H8" s="0"/>
      <c r="I8" s="0"/>
      <c r="J8" s="0"/>
    </row>
    <row r="9" customFormat="false" ht="14.1" hidden="false" customHeight="false" outlineLevel="0" collapsed="false">
      <c r="A9" s="12" t="s">
        <v>334</v>
      </c>
      <c r="B9" s="13"/>
      <c r="C9" s="14" t="s">
        <v>329</v>
      </c>
      <c r="D9" s="14" t="n">
        <v>0.07</v>
      </c>
      <c r="E9" s="14" t="n">
        <v>-0.33</v>
      </c>
      <c r="F9" s="14" t="n">
        <v>-0.4</v>
      </c>
      <c r="G9" s="14" t="n">
        <v>-0.35</v>
      </c>
      <c r="H9" s="0"/>
      <c r="I9" s="0"/>
      <c r="J9" s="0"/>
    </row>
    <row r="10" customFormat="false" ht="14.1" hidden="false" customHeight="false" outlineLevel="0" collapsed="false">
      <c r="A10" s="12" t="s">
        <v>335</v>
      </c>
      <c r="B10" s="13"/>
      <c r="C10" s="14" t="n">
        <v>4.65</v>
      </c>
      <c r="D10" s="14" t="n">
        <v>5.59</v>
      </c>
      <c r="E10" s="14" t="n">
        <v>23.01</v>
      </c>
      <c r="F10" s="14" t="n">
        <v>27.24</v>
      </c>
      <c r="G10" s="14" t="n">
        <v>27.24</v>
      </c>
      <c r="H10" s="0"/>
      <c r="I10" s="0"/>
      <c r="J10" s="0"/>
    </row>
    <row r="11" customFormat="false" ht="14.1" hidden="false" customHeight="false" outlineLevel="0" collapsed="false">
      <c r="A11" s="0"/>
      <c r="B11" s="0"/>
      <c r="C11" s="0"/>
      <c r="D11" s="0"/>
      <c r="E11" s="0"/>
      <c r="F11" s="0"/>
      <c r="G11" s="0"/>
      <c r="H11" s="0"/>
      <c r="I11" s="0"/>
      <c r="J11" s="0"/>
    </row>
    <row r="12" customFormat="false" ht="14.1" hidden="false" customHeight="false" outlineLevel="0" collapsed="false">
      <c r="A12" s="0"/>
      <c r="B12" s="0"/>
      <c r="C12" s="0"/>
      <c r="D12" s="0"/>
      <c r="E12" s="0"/>
      <c r="F12" s="0"/>
      <c r="G12" s="0"/>
      <c r="H12" s="0"/>
      <c r="I12" s="0"/>
      <c r="J12" s="0"/>
    </row>
    <row r="13" customFormat="false" ht="16.5" hidden="false" customHeight="true" outlineLevel="0" collapsed="false">
      <c r="A13" s="11" t="s">
        <v>336</v>
      </c>
      <c r="B13" s="15" t="s">
        <v>337</v>
      </c>
      <c r="C13" s="15" t="s">
        <v>338</v>
      </c>
      <c r="D13" s="15" t="s">
        <v>339</v>
      </c>
      <c r="E13" s="15" t="s">
        <v>340</v>
      </c>
      <c r="F13" s="15" t="s">
        <v>341</v>
      </c>
      <c r="G13" s="0"/>
      <c r="H13" s="0"/>
      <c r="I13" s="0"/>
      <c r="J13" s="0"/>
    </row>
    <row r="14" customFormat="false" ht="14.1" hidden="false" customHeight="false" outlineLevel="0" collapsed="false">
      <c r="A14" s="11"/>
      <c r="B14" s="15"/>
      <c r="C14" s="15"/>
      <c r="D14" s="15"/>
      <c r="E14" s="15"/>
      <c r="F14" s="15"/>
      <c r="G14" s="0"/>
      <c r="H14" s="0"/>
      <c r="I14" s="0"/>
      <c r="J14" s="0"/>
    </row>
    <row r="15" customFormat="false" ht="14.1" hidden="false" customHeight="false" outlineLevel="0" collapsed="false">
      <c r="A15" s="11"/>
      <c r="B15" s="11"/>
      <c r="C15" s="11"/>
      <c r="D15" s="11"/>
      <c r="E15" s="11"/>
      <c r="F15" s="11"/>
      <c r="G15" s="0"/>
      <c r="H15" s="0"/>
      <c r="I15" s="0"/>
      <c r="J15" s="0"/>
    </row>
    <row r="16" customFormat="false" ht="14.1" hidden="false" customHeight="false" outlineLevel="0" collapsed="false">
      <c r="A16" s="11"/>
      <c r="B16" s="11"/>
      <c r="C16" s="11"/>
      <c r="D16" s="11"/>
      <c r="E16" s="11"/>
      <c r="F16" s="11"/>
      <c r="G16" s="0"/>
      <c r="H16" s="0"/>
      <c r="I16" s="0"/>
      <c r="J16" s="0"/>
    </row>
    <row r="17" customFormat="false" ht="14.1" hidden="false" customHeight="false" outlineLevel="0" collapsed="false">
      <c r="A17" s="12" t="s">
        <v>342</v>
      </c>
      <c r="B17" s="13"/>
      <c r="C17" s="13"/>
      <c r="D17" s="13"/>
      <c r="E17" s="13"/>
      <c r="F17" s="13"/>
      <c r="G17" s="0"/>
      <c r="H17" s="0"/>
      <c r="I17" s="0"/>
      <c r="J17" s="0"/>
    </row>
    <row r="18" customFormat="false" ht="14.1" hidden="false" customHeight="false" outlineLevel="0" collapsed="false">
      <c r="A18" s="16" t="s">
        <v>343</v>
      </c>
      <c r="B18" s="13" t="n">
        <v>5.53</v>
      </c>
      <c r="C18" s="13" t="n">
        <v>-18.21</v>
      </c>
      <c r="D18" s="13" t="n">
        <v>-18.21</v>
      </c>
      <c r="E18" s="13" t="n">
        <v>5.13</v>
      </c>
      <c r="F18" s="13" t="s">
        <v>329</v>
      </c>
      <c r="G18" s="0"/>
      <c r="H18" s="0"/>
      <c r="I18" s="0"/>
      <c r="J18" s="0"/>
    </row>
    <row r="19" customFormat="false" ht="14.1" hidden="false" customHeight="false" outlineLevel="0" collapsed="false">
      <c r="A19" s="16" t="s">
        <v>344</v>
      </c>
      <c r="B19" s="13" t="n">
        <v>6.48</v>
      </c>
      <c r="C19" s="13" t="n">
        <v>-15.66</v>
      </c>
      <c r="D19" s="13" t="n">
        <v>-15.66</v>
      </c>
      <c r="E19" s="13" t="n">
        <v>5.48</v>
      </c>
      <c r="F19" s="13" t="s">
        <v>329</v>
      </c>
      <c r="G19" s="0"/>
      <c r="H19" s="0"/>
      <c r="I19" s="0"/>
      <c r="J19" s="0"/>
    </row>
    <row r="20" customFormat="false" ht="14.1" hidden="false" customHeight="false" outlineLevel="0" collapsed="false">
      <c r="A20" s="16" t="s">
        <v>345</v>
      </c>
      <c r="B20" s="13" t="n">
        <v>-0.95</v>
      </c>
      <c r="C20" s="13" t="n">
        <v>-2.55</v>
      </c>
      <c r="D20" s="13" t="n">
        <v>-2.55</v>
      </c>
      <c r="E20" s="13" t="n">
        <v>0.49</v>
      </c>
      <c r="F20" s="13"/>
      <c r="G20" s="0"/>
      <c r="H20" s="0"/>
      <c r="I20" s="0"/>
      <c r="J20" s="0"/>
    </row>
    <row r="21" customFormat="false" ht="14.1" hidden="false" customHeight="false" outlineLevel="0" collapsed="false">
      <c r="A21" s="12" t="s">
        <v>346</v>
      </c>
      <c r="B21" s="13"/>
      <c r="C21" s="13"/>
      <c r="D21" s="13"/>
      <c r="E21" s="13"/>
      <c r="F21" s="13"/>
      <c r="G21" s="0"/>
      <c r="H21" s="0"/>
      <c r="I21" s="0"/>
      <c r="J21" s="0"/>
    </row>
    <row r="22" customFormat="false" ht="14.1" hidden="false" customHeight="false" outlineLevel="0" collapsed="false">
      <c r="A22" s="16" t="s">
        <v>343</v>
      </c>
      <c r="B22" s="13" t="n">
        <v>-19.5</v>
      </c>
      <c r="C22" s="13" t="n">
        <v>-22.5</v>
      </c>
      <c r="D22" s="13" t="s">
        <v>329</v>
      </c>
      <c r="E22" s="13" t="s">
        <v>329</v>
      </c>
      <c r="F22" s="13" t="s">
        <v>329</v>
      </c>
      <c r="G22" s="0"/>
      <c r="H22" s="0"/>
      <c r="I22" s="0"/>
      <c r="J22" s="0"/>
    </row>
    <row r="23" customFormat="false" ht="14.1" hidden="false" customHeight="false" outlineLevel="0" collapsed="false">
      <c r="A23" s="16" t="s">
        <v>344</v>
      </c>
      <c r="B23" s="13" t="n">
        <v>-19.69</v>
      </c>
      <c r="C23" s="13" t="n">
        <v>-20.79</v>
      </c>
      <c r="D23" s="13" t="s">
        <v>329</v>
      </c>
      <c r="E23" s="13" t="s">
        <v>329</v>
      </c>
      <c r="F23" s="13" t="s">
        <v>329</v>
      </c>
      <c r="G23" s="0"/>
      <c r="H23" s="0"/>
      <c r="I23" s="0"/>
      <c r="J23" s="0"/>
    </row>
    <row r="24" customFormat="false" ht="14.1" hidden="false" customHeight="false" outlineLevel="0" collapsed="false">
      <c r="A24" s="16" t="s">
        <v>345</v>
      </c>
      <c r="B24" s="13" t="n">
        <v>0.19</v>
      </c>
      <c r="C24" s="13" t="n">
        <v>-1.71</v>
      </c>
      <c r="D24" s="13" t="s">
        <v>329</v>
      </c>
      <c r="E24" s="13" t="s">
        <v>329</v>
      </c>
      <c r="F24" s="13"/>
      <c r="G24" s="0"/>
      <c r="H24" s="0"/>
      <c r="I24" s="0"/>
      <c r="J24" s="0"/>
    </row>
    <row r="25" customFormat="false" ht="14.1" hidden="false" customHeight="false" outlineLevel="0" collapsed="false">
      <c r="A25" s="12" t="s">
        <v>347</v>
      </c>
      <c r="B25" s="13"/>
      <c r="C25" s="13"/>
      <c r="D25" s="13"/>
      <c r="E25" s="13"/>
      <c r="F25" s="13"/>
      <c r="G25" s="0"/>
      <c r="H25" s="0"/>
      <c r="I25" s="0"/>
      <c r="J25" s="0"/>
    </row>
    <row r="26" customFormat="false" ht="14.1" hidden="false" customHeight="false" outlineLevel="0" collapsed="false">
      <c r="A26" s="16" t="s">
        <v>343</v>
      </c>
      <c r="B26" s="13" t="n">
        <v>-3.31</v>
      </c>
      <c r="C26" s="13" t="n">
        <v>-3.73</v>
      </c>
      <c r="D26" s="13" t="s">
        <v>329</v>
      </c>
      <c r="E26" s="13" t="s">
        <v>329</v>
      </c>
      <c r="F26" s="13" t="s">
        <v>329</v>
      </c>
      <c r="G26" s="0"/>
      <c r="H26" s="0"/>
      <c r="I26" s="0"/>
      <c r="J26" s="0"/>
    </row>
    <row r="27" customFormat="false" ht="14.1" hidden="false" customHeight="false" outlineLevel="0" collapsed="false">
      <c r="A27" s="16" t="s">
        <v>344</v>
      </c>
      <c r="B27" s="13" t="n">
        <v>-1.94</v>
      </c>
      <c r="C27" s="13" t="n">
        <v>-1.38</v>
      </c>
      <c r="D27" s="13" t="s">
        <v>329</v>
      </c>
      <c r="E27" s="13" t="s">
        <v>329</v>
      </c>
      <c r="F27" s="13" t="s">
        <v>329</v>
      </c>
      <c r="G27" s="0"/>
      <c r="H27" s="0"/>
      <c r="I27" s="0"/>
      <c r="J27" s="0"/>
    </row>
    <row r="28" customFormat="false" ht="14.1" hidden="false" customHeight="false" outlineLevel="0" collapsed="false">
      <c r="A28" s="16" t="s">
        <v>345</v>
      </c>
      <c r="B28" s="13" t="n">
        <v>-1.37</v>
      </c>
      <c r="C28" s="13" t="n">
        <v>-2.35</v>
      </c>
      <c r="D28" s="13" t="s">
        <v>329</v>
      </c>
      <c r="E28" s="13" t="s">
        <v>329</v>
      </c>
      <c r="F28" s="13"/>
      <c r="G28" s="0"/>
      <c r="H28" s="0"/>
      <c r="I28" s="0"/>
      <c r="J28" s="0"/>
    </row>
    <row r="29" customFormat="false" ht="14.1" hidden="false" customHeight="false" outlineLevel="0" collapsed="false">
      <c r="A29" s="0"/>
      <c r="B29" s="0"/>
      <c r="C29" s="0"/>
      <c r="D29" s="0"/>
      <c r="E29" s="0"/>
      <c r="F29" s="0"/>
      <c r="G29" s="0"/>
      <c r="H29" s="0"/>
      <c r="I29" s="0"/>
      <c r="J29" s="0"/>
    </row>
    <row r="30" customFormat="false" ht="14.1" hidden="false" customHeight="false" outlineLevel="0" collapsed="false">
      <c r="A30" s="0"/>
      <c r="B30" s="0"/>
      <c r="C30" s="0"/>
      <c r="D30" s="0"/>
      <c r="E30" s="0"/>
      <c r="F30" s="0"/>
      <c r="G30" s="0"/>
      <c r="H30" s="0"/>
      <c r="I30" s="0"/>
      <c r="J30" s="0"/>
    </row>
    <row r="31" customFormat="false" ht="14.1" hidden="false" customHeight="true" outlineLevel="0" collapsed="false">
      <c r="A31" s="17"/>
      <c r="B31" s="18" t="s">
        <v>348</v>
      </c>
      <c r="C31" s="18"/>
      <c r="D31" s="18" t="s">
        <v>349</v>
      </c>
      <c r="E31" s="18"/>
      <c r="F31" s="18"/>
      <c r="G31" s="18" t="s">
        <v>337</v>
      </c>
      <c r="H31" s="18"/>
      <c r="I31" s="18" t="s">
        <v>350</v>
      </c>
      <c r="J31" s="18"/>
    </row>
    <row r="32" customFormat="false" ht="27.95" hidden="false" customHeight="false" outlineLevel="0" collapsed="false">
      <c r="A32" s="17" t="s">
        <v>351</v>
      </c>
      <c r="B32" s="18" t="s">
        <v>352</v>
      </c>
      <c r="C32" s="18" t="s">
        <v>353</v>
      </c>
      <c r="D32" s="18" t="s">
        <v>352</v>
      </c>
      <c r="E32" s="18" t="s">
        <v>353</v>
      </c>
      <c r="F32" s="18" t="s">
        <v>354</v>
      </c>
      <c r="G32" s="18" t="s">
        <v>352</v>
      </c>
      <c r="H32" s="18" t="s">
        <v>353</v>
      </c>
      <c r="I32" s="18" t="s">
        <v>355</v>
      </c>
      <c r="J32" s="18" t="s">
        <v>356</v>
      </c>
    </row>
    <row r="33" customFormat="false" ht="14.1" hidden="false" customHeight="false" outlineLevel="0" collapsed="false">
      <c r="A33" s="11"/>
      <c r="B33" s="15"/>
      <c r="C33" s="15"/>
      <c r="D33" s="15"/>
      <c r="E33" s="15"/>
      <c r="F33" s="15"/>
      <c r="G33" s="15"/>
      <c r="H33" s="15"/>
      <c r="I33" s="15"/>
      <c r="J33" s="15"/>
    </row>
    <row r="34" customFormat="false" ht="14.1" hidden="false" customHeight="false" outlineLevel="0" collapsed="false">
      <c r="A34" s="11"/>
      <c r="B34" s="15"/>
      <c r="C34" s="15"/>
      <c r="D34" s="15"/>
      <c r="E34" s="15"/>
      <c r="F34" s="15"/>
      <c r="G34" s="15"/>
      <c r="H34" s="15"/>
      <c r="I34" s="15"/>
      <c r="J34" s="15"/>
    </row>
    <row r="35" customFormat="false" ht="14.1" hidden="false" customHeight="false" outlineLevel="0" collapsed="false">
      <c r="A35" s="12" t="s">
        <v>357</v>
      </c>
      <c r="B35" s="18" t="n">
        <v>1.94</v>
      </c>
      <c r="C35" s="18" t="n">
        <v>2.13</v>
      </c>
      <c r="D35" s="18" t="n">
        <v>-0.38</v>
      </c>
      <c r="E35" s="18" t="n">
        <v>-0.33</v>
      </c>
      <c r="F35" s="18" t="n">
        <v>-0.06</v>
      </c>
      <c r="G35" s="18" t="n">
        <v>-17.61</v>
      </c>
      <c r="H35" s="18" t="n">
        <v>-14.08</v>
      </c>
      <c r="I35" s="18" t="n">
        <v>-0.06</v>
      </c>
      <c r="J35" s="18" t="n">
        <v>0</v>
      </c>
    </row>
    <row r="36" customFormat="false" ht="14.1" hidden="false" customHeight="false" outlineLevel="0" collapsed="false">
      <c r="A36" s="16" t="s">
        <v>358</v>
      </c>
      <c r="B36" s="13" t="n">
        <v>1.94</v>
      </c>
      <c r="C36" s="13" t="n">
        <v>2.13</v>
      </c>
      <c r="D36" s="13" t="n">
        <v>-0.38</v>
      </c>
      <c r="E36" s="13" t="n">
        <v>-0.33</v>
      </c>
      <c r="F36" s="13" t="n">
        <v>-0.06</v>
      </c>
      <c r="G36" s="13" t="n">
        <v>-17.61</v>
      </c>
      <c r="H36" s="13" t="n">
        <v>-14.08</v>
      </c>
      <c r="I36" s="13" t="n">
        <v>-0.06</v>
      </c>
      <c r="J36" s="13" t="n">
        <v>0</v>
      </c>
    </row>
    <row r="37" customFormat="false" ht="14.1" hidden="false" customHeight="false" outlineLevel="0" collapsed="false">
      <c r="A37" s="16" t="s">
        <v>359</v>
      </c>
      <c r="B37" s="13" t="n">
        <v>1.94</v>
      </c>
      <c r="C37" s="13" t="n">
        <v>1.57</v>
      </c>
      <c r="D37" s="13" t="n">
        <v>-0.38</v>
      </c>
      <c r="E37" s="13" t="n">
        <v>-0.31</v>
      </c>
      <c r="F37" s="13" t="n">
        <v>-0.06</v>
      </c>
      <c r="G37" s="13" t="n">
        <v>-17.61</v>
      </c>
      <c r="H37" s="13" t="n">
        <v>-17.62</v>
      </c>
      <c r="I37" s="13" t="n">
        <v>-0.06</v>
      </c>
      <c r="J37" s="13" t="n">
        <v>0</v>
      </c>
    </row>
    <row r="38" customFormat="false" ht="14.1" hidden="false" customHeight="false" outlineLevel="0" collapsed="false">
      <c r="A38" s="12" t="s">
        <v>360</v>
      </c>
      <c r="B38" s="18" t="n">
        <v>9.45</v>
      </c>
      <c r="C38" s="18" t="n">
        <v>9.28</v>
      </c>
      <c r="D38" s="18" t="n">
        <v>0.33</v>
      </c>
      <c r="E38" s="18" t="n">
        <v>-0.27</v>
      </c>
      <c r="F38" s="18" t="n">
        <v>0.58</v>
      </c>
      <c r="G38" s="18" t="n">
        <v>3.3</v>
      </c>
      <c r="H38" s="18" t="n">
        <v>-2.94</v>
      </c>
      <c r="I38" s="18" t="n">
        <v>0.58</v>
      </c>
      <c r="J38" s="18" t="n">
        <v>0</v>
      </c>
    </row>
    <row r="39" customFormat="false" ht="14.1" hidden="false" customHeight="false" outlineLevel="0" collapsed="false">
      <c r="A39" s="16" t="s">
        <v>358</v>
      </c>
      <c r="B39" s="13" t="n">
        <v>9.45</v>
      </c>
      <c r="C39" s="13" t="n">
        <v>9.28</v>
      </c>
      <c r="D39" s="13" t="n">
        <v>0.33</v>
      </c>
      <c r="E39" s="13" t="n">
        <v>-0.27</v>
      </c>
      <c r="F39" s="13" t="n">
        <v>0.58</v>
      </c>
      <c r="G39" s="13" t="n">
        <v>3.3</v>
      </c>
      <c r="H39" s="13" t="n">
        <v>-2.94</v>
      </c>
      <c r="I39" s="13" t="n">
        <v>0.58</v>
      </c>
      <c r="J39" s="13" t="n">
        <v>0</v>
      </c>
    </row>
    <row r="40" customFormat="false" ht="14.1" hidden="false" customHeight="false" outlineLevel="0" collapsed="false">
      <c r="A40" s="16" t="s">
        <v>361</v>
      </c>
      <c r="B40" s="13" t="n">
        <v>0.16</v>
      </c>
      <c r="C40" s="13" t="n">
        <v>0.02</v>
      </c>
      <c r="D40" s="13" t="n">
        <v>0</v>
      </c>
      <c r="E40" s="13" t="n">
        <v>0</v>
      </c>
      <c r="F40" s="13" t="n">
        <v>0</v>
      </c>
      <c r="G40" s="13" t="s">
        <v>329</v>
      </c>
      <c r="H40" s="13" t="s">
        <v>329</v>
      </c>
      <c r="I40" s="13" t="n">
        <v>0</v>
      </c>
      <c r="J40" s="13" t="n">
        <v>0</v>
      </c>
    </row>
    <row r="41" customFormat="false" ht="14.1" hidden="false" customHeight="false" outlineLevel="0" collapsed="false">
      <c r="A41" s="16" t="s">
        <v>362</v>
      </c>
      <c r="B41" s="13" t="n">
        <v>1.1</v>
      </c>
      <c r="C41" s="13" t="n">
        <v>0.47</v>
      </c>
      <c r="D41" s="13" t="n">
        <v>0.07</v>
      </c>
      <c r="E41" s="13" t="n">
        <v>0.03</v>
      </c>
      <c r="F41" s="13" t="n">
        <v>0.06</v>
      </c>
      <c r="G41" s="13" t="n">
        <v>6.68</v>
      </c>
      <c r="H41" s="13" t="n">
        <v>6.67</v>
      </c>
      <c r="I41" s="13" t="n">
        <v>0.06</v>
      </c>
      <c r="J41" s="13" t="n">
        <v>0</v>
      </c>
    </row>
    <row r="42" customFormat="false" ht="14.1" hidden="false" customHeight="false" outlineLevel="0" collapsed="false">
      <c r="A42" s="16" t="s">
        <v>363</v>
      </c>
      <c r="B42" s="13" t="n">
        <v>1.03</v>
      </c>
      <c r="C42" s="13" t="n">
        <v>0.07</v>
      </c>
      <c r="D42" s="13" t="n">
        <v>0.08</v>
      </c>
      <c r="E42" s="13" t="n">
        <v>0.01</v>
      </c>
      <c r="F42" s="13" t="n">
        <v>0.1</v>
      </c>
      <c r="G42" s="13" t="n">
        <v>7.66</v>
      </c>
      <c r="H42" s="13" t="n">
        <v>7.65</v>
      </c>
      <c r="I42" s="13" t="n">
        <v>0.1</v>
      </c>
      <c r="J42" s="13" t="n">
        <v>0</v>
      </c>
    </row>
    <row r="43" customFormat="false" ht="14.1" hidden="false" customHeight="false" outlineLevel="0" collapsed="false">
      <c r="A43" s="16" t="s">
        <v>364</v>
      </c>
      <c r="B43" s="13" t="n">
        <v>2.08</v>
      </c>
      <c r="C43" s="13" t="n">
        <v>1.64</v>
      </c>
      <c r="D43" s="13" t="n">
        <v>0.13</v>
      </c>
      <c r="E43" s="13" t="n">
        <v>0.11</v>
      </c>
      <c r="F43" s="13" t="n">
        <v>0.04</v>
      </c>
      <c r="G43" s="13" t="n">
        <v>6.28</v>
      </c>
      <c r="H43" s="13" t="n">
        <v>6.27</v>
      </c>
      <c r="I43" s="13" t="n">
        <v>0.04</v>
      </c>
      <c r="J43" s="13" t="n">
        <v>0</v>
      </c>
    </row>
    <row r="44" customFormat="false" ht="14.1" hidden="false" customHeight="false" outlineLevel="0" collapsed="false">
      <c r="A44" s="16" t="s">
        <v>365</v>
      </c>
      <c r="B44" s="13" t="n">
        <v>0.64</v>
      </c>
      <c r="C44" s="13" t="n">
        <v>0.15</v>
      </c>
      <c r="D44" s="13" t="n">
        <v>-0.02</v>
      </c>
      <c r="E44" s="13" t="n">
        <v>0</v>
      </c>
      <c r="F44" s="13" t="n">
        <v>0</v>
      </c>
      <c r="G44" s="13" t="n">
        <v>-2.24</v>
      </c>
      <c r="H44" s="13" t="n">
        <v>-2.24</v>
      </c>
      <c r="I44" s="13" t="n">
        <v>0</v>
      </c>
      <c r="J44" s="13" t="n">
        <v>0</v>
      </c>
    </row>
    <row r="45" customFormat="false" ht="14.1" hidden="false" customHeight="false" outlineLevel="0" collapsed="false">
      <c r="A45" s="16" t="s">
        <v>366</v>
      </c>
      <c r="B45" s="13" t="n">
        <v>2.76</v>
      </c>
      <c r="C45" s="13" t="n">
        <v>0.45</v>
      </c>
      <c r="D45" s="13" t="n">
        <v>0.11</v>
      </c>
      <c r="E45" s="13" t="n">
        <v>0.02</v>
      </c>
      <c r="F45" s="13" t="n">
        <v>0.16</v>
      </c>
      <c r="G45" s="13" t="n">
        <v>3.46</v>
      </c>
      <c r="H45" s="13" t="n">
        <v>3.45</v>
      </c>
      <c r="I45" s="13" t="n">
        <v>0.16</v>
      </c>
      <c r="J45" s="13" t="n">
        <v>0</v>
      </c>
    </row>
    <row r="46" customFormat="false" ht="14.1" hidden="false" customHeight="false" outlineLevel="0" collapsed="false">
      <c r="A46" s="16" t="s">
        <v>367</v>
      </c>
      <c r="B46" s="13" t="n">
        <v>0.85</v>
      </c>
      <c r="C46" s="13" t="n">
        <v>0</v>
      </c>
      <c r="D46" s="13" t="n">
        <v>-0.08</v>
      </c>
      <c r="E46" s="13" t="n">
        <v>0</v>
      </c>
      <c r="F46" s="13" t="n">
        <v>-0.05</v>
      </c>
      <c r="G46" s="13" t="n">
        <v>-9.12</v>
      </c>
      <c r="H46" s="13" t="s">
        <v>329</v>
      </c>
      <c r="I46" s="13" t="n">
        <v>-0.05</v>
      </c>
      <c r="J46" s="13" t="n">
        <v>0</v>
      </c>
    </row>
    <row r="47" customFormat="false" ht="14.1" hidden="false" customHeight="false" outlineLevel="0" collapsed="false">
      <c r="A47" s="16" t="s">
        <v>368</v>
      </c>
      <c r="B47" s="13" t="n">
        <v>0.82</v>
      </c>
      <c r="C47" s="13" t="n">
        <v>0.07</v>
      </c>
      <c r="D47" s="13" t="n">
        <v>0.03</v>
      </c>
      <c r="E47" s="13" t="n">
        <v>0</v>
      </c>
      <c r="F47" s="13" t="n">
        <v>0.05</v>
      </c>
      <c r="G47" s="13" t="n">
        <v>3.47</v>
      </c>
      <c r="H47" s="13" t="n">
        <v>3.46</v>
      </c>
      <c r="I47" s="13" t="n">
        <v>0.05</v>
      </c>
      <c r="J47" s="13" t="n">
        <v>0</v>
      </c>
    </row>
    <row r="48" customFormat="false" ht="14.1" hidden="false" customHeight="false" outlineLevel="0" collapsed="false">
      <c r="A48" s="12" t="s">
        <v>369</v>
      </c>
      <c r="B48" s="18" t="n">
        <v>4.33</v>
      </c>
      <c r="C48" s="18" t="n">
        <v>6.08</v>
      </c>
      <c r="D48" s="18" t="n">
        <v>-0.24</v>
      </c>
      <c r="E48" s="18" t="n">
        <v>-0.49</v>
      </c>
      <c r="F48" s="18" t="n">
        <v>0.19</v>
      </c>
      <c r="G48" s="18" t="n">
        <v>-5.24</v>
      </c>
      <c r="H48" s="18" t="n">
        <v>-7.67</v>
      </c>
      <c r="I48" s="18" t="n">
        <v>0.19</v>
      </c>
      <c r="J48" s="18" t="n">
        <v>0</v>
      </c>
    </row>
    <row r="49" customFormat="false" ht="14.1" hidden="false" customHeight="false" outlineLevel="0" collapsed="false">
      <c r="A49" s="16" t="s">
        <v>358</v>
      </c>
      <c r="B49" s="13" t="n">
        <v>4.33</v>
      </c>
      <c r="C49" s="13" t="n">
        <v>6.05</v>
      </c>
      <c r="D49" s="13" t="n">
        <v>-0.24</v>
      </c>
      <c r="E49" s="13" t="n">
        <v>-0.49</v>
      </c>
      <c r="F49" s="13" t="n">
        <v>0.18</v>
      </c>
      <c r="G49" s="13" t="n">
        <v>-5.24</v>
      </c>
      <c r="H49" s="13" t="n">
        <v>-7.62</v>
      </c>
      <c r="I49" s="13" t="n">
        <v>0.18</v>
      </c>
      <c r="J49" s="13" t="n">
        <v>0</v>
      </c>
    </row>
    <row r="50" customFormat="false" ht="14.1" hidden="false" customHeight="false" outlineLevel="0" collapsed="false">
      <c r="A50" s="16" t="s">
        <v>370</v>
      </c>
      <c r="B50" s="13" t="n">
        <v>1.26</v>
      </c>
      <c r="C50" s="13" t="n">
        <v>0.32</v>
      </c>
      <c r="D50" s="13" t="n">
        <v>-0.13</v>
      </c>
      <c r="E50" s="13" t="n">
        <v>-0.03</v>
      </c>
      <c r="F50" s="13" t="n">
        <v>-0.06</v>
      </c>
      <c r="G50" s="13" t="n">
        <v>-9.63</v>
      </c>
      <c r="H50" s="13" t="n">
        <v>-9.63</v>
      </c>
      <c r="I50" s="13" t="n">
        <v>-0.06</v>
      </c>
      <c r="J50" s="13" t="n">
        <v>0</v>
      </c>
    </row>
    <row r="51" customFormat="false" ht="14.1" hidden="false" customHeight="false" outlineLevel="0" collapsed="false">
      <c r="A51" s="16" t="s">
        <v>371</v>
      </c>
      <c r="B51" s="13" t="n">
        <v>0.58</v>
      </c>
      <c r="C51" s="13" t="n">
        <v>0.02</v>
      </c>
      <c r="D51" s="13" t="n">
        <v>0.04</v>
      </c>
      <c r="E51" s="13" t="n">
        <v>0</v>
      </c>
      <c r="F51" s="13" t="n">
        <v>0.05</v>
      </c>
      <c r="G51" s="13" t="n">
        <v>6.97</v>
      </c>
      <c r="H51" s="13" t="n">
        <v>6.96</v>
      </c>
      <c r="I51" s="13" t="n">
        <v>0.05</v>
      </c>
      <c r="J51" s="13" t="n">
        <v>0</v>
      </c>
    </row>
    <row r="52" customFormat="false" ht="14.1" hidden="false" customHeight="false" outlineLevel="0" collapsed="false">
      <c r="A52" s="16" t="s">
        <v>372</v>
      </c>
      <c r="B52" s="13" t="n">
        <v>1.19</v>
      </c>
      <c r="C52" s="13" t="n">
        <v>0.05</v>
      </c>
      <c r="D52" s="13" t="n">
        <v>0.01</v>
      </c>
      <c r="E52" s="13" t="n">
        <v>0</v>
      </c>
      <c r="F52" s="13" t="n">
        <v>0.04</v>
      </c>
      <c r="G52" s="13" t="n">
        <v>0.4</v>
      </c>
      <c r="H52" s="13" t="n">
        <v>0.39</v>
      </c>
      <c r="I52" s="13" t="n">
        <v>0.04</v>
      </c>
      <c r="J52" s="13" t="n">
        <v>0</v>
      </c>
    </row>
    <row r="53" customFormat="false" ht="14.1" hidden="false" customHeight="false" outlineLevel="0" collapsed="false">
      <c r="A53" s="16" t="s">
        <v>373</v>
      </c>
      <c r="B53" s="13" t="n">
        <v>1.3</v>
      </c>
      <c r="C53" s="13" t="n">
        <v>0.07</v>
      </c>
      <c r="D53" s="13" t="n">
        <v>-0.15</v>
      </c>
      <c r="E53" s="13" t="n">
        <v>-0.01</v>
      </c>
      <c r="F53" s="13" t="n">
        <v>-0.1</v>
      </c>
      <c r="G53" s="13" t="n">
        <v>-10.75</v>
      </c>
      <c r="H53" s="13" t="n">
        <v>-10.75</v>
      </c>
      <c r="I53" s="13" t="n">
        <v>-0.1</v>
      </c>
      <c r="J53" s="13" t="n">
        <v>0</v>
      </c>
    </row>
    <row r="54" customFormat="false" ht="14.1" hidden="false" customHeight="false" outlineLevel="0" collapsed="false">
      <c r="A54" s="12" t="s">
        <v>374</v>
      </c>
      <c r="B54" s="18" t="n">
        <v>2.96</v>
      </c>
      <c r="C54" s="18" t="n">
        <v>0.75</v>
      </c>
      <c r="D54" s="18" t="n">
        <v>-0.41</v>
      </c>
      <c r="E54" s="18" t="n">
        <v>-0.05</v>
      </c>
      <c r="F54" s="18" t="n">
        <v>-0.28</v>
      </c>
      <c r="G54" s="18" t="n">
        <v>-12.8</v>
      </c>
      <c r="H54" s="18" t="n">
        <v>-6.38</v>
      </c>
      <c r="I54" s="18" t="n">
        <v>-0.26</v>
      </c>
      <c r="J54" s="18" t="n">
        <v>-0.01</v>
      </c>
    </row>
    <row r="55" customFormat="false" ht="14.1" hidden="false" customHeight="false" outlineLevel="0" collapsed="false">
      <c r="A55" s="16" t="s">
        <v>358</v>
      </c>
      <c r="B55" s="13" t="n">
        <v>2.96</v>
      </c>
      <c r="C55" s="13" t="n">
        <v>0.75</v>
      </c>
      <c r="D55" s="13" t="n">
        <v>-0.41</v>
      </c>
      <c r="E55" s="13" t="n">
        <v>-0.05</v>
      </c>
      <c r="F55" s="13" t="n">
        <v>-0.28</v>
      </c>
      <c r="G55" s="13" t="n">
        <v>-12.8</v>
      </c>
      <c r="H55" s="13" t="n">
        <v>-6.38</v>
      </c>
      <c r="I55" s="13" t="n">
        <v>-0.26</v>
      </c>
      <c r="J55" s="13" t="n">
        <v>-0.01</v>
      </c>
    </row>
    <row r="56" customFormat="false" ht="14.1" hidden="false" customHeight="false" outlineLevel="0" collapsed="false">
      <c r="A56" s="16" t="s">
        <v>375</v>
      </c>
      <c r="B56" s="13" t="n">
        <v>0.22</v>
      </c>
      <c r="C56" s="13" t="n">
        <v>0</v>
      </c>
      <c r="D56" s="13" t="n">
        <v>-0.03</v>
      </c>
      <c r="E56" s="13" t="n">
        <v>0</v>
      </c>
      <c r="F56" s="13" t="n">
        <v>-0.02</v>
      </c>
      <c r="G56" s="13" t="n">
        <v>-10.61</v>
      </c>
      <c r="H56" s="13" t="s">
        <v>329</v>
      </c>
      <c r="I56" s="13" t="n">
        <v>-0.02</v>
      </c>
      <c r="J56" s="13" t="n">
        <v>0</v>
      </c>
    </row>
    <row r="57" customFormat="false" ht="14.1" hidden="false" customHeight="false" outlineLevel="0" collapsed="false">
      <c r="A57" s="16" t="s">
        <v>376</v>
      </c>
      <c r="B57" s="13" t="n">
        <v>1.04</v>
      </c>
      <c r="C57" s="13" t="n">
        <v>0.05</v>
      </c>
      <c r="D57" s="13" t="n">
        <v>-0.1</v>
      </c>
      <c r="E57" s="13" t="n">
        <v>0</v>
      </c>
      <c r="F57" s="13" t="n">
        <v>-0.06</v>
      </c>
      <c r="G57" s="13" t="n">
        <v>-8.89</v>
      </c>
      <c r="H57" s="13" t="n">
        <v>-7.52</v>
      </c>
      <c r="I57" s="13" t="n">
        <v>-0.04</v>
      </c>
      <c r="J57" s="13" t="n">
        <v>-0.02</v>
      </c>
    </row>
    <row r="58" customFormat="false" ht="14.1" hidden="false" customHeight="false" outlineLevel="0" collapsed="false">
      <c r="A58" s="16" t="s">
        <v>377</v>
      </c>
      <c r="B58" s="13" t="n">
        <v>1.69</v>
      </c>
      <c r="C58" s="13" t="n">
        <v>0.13</v>
      </c>
      <c r="D58" s="13" t="n">
        <v>-0.29</v>
      </c>
      <c r="E58" s="13" t="n">
        <v>-0.02</v>
      </c>
      <c r="F58" s="13" t="n">
        <v>-0.21</v>
      </c>
      <c r="G58" s="13" t="n">
        <v>-15.38</v>
      </c>
      <c r="H58" s="13" t="n">
        <v>-15.39</v>
      </c>
      <c r="I58" s="13" t="n">
        <v>-0.21</v>
      </c>
      <c r="J58" s="13" t="n">
        <v>0</v>
      </c>
    </row>
    <row r="59" customFormat="false" ht="14.1" hidden="false" customHeight="false" outlineLevel="0" collapsed="false">
      <c r="A59" s="12" t="s">
        <v>378</v>
      </c>
      <c r="B59" s="18" t="n">
        <v>2.65</v>
      </c>
      <c r="C59" s="18" t="n">
        <v>3.33</v>
      </c>
      <c r="D59" s="18" t="n">
        <v>0.17</v>
      </c>
      <c r="E59" s="18" t="n">
        <v>-0.16</v>
      </c>
      <c r="F59" s="18" t="n">
        <v>0.3</v>
      </c>
      <c r="G59" s="18" t="n">
        <v>6.65</v>
      </c>
      <c r="H59" s="18" t="n">
        <v>-4.61</v>
      </c>
      <c r="I59" s="18" t="n">
        <v>0.3</v>
      </c>
      <c r="J59" s="18" t="n">
        <v>0</v>
      </c>
    </row>
    <row r="60" customFormat="false" ht="14.1" hidden="false" customHeight="false" outlineLevel="0" collapsed="false">
      <c r="A60" s="16" t="s">
        <v>379</v>
      </c>
      <c r="B60" s="13" t="n">
        <v>1.69</v>
      </c>
      <c r="C60" s="13" t="n">
        <v>0.12</v>
      </c>
      <c r="D60" s="13" t="n">
        <v>0.21</v>
      </c>
      <c r="E60" s="13" t="n">
        <v>0.02</v>
      </c>
      <c r="F60" s="13" t="n">
        <v>0.25</v>
      </c>
      <c r="G60" s="13" t="n">
        <v>13.54</v>
      </c>
      <c r="H60" s="13" t="n">
        <v>13.54</v>
      </c>
      <c r="I60" s="13" t="n">
        <v>0.25</v>
      </c>
      <c r="J60" s="13" t="n">
        <v>0</v>
      </c>
    </row>
    <row r="61" customFormat="false" ht="14.1" hidden="false" customHeight="false" outlineLevel="0" collapsed="false">
      <c r="A61" s="16" t="s">
        <v>380</v>
      </c>
      <c r="B61" s="13" t="n">
        <v>1.69</v>
      </c>
      <c r="C61" s="13" t="n">
        <v>0.12</v>
      </c>
      <c r="D61" s="13" t="n">
        <v>0.21</v>
      </c>
      <c r="E61" s="13" t="n">
        <v>0.02</v>
      </c>
      <c r="F61" s="13" t="n">
        <v>0.25</v>
      </c>
      <c r="G61" s="13" t="n">
        <v>13.54</v>
      </c>
      <c r="H61" s="13" t="n">
        <v>13.54</v>
      </c>
      <c r="I61" s="13" t="n">
        <v>0.25</v>
      </c>
      <c r="J61" s="13" t="n">
        <v>0</v>
      </c>
    </row>
    <row r="62" customFormat="false" ht="14.1" hidden="false" customHeight="false" outlineLevel="0" collapsed="false">
      <c r="A62" s="16" t="s">
        <v>358</v>
      </c>
      <c r="B62" s="13" t="n">
        <v>0.96</v>
      </c>
      <c r="C62" s="13" t="n">
        <v>3.2</v>
      </c>
      <c r="D62" s="13" t="n">
        <v>-0.04</v>
      </c>
      <c r="E62" s="13" t="n">
        <v>-0.17</v>
      </c>
      <c r="F62" s="13" t="n">
        <v>0.05</v>
      </c>
      <c r="G62" s="13" t="n">
        <v>-4.28</v>
      </c>
      <c r="H62" s="13" t="n">
        <v>-5.21</v>
      </c>
      <c r="I62" s="13" t="n">
        <v>0.05</v>
      </c>
      <c r="J62" s="13" t="n">
        <v>0</v>
      </c>
    </row>
    <row r="63" customFormat="false" ht="14.1" hidden="false" customHeight="false" outlineLevel="0" collapsed="false">
      <c r="A63" s="16" t="s">
        <v>381</v>
      </c>
      <c r="B63" s="13" t="n">
        <v>0.96</v>
      </c>
      <c r="C63" s="13" t="n">
        <v>0</v>
      </c>
      <c r="D63" s="13" t="n">
        <v>-0.04</v>
      </c>
      <c r="E63" s="13" t="n">
        <v>0</v>
      </c>
      <c r="F63" s="13" t="n">
        <v>-0.01</v>
      </c>
      <c r="G63" s="13" t="n">
        <v>-4.28</v>
      </c>
      <c r="H63" s="13" t="s">
        <v>329</v>
      </c>
      <c r="I63" s="13" t="n">
        <v>-0.01</v>
      </c>
      <c r="J63" s="13" t="n">
        <v>0</v>
      </c>
    </row>
  </sheetData>
  <mergeCells count="10">
    <mergeCell ref="A13:A14"/>
    <mergeCell ref="B13:B14"/>
    <mergeCell ref="C13:C14"/>
    <mergeCell ref="D13:D14"/>
    <mergeCell ref="E13:E14"/>
    <mergeCell ref="F13:F14"/>
    <mergeCell ref="B31:C31"/>
    <mergeCell ref="D31:F31"/>
    <mergeCell ref="G31:H31"/>
    <mergeCell ref="I31:J3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Q257"/>
  <sheetViews>
    <sheetView windowProtection="false" showFormulas="false" showGridLines="true" showRowColHeaders="true" showZeros="true" rightToLeft="false" tabSelected="true" showOutlineSymbols="true" defaultGridColor="true" view="normal" topLeftCell="M67" colorId="64" zoomScale="80" zoomScaleNormal="80" zoomScalePageLayoutView="100" workbookViewId="0">
      <selection pane="topLeft" activeCell="T27" activeCellId="0" sqref="T27"/>
    </sheetView>
  </sheetViews>
  <sheetFormatPr defaultRowHeight="14.1"/>
  <cols>
    <col collapsed="false" hidden="false" max="1" min="1" style="0" width="14.469387755102"/>
    <col collapsed="false" hidden="false" max="2" min="2" style="0" width="12.9591836734694"/>
    <col collapsed="false" hidden="false" max="4" min="3" style="0" width="8.82142857142857"/>
    <col collapsed="false" hidden="false" max="5" min="5" style="0" width="12.8265306122449"/>
    <col collapsed="false" hidden="false" max="8" min="6" style="0" width="8.82142857142857"/>
    <col collapsed="false" hidden="false" max="9" min="9" style="0" width="12.9591836734694"/>
    <col collapsed="false" hidden="false" max="12" min="10" style="0" width="8.82142857142857"/>
    <col collapsed="false" hidden="false" max="13" min="13" style="0" width="19.9897959183673"/>
    <col collapsed="false" hidden="false" max="14" min="14" style="19" width="19.0255102040816"/>
    <col collapsed="false" hidden="false" max="15" min="15" style="20" width="26.0510204081633"/>
    <col collapsed="false" hidden="false" max="16" min="16" style="20" width="25.7857142857143"/>
    <col collapsed="false" hidden="false" max="17" min="17" style="0" width="8.82142857142857"/>
    <col collapsed="false" hidden="false" max="18" min="18" style="20" width="8.82142857142857"/>
    <col collapsed="false" hidden="false" max="19" min="19" style="21" width="16.5510204081633"/>
    <col collapsed="false" hidden="false" max="21" min="20" style="0" width="24.6785714285714"/>
    <col collapsed="false" hidden="false" max="22" min="22" style="0" width="14.1989795918367"/>
    <col collapsed="false" hidden="false" max="23" min="23" style="22" width="23.4336734693878"/>
    <col collapsed="false" hidden="false" max="24" min="24" style="22" width="21.780612244898"/>
    <col collapsed="false" hidden="false" max="26" min="25" style="22" width="17.9285714285714"/>
    <col collapsed="false" hidden="false" max="27" min="27" style="0" width="12.8265306122449"/>
    <col collapsed="false" hidden="false" max="28" min="28" style="0" width="24.9540816326531"/>
    <col collapsed="false" hidden="false" max="29" min="29" style="0" width="18.1989795918367"/>
    <col collapsed="false" hidden="false" max="30" min="30" style="0" width="13.9234693877551"/>
    <col collapsed="false" hidden="false" max="31" min="31" style="0" width="10.0714285714286"/>
    <col collapsed="false" hidden="false" max="33" min="32" style="0" width="28.5357142857143"/>
    <col collapsed="false" hidden="false" max="34" min="34" style="0" width="31.0204081632653"/>
    <col collapsed="false" hidden="false" max="35" min="35" style="0" width="16.5510204081633"/>
    <col collapsed="false" hidden="false" max="37" min="36" style="0" width="17.3673469387755"/>
    <col collapsed="false" hidden="false" max="38" min="38" style="0" width="16.5510204081633"/>
    <col collapsed="false" hidden="false" max="1025" min="39" style="0" width="8.82142857142857"/>
  </cols>
  <sheetData>
    <row r="1" customFormat="false" ht="14.1" hidden="false" customHeight="false" outlineLevel="0" collapsed="false">
      <c r="A1" s="23" t="str">
        <f aca="false">INDEX(map!$B$1:$B$26,MATCH(COLUMN(),map!$A$1:$A$26,0))</f>
        <v>A</v>
      </c>
      <c r="B1" s="23" t="str">
        <f aca="false">INDEX(map!$B$1:$B$26,MATCH(COLUMN(),map!$A$1:$A$26,0))</f>
        <v>B</v>
      </c>
      <c r="C1" s="23" t="str">
        <f aca="false">INDEX(map!$B$1:$B$26,MATCH(COLUMN(),map!$A$1:$A$26,0))</f>
        <v>C</v>
      </c>
      <c r="D1" s="23" t="str">
        <f aca="false">INDEX(map!$B$1:$B$26,MATCH(COLUMN(),map!$A$1:$A$26,0))</f>
        <v>D</v>
      </c>
      <c r="E1" s="23" t="str">
        <f aca="false">INDEX(map!$B$1:$B$26,MATCH(COLUMN(),map!$A$1:$A$26,0))</f>
        <v>E</v>
      </c>
      <c r="F1" s="23" t="str">
        <f aca="false">INDEX(map!$B$1:$B$26,MATCH(COLUMN(),map!$A$1:$A$26,0))</f>
        <v>F</v>
      </c>
      <c r="G1" s="23" t="str">
        <f aca="false">INDEX(map!$B$1:$B$26,MATCH(COLUMN(),map!$A$1:$A$26,0))</f>
        <v>G</v>
      </c>
      <c r="H1" s="23" t="str">
        <f aca="false">INDEX(map!$B$1:$B$26,MATCH(COLUMN(),map!$A$1:$A$26,0))</f>
        <v>H</v>
      </c>
      <c r="I1" s="23" t="str">
        <f aca="false">INDEX(map!$B$1:$B$26,MATCH(COLUMN(),map!$A$1:$A$26,0))</f>
        <v>I</v>
      </c>
      <c r="J1" s="23" t="str">
        <f aca="false">INDEX(map!$B$1:$B$26,MATCH(COLUMN(),map!$A$1:$A$26,0))</f>
        <v>J</v>
      </c>
      <c r="K1" s="23" t="str">
        <f aca="false">INDEX(map!$B$1:$B$26,MATCH(COLUMN(),map!$A$1:$A$26,0))</f>
        <v>K</v>
      </c>
      <c r="N1" s="0"/>
      <c r="O1" s="0"/>
      <c r="P1" s="0"/>
      <c r="R1" s="0"/>
      <c r="S1" s="0"/>
      <c r="W1" s="0"/>
      <c r="X1" s="0"/>
      <c r="Y1" s="0"/>
      <c r="Z1" s="0"/>
    </row>
    <row r="2" customFormat="false" ht="14.1" hidden="false" customHeight="false" outlineLevel="0" collapsed="false">
      <c r="B2" s="24"/>
      <c r="C2" s="24"/>
      <c r="G2" s="25" t="s">
        <v>382</v>
      </c>
      <c r="H2" s="25"/>
      <c r="I2" s="25"/>
      <c r="J2" s="26"/>
      <c r="K2" s="26"/>
      <c r="L2" s="27"/>
      <c r="M2" s="27"/>
      <c r="N2" s="28"/>
      <c r="O2" s="0"/>
      <c r="P2" s="0"/>
      <c r="R2" s="0"/>
      <c r="S2" s="0"/>
      <c r="W2" s="0"/>
      <c r="X2" s="0"/>
      <c r="Y2" s="0"/>
      <c r="Z2" s="0"/>
    </row>
    <row r="3" customFormat="false" ht="13.8" hidden="false" customHeight="false" outlineLevel="0" collapsed="false">
      <c r="A3" s="6"/>
      <c r="B3" s="24" t="n">
        <v>1000000</v>
      </c>
      <c r="C3" s="24"/>
      <c r="D3" s="0" t="s">
        <v>383</v>
      </c>
      <c r="E3" s="0" t="s">
        <v>384</v>
      </c>
      <c r="F3" s="0" t="s">
        <v>385</v>
      </c>
      <c r="G3" s="0" t="n">
        <f aca="false" t="array" ref="G3:G3">IF(ROW(INDEX(H4:H254,MATCH(1,(G4:G254="min")*(H4:H254=1),0)))&lt;ROW(INDEX(H3:H253,MATCH(1,(G4:G254="max")*(H4:H254=1),0))),0,1)</f>
        <v>0</v>
      </c>
      <c r="I3" s="24" t="s">
        <v>386</v>
      </c>
      <c r="J3" s="29"/>
      <c r="K3" s="30"/>
      <c r="L3" s="27"/>
      <c r="M3" s="0" t="s">
        <v>387</v>
      </c>
      <c r="N3" s="19" t="s">
        <v>388</v>
      </c>
      <c r="O3" s="20" t="s">
        <v>389</v>
      </c>
      <c r="P3" s="20" t="s">
        <v>390</v>
      </c>
      <c r="Q3" s="0" t="s">
        <v>391</v>
      </c>
      <c r="R3" s="20" t="s">
        <v>392</v>
      </c>
      <c r="S3" s="21" t="s">
        <v>393</v>
      </c>
      <c r="T3" s="0" t="s">
        <v>394</v>
      </c>
      <c r="U3" s="0" t="s">
        <v>395</v>
      </c>
      <c r="V3" s="0" t="s">
        <v>396</v>
      </c>
      <c r="W3" s="22" t="s">
        <v>397</v>
      </c>
      <c r="X3" s="22" t="s">
        <v>398</v>
      </c>
      <c r="Y3" s="22" t="s">
        <v>399</v>
      </c>
      <c r="Z3" s="22" t="s">
        <v>400</v>
      </c>
      <c r="AA3" s="0" t="s">
        <v>401</v>
      </c>
      <c r="AB3" s="0" t="s">
        <v>402</v>
      </c>
      <c r="AC3" s="0" t="s">
        <v>403</v>
      </c>
      <c r="AD3" s="0" t="s">
        <v>333</v>
      </c>
      <c r="AE3" s="0" t="s">
        <v>334</v>
      </c>
      <c r="AF3" s="0" t="s">
        <v>404</v>
      </c>
      <c r="AG3" s="0" t="s">
        <v>405</v>
      </c>
      <c r="AH3" s="0" t="s">
        <v>406</v>
      </c>
      <c r="AI3" s="0" t="s">
        <v>407</v>
      </c>
      <c r="AJ3" s="0" t="s">
        <v>408</v>
      </c>
      <c r="AK3" s="0" t="s">
        <v>409</v>
      </c>
    </row>
    <row r="4" customFormat="false" ht="13.8" hidden="false" customHeight="false" outlineLevel="0" collapsed="false">
      <c r="A4" s="6" t="n">
        <v>38720</v>
      </c>
      <c r="B4" s="24" t="n">
        <v>1009300</v>
      </c>
      <c r="C4" s="24" t="n">
        <f aca="false">B4-B3</f>
        <v>9300</v>
      </c>
      <c r="D4" s="31" t="n">
        <f aca="false">C4/B3</f>
        <v>0.0093</v>
      </c>
      <c r="E4" s="31" t="n">
        <f aca="false" t="array" ref="E4:E4">PRODUCT(1+$D$4:D4)-1</f>
        <v>0.00930000000000009</v>
      </c>
      <c r="F4" s="0" t="n">
        <f aca="false">IF(ISBLANK(A5),MONTH(A4),IF(MONTH(A5)-MONTH(A4)=1,MONTH(A4),0))</f>
        <v>0</v>
      </c>
      <c r="I4" s="24"/>
      <c r="J4" s="29"/>
      <c r="K4" s="30"/>
      <c r="M4" s="0" t="n">
        <f aca="false">E4/COUNT($E$4:E4)</f>
        <v>0.00930000000000009</v>
      </c>
      <c r="N4" s="19" t="n">
        <f aca="false">M4*252</f>
        <v>2.34360000000002</v>
      </c>
      <c r="O4" s="20" t="n">
        <v>0</v>
      </c>
      <c r="P4" s="20" t="n">
        <v>0</v>
      </c>
      <c r="Q4" s="0" t="n">
        <f aca="false">Treasuries!J2/100</f>
        <v>0.0437</v>
      </c>
      <c r="S4" s="32" t="n">
        <f aca="false">IF(D4&lt;s_p!H4, D4-s_p!H4, 0)</f>
        <v>-0.0071304768923889</v>
      </c>
      <c r="T4" s="0" t="n">
        <f aca="false">S4^2</f>
        <v>5.0843700712892E-005</v>
      </c>
      <c r="U4" s="31" t="n">
        <f aca="false">SQRT(T4)*SQRT(252)</f>
        <v>0.113192811519322</v>
      </c>
      <c r="W4" s="22" t="n">
        <f aca="false">(s_p!$J4)/COUNT(s_p!$J$4:$J4)</f>
        <v>0.0164304768923889</v>
      </c>
      <c r="X4" s="22" t="n">
        <f aca="false">W4 * 252</f>
        <v>4.14048017688199</v>
      </c>
      <c r="Y4" s="0"/>
      <c r="Z4" s="0"/>
      <c r="AF4" s="33" t="n">
        <f aca="false">MAX($E$4:E4)</f>
        <v>0.00930000000000009</v>
      </c>
      <c r="AG4" s="0" t="n">
        <f aca="false">1 - ((1 + E4) / (1 + AF4))</f>
        <v>0</v>
      </c>
      <c r="AH4" s="0" t="n">
        <v>0</v>
      </c>
      <c r="AI4" s="19" t="n">
        <f aca="false">D4-s_p!H4</f>
        <v>-0.00713047689238886</v>
      </c>
      <c r="AJ4" s="19" t="n">
        <f aca="false">AI4</f>
        <v>-0.00713047689238886</v>
      </c>
      <c r="AP4" s="19"/>
      <c r="AQ4" s="22"/>
    </row>
    <row r="5" customFormat="false" ht="13.8" hidden="false" customHeight="false" outlineLevel="0" collapsed="false">
      <c r="A5" s="6" t="n">
        <f aca="false">WORKDAY(A4,1,holiday!$B$2:$B$10)</f>
        <v>38721</v>
      </c>
      <c r="B5" s="24" t="n">
        <v>989820.51</v>
      </c>
      <c r="C5" s="24" t="n">
        <f aca="false">B5-B4</f>
        <v>-19479.49</v>
      </c>
      <c r="D5" s="31" t="n">
        <f aca="false">C5/B4</f>
        <v>-0.0193</v>
      </c>
      <c r="E5" s="31" t="n">
        <f aca="false" t="array" ref="E5:E5">PRODUCT(1+$D$4:D5)-1</f>
        <v>-0.0101794899999998</v>
      </c>
      <c r="F5" s="0" t="n">
        <f aca="false">IF(ISBLANK(A6),MONTH(A5),IF(MONTH(A6)-MONTH(A5)=1,MONTH(A5),0))</f>
        <v>0</v>
      </c>
      <c r="G5" s="0" t="str">
        <f aca="false">IF(B6&gt;B5,IF(AND(B4&gt;B5,B6&gt;B5),"min",""),IF(AND(B4&gt;B5,B6&gt;B5),"",IF(AND(B4&lt;B5,B6&lt;B5),"max","")))</f>
        <v>min</v>
      </c>
      <c r="H5" s="0" t="n">
        <f aca="false">IF(G5="min",COUNTIF(G$4:G5,"min"),IF(G5="max",COUNTIF(G$4:G5,"max"),""))</f>
        <v>1</v>
      </c>
      <c r="I5" s="24" t="e">
        <f aca="false">IF($G$3=0,IF(G5="min",INDEX($B$4:$B$254,(MATCH(1,($G$4:$G$254="max")*($H$4:$H$254=(H5-1)),0))),""),IF($G$3=1,IF(G5="min",INDEX($B$4:$B$254,(MATCH(1,($G$4:$G$254="max")*($H$4:$H$254=(H5)),0))),""),""))-B5</f>
        <v>#N/A</v>
      </c>
      <c r="J5" s="29" t="n">
        <f aca="false">IF(AND(G3=0,G5="min",H5=1),B5-B4,IF(G5="min",B5-I5,""))</f>
        <v>-19479.49</v>
      </c>
      <c r="K5" s="34" t="n">
        <f aca="false">IF(AND(G3=0,G5="min",H5=1),(B5-B4)/B4,IF(G5="min",(B5-I5)/I5,""))</f>
        <v>-0.0193</v>
      </c>
      <c r="L5" s="5"/>
      <c r="M5" s="0" t="n">
        <f aca="false">E5/COUNT($E$4:E5)</f>
        <v>-0.00508974499999992</v>
      </c>
      <c r="N5" s="19" t="n">
        <f aca="false">M5*252</f>
        <v>-1.28261573999998</v>
      </c>
      <c r="O5" s="20" t="n">
        <f aca="false">STDEV($D$4:$D5)</f>
        <v>0.0202232539419353</v>
      </c>
      <c r="P5" s="20" t="n">
        <f aca="false">O5*SQRT(252)</f>
        <v>0.321034203785204</v>
      </c>
      <c r="Q5" s="0" t="n">
        <f aca="false">Treasuries!J3/100</f>
        <v>0.0436</v>
      </c>
      <c r="R5" s="20" t="n">
        <f aca="false">AJ5/AK5*SQRT(252)</f>
        <v>-21.3295001066262</v>
      </c>
      <c r="S5" s="32" t="n">
        <f aca="false">IF(D5&lt;s_p!H5, D5-s_p!H5, 0)</f>
        <v>-0.0229727616645651</v>
      </c>
      <c r="T5" s="0" t="n">
        <f aca="false">S5^2</f>
        <v>0.000527747778496912</v>
      </c>
      <c r="U5" s="0" t="n">
        <f aca="false">SQRT(AVERAGE(T$4:T5)) * SQRT(252)</f>
        <v>0.270004678441754</v>
      </c>
      <c r="V5" s="0" t="n">
        <f aca="false">AJ5/U5*252</f>
        <v>-14.0479345767871</v>
      </c>
      <c r="W5" s="22" t="n">
        <f aca="false">(s_p!$J5)/COUNT(s_p!$J$4:$J5)</f>
        <v>0.0100817918913074</v>
      </c>
      <c r="X5" s="22" t="n">
        <f aca="false">W5 * 252</f>
        <v>2.54061155660947</v>
      </c>
      <c r="Y5" s="21" t="n">
        <f aca="false">STDEV(s_p!$H$4:$H5)</f>
        <v>0.00902106695004106</v>
      </c>
      <c r="Z5" s="21" t="n">
        <f aca="false">Y5*SQRT(252)</f>
        <v>0.143204998261635</v>
      </c>
      <c r="AA5" s="0" t="n">
        <f aca="false">AJ5/AK5</f>
        <v>-1.3436322112252</v>
      </c>
      <c r="AB5" s="0" t="n">
        <f aca="false">_xlfn.COVARIANCE.S($D$4:$D5,s_p!$H$4:$H5)</f>
        <v>0.00018243532775788</v>
      </c>
      <c r="AC5" s="0" t="n">
        <f aca="false">_xlfn.VAR.S(s_p!$H$4:$H5)</f>
        <v>8.13796489171237E-005</v>
      </c>
      <c r="AD5" s="0" t="n">
        <f aca="false">AB5/AC5</f>
        <v>2.24178071772798</v>
      </c>
      <c r="AE5" s="0" t="n">
        <f aca="false">M5-(AD5*W5)</f>
        <v>-0.0276909116620791</v>
      </c>
      <c r="AF5" s="33" t="n">
        <f aca="false">MAX($E$4:E5)</f>
        <v>0.00930000000000009</v>
      </c>
      <c r="AG5" s="0" t="n">
        <f aca="false">1 - ((1 + E5) / (1 + AF5))</f>
        <v>0.0193</v>
      </c>
      <c r="AH5" s="0" t="n">
        <f aca="false">MAX($AG$5:AG5)</f>
        <v>0.0193</v>
      </c>
      <c r="AI5" s="19" t="n">
        <f aca="false">D5-s_p!H5</f>
        <v>-0.0229727616645651</v>
      </c>
      <c r="AJ5" s="19" t="n">
        <f aca="false">AVERAGE(AI$4:AI5)</f>
        <v>-0.015051619278477</v>
      </c>
      <c r="AK5" s="0" t="n">
        <f aca="false">STDEV(AI$4:AI5)</f>
        <v>0.0112021869918942</v>
      </c>
      <c r="AP5" s="19"/>
      <c r="AQ5" s="22"/>
    </row>
    <row r="6" customFormat="false" ht="13.8" hidden="false" customHeight="false" outlineLevel="0" collapsed="false">
      <c r="A6" s="6" t="n">
        <f aca="false">WORKDAY(A5,1,holiday!$B$2:$B$10)</f>
        <v>38722</v>
      </c>
      <c r="B6" s="24" t="n">
        <v>1024563.209901</v>
      </c>
      <c r="C6" s="24" t="n">
        <f aca="false">B6-B5</f>
        <v>34742.699901</v>
      </c>
      <c r="D6" s="31" t="n">
        <f aca="false">C6/B5</f>
        <v>0.0351</v>
      </c>
      <c r="E6" s="31" t="n">
        <f aca="false" t="array" ref="E6:E6">PRODUCT(1+$D$4:D6)-1</f>
        <v>0.024563209901</v>
      </c>
      <c r="F6" s="0" t="n">
        <f aca="false">IF(ISBLANK(A7),MONTH(A6),IF(MONTH(A7)-MONTH(A6)=1,MONTH(A6),0))</f>
        <v>0</v>
      </c>
      <c r="G6" s="0" t="str">
        <f aca="false">IF(B7&gt;B6,IF(AND(B5&gt;B6,B7&gt;B6),"min",""),IF(AND(B5&gt;B6,B7&gt;B6),"",IF(AND(B5&lt;B6,B7&lt;B6),"max","")))</f>
        <v/>
      </c>
      <c r="H6" s="0" t="str">
        <f aca="false">IF(G6="min",COUNTIF(G$4:G6,"min"),IF(G6="max",COUNTIF(G$4:G6,"max"),""))</f>
        <v/>
      </c>
      <c r="I6" s="24" t="str">
        <f aca="false" t="array" ref="I6:I6">IF($G$3=0,IF(G6="min",INDEX($B$4:$B$254,(MATCH(1,($G$4:$G$254="max")*($H$4:$H$254=(H6-1)),0))),""),IF($G$3=1,IF(G6="min",INDEX($B$4:$B$254,(MATCH(1,($G$4:$G$254="max")*($H$4:$H$254=(H6)),0))),""),""))</f>
        <v/>
      </c>
      <c r="J6" s="29" t="str">
        <f aca="false">IF(AND(G4=0,G6="min",H6=1),B6-B5,IF(G6="min",B6-I6,""))</f>
        <v/>
      </c>
      <c r="K6" s="34" t="str">
        <f aca="false">IF(AND(G4=0,G6="min",H6=1),(B6-B5)/B5,IF(G6="min",(B6-I6)/I6,""))</f>
        <v/>
      </c>
      <c r="L6" s="5"/>
      <c r="M6" s="0" t="n">
        <f aca="false">E6/COUNT($E$4:E6)</f>
        <v>0.00818773663366668</v>
      </c>
      <c r="N6" s="19" t="n">
        <f aca="false">M6*252</f>
        <v>2.063309631684</v>
      </c>
      <c r="O6" s="20" t="n">
        <f aca="false">STDEV($D$4:$D6)</f>
        <v>0.0272120071537058</v>
      </c>
      <c r="P6" s="20" t="n">
        <f aca="false">O6*SQRT(252)</f>
        <v>0.431977221621696</v>
      </c>
      <c r="Q6" s="0" t="n">
        <f aca="false">Treasuries!J4/100</f>
        <v>0.0436</v>
      </c>
      <c r="R6" s="20" t="n">
        <f aca="false">AJ6/AK6*SQRT(252)</f>
        <v>0.878275970540424</v>
      </c>
      <c r="S6" s="32" t="n">
        <f aca="false">IF(D6&lt;s_p!H6, D6-s_p!H6, 0)</f>
        <v>0</v>
      </c>
      <c r="T6" s="0" t="n">
        <f aca="false">S6^2</f>
        <v>0</v>
      </c>
      <c r="U6" s="0" t="n">
        <f aca="false">SQRT(AVERAGE(T$4:T6)) * SQRT(252)</f>
        <v>0.220457896782183</v>
      </c>
      <c r="V6" s="0" t="n">
        <f aca="false">AJ6/U6*252</f>
        <v>1.89790761332931</v>
      </c>
      <c r="W6" s="22" t="n">
        <f aca="false">(s_p!$J6)/COUNT(s_p!$J$4:$J6)</f>
        <v>0.00672653523353284</v>
      </c>
      <c r="X6" s="22" t="n">
        <f aca="false">W6 * 252</f>
        <v>1.69508687885028</v>
      </c>
      <c r="Y6" s="21" t="n">
        <f aca="false">STDEV(s_p!$H$4:$H6)</f>
        <v>0.00861759912201924</v>
      </c>
      <c r="Z6" s="21" t="n">
        <f aca="false">Y6*SQRT(252)</f>
        <v>0.136800145051869</v>
      </c>
      <c r="AA6" s="0" t="n">
        <f aca="false">AJ6/AK6</f>
        <v>0.0553261857269963</v>
      </c>
      <c r="AB6" s="0" t="n">
        <f aca="false">_xlfn.COVARIANCE.S($D$4:$D6,s_p!$H$4:$H6)</f>
        <v>-4.29290537154913E-005</v>
      </c>
      <c r="AC6" s="0" t="n">
        <f aca="false">_xlfn.VAR.S(s_p!$H$4:$H6)</f>
        <v>7.42630146278273E-005</v>
      </c>
      <c r="AD6" s="0" t="n">
        <f aca="false">AB6/AC6</f>
        <v>-0.578067749210456</v>
      </c>
      <c r="AE6" s="0" t="n">
        <f aca="false">M6-(AD6*W6)</f>
        <v>0.0120761297160998</v>
      </c>
      <c r="AF6" s="33" t="n">
        <f aca="false">MAX($E$4:E6)</f>
        <v>0.024563209901</v>
      </c>
      <c r="AG6" s="0" t="n">
        <f aca="false">1 - ((1 + E6) / (1 + AF6))</f>
        <v>0</v>
      </c>
      <c r="AH6" s="0" t="n">
        <f aca="false">MAX($AG$5:AG6)</f>
        <v>0.0193</v>
      </c>
      <c r="AI6" s="19" t="n">
        <f aca="false">D6-s_p!H6</f>
        <v>0.0350842947560191</v>
      </c>
      <c r="AJ6" s="19" t="n">
        <f aca="false">AVERAGE(AI$4:AI6)</f>
        <v>0.00166035206635505</v>
      </c>
      <c r="AK6" s="0" t="n">
        <f aca="false">STDEV(AI$4:AI6)</f>
        <v>0.030010239175857</v>
      </c>
      <c r="AP6" s="19"/>
      <c r="AQ6" s="22"/>
    </row>
    <row r="7" customFormat="false" ht="13.8" hidden="false" customHeight="false" outlineLevel="0" collapsed="false">
      <c r="A7" s="6" t="n">
        <f aca="false">WORKDAY(A6,1,holiday!$B$2:$B$10)</f>
        <v>38723</v>
      </c>
      <c r="B7" s="24" t="n">
        <v>1065135.91301308</v>
      </c>
      <c r="C7" s="24" t="n">
        <f aca="false">B7-B6</f>
        <v>40572.7031120796</v>
      </c>
      <c r="D7" s="31" t="n">
        <f aca="false">C7/B6</f>
        <v>0.0396</v>
      </c>
      <c r="E7" s="31" t="n">
        <f aca="false" t="array" ref="E7:E7">PRODUCT(1+$D$4:D7)-1</f>
        <v>0.0651359130130798</v>
      </c>
      <c r="F7" s="0" t="n">
        <f aca="false">IF(ISBLANK(A8),MONTH(A7),IF(MONTH(A8)-MONTH(A7)=1,MONTH(A7),0))</f>
        <v>0</v>
      </c>
      <c r="G7" s="0" t="str">
        <f aca="false">IF(B8&gt;B7,IF(AND(B6&gt;B7,B8&gt;B7),"min",""),IF(AND(B6&gt;B7,B8&gt;B7),"",IF(AND(B6&lt;B7,B8&lt;B7),"max","")))</f>
        <v/>
      </c>
      <c r="H7" s="0" t="str">
        <f aca="false">IF(G7="min",COUNTIF(G$4:G7,"min"),IF(G7="max",COUNTIF(G$4:G7,"max"),""))</f>
        <v/>
      </c>
      <c r="I7" s="24" t="str">
        <f aca="false" t="array" ref="I7:I7">IF($G$3=0,IF(G7="min",INDEX($B$4:$B$254,(MATCH(1,($G$4:$G$254="max")*($H$4:$H$254=(H7-1)),0))),""),IF($G$3=1,IF(G7="min",INDEX($B$4:$B$254,(MATCH(1,($G$4:$G$254="max")*($H$4:$H$254=(H7)),0))),""),""))</f>
        <v/>
      </c>
      <c r="J7" s="29" t="str">
        <f aca="false">IF(AND(G5=0,G7="min",H7=1),B7-B6,IF(G7="min",B7-I7,""))</f>
        <v/>
      </c>
      <c r="K7" s="34" t="str">
        <f aca="false">IF(AND(G5=0,G7="min",H7=1),(B7-B6)/B6,IF(G7="min",(B7-I7)/I7,""))</f>
        <v/>
      </c>
      <c r="L7" s="5"/>
      <c r="M7" s="0" t="n">
        <f aca="false">E7/COUNT($E$4:E7)</f>
        <v>0.0162839782532699</v>
      </c>
      <c r="N7" s="19" t="n">
        <f aca="false">M7*252</f>
        <v>4.10356251982402</v>
      </c>
      <c r="O7" s="20" t="n">
        <f aca="false">STDEV($D$4:$D7)</f>
        <v>0.027157733705153</v>
      </c>
      <c r="P7" s="20" t="n">
        <f aca="false">O7*SQRT(252)</f>
        <v>0.431115657335709</v>
      </c>
      <c r="Q7" s="0" t="n">
        <f aca="false">Treasuries!J5/100</f>
        <v>0.0438</v>
      </c>
      <c r="R7" s="20" t="n">
        <f aca="false">AJ7/AK7*SQRT(252)</f>
        <v>4.92397391956166</v>
      </c>
      <c r="S7" s="32" t="n">
        <f aca="false">IF(D7&lt;s_p!H7, D7-s_p!H7, 0)</f>
        <v>0</v>
      </c>
      <c r="T7" s="0" t="n">
        <f aca="false">S7^2</f>
        <v>0</v>
      </c>
      <c r="U7" s="0" t="n">
        <f aca="false">SQRT(AVERAGE(T$4:T7)) * SQRT(252)</f>
        <v>0.190922139078258</v>
      </c>
      <c r="V7" s="0" t="n">
        <f aca="false">AJ7/U7*252</f>
        <v>11.6091395917192</v>
      </c>
      <c r="W7" s="22" t="n">
        <f aca="false">(s_p!$J7)/COUNT(s_p!$J$4:$J7)</f>
        <v>0.00744218090347598</v>
      </c>
      <c r="X7" s="22" t="n">
        <f aca="false">W7 * 252</f>
        <v>1.87542958767595</v>
      </c>
      <c r="Y7" s="21" t="n">
        <f aca="false">STDEV(s_p!$H$4:$H7)</f>
        <v>0.00716393109527797</v>
      </c>
      <c r="Z7" s="21" t="n">
        <f aca="false">Y7*SQRT(252)</f>
        <v>0.113723880526248</v>
      </c>
      <c r="AA7" s="0" t="n">
        <f aca="false">AJ7/AK7</f>
        <v>0.310181201269717</v>
      </c>
      <c r="AB7" s="0" t="n">
        <f aca="false">_xlfn.COVARIANCE.S($D$4:$D7,s_p!$H$4:$H7)</f>
        <v>-7.59054127056904E-006</v>
      </c>
      <c r="AC7" s="0" t="n">
        <f aca="false">_xlfn.VAR.S(s_p!$H$4:$H7)</f>
        <v>5.13219087378909E-005</v>
      </c>
      <c r="AD7" s="0" t="n">
        <f aca="false">AB7/AC7</f>
        <v>-0.147900603411598</v>
      </c>
      <c r="AE7" s="0" t="n">
        <f aca="false">M7-(AD7*W7)</f>
        <v>0.0173846812995923</v>
      </c>
      <c r="AF7" s="33" t="n">
        <f aca="false">MAX($E$4:E7)</f>
        <v>0.0651359130130798</v>
      </c>
      <c r="AG7" s="0" t="n">
        <f aca="false">1 - ((1 + E7) / (1 + AF7))</f>
        <v>0</v>
      </c>
      <c r="AH7" s="0" t="n">
        <f aca="false">MAX($AG$5:AG7)</f>
        <v>0.0193</v>
      </c>
      <c r="AI7" s="19" t="n">
        <f aca="false">D7-s_p!H7</f>
        <v>0.0302005590979051</v>
      </c>
      <c r="AJ7" s="19" t="n">
        <f aca="false">AVERAGE(AI$4:AI7)</f>
        <v>0.00879540382424256</v>
      </c>
      <c r="AK7" s="0" t="n">
        <f aca="false">STDEV(AI$4:AI7)</f>
        <v>0.0283556959230245</v>
      </c>
      <c r="AP7" s="19"/>
      <c r="AQ7" s="22"/>
    </row>
    <row r="8" customFormat="false" ht="13.8" hidden="false" customHeight="false" outlineLevel="0" collapsed="false">
      <c r="A8" s="6" t="n">
        <f aca="false">WORKDAY(A7,1,holiday!$B$2:$B$10)</f>
        <v>38726</v>
      </c>
      <c r="B8" s="24" t="n">
        <v>1101137.50687292</v>
      </c>
      <c r="C8" s="24" t="n">
        <f aca="false">B8-B7</f>
        <v>36001.593859842</v>
      </c>
      <c r="D8" s="31" t="n">
        <f aca="false">C8/B7</f>
        <v>0.0338</v>
      </c>
      <c r="E8" s="31" t="n">
        <f aca="false" t="array" ref="E8:E8">PRODUCT(1+$D$4:D8)-1</f>
        <v>0.101137506872922</v>
      </c>
      <c r="F8" s="0" t="n">
        <f aca="false">IF(ISBLANK(A9),MONTH(A8),IF(MONTH(A9)-MONTH(A8)=1,MONTH(A8),0))</f>
        <v>0</v>
      </c>
      <c r="G8" s="0" t="str">
        <f aca="false">IF(B9&gt;B8,IF(AND(B7&gt;B8,B9&gt;B8),"min",""),IF(AND(B7&gt;B8,B9&gt;B8),"",IF(AND(B7&lt;B8,B9&lt;B8),"max","")))</f>
        <v>max</v>
      </c>
      <c r="H8" s="0" t="n">
        <f aca="false">IF(G8="min",COUNTIF(G$4:G8,"min"),IF(G8="max",COUNTIF(G$4:G8,"max"),""))</f>
        <v>1</v>
      </c>
      <c r="I8" s="24" t="str">
        <f aca="false" t="array" ref="I8:I8">IF($G$3=0,IF(G8="min",INDEX($B$4:$B$254,(MATCH(1,($G$4:$G$254="max")*($H$4:$H$254=(H8-1)),0))),""),IF($G$3=1,IF(G8="min",INDEX($B$4:$B$254,(MATCH(1,($G$4:$G$254="max")*($H$4:$H$254=(H8)),0))),""),""))</f>
        <v/>
      </c>
      <c r="J8" s="29" t="str">
        <f aca="false">IF(AND(G6=0,G8="min",H8=1),B8-B7,IF(G8="min",B8-I8,""))</f>
        <v/>
      </c>
      <c r="K8" s="34" t="str">
        <f aca="false">IF(AND(G6=0,G8="min",H8=1),(B8-B7)/B7,IF(G8="min",(B8-I8)/I8,""))</f>
        <v/>
      </c>
      <c r="L8" s="5"/>
      <c r="M8" s="0" t="n">
        <f aca="false">E8/COUNT($E$4:E8)</f>
        <v>0.0202275013745844</v>
      </c>
      <c r="N8" s="19" t="n">
        <f aca="false">M8*252</f>
        <v>5.09733034639526</v>
      </c>
      <c r="O8" s="20" t="n">
        <f aca="false">STDEV($D$4:$D8)</f>
        <v>0.0248049390243153</v>
      </c>
      <c r="P8" s="20" t="n">
        <f aca="false">O8*SQRT(252)</f>
        <v>0.393766199666757</v>
      </c>
      <c r="Q8" s="0" t="n">
        <f aca="false">Treasuries!J6/100</f>
        <v>0.0438</v>
      </c>
      <c r="R8" s="20" t="n">
        <f aca="false">AJ8/AK8*SQRT(252)</f>
        <v>7.87180688244052</v>
      </c>
      <c r="S8" s="32" t="n">
        <f aca="false">IF(D8&lt;s_p!H8, D8-s_p!H8, 0)</f>
        <v>0</v>
      </c>
      <c r="T8" s="0" t="n">
        <f aca="false">S8^2</f>
        <v>0</v>
      </c>
      <c r="U8" s="0" t="n">
        <f aca="false">SQRT(AVERAGE(T$4:T8)) * SQRT(252)</f>
        <v>0.170765952555461</v>
      </c>
      <c r="V8" s="0" t="n">
        <f aca="false">AJ8/U8*252</f>
        <v>19.2801637700942</v>
      </c>
      <c r="W8" s="22" t="n">
        <f aca="false">(s_p!$J8)/COUNT(s_p!$J$4:$J8)</f>
        <v>0.00670677486801949</v>
      </c>
      <c r="X8" s="22" t="n">
        <f aca="false">W8 * 252</f>
        <v>1.69010726674091</v>
      </c>
      <c r="Y8" s="21" t="n">
        <f aca="false">STDEV(s_p!$H$4:$H8)</f>
        <v>0.0064237067038719</v>
      </c>
      <c r="Z8" s="21" t="n">
        <f aca="false">Y8*SQRT(252)</f>
        <v>0.101973182601981</v>
      </c>
      <c r="AA8" s="0" t="n">
        <f aca="false">AJ8/AK8</f>
        <v>0.49587722332534</v>
      </c>
      <c r="AB8" s="0" t="n">
        <f aca="false">_xlfn.COVARIANCE.S($D$4:$D8,s_p!$H$4:$H8)</f>
        <v>-1.88174998399303E-005</v>
      </c>
      <c r="AC8" s="0" t="n">
        <f aca="false">_xlfn.VAR.S(s_p!$H$4:$H8)</f>
        <v>4.1264007817369E-005</v>
      </c>
      <c r="AD8" s="0" t="n">
        <f aca="false">AB8/AC8</f>
        <v>-0.456026955094011</v>
      </c>
      <c r="AE8" s="0" t="n">
        <f aca="false">M8-(AD8*W8)</f>
        <v>0.0232859714961483</v>
      </c>
      <c r="AF8" s="33" t="n">
        <f aca="false">MAX($E$4:E8)</f>
        <v>0.101137506872922</v>
      </c>
      <c r="AG8" s="0" t="n">
        <f aca="false">1 - ((1 + E8) / (1 + AF8))</f>
        <v>0</v>
      </c>
      <c r="AH8" s="0" t="n">
        <f aca="false">MAX($AG$5:AG8)</f>
        <v>0.0193</v>
      </c>
      <c r="AI8" s="19" t="n">
        <f aca="false">D8-s_p!H8</f>
        <v>0.0301436928702009</v>
      </c>
      <c r="AJ8" s="19" t="n">
        <f aca="false">AVERAGE(AI$4:AI8)</f>
        <v>0.0130650616334342</v>
      </c>
      <c r="AK8" s="0" t="n">
        <f aca="false">STDEV(AI$4:AI8)</f>
        <v>0.0263473719277128</v>
      </c>
      <c r="AP8" s="19"/>
      <c r="AQ8" s="22"/>
    </row>
    <row r="9" customFormat="false" ht="13.8" hidden="false" customHeight="false" outlineLevel="0" collapsed="false">
      <c r="A9" s="6" t="n">
        <f aca="false">WORKDAY(A8,1,holiday!$B$2:$B$10)</f>
        <v>38727</v>
      </c>
      <c r="B9" s="24" t="n">
        <v>1077903.5054779</v>
      </c>
      <c r="C9" s="24" t="n">
        <f aca="false">B9-B8</f>
        <v>-23234.0013950185</v>
      </c>
      <c r="D9" s="31" t="n">
        <f aca="false">C9/B8</f>
        <v>-0.0210999999999999</v>
      </c>
      <c r="E9" s="31" t="n">
        <f aca="false" t="array" ref="E9:E9">PRODUCT(1+$D$4:D9)-1</f>
        <v>0.0779035054779034</v>
      </c>
      <c r="F9" s="0" t="n">
        <f aca="false">IF(ISBLANK(A10),MONTH(A9),IF(MONTH(A10)-MONTH(A9)=1,MONTH(A9),0))</f>
        <v>0</v>
      </c>
      <c r="G9" s="0" t="str">
        <f aca="false">IF(B10&gt;B9,IF(AND(B8&gt;B9,B10&gt;B9),"min",""),IF(AND(B8&gt;B9,B10&gt;B9),"",IF(AND(B8&lt;B9,B10&lt;B9),"max","")))</f>
        <v>min</v>
      </c>
      <c r="H9" s="0" t="n">
        <f aca="false">IF(G9="min",COUNTIF(G$4:G9,"min"),IF(G9="max",COUNTIF(G$4:G9,"max"),""))</f>
        <v>2</v>
      </c>
      <c r="I9" s="24" t="n">
        <f aca="false" t="array" ref="I9:I9">IF($G$3=0,IF(G9="min",INDEX($B$4:$B$254,(MATCH(1,($G$4:$G$254="max")*($H$4:$H$254=(H9-1)),0))),""),IF($G$3=1,IF(G9="min",INDEX($B$4:$B$254,(MATCH(1,($G$4:$G$254="max")*($H$4:$H$254=(H9)),0))),""),""))</f>
        <v>1101137.50687292</v>
      </c>
      <c r="J9" s="29" t="n">
        <f aca="false">IF(AND(G7=0,G9="min",H9=1),B9-B8,IF(G9="min",B9-I9,""))</f>
        <v>-23234.0013950202</v>
      </c>
      <c r="K9" s="34" t="n">
        <f aca="false">IF(AND(G7=0,G9="min",H9=1),(B9-B8)/B8,IF(G9="min",(B9-I9)/I9,""))</f>
        <v>-0.0211000000000014</v>
      </c>
      <c r="L9" s="5"/>
      <c r="M9" s="0" t="n">
        <f aca="false">E9/COUNT($E$4:E9)</f>
        <v>0.0129839175796506</v>
      </c>
      <c r="N9" s="19" t="n">
        <f aca="false">M9*252</f>
        <v>3.27194723007194</v>
      </c>
      <c r="O9" s="20" t="n">
        <f aca="false">STDEV($D$4:$D9)</f>
        <v>0.0277428909812946</v>
      </c>
      <c r="P9" s="20" t="n">
        <f aca="false">O9*SQRT(252)</f>
        <v>0.440404741118894</v>
      </c>
      <c r="Q9" s="0" t="n">
        <f aca="false">Treasuries!J7/100</f>
        <v>0.0443</v>
      </c>
      <c r="R9" s="20" t="n">
        <f aca="false">AJ9/AK9*SQRT(252)</f>
        <v>4.31898277575364</v>
      </c>
      <c r="S9" s="32" t="n">
        <f aca="false">IF(D9&lt;s_p!H9, D9-s_p!H9, 0)</f>
        <v>-0.0207434523117466</v>
      </c>
      <c r="T9" s="0" t="n">
        <f aca="false">S9^2</f>
        <v>0.000430290813809704</v>
      </c>
      <c r="U9" s="0" t="n">
        <f aca="false">SQRT(AVERAGE(T$4:T9)) * SQRT(252)</f>
        <v>0.205847167351944</v>
      </c>
      <c r="V9" s="0" t="n">
        <f aca="false">AJ9/U9*252</f>
        <v>9.09625315720987</v>
      </c>
      <c r="W9" s="22" t="n">
        <f aca="false">(s_p!$J9)/COUNT(s_p!$J$4:$J9)</f>
        <v>0.00552756170441167</v>
      </c>
      <c r="X9" s="22" t="n">
        <f aca="false">W9 * 252</f>
        <v>1.39294554951174</v>
      </c>
      <c r="Y9" s="21" t="n">
        <f aca="false">STDEV(s_p!$H$4:$H9)</f>
        <v>0.00641545159203024</v>
      </c>
      <c r="Z9" s="21" t="n">
        <f aca="false">Y9*SQRT(252)</f>
        <v>0.101842136764113</v>
      </c>
      <c r="AA9" s="0" t="n">
        <f aca="false">AJ9/AK9</f>
        <v>0.272070341462275</v>
      </c>
      <c r="AB9" s="0" t="n">
        <f aca="false">_xlfn.COVARIANCE.S($D$4:$D9,s_p!$H$4:$H9)</f>
        <v>3.24881053008256E-005</v>
      </c>
      <c r="AC9" s="0" t="n">
        <f aca="false">_xlfn.VAR.S(s_p!$H$4:$H9)</f>
        <v>4.11580191296835E-005</v>
      </c>
      <c r="AD9" s="0" t="n">
        <f aca="false">AB9/AC9</f>
        <v>0.789350556411858</v>
      </c>
      <c r="AE9" s="0" t="n">
        <f aca="false">M9-(AD9*W9)</f>
        <v>0.00862073367267233</v>
      </c>
      <c r="AF9" s="33" t="n">
        <f aca="false">MAX($E$4:E9)</f>
        <v>0.101137506872922</v>
      </c>
      <c r="AG9" s="0" t="n">
        <f aca="false">1 - ((1 + E9) / (1 + AF9))</f>
        <v>0.0210999999999999</v>
      </c>
      <c r="AH9" s="0" t="n">
        <f aca="false">MAX($AG$5:AG9)</f>
        <v>0.0210999999999999</v>
      </c>
      <c r="AI9" s="19" t="n">
        <f aca="false">D9-s_p!H9</f>
        <v>-0.0207434523117466</v>
      </c>
      <c r="AJ9" s="19" t="n">
        <f aca="false">AVERAGE(AI$4:AI9)</f>
        <v>0.00743030930923742</v>
      </c>
      <c r="AK9" s="0" t="n">
        <f aca="false">STDEV(AI$4:AI9)</f>
        <v>0.0273102509788546</v>
      </c>
      <c r="AP9" s="19"/>
      <c r="AQ9" s="22"/>
    </row>
    <row r="10" customFormat="false" ht="13.8" hidden="false" customHeight="false" outlineLevel="0" collapsed="false">
      <c r="A10" s="6" t="n">
        <f aca="false">WORKDAY(A9,1,holiday!$B$2:$B$10)</f>
        <v>38728</v>
      </c>
      <c r="B10" s="24" t="n">
        <v>1119833.95184099</v>
      </c>
      <c r="C10" s="24" t="n">
        <f aca="false">B10-B9</f>
        <v>41930.4463630905</v>
      </c>
      <c r="D10" s="31" t="n">
        <f aca="false">C10/B9</f>
        <v>0.0389000000000001</v>
      </c>
      <c r="E10" s="31" t="n">
        <f aca="false" t="array" ref="E10:E10">PRODUCT(1+$D$4:D10)-1</f>
        <v>0.119833951840994</v>
      </c>
      <c r="F10" s="0" t="n">
        <f aca="false">IF(ISBLANK(A11),MONTH(A10),IF(MONTH(A11)-MONTH(A10)=1,MONTH(A10),0))</f>
        <v>0</v>
      </c>
      <c r="G10" s="0" t="str">
        <f aca="false">IF(B11&gt;B10,IF(AND(B9&gt;B10,B11&gt;B10),"min",""),IF(AND(B9&gt;B10,B11&gt;B10),"",IF(AND(B9&lt;B10,B11&lt;B10),"max","")))</f>
        <v/>
      </c>
      <c r="H10" s="0" t="str">
        <f aca="false">IF(G10="min",COUNTIF(G$4:G10,"min"),IF(G10="max",COUNTIF(G$4:G10,"max"),""))</f>
        <v/>
      </c>
      <c r="I10" s="24" t="str">
        <f aca="false" t="array" ref="I10:I10">IF($G$3=0,IF(G10="min",INDEX($B$4:$B$254,(MATCH(1,($G$4:$G$254="max")*($H$4:$H$254=(H10-1)),0))),""),IF($G$3=1,IF(G10="min",INDEX($B$4:$B$254,(MATCH(1,($G$4:$G$254="max")*($H$4:$H$254=(H10)),0))),""),""))</f>
        <v/>
      </c>
      <c r="J10" s="29" t="str">
        <f aca="false">IF(AND(G8=0,G10="min",H10=1),B10-B9,IF(G10="min",B10-I10,""))</f>
        <v/>
      </c>
      <c r="K10" s="34" t="str">
        <f aca="false">IF(AND(G8=0,G10="min",H10=1),(B10-B9)/B9,IF(G10="min",(B10-I10)/I10,""))</f>
        <v/>
      </c>
      <c r="L10" s="5"/>
      <c r="M10" s="0" t="n">
        <f aca="false">E10/COUNT($E$4:E10)</f>
        <v>0.0171191359772849</v>
      </c>
      <c r="N10" s="19" t="n">
        <f aca="false">M10*252</f>
        <v>4.31402226627579</v>
      </c>
      <c r="O10" s="20" t="n">
        <f aca="false">STDEV($D$4:$D10)</f>
        <v>0.0271654454881827</v>
      </c>
      <c r="P10" s="20" t="n">
        <f aca="false">O10*SQRT(252)</f>
        <v>0.431238078096079</v>
      </c>
      <c r="Q10" s="0" t="n">
        <f aca="false">Treasuries!J8/100</f>
        <v>0.0446</v>
      </c>
      <c r="R10" s="20" t="n">
        <f aca="false">AJ10/AK10*SQRT(252)</f>
        <v>6.69899876388747</v>
      </c>
      <c r="S10" s="32" t="n">
        <f aca="false">IF(D10&lt;s_p!H10, D10-s_p!H10, 0)</f>
        <v>0</v>
      </c>
      <c r="T10" s="0" t="n">
        <f aca="false">S10^2</f>
        <v>0</v>
      </c>
      <c r="U10" s="0" t="n">
        <f aca="false">SQRT(AVERAGE(T$4:T10)) * SQRT(252)</f>
        <v>0.190577445015674</v>
      </c>
      <c r="V10" s="0" t="n">
        <f aca="false">AJ10/U10*252</f>
        <v>15.1120420694465</v>
      </c>
      <c r="W10" s="22" t="n">
        <f aca="false">(s_p!$J10)/COUNT(s_p!$J$4:$J10)</f>
        <v>0.00525175583054766</v>
      </c>
      <c r="X10" s="22" t="n">
        <f aca="false">W10 * 252</f>
        <v>1.32344246929801</v>
      </c>
      <c r="Y10" s="21" t="n">
        <f aca="false">STDEV(s_p!$H$4:$H10)</f>
        <v>0.00590449609547557</v>
      </c>
      <c r="Z10" s="21" t="n">
        <f aca="false">Y10*SQRT(252)</f>
        <v>0.0937309697146814</v>
      </c>
      <c r="AA10" s="0" t="n">
        <f aca="false">AJ10/AK10</f>
        <v>0.421997256247032</v>
      </c>
      <c r="AB10" s="0" t="n">
        <f aca="false">_xlfn.COVARIANCE.S($D$4:$D10,s_p!$H$4:$H10)</f>
        <v>1.96885522881748E-005</v>
      </c>
      <c r="AC10" s="0" t="n">
        <f aca="false">_xlfn.VAR.S(s_p!$H$4:$H10)</f>
        <v>3.48630741414863E-005</v>
      </c>
      <c r="AD10" s="0" t="n">
        <f aca="false">AB10/AC10</f>
        <v>0.564739420519025</v>
      </c>
      <c r="AE10" s="0" t="n">
        <f aca="false">M10-(AD10*W10)</f>
        <v>0.014153262432834</v>
      </c>
      <c r="AF10" s="33" t="n">
        <f aca="false">MAX($E$4:E10)</f>
        <v>0.119833951840994</v>
      </c>
      <c r="AG10" s="0" t="n">
        <f aca="false">1 - ((1 + E10) / (1 + AF10))</f>
        <v>0</v>
      </c>
      <c r="AH10" s="0" t="n">
        <f aca="false">MAX($AG$5:AG10)</f>
        <v>0.0210999999999999</v>
      </c>
      <c r="AI10" s="19" t="n">
        <f aca="false">D10-s_p!H10</f>
        <v>0.0354185432158116</v>
      </c>
      <c r="AJ10" s="19" t="n">
        <f aca="false">AVERAGE(AI$4:AI10)</f>
        <v>0.011428628438748</v>
      </c>
      <c r="AK10" s="0" t="n">
        <f aca="false">STDEV(AI$4:AI10)</f>
        <v>0.0270822339945686</v>
      </c>
      <c r="AP10" s="19"/>
      <c r="AQ10" s="22"/>
    </row>
    <row r="11" customFormat="false" ht="13.8" hidden="false" customHeight="false" outlineLevel="0" collapsed="false">
      <c r="A11" s="6" t="n">
        <f aca="false">WORKDAY(A10,1,holiday!$B$2:$B$10)</f>
        <v>38729</v>
      </c>
      <c r="B11" s="24" t="n">
        <v>1156340.53867101</v>
      </c>
      <c r="C11" s="24" t="n">
        <f aca="false">B11-B10</f>
        <v>36506.5868300165</v>
      </c>
      <c r="D11" s="31" t="n">
        <f aca="false">C11/B10</f>
        <v>0.0326000000000001</v>
      </c>
      <c r="E11" s="31" t="n">
        <f aca="false" t="array" ref="E11:E11">PRODUCT(1+$D$4:D11)-1</f>
        <v>0.156340538671011</v>
      </c>
      <c r="F11" s="0" t="n">
        <f aca="false">IF(ISBLANK(A12),MONTH(A11),IF(MONTH(A12)-MONTH(A11)=1,MONTH(A11),0))</f>
        <v>0</v>
      </c>
      <c r="G11" s="0" t="str">
        <f aca="false">IF(B12&gt;B11,IF(AND(B10&gt;B11,B12&gt;B11),"min",""),IF(AND(B10&gt;B11,B12&gt;B11),"",IF(AND(B10&lt;B11,B12&lt;B11),"max","")))</f>
        <v>max</v>
      </c>
      <c r="H11" s="0" t="n">
        <f aca="false">IF(G11="min",COUNTIF(G$4:G11,"min"),IF(G11="max",COUNTIF(G$4:G11,"max"),""))</f>
        <v>2</v>
      </c>
      <c r="I11" s="24" t="str">
        <f aca="false" t="array" ref="I11:I11">IF($G$3=0,IF(G11="min",INDEX($B$4:$B$254,(MATCH(1,($G$4:$G$254="max")*($H$4:$H$254=(H11-1)),0))),""),IF($G$3=1,IF(G11="min",INDEX($B$4:$B$254,(MATCH(1,($G$4:$G$254="max")*($H$4:$H$254=(H11)),0))),""),""))</f>
        <v/>
      </c>
      <c r="J11" s="29" t="str">
        <f aca="false">IF(AND(G9=0,G11="min",H11=1),B11-B10,IF(G11="min",B11-I11,""))</f>
        <v/>
      </c>
      <c r="K11" s="34" t="str">
        <f aca="false">IF(AND(G9=0,G11="min",H11=1),(B11-B10)/B10,IF(G11="min",(B11-I11)/I11,""))</f>
        <v/>
      </c>
      <c r="L11" s="5"/>
      <c r="M11" s="0" t="n">
        <f aca="false">E11/COUNT($E$4:E11)</f>
        <v>0.0195425673338764</v>
      </c>
      <c r="N11" s="19" t="n">
        <f aca="false">M11*252</f>
        <v>4.92472696813684</v>
      </c>
      <c r="O11" s="20" t="n">
        <f aca="false">STDEV($D$4:$D11)</f>
        <v>0.0257775338230793</v>
      </c>
      <c r="P11" s="20" t="n">
        <f aca="false">O11*SQRT(252)</f>
        <v>0.409205663450544</v>
      </c>
      <c r="Q11" s="0" t="n">
        <f aca="false">Treasuries!J9/100</f>
        <v>0.0442</v>
      </c>
      <c r="R11" s="20" t="n">
        <f aca="false">AJ11/AK11*SQRT(252)</f>
        <v>8.77369124802103</v>
      </c>
      <c r="S11" s="32" t="n">
        <f aca="false">IF(D11&lt;s_p!H11, D11-s_p!H11, 0)</f>
        <v>0</v>
      </c>
      <c r="T11" s="0" t="n">
        <f aca="false">S11^2</f>
        <v>0</v>
      </c>
      <c r="U11" s="0" t="n">
        <f aca="false">SQRT(AVERAGE(T$4:T11)) * SQRT(252)</f>
        <v>0.17826887622385</v>
      </c>
      <c r="V11" s="0" t="n">
        <f aca="false">AJ11/U11*252</f>
        <v>21.0050756435475</v>
      </c>
      <c r="W11" s="22" t="n">
        <f aca="false">(s_p!$J11)/COUNT(s_p!$J$4:$J11)</f>
        <v>0.00378217401405123</v>
      </c>
      <c r="X11" s="22" t="n">
        <f aca="false">W11 * 252</f>
        <v>0.95310785154091</v>
      </c>
      <c r="Y11" s="21" t="n">
        <f aca="false">STDEV(s_p!$H$4:$H11)</f>
        <v>0.00680432213369681</v>
      </c>
      <c r="Z11" s="21" t="n">
        <f aca="false">Y11*SQRT(252)</f>
        <v>0.108015265236805</v>
      </c>
      <c r="AA11" s="0" t="n">
        <f aca="false">AJ11/AK11</f>
        <v>0.552690598150656</v>
      </c>
      <c r="AB11" s="0" t="n">
        <f aca="false">_xlfn.COVARIANCE.S($D$4:$D11,s_p!$H$4:$H11)</f>
        <v>-6.02343478208558E-006</v>
      </c>
      <c r="AC11" s="0" t="n">
        <f aca="false">_xlfn.VAR.S(s_p!$H$4:$H11)</f>
        <v>4.62987996991165E-005</v>
      </c>
      <c r="AD11" s="0" t="n">
        <f aca="false">AB11/AC11</f>
        <v>-0.130099156376197</v>
      </c>
      <c r="AE11" s="0" t="n">
        <f aca="false">M11-(AD11*W11)</f>
        <v>0.0200346249823724</v>
      </c>
      <c r="AF11" s="33" t="n">
        <f aca="false">MAX($E$4:E11)</f>
        <v>0.156340538671011</v>
      </c>
      <c r="AG11" s="0" t="n">
        <f aca="false">1 - ((1 + E11) / (1 + AF11))</f>
        <v>0</v>
      </c>
      <c r="AH11" s="0" t="n">
        <f aca="false">MAX($AG$5:AG11)</f>
        <v>0.0210999999999999</v>
      </c>
      <c r="AI11" s="19" t="n">
        <f aca="false">D11-s_p!H11</f>
        <v>0.0388742431501029</v>
      </c>
      <c r="AJ11" s="19" t="n">
        <f aca="false">AVERAGE(AI$4:AI11)</f>
        <v>0.0148593302776674</v>
      </c>
      <c r="AK11" s="0" t="n">
        <f aca="false">STDEV(AI$4:AI11)</f>
        <v>0.0268854406559254</v>
      </c>
      <c r="AP11" s="19"/>
      <c r="AQ11" s="22"/>
    </row>
    <row r="12" customFormat="false" ht="13.8" hidden="false" customHeight="false" outlineLevel="0" collapsed="false">
      <c r="A12" s="6" t="n">
        <f aca="false">WORKDAY(A11,1,holiday!$B$2:$B$10)</f>
        <v>38730</v>
      </c>
      <c r="B12" s="24" t="n">
        <v>1140498.67329122</v>
      </c>
      <c r="C12" s="24" t="n">
        <f aca="false">B12-B11</f>
        <v>-15841.8653797929</v>
      </c>
      <c r="D12" s="31" t="n">
        <f aca="false">C12/B11</f>
        <v>-0.0137</v>
      </c>
      <c r="E12" s="31" t="n">
        <f aca="false" t="array" ref="E12:E12">PRODUCT(1+$D$4:D12)-1</f>
        <v>0.140498673291218</v>
      </c>
      <c r="F12" s="0" t="n">
        <f aca="false">IF(ISBLANK(A13),MONTH(A12),IF(MONTH(A13)-MONTH(A12)=1,MONTH(A12),0))</f>
        <v>0</v>
      </c>
      <c r="G12" s="0" t="str">
        <f aca="false">IF(B13&gt;B12,IF(AND(B11&gt;B12,B13&gt;B12),"min",""),IF(AND(B11&gt;B12,B13&gt;B12),"",IF(AND(B11&lt;B12,B13&lt;B12),"max","")))</f>
        <v/>
      </c>
      <c r="H12" s="0" t="str">
        <f aca="false">IF(G12="min",COUNTIF(G$4:G12,"min"),IF(G12="max",COUNTIF(G$4:G12,"max"),""))</f>
        <v/>
      </c>
      <c r="I12" s="24" t="str">
        <f aca="false" t="array" ref="I12:I12">IF($G$3=0,IF(G12="min",INDEX($B$4:$B$254,(MATCH(1,($G$4:$G$254="max")*($H$4:$H$254=(H12-1)),0))),""),IF($G$3=1,IF(G12="min",INDEX($B$4:$B$254,(MATCH(1,($G$4:$G$254="max")*($H$4:$H$254=(H12)),0))),""),""))</f>
        <v/>
      </c>
      <c r="J12" s="29" t="str">
        <f aca="false">IF(AND(G10=0,G12="min",H12=1),B12-B11,IF(G12="min",B12-I12,""))</f>
        <v/>
      </c>
      <c r="K12" s="34" t="str">
        <f aca="false">IF(AND(G10=0,G12="min",H12=1),(B12-B11)/B11,IF(G12="min",(B12-I12)/I12,""))</f>
        <v/>
      </c>
      <c r="L12" s="5"/>
      <c r="M12" s="0" t="n">
        <f aca="false">E12/COUNT($E$4:E12)</f>
        <v>0.0156109636990242</v>
      </c>
      <c r="N12" s="19" t="n">
        <f aca="false">M12*252</f>
        <v>3.9339628521541</v>
      </c>
      <c r="O12" s="20" t="n">
        <f aca="false">STDEV($D$4:$D12)</f>
        <v>0.0264089368291199</v>
      </c>
      <c r="P12" s="20" t="n">
        <f aca="false">O12*SQRT(252)</f>
        <v>0.419228875436795</v>
      </c>
      <c r="Q12" s="0" t="n">
        <f aca="false">Treasuries!J10/100</f>
        <v>0.0436</v>
      </c>
      <c r="R12" s="20" t="n">
        <f aca="false">AJ12/AK12*SQRT(252)</f>
        <v>6.78314896082439</v>
      </c>
      <c r="S12" s="32" t="n">
        <f aca="false">IF(D12&lt;s_p!H12, D12-s_p!H12, 0)</f>
        <v>-0.0149052314822013</v>
      </c>
      <c r="T12" s="0" t="n">
        <f aca="false">S12^2</f>
        <v>0.000222165925538005</v>
      </c>
      <c r="U12" s="0" t="n">
        <f aca="false">SQRT(AVERAGE(T$4:T12)) * SQRT(252)</f>
        <v>0.185659231172625</v>
      </c>
      <c r="V12" s="0" t="n">
        <f aca="false">AJ12/U12*252</f>
        <v>15.6800363887594</v>
      </c>
      <c r="W12" s="22" t="n">
        <f aca="false">(s_p!$J12)/COUNT(s_p!$J$4:$J12)</f>
        <v>0.00349989897290603</v>
      </c>
      <c r="X12" s="22" t="n">
        <f aca="false">W12 * 252</f>
        <v>0.881974541172321</v>
      </c>
      <c r="Y12" s="21" t="n">
        <f aca="false">STDEV(s_p!$H$4:$H12)</f>
        <v>0.006421275720482</v>
      </c>
      <c r="Z12" s="21" t="n">
        <f aca="false">Y12*SQRT(252)</f>
        <v>0.101934591937035</v>
      </c>
      <c r="AA12" s="0" t="n">
        <f aca="false">AJ12/AK12</f>
        <v>0.427298220386846</v>
      </c>
      <c r="AB12" s="0" t="n">
        <f aca="false">_xlfn.COVARIANCE.S($D$4:$D12,s_p!$H$4:$H12)</f>
        <v>3.87730060836892E-006</v>
      </c>
      <c r="AC12" s="0" t="n">
        <f aca="false">_xlfn.VAR.S(s_p!$H$4:$H12)</f>
        <v>4.12327818784517E-005</v>
      </c>
      <c r="AD12" s="0" t="n">
        <f aca="false">AB12/AC12</f>
        <v>0.0940344170761662</v>
      </c>
      <c r="AE12" s="0" t="n">
        <f aca="false">M12-(AD12*W12)</f>
        <v>0.0152818527392815</v>
      </c>
      <c r="AF12" s="33" t="n">
        <f aca="false">MAX($E$4:E12)</f>
        <v>0.156340538671011</v>
      </c>
      <c r="AG12" s="0" t="n">
        <f aca="false">1 - ((1 + E12) / (1 + AF12))</f>
        <v>0.0137</v>
      </c>
      <c r="AH12" s="0" t="n">
        <f aca="false">MAX($AG$5:AG12)</f>
        <v>0.0210999999999999</v>
      </c>
      <c r="AI12" s="19" t="n">
        <f aca="false">D12-s_p!H12</f>
        <v>-0.0149052314822013</v>
      </c>
      <c r="AJ12" s="19" t="n">
        <f aca="false">AVERAGE(AI$4:AI12)</f>
        <v>0.0115521567487931</v>
      </c>
      <c r="AK12" s="0" t="n">
        <f aca="false">STDEV(AI$4:AI12)</f>
        <v>0.0270353495465873</v>
      </c>
      <c r="AP12" s="19"/>
      <c r="AQ12" s="22"/>
    </row>
    <row r="13" customFormat="false" ht="13.8" hidden="false" customHeight="false" outlineLevel="0" collapsed="false">
      <c r="A13" s="6" t="n">
        <f aca="false">WORKDAY(A12,1,holiday!$B$2:$B$10)</f>
        <v>38734</v>
      </c>
      <c r="B13" s="24" t="n">
        <v>1093624.17781895</v>
      </c>
      <c r="C13" s="24" t="n">
        <f aca="false">B13-B12</f>
        <v>-46874.4954722691</v>
      </c>
      <c r="D13" s="31" t="n">
        <f aca="false">C13/B12</f>
        <v>-0.0411000000000001</v>
      </c>
      <c r="E13" s="31" t="n">
        <f aca="false" t="array" ref="E13:E13">PRODUCT(1+$D$4:D13)-1</f>
        <v>0.0936241778189488</v>
      </c>
      <c r="F13" s="0" t="n">
        <f aca="false">IF(ISBLANK(A14),MONTH(A13),IF(MONTH(A14)-MONTH(A13)=1,MONTH(A13),0))</f>
        <v>0</v>
      </c>
      <c r="G13" s="0" t="str">
        <f aca="false">IF(B14&gt;B13,IF(AND(B12&gt;B13,B14&gt;B13),"min",""),IF(AND(B12&gt;B13,B14&gt;B13),"",IF(AND(B12&lt;B13,B14&lt;B13),"max","")))</f>
        <v/>
      </c>
      <c r="H13" s="0" t="str">
        <f aca="false">IF(G13="min",COUNTIF(G$4:G13,"min"),IF(G13="max",COUNTIF(G$4:G13,"max"),""))</f>
        <v/>
      </c>
      <c r="I13" s="24" t="str">
        <f aca="false" t="array" ref="I13:I13">IF($G$3=0,IF(G13="min",INDEX($B$4:$B$254,(MATCH(1,($G$4:$G$254="max")*($H$4:$H$254=(H13-1)),0))),""),IF($G$3=1,IF(G13="min",INDEX($B$4:$B$254,(MATCH(1,($G$4:$G$254="max")*($H$4:$H$254=(H13)),0))),""),""))</f>
        <v/>
      </c>
      <c r="J13" s="29" t="str">
        <f aca="false">IF(AND(G11=0,G13="min",H13=1),B13-B12,IF(G13="min",B13-I13,""))</f>
        <v/>
      </c>
      <c r="K13" s="34" t="str">
        <f aca="false">IF(AND(G11=0,G13="min",H13=1),(B13-B12)/B12,IF(G13="min",(B13-I13)/I13,""))</f>
        <v/>
      </c>
      <c r="L13" s="5"/>
      <c r="M13" s="0" t="n">
        <f aca="false">E13/COUNT($E$4:E13)</f>
        <v>0.00936241778189488</v>
      </c>
      <c r="N13" s="19" t="n">
        <f aca="false">M13*252</f>
        <v>2.35932928103751</v>
      </c>
      <c r="O13" s="20" t="n">
        <f aca="false">STDEV($D$4:$D13)</f>
        <v>0.0305762961931116</v>
      </c>
      <c r="P13" s="20" t="n">
        <f aca="false">O13*SQRT(252)</f>
        <v>0.485383654442545</v>
      </c>
      <c r="Q13" s="0" t="n">
        <f aca="false">Treasuries!J11/100</f>
        <v>0.0434</v>
      </c>
      <c r="R13" s="20" t="n">
        <f aca="false">AJ13/AK13*SQRT(252)</f>
        <v>3.53319407238347</v>
      </c>
      <c r="S13" s="32" t="n">
        <f aca="false">IF(D13&lt;s_p!H13, D13-s_p!H13, 0)</f>
        <v>-0.0375430223437223</v>
      </c>
      <c r="T13" s="0" t="n">
        <f aca="false">S13^2</f>
        <v>0.00140947852670123</v>
      </c>
      <c r="U13" s="0" t="n">
        <f aca="false">SQRT(AVERAGE(T$4:T13)) * SQRT(252)</f>
        <v>0.257955953566729</v>
      </c>
      <c r="V13" s="0" t="n">
        <f aca="false">AJ13/U13*252</f>
        <v>6.48926673107953</v>
      </c>
      <c r="W13" s="22" t="n">
        <f aca="false">(s_p!$J13)/COUNT(s_p!$J$4:$J13)</f>
        <v>0.00278300715378639</v>
      </c>
      <c r="X13" s="22" t="n">
        <f aca="false">W13 * 252</f>
        <v>0.70131780275417</v>
      </c>
      <c r="Y13" s="21" t="n">
        <f aca="false">STDEV(s_p!$H$4:$H13)</f>
        <v>0.00644897628964559</v>
      </c>
      <c r="Z13" s="21" t="n">
        <f aca="false">Y13*SQRT(252)</f>
        <v>0.102374324840126</v>
      </c>
      <c r="AA13" s="0" t="n">
        <f aca="false">AJ13/AK13</f>
        <v>0.222570305934624</v>
      </c>
      <c r="AB13" s="0" t="n">
        <f aca="false">_xlfn.COVARIANCE.S($D$4:$D13,s_p!$H$4:$H13)</f>
        <v>4.2883817038717E-005</v>
      </c>
      <c r="AC13" s="0" t="n">
        <f aca="false">_xlfn.VAR.S(s_p!$H$4:$H13)</f>
        <v>4.15892951844111E-005</v>
      </c>
      <c r="AD13" s="0" t="n">
        <f aca="false">AB13/AC13</f>
        <v>1.03112632345814</v>
      </c>
      <c r="AE13" s="0" t="n">
        <f aca="false">M13-(AD13*W13)</f>
        <v>0.00649278584725343</v>
      </c>
      <c r="AF13" s="33" t="n">
        <f aca="false">MAX($E$4:E13)</f>
        <v>0.156340538671011</v>
      </c>
      <c r="AG13" s="0" t="n">
        <f aca="false">1 - ((1 + E13) / (1 + AF13))</f>
        <v>0.0542369300000001</v>
      </c>
      <c r="AH13" s="0" t="n">
        <f aca="false">MAX($AG$5:AG13)</f>
        <v>0.0542369300000001</v>
      </c>
      <c r="AI13" s="19" t="n">
        <f aca="false">D13-s_p!H13</f>
        <v>-0.0375430223437223</v>
      </c>
      <c r="AJ13" s="19" t="n">
        <f aca="false">AVERAGE(AI$4:AI13)</f>
        <v>0.00664263883954154</v>
      </c>
      <c r="AK13" s="0" t="n">
        <f aca="false">STDEV(AI$4:AI13)</f>
        <v>0.0298451260676826</v>
      </c>
    </row>
    <row r="14" customFormat="false" ht="13.8" hidden="false" customHeight="false" outlineLevel="0" collapsed="false">
      <c r="A14" s="6" t="n">
        <f aca="false">WORKDAY(A13,1,holiday!$B$2:$B$10)</f>
        <v>38735</v>
      </c>
      <c r="B14" s="24" t="n">
        <v>1090124.58044993</v>
      </c>
      <c r="C14" s="24" t="n">
        <f aca="false">B14-B13</f>
        <v>-3499.59736902057</v>
      </c>
      <c r="D14" s="31" t="n">
        <f aca="false">C14/B13</f>
        <v>-0.00319999999999994</v>
      </c>
      <c r="E14" s="31" t="n">
        <f aca="false" t="array" ref="E14:E14">PRODUCT(1+$D$4:D14)-1</f>
        <v>0.090124580449928</v>
      </c>
      <c r="F14" s="0" t="n">
        <f aca="false">IF(ISBLANK(A15),MONTH(A14),IF(MONTH(A15)-MONTH(A14)=1,MONTH(A14),0))</f>
        <v>0</v>
      </c>
      <c r="G14" s="0" t="str">
        <f aca="false">IF(B15&gt;B14,IF(AND(B13&gt;B14,B15&gt;B14),"min",""),IF(AND(B13&gt;B14,B15&gt;B14),"",IF(AND(B13&lt;B14,B15&lt;B14),"max","")))</f>
        <v>min</v>
      </c>
      <c r="H14" s="0" t="n">
        <f aca="false">IF(G14="min",COUNTIF(G$4:G14,"min"),IF(G14="max",COUNTIF(G$4:G14,"max"),""))</f>
        <v>3</v>
      </c>
      <c r="I14" s="24" t="n">
        <f aca="false" t="array" ref="I14:I14">IF($G$3=0,IF(G14="min",INDEX($B$4:$B$254,(MATCH(1,($G$4:$G$254="max")*($H$4:$H$254=(H14-1)),0))),""),IF($G$3=1,IF(G14="min",INDEX($B$4:$B$254,(MATCH(1,($G$4:$G$254="max")*($H$4:$H$254=(H14)),0))),""),""))</f>
        <v>1156340.53867101</v>
      </c>
      <c r="J14" s="29" t="n">
        <f aca="false">IF(AND(G12=0,G14="min",H14=1),B14-B13,IF(G14="min",B14-I14,""))</f>
        <v>-66215.95822108</v>
      </c>
      <c r="K14" s="34" t="n">
        <f aca="false">IF(AND(G12=0,G14="min",H14=1),(B14-B13)/B13,IF(G14="min",(B14-I14)/I14,""))</f>
        <v>-0.0572633718239979</v>
      </c>
      <c r="L14" s="5"/>
      <c r="M14" s="0" t="n">
        <f aca="false">E14/COUNT($E$4:E14)</f>
        <v>0.00819314367726618</v>
      </c>
      <c r="N14" s="19" t="n">
        <f aca="false">M14*252</f>
        <v>2.06467220667108</v>
      </c>
      <c r="O14" s="20" t="n">
        <f aca="false">STDEV($D$4:$D14)</f>
        <v>0.0292553336240513</v>
      </c>
      <c r="P14" s="20" t="n">
        <f aca="false">O14*SQRT(252)</f>
        <v>0.464414023748794</v>
      </c>
      <c r="Q14" s="0" t="n">
        <f aca="false">Treasuries!J12/100</f>
        <v>0.0434</v>
      </c>
      <c r="R14" s="20" t="n">
        <f aca="false">AJ14/AK14*SQRT(252)</f>
        <v>3.41857227032067</v>
      </c>
      <c r="S14" s="32" t="n">
        <f aca="false">IF(D14&lt;s_p!H14, D14-s_p!H14, 0)</f>
        <v>0</v>
      </c>
      <c r="T14" s="0" t="n">
        <f aca="false">S14^2</f>
        <v>0</v>
      </c>
      <c r="U14" s="0" t="n">
        <f aca="false">SQRT(AVERAGE(T$4:T14)) * SQRT(252)</f>
        <v>0.245951351399049</v>
      </c>
      <c r="V14" s="0" t="n">
        <f aca="false">AJ14/U14*252</f>
        <v>6.25945707192217</v>
      </c>
      <c r="W14" s="22" t="n">
        <f aca="false">(s_p!$J14)/COUNT(s_p!$J$4:$J14)</f>
        <v>0.00215858931381767</v>
      </c>
      <c r="X14" s="22" t="n">
        <f aca="false">W14 * 252</f>
        <v>0.543964507082052</v>
      </c>
      <c r="Y14" s="21" t="n">
        <f aca="false">STDEV(s_p!$H$4:$H14)</f>
        <v>0.00644693719581604</v>
      </c>
      <c r="Z14" s="21" t="n">
        <f aca="false">Y14*SQRT(252)</f>
        <v>0.102341955229088</v>
      </c>
      <c r="AA14" s="0" t="n">
        <f aca="false">AJ14/AK14</f>
        <v>0.215349811099284</v>
      </c>
      <c r="AB14" s="0" t="n">
        <f aca="false">_xlfn.COVARIANCE.S($D$4:$D14,s_p!$H$4:$H14)</f>
        <v>4.63245934558666E-005</v>
      </c>
      <c r="AC14" s="0" t="n">
        <f aca="false">_xlfn.VAR.S(s_p!$H$4:$H14)</f>
        <v>4.15629992067965E-005</v>
      </c>
      <c r="AD14" s="0" t="n">
        <f aca="false">AB14/AC14</f>
        <v>1.11456329764315</v>
      </c>
      <c r="AE14" s="0" t="n">
        <f aca="false">M14-(AD14*W14)</f>
        <v>0.0057872592534003</v>
      </c>
      <c r="AF14" s="33" t="n">
        <f aca="false">MAX($E$4:E14)</f>
        <v>0.156340538671011</v>
      </c>
      <c r="AG14" s="0" t="n">
        <f aca="false">1 - ((1 + E14) / (1 + AF14))</f>
        <v>0.0572633718240002</v>
      </c>
      <c r="AH14" s="0" t="n">
        <f aca="false">MAX($AG$5:AG14)</f>
        <v>0.0572633718240002</v>
      </c>
      <c r="AI14" s="19" t="n">
        <f aca="false">D14-s_p!H14</f>
        <v>0.000774965511328645</v>
      </c>
      <c r="AJ14" s="19" t="n">
        <f aca="false">AVERAGE(AI$4:AI14)</f>
        <v>0.00610921399152219</v>
      </c>
      <c r="AK14" s="0" t="n">
        <f aca="false">STDEV(AI$4:AI14)</f>
        <v>0.0283687919684574</v>
      </c>
    </row>
    <row r="15" customFormat="false" ht="13.8" hidden="false" customHeight="false" outlineLevel="0" collapsed="false">
      <c r="A15" s="6" t="n">
        <f aca="false">WORKDAY(A14,1,holiday!$B$2:$B$10)</f>
        <v>38736</v>
      </c>
      <c r="B15" s="24" t="n">
        <v>1106367.43669863</v>
      </c>
      <c r="C15" s="24" t="n">
        <f aca="false">B15-B14</f>
        <v>16242.856248704</v>
      </c>
      <c r="D15" s="31" t="n">
        <f aca="false">C15/B14</f>
        <v>0.0149000000000001</v>
      </c>
      <c r="E15" s="31" t="n">
        <f aca="false" t="array" ref="E15:E15">PRODUCT(1+$D$4:D15)-1</f>
        <v>0.106367436698632</v>
      </c>
      <c r="F15" s="0" t="n">
        <f aca="false">IF(ISBLANK(A16),MONTH(A15),IF(MONTH(A16)-MONTH(A15)=1,MONTH(A15),0))</f>
        <v>0</v>
      </c>
      <c r="G15" s="0" t="str">
        <f aca="false">IF(B16&gt;B15,IF(AND(B14&gt;B15,B16&gt;B15),"min",""),IF(AND(B14&gt;B15,B16&gt;B15),"",IF(AND(B14&lt;B15,B16&lt;B15),"max","")))</f>
        <v/>
      </c>
      <c r="H15" s="0" t="str">
        <f aca="false">IF(G15="min",COUNTIF(G$4:G15,"min"),IF(G15="max",COUNTIF(G$4:G15,"max"),""))</f>
        <v/>
      </c>
      <c r="I15" s="24" t="str">
        <f aca="false" t="array" ref="I15:I15">IF($G$3=0,IF(G15="min",INDEX($B$4:$B$254,(MATCH(1,($G$4:$G$254="max")*($H$4:$H$254=(H15-1)),0))),""),IF($G$3=1,IF(G15="min",INDEX($B$4:$B$254,(MATCH(1,($G$4:$G$254="max")*($H$4:$H$254=(H15)),0))),""),""))</f>
        <v/>
      </c>
      <c r="J15" s="29" t="str">
        <f aca="false">IF(AND(G13=0,G15="min",H15=1),B15-B14,IF(G15="min",B15-I15,""))</f>
        <v/>
      </c>
      <c r="K15" s="34" t="str">
        <f aca="false">IF(AND(G13=0,G15="min",H15=1),(B15-B14)/B14,IF(G15="min",(B15-I15)/I15,""))</f>
        <v/>
      </c>
      <c r="L15" s="5"/>
      <c r="M15" s="0" t="n">
        <f aca="false">E15/COUNT($E$4:E15)</f>
        <v>0.00886395305821933</v>
      </c>
      <c r="N15" s="19" t="n">
        <f aca="false">M15*252</f>
        <v>2.23371617067127</v>
      </c>
      <c r="O15" s="20" t="n">
        <f aca="false">STDEV($D$4:$D15)</f>
        <v>0.0279595757977098</v>
      </c>
      <c r="P15" s="20" t="n">
        <f aca="false">O15*SQRT(252)</f>
        <v>0.443844505941603</v>
      </c>
      <c r="Q15" s="0" t="n">
        <f aca="false">Treasuries!J13/100</f>
        <v>0.0438</v>
      </c>
      <c r="R15" s="20" t="n">
        <f aca="false">AJ15/AK15*SQRT(252)</f>
        <v>3.7410398078638</v>
      </c>
      <c r="S15" s="32" t="n">
        <f aca="false">IF(D15&lt;s_p!H15, D15-s_p!H15, 0)</f>
        <v>0</v>
      </c>
      <c r="T15" s="0" t="n">
        <f aca="false">S15^2</f>
        <v>0</v>
      </c>
      <c r="U15" s="0" t="n">
        <f aca="false">SQRT(AVERAGE(T$4:T15)) * SQRT(252)</f>
        <v>0.235480491018754</v>
      </c>
      <c r="V15" s="0" t="n">
        <f aca="false">AJ15/U15*252</f>
        <v>6.82558049555928</v>
      </c>
      <c r="W15" s="22" t="n">
        <f aca="false">(s_p!$J15)/COUNT(s_p!$J$4:$J15)</f>
        <v>0.00245335619126965</v>
      </c>
      <c r="X15" s="22" t="n">
        <f aca="false">W15 * 252</f>
        <v>0.618245760199951</v>
      </c>
      <c r="Y15" s="21" t="n">
        <f aca="false">STDEV(s_p!$H$4:$H15)</f>
        <v>0.00622520152696845</v>
      </c>
      <c r="Z15" s="21" t="n">
        <f aca="false">Y15*SQRT(252)</f>
        <v>0.0988220106097083</v>
      </c>
      <c r="AA15" s="0" t="n">
        <f aca="false">AJ15/AK15</f>
        <v>0.235663356580963</v>
      </c>
      <c r="AB15" s="0" t="n">
        <f aca="false">_xlfn.COVARIANCE.S($D$4:$D15,s_p!$H$4:$H15)</f>
        <v>4.39986923343656E-005</v>
      </c>
      <c r="AC15" s="0" t="n">
        <f aca="false">_xlfn.VAR.S(s_p!$H$4:$H15)</f>
        <v>3.87531340513704E-005</v>
      </c>
      <c r="AD15" s="0" t="n">
        <f aca="false">AB15/AC15</f>
        <v>1.13535829840347</v>
      </c>
      <c r="AE15" s="0" t="n">
        <f aca="false">M15-(AD15*W15)</f>
        <v>0.0060785147475218</v>
      </c>
      <c r="AF15" s="33" t="n">
        <f aca="false">MAX($E$4:E15)</f>
        <v>0.156340538671011</v>
      </c>
      <c r="AG15" s="0" t="n">
        <f aca="false">1 - ((1 + E15) / (1 + AF15))</f>
        <v>0.0432165960641777</v>
      </c>
      <c r="AH15" s="0" t="n">
        <f aca="false">MAX($AG$5:AG15)</f>
        <v>0.0572633718240002</v>
      </c>
      <c r="AI15" s="19" t="n">
        <f aca="false">D15-s_p!H15</f>
        <v>0.00933631497812888</v>
      </c>
      <c r="AJ15" s="19" t="n">
        <f aca="false">AVERAGE(AI$4:AI15)</f>
        <v>0.00637813907373941</v>
      </c>
      <c r="AK15" s="0" t="n">
        <f aca="false">STDEV(AI$4:AI15)</f>
        <v>0.0270646194905918</v>
      </c>
    </row>
    <row r="16" customFormat="false" ht="13.8" hidden="false" customHeight="false" outlineLevel="0" collapsed="false">
      <c r="A16" s="6" t="n">
        <f aca="false">WORKDAY(A15,1,holiday!$B$2:$B$10)</f>
        <v>38737</v>
      </c>
      <c r="B16" s="24" t="n">
        <v>1121082.12360672</v>
      </c>
      <c r="C16" s="24" t="n">
        <f aca="false">B16-B15</f>
        <v>14714.6869080919</v>
      </c>
      <c r="D16" s="31" t="n">
        <f aca="false">C16/B15</f>
        <v>0.0133000000000001</v>
      </c>
      <c r="E16" s="31" t="n">
        <f aca="false" t="array" ref="E16:E16">PRODUCT(1+$D$4:D16)-1</f>
        <v>0.121082123606724</v>
      </c>
      <c r="F16" s="0" t="n">
        <f aca="false">IF(ISBLANK(A17),MONTH(A16),IF(MONTH(A17)-MONTH(A16)=1,MONTH(A16),0))</f>
        <v>0</v>
      </c>
      <c r="G16" s="0" t="str">
        <f aca="false">IF(B17&gt;B16,IF(AND(B15&gt;B16,B17&gt;B16),"min",""),IF(AND(B15&gt;B16,B17&gt;B16),"",IF(AND(B15&lt;B16,B17&lt;B16),"max","")))</f>
        <v/>
      </c>
      <c r="H16" s="0" t="str">
        <f aca="false">IF(G16="min",COUNTIF(G$4:G16,"min"),IF(G16="max",COUNTIF(G$4:G16,"max"),""))</f>
        <v/>
      </c>
      <c r="I16" s="24" t="str">
        <f aca="false" t="array" ref="I16:I16">IF($G$3=0,IF(G16="min",INDEX($B$4:$B$254,(MATCH(1,($G$4:$G$254="max")*($H$4:$H$254=(H16-1)),0))),""),IF($G$3=1,IF(G16="min",INDEX($B$4:$B$254,(MATCH(1,($G$4:$G$254="max")*($H$4:$H$254=(H16)),0))),""),""))</f>
        <v/>
      </c>
      <c r="J16" s="29" t="str">
        <f aca="false">IF(AND(G14=0,G16="min",H16=1),B16-B15,IF(G16="min",B16-I16,""))</f>
        <v/>
      </c>
      <c r="K16" s="34" t="str">
        <f aca="false">IF(AND(G14=0,G16="min",H16=1),(B16-B15)/B15,IF(G16="min",(B16-I16)/I16,""))</f>
        <v/>
      </c>
      <c r="L16" s="5"/>
      <c r="M16" s="0" t="n">
        <f aca="false">E16/COUNT($E$4:E16)</f>
        <v>0.00931400950820953</v>
      </c>
      <c r="N16" s="19" t="n">
        <f aca="false">M16*252</f>
        <v>2.3471303960688</v>
      </c>
      <c r="O16" s="20" t="n">
        <f aca="false">STDEV($D$4:$D16)</f>
        <v>0.0267981199110914</v>
      </c>
      <c r="P16" s="20" t="n">
        <f aca="false">O16*SQRT(252)</f>
        <v>0.425406965333017</v>
      </c>
      <c r="Q16" s="0" t="n">
        <f aca="false">Treasuries!J14/100</f>
        <v>0.0437</v>
      </c>
      <c r="R16" s="20" t="n">
        <f aca="false">AJ16/AK16*SQRT(252)</f>
        <v>4.92068888542804</v>
      </c>
      <c r="S16" s="32" t="n">
        <f aca="false">IF(D16&lt;s_p!H16, D16-s_p!H16, 0)</f>
        <v>0</v>
      </c>
      <c r="T16" s="0" t="n">
        <f aca="false">S16^2</f>
        <v>0</v>
      </c>
      <c r="U16" s="0" t="n">
        <f aca="false">SQRT(AVERAGE(T$4:T16)) * SQRT(252)</f>
        <v>0.226242337703691</v>
      </c>
      <c r="V16" s="0" t="n">
        <f aca="false">AJ16/U16*252</f>
        <v>9.26756912912845</v>
      </c>
      <c r="W16" s="22" t="n">
        <f aca="false">(s_p!$J16)/COUNT(s_p!$J$4:$J16)</f>
        <v>0.000813420451485324</v>
      </c>
      <c r="X16" s="22" t="n">
        <f aca="false">W16 * 252</f>
        <v>0.204981953774302</v>
      </c>
      <c r="Y16" s="21" t="n">
        <f aca="false">STDEV(s_p!$H$4:$H16)</f>
        <v>0.00828801415857549</v>
      </c>
      <c r="Z16" s="21" t="n">
        <f aca="false">Y16*SQRT(252)</f>
        <v>0.131568145957038</v>
      </c>
      <c r="AA16" s="0" t="n">
        <f aca="false">AJ16/AK16</f>
        <v>0.309974263570528</v>
      </c>
      <c r="AB16" s="0" t="n">
        <f aca="false">_xlfn.COVARIANCE.S($D$4:$D16,s_p!$H$4:$H16)</f>
        <v>3.31709389402837E-005</v>
      </c>
      <c r="AC16" s="0" t="n">
        <f aca="false">_xlfn.VAR.S(s_p!$H$4:$H16)</f>
        <v>6.86911786927479E-005</v>
      </c>
      <c r="AD16" s="0" t="n">
        <f aca="false">AB16/AC16</f>
        <v>0.482899545058844</v>
      </c>
      <c r="AE16" s="0" t="n">
        <f aca="false">M16-(AD16*W16)</f>
        <v>0.00892120914224571</v>
      </c>
      <c r="AF16" s="33" t="n">
        <f aca="false">MAX($E$4:E16)</f>
        <v>0.156340538671011</v>
      </c>
      <c r="AG16" s="0" t="n">
        <f aca="false">1 - ((1 + E16) / (1 + AF16))</f>
        <v>0.0304913767918313</v>
      </c>
      <c r="AH16" s="0" t="n">
        <f aca="false">MAX($AG$5:AG16)</f>
        <v>0.0572633718240002</v>
      </c>
      <c r="AI16" s="19" t="n">
        <f aca="false">D16-s_p!H16</f>
        <v>0.0316262777812364</v>
      </c>
      <c r="AJ16" s="19" t="n">
        <f aca="false">AVERAGE(AI$4:AI16)</f>
        <v>0.00832030358970072</v>
      </c>
      <c r="AK16" s="0" t="n">
        <f aca="false">STDEV(AI$4:AI16)</f>
        <v>0.0268419174348893</v>
      </c>
    </row>
    <row r="17" customFormat="false" ht="13.8" hidden="false" customHeight="false" outlineLevel="0" collapsed="false">
      <c r="A17" s="6" t="n">
        <f aca="false">WORKDAY(A16,1,holiday!$B$2:$B$10)</f>
        <v>38740</v>
      </c>
      <c r="B17" s="24" t="n">
        <v>1160095.78150824</v>
      </c>
      <c r="C17" s="24" t="n">
        <f aca="false">B17-B16</f>
        <v>39013.6579015141</v>
      </c>
      <c r="D17" s="31" t="n">
        <f aca="false">C17/B16</f>
        <v>0.0348000000000001</v>
      </c>
      <c r="E17" s="31" t="n">
        <f aca="false" t="array" ref="E17:E17">PRODUCT(1+$D$4:D17)-1</f>
        <v>0.160095781508238</v>
      </c>
      <c r="F17" s="0" t="n">
        <f aca="false">IF(ISBLANK(A18),MONTH(A17),IF(MONTH(A18)-MONTH(A17)=1,MONTH(A17),0))</f>
        <v>0</v>
      </c>
      <c r="G17" s="0" t="str">
        <f aca="false">IF(B18&gt;B17,IF(AND(B16&gt;B17,B18&gt;B17),"min",""),IF(AND(B16&gt;B17,B18&gt;B17),"",IF(AND(B16&lt;B17,B18&lt;B17),"max","")))</f>
        <v/>
      </c>
      <c r="H17" s="0" t="str">
        <f aca="false">IF(G17="min",COUNTIF(G$4:G17,"min"),IF(G17="max",COUNTIF(G$4:G17,"max"),""))</f>
        <v/>
      </c>
      <c r="I17" s="24" t="str">
        <f aca="false" t="array" ref="I17:I17">IF($G$3=0,IF(G17="min",INDEX($B$4:$B$254,(MATCH(1,($G$4:$G$254="max")*($H$4:$H$254=(H17-1)),0))),""),IF($G$3=1,IF(G17="min",INDEX($B$4:$B$254,(MATCH(1,($G$4:$G$254="max")*($H$4:$H$254=(H17)),0))),""),""))</f>
        <v/>
      </c>
      <c r="J17" s="29" t="str">
        <f aca="false">IF(AND(G15=0,G17="min",H17=1),B17-B16,IF(G17="min",B17-I17,""))</f>
        <v/>
      </c>
      <c r="K17" s="34" t="str">
        <f aca="false">IF(AND(G15=0,G17="min",H17=1),(B17-B16)/B16,IF(G17="min",(B17-I17)/I17,""))</f>
        <v/>
      </c>
      <c r="L17" s="5"/>
      <c r="M17" s="0" t="n">
        <f aca="false">E17/COUNT($E$4:E17)</f>
        <v>0.0114354129648742</v>
      </c>
      <c r="N17" s="19" t="n">
        <f aca="false">M17*252</f>
        <v>2.88172406714829</v>
      </c>
      <c r="O17" s="20" t="n">
        <f aca="false">STDEV($D$4:$D17)</f>
        <v>0.0266430093092906</v>
      </c>
      <c r="P17" s="20" t="n">
        <f aca="false">O17*SQRT(252)</f>
        <v>0.42294466086457</v>
      </c>
      <c r="Q17" s="0" t="n">
        <f aca="false">Treasuries!J15/100</f>
        <v>0.0436</v>
      </c>
      <c r="R17" s="20" t="n">
        <f aca="false">AJ17/AK17*SQRT(252)</f>
        <v>6.01187482874137</v>
      </c>
      <c r="S17" s="32" t="n">
        <f aca="false">IF(D17&lt;s_p!H17, D17-s_p!H17, 0)</f>
        <v>0</v>
      </c>
      <c r="T17" s="0" t="n">
        <f aca="false">S17^2</f>
        <v>0</v>
      </c>
      <c r="U17" s="0" t="n">
        <f aca="false">SQRT(AVERAGE(T$4:T17)) * SQRT(252)</f>
        <v>0.218012571689472</v>
      </c>
      <c r="V17" s="0" t="n">
        <f aca="false">AJ17/U17*252</f>
        <v>11.6511842468815</v>
      </c>
      <c r="W17" s="22" t="n">
        <f aca="false">(s_p!$J17)/COUNT(s_p!$J$4:$J17)</f>
        <v>0.000888644236744443</v>
      </c>
      <c r="X17" s="22" t="n">
        <f aca="false">W17 * 252</f>
        <v>0.2239383476596</v>
      </c>
      <c r="Y17" s="21" t="n">
        <f aca="false">STDEV(s_p!$H$4:$H17)</f>
        <v>0.00796740231136831</v>
      </c>
      <c r="Z17" s="21" t="n">
        <f aca="false">Y17*SQRT(252)</f>
        <v>0.12647859066649</v>
      </c>
      <c r="AA17" s="0" t="n">
        <f aca="false">AJ17/AK17</f>
        <v>0.378712516907112</v>
      </c>
      <c r="AB17" s="0" t="n">
        <f aca="false">_xlfn.COVARIANCE.S($D$4:$D17,s_p!$H$4:$H17)</f>
        <v>3.24612453251434E-005</v>
      </c>
      <c r="AC17" s="0" t="n">
        <f aca="false">_xlfn.VAR.S(s_p!$H$4:$H17)</f>
        <v>6.34794995911971E-005</v>
      </c>
      <c r="AD17" s="0" t="n">
        <f aca="false">AB17/AC17</f>
        <v>0.511365803671914</v>
      </c>
      <c r="AE17" s="0" t="n">
        <f aca="false">M17-(AD17*W17)</f>
        <v>0.0109809906905729</v>
      </c>
      <c r="AF17" s="33" t="n">
        <f aca="false">MAX($E$4:E17)</f>
        <v>0.160095781508238</v>
      </c>
      <c r="AG17" s="0" t="n">
        <f aca="false">1 - ((1 + E17) / (1 + AF17))</f>
        <v>0</v>
      </c>
      <c r="AH17" s="0" t="n">
        <f aca="false">MAX($AG$5:AG17)</f>
        <v>0.0572633718240002</v>
      </c>
      <c r="AI17" s="19" t="n">
        <f aca="false">D17-s_p!H17</f>
        <v>0.032952977827807</v>
      </c>
      <c r="AJ17" s="19" t="n">
        <f aca="false">AVERAGE(AI$4:AI17)</f>
        <v>0.010079780320994</v>
      </c>
      <c r="AK17" s="0" t="n">
        <f aca="false">STDEV(AI$4:AI17)</f>
        <v>0.0266159154265987</v>
      </c>
    </row>
    <row r="18" customFormat="false" ht="13.8" hidden="false" customHeight="false" outlineLevel="0" collapsed="false">
      <c r="A18" s="6" t="n">
        <f aca="false">WORKDAY(A17,1,holiday!$B$2:$B$10)</f>
        <v>38741</v>
      </c>
      <c r="B18" s="24" t="n">
        <v>1208819.80433158</v>
      </c>
      <c r="C18" s="24" t="n">
        <f aca="false">B18-B17</f>
        <v>48724.0228233461</v>
      </c>
      <c r="D18" s="31" t="n">
        <f aca="false">C18/B17</f>
        <v>0.0420000000000001</v>
      </c>
      <c r="E18" s="31" t="n">
        <f aca="false" t="array" ref="E18:E18">PRODUCT(1+$D$4:D18)-1</f>
        <v>0.208819804331584</v>
      </c>
      <c r="F18" s="0" t="n">
        <f aca="false">IF(ISBLANK(A19),MONTH(A18),IF(MONTH(A19)-MONTH(A18)=1,MONTH(A18),0))</f>
        <v>0</v>
      </c>
      <c r="G18" s="0" t="str">
        <f aca="false">IF(B19&gt;B18,IF(AND(B17&gt;B18,B19&gt;B18),"min",""),IF(AND(B17&gt;B18,B19&gt;B18),"",IF(AND(B17&lt;B18,B19&lt;B18),"max","")))</f>
        <v>max</v>
      </c>
      <c r="H18" s="0" t="n">
        <f aca="false">IF(G18="min",COUNTIF(G$4:G18,"min"),IF(G18="max",COUNTIF(G$4:G18,"max"),""))</f>
        <v>3</v>
      </c>
      <c r="I18" s="24" t="str">
        <f aca="false" t="array" ref="I18:I18">IF($G$3=0,IF(G18="min",INDEX($B$4:$B$254,(MATCH(1,($G$4:$G$254="max")*($H$4:$H$254=(H18-1)),0))),""),IF($G$3=1,IF(G18="min",INDEX($B$4:$B$254,(MATCH(1,($G$4:$G$254="max")*($H$4:$H$254=(H18)),0))),""),""))</f>
        <v/>
      </c>
      <c r="J18" s="29" t="str">
        <f aca="false">IF(AND(G16=0,G18="min",H18=1),B18-B17,IF(G18="min",B18-I18,""))</f>
        <v/>
      </c>
      <c r="K18" s="34" t="str">
        <f aca="false">IF(AND(G16=0,G18="min",H18=1),(B18-B17)/B17,IF(G18="min",(B18-I18)/I18,""))</f>
        <v/>
      </c>
      <c r="L18" s="5"/>
      <c r="M18" s="0" t="n">
        <f aca="false">E18/COUNT($E$4:E18)</f>
        <v>0.0139213202887723</v>
      </c>
      <c r="N18" s="19" t="n">
        <f aca="false">M18*252</f>
        <v>3.50817271277062</v>
      </c>
      <c r="O18" s="20" t="n">
        <f aca="false">STDEV($D$4:$D18)</f>
        <v>0.0268931696054699</v>
      </c>
      <c r="P18" s="20" t="n">
        <f aca="false">O18*SQRT(252)</f>
        <v>0.426915832454127</v>
      </c>
      <c r="Q18" s="0" t="n">
        <f aca="false">Treasuries!J16/100</f>
        <v>0.044</v>
      </c>
      <c r="R18" s="20" t="n">
        <f aca="false">AJ18/AK18*SQRT(252)</f>
        <v>7.1478314932124</v>
      </c>
      <c r="S18" s="32" t="n">
        <f aca="false">IF(D18&lt;s_p!H18, D18-s_p!H18, 0)</f>
        <v>0</v>
      </c>
      <c r="T18" s="0" t="n">
        <f aca="false">S18^2</f>
        <v>0</v>
      </c>
      <c r="U18" s="0" t="n">
        <f aca="false">SQRT(AVERAGE(T$4:T18)) * SQRT(252)</f>
        <v>0.210620154117185</v>
      </c>
      <c r="V18" s="0" t="n">
        <f aca="false">AJ18/U18*252</f>
        <v>14.4143542493679</v>
      </c>
      <c r="W18" s="22" t="n">
        <f aca="false">(s_p!$J18)/COUNT(s_p!$J$4:$J18)</f>
        <v>0.000991756723197327</v>
      </c>
      <c r="X18" s="22" t="n">
        <f aca="false">W18 * 252</f>
        <v>0.249922694245726</v>
      </c>
      <c r="Y18" s="21" t="n">
        <f aca="false">STDEV(s_p!$H$4:$H18)</f>
        <v>0.00768724393691161</v>
      </c>
      <c r="Z18" s="21" t="n">
        <f aca="false">Y18*SQRT(252)</f>
        <v>0.122031214347343</v>
      </c>
      <c r="AA18" s="0" t="n">
        <f aca="false">AJ18/AK18</f>
        <v>0.450271060581797</v>
      </c>
      <c r="AB18" s="0" t="n">
        <f aca="false">_xlfn.COVARIANCE.S($D$4:$D18,s_p!$H$4:$H18)</f>
        <v>3.32274422008802E-005</v>
      </c>
      <c r="AC18" s="0" t="n">
        <f aca="false">_xlfn.VAR.S(s_p!$H$4:$H18)</f>
        <v>5.90937193455844E-005</v>
      </c>
      <c r="AD18" s="0" t="n">
        <f aca="false">AB18/AC18</f>
        <v>0.562283819140976</v>
      </c>
      <c r="AE18" s="0" t="n">
        <f aca="false">M18-(AD18*W18)</f>
        <v>0.0133636715307942</v>
      </c>
      <c r="AF18" s="33" t="n">
        <f aca="false">MAX($E$4:E18)</f>
        <v>0.208819804331584</v>
      </c>
      <c r="AG18" s="0" t="n">
        <f aca="false">1 - ((1 + E18) / (1 + AF18))</f>
        <v>0</v>
      </c>
      <c r="AH18" s="0" t="n">
        <f aca="false">MAX($AG$5:AG18)</f>
        <v>0.0572633718240002</v>
      </c>
      <c r="AI18" s="19" t="n">
        <f aca="false">D18-s_p!H18</f>
        <v>0.039594594166891</v>
      </c>
      <c r="AJ18" s="19" t="n">
        <f aca="false">AVERAGE(AI$4:AI18)</f>
        <v>0.0120474345773872</v>
      </c>
      <c r="AK18" s="0" t="n">
        <f aca="false">STDEV(AI$4:AI18)</f>
        <v>0.0267559602027735</v>
      </c>
    </row>
    <row r="19" customFormat="false" ht="13.8" hidden="false" customHeight="false" outlineLevel="0" collapsed="false">
      <c r="A19" s="6" t="n">
        <f aca="false">WORKDAY(A18,1,holiday!$B$2:$B$10)</f>
        <v>38742</v>
      </c>
      <c r="B19" s="24" t="n">
        <v>1153818.5032345</v>
      </c>
      <c r="C19" s="24" t="n">
        <f aca="false">B19-B18</f>
        <v>-55001.3010970871</v>
      </c>
      <c r="D19" s="31" t="n">
        <f aca="false">C19/B18</f>
        <v>-0.0455</v>
      </c>
      <c r="E19" s="31" t="n">
        <f aca="false" t="array" ref="E19:E19">PRODUCT(1+$D$4:D19)-1</f>
        <v>0.153818503234497</v>
      </c>
      <c r="F19" s="0" t="n">
        <f aca="false">IF(ISBLANK(A20),MONTH(A19),IF(MONTH(A20)-MONTH(A19)=1,MONTH(A19),0))</f>
        <v>0</v>
      </c>
      <c r="G19" s="0" t="str">
        <f aca="false">IF(B20&gt;B19,IF(AND(B18&gt;B19,B20&gt;B19),"min",""),IF(AND(B18&gt;B19,B20&gt;B19),"",IF(AND(B18&lt;B19,B20&lt;B19),"max","")))</f>
        <v>min</v>
      </c>
      <c r="H19" s="0" t="n">
        <f aca="false">IF(G19="min",COUNTIF(G$4:G19,"min"),IF(G19="max",COUNTIF(G$4:G19,"max"),""))</f>
        <v>4</v>
      </c>
      <c r="I19" s="24" t="n">
        <f aca="false" t="array" ref="I19:I19">IF($G$3=0,IF(G19="min",INDEX($B$4:$B$254,(MATCH(1,($G$4:$G$254="max")*($H$4:$H$254=(H19-1)),0))),""),IF($G$3=1,IF(G19="min",INDEX($B$4:$B$254,(MATCH(1,($G$4:$G$254="max")*($H$4:$H$254=(H19)),0))),""),""))</f>
        <v>1208819.80433158</v>
      </c>
      <c r="J19" s="29" t="n">
        <f aca="false">IF(AND(G17=0,G19="min",H19=1),B19-B18,IF(G19="min",B19-I19,""))</f>
        <v>-55001.3010970799</v>
      </c>
      <c r="K19" s="34" t="n">
        <f aca="false">IF(AND(G17=0,G19="min",H19=1),(B19-B18)/B18,IF(G19="min",(B19-I19)/I19,""))</f>
        <v>-0.0454999999999942</v>
      </c>
      <c r="L19" s="5"/>
      <c r="M19" s="0" t="n">
        <f aca="false">E19/COUNT($E$4:E19)</f>
        <v>0.00961365645215609</v>
      </c>
      <c r="N19" s="19" t="n">
        <f aca="false">M19*252</f>
        <v>2.42264142594333</v>
      </c>
      <c r="O19" s="20" t="n">
        <f aca="false">STDEV($D$4:$D19)</f>
        <v>0.0298220723625975</v>
      </c>
      <c r="P19" s="20" t="n">
        <f aca="false">O19*SQRT(252)</f>
        <v>0.473410722312033</v>
      </c>
      <c r="Q19" s="0" t="n">
        <f aca="false">Treasuries!J17/100</f>
        <v>0.0449</v>
      </c>
      <c r="R19" s="20" t="n">
        <f aca="false">AJ19/AK19*SQRT(252)</f>
        <v>4.62481982768624</v>
      </c>
      <c r="S19" s="32" t="n">
        <f aca="false">IF(D19&lt;s_p!H19, D19-s_p!H19, 0)</f>
        <v>-0.0437792100153136</v>
      </c>
      <c r="T19" s="0" t="n">
        <f aca="false">S19^2</f>
        <v>0.00191661922956494</v>
      </c>
      <c r="U19" s="0" t="n">
        <f aca="false">SQRT(AVERAGE(T$4:T19)) * SQRT(252)</f>
        <v>0.267908658134583</v>
      </c>
      <c r="V19" s="0" t="n">
        <f aca="false">AJ19/U19*252</f>
        <v>8.05007152879368</v>
      </c>
      <c r="W19" s="22" t="n">
        <f aca="false">(s_p!$J19)/COUNT(s_p!$J$4:$J19)</f>
        <v>0.000820622611732866</v>
      </c>
      <c r="X19" s="22" t="n">
        <f aca="false">W19 * 252</f>
        <v>0.206796898156682</v>
      </c>
      <c r="Y19" s="21" t="n">
        <f aca="false">STDEV(s_p!$H$4:$H19)</f>
        <v>0.00745795481632143</v>
      </c>
      <c r="Z19" s="21" t="n">
        <f aca="false">Y19*SQRT(252)</f>
        <v>0.118391362398857</v>
      </c>
      <c r="AA19" s="0" t="n">
        <f aca="false">AJ19/AK19</f>
        <v>0.291336264822343</v>
      </c>
      <c r="AB19" s="0" t="n">
        <f aca="false">_xlfn.COVARIANCE.S($D$4:$D19,s_p!$H$4:$H19)</f>
        <v>4.10163601782035E-005</v>
      </c>
      <c r="AC19" s="0" t="n">
        <f aca="false">_xlfn.VAR.S(s_p!$H$4:$H19)</f>
        <v>5.56210900422921E-005</v>
      </c>
      <c r="AD19" s="0" t="n">
        <f aca="false">AB19/AC19</f>
        <v>0.737424601837475</v>
      </c>
      <c r="AE19" s="0" t="n">
        <f aca="false">M19-(AD19*W19)</f>
        <v>0.00900850914944015</v>
      </c>
      <c r="AF19" s="33" t="n">
        <f aca="false">MAX($E$4:E19)</f>
        <v>0.208819804331584</v>
      </c>
      <c r="AG19" s="0" t="n">
        <f aca="false">1 - ((1 + E19) / (1 + AF19))</f>
        <v>0.0454999999999999</v>
      </c>
      <c r="AH19" s="0" t="n">
        <f aca="false">MAX($AG$5:AG19)</f>
        <v>0.0572633718240002</v>
      </c>
      <c r="AI19" s="19" t="n">
        <f aca="false">D19-s_p!H19</f>
        <v>-0.0437792100153136</v>
      </c>
      <c r="AJ19" s="19" t="n">
        <f aca="false">AVERAGE(AI$4:AI19)</f>
        <v>0.00855826929034336</v>
      </c>
      <c r="AK19" s="0" t="n">
        <f aca="false">STDEV(AI$4:AI19)</f>
        <v>0.02937591478892</v>
      </c>
    </row>
    <row r="20" customFormat="false" ht="13.8" hidden="false" customHeight="false" outlineLevel="0" collapsed="false">
      <c r="A20" s="6" t="n">
        <f aca="false">WORKDAY(A19,1,holiday!$B$2:$B$10)</f>
        <v>38743</v>
      </c>
      <c r="B20" s="24" t="n">
        <v>1184048.54801924</v>
      </c>
      <c r="C20" s="24" t="n">
        <f aca="false">B20-B19</f>
        <v>30230.0447847438</v>
      </c>
      <c r="D20" s="31" t="n">
        <f aca="false">C20/B19</f>
        <v>0.0262</v>
      </c>
      <c r="E20" s="31" t="n">
        <f aca="false" t="array" ref="E20:E20">PRODUCT(1+$D$4:D20)-1</f>
        <v>0.184048548019241</v>
      </c>
      <c r="F20" s="0" t="n">
        <f aca="false">IF(ISBLANK(A21),MONTH(A20),IF(MONTH(A21)-MONTH(A20)=1,MONTH(A20),0))</f>
        <v>0</v>
      </c>
      <c r="G20" s="0" t="str">
        <f aca="false">IF(B21&gt;B20,IF(AND(B19&gt;B20,B21&gt;B20),"min",""),IF(AND(B19&gt;B20,B21&gt;B20),"",IF(AND(B19&lt;B20,B21&lt;B20),"max","")))</f>
        <v>max</v>
      </c>
      <c r="H20" s="0" t="n">
        <f aca="false">IF(G20="min",COUNTIF(G$4:G20,"min"),IF(G20="max",COUNTIF(G$4:G20,"max"),""))</f>
        <v>4</v>
      </c>
      <c r="I20" s="24" t="str">
        <f aca="false" t="array" ref="I20:I20">IF($G$3=0,IF(G20="min",INDEX($B$4:$B$254,(MATCH(1,($G$4:$G$254="max")*($H$4:$H$254=(H20-1)),0))),""),IF($G$3=1,IF(G20="min",INDEX($B$4:$B$254,(MATCH(1,($G$4:$G$254="max")*($H$4:$H$254=(H20)),0))),""),""))</f>
        <v/>
      </c>
      <c r="J20" s="29" t="str">
        <f aca="false">IF(AND(G18=0,G20="min",H20=1),B20-B19,IF(G20="min",B20-I20,""))</f>
        <v/>
      </c>
      <c r="K20" s="34" t="str">
        <f aca="false">IF(AND(G18=0,G20="min",H20=1),(B20-B19)/B19,IF(G20="min",(B20-I20)/I20,""))</f>
        <v/>
      </c>
      <c r="L20" s="5"/>
      <c r="M20" s="0" t="n">
        <f aca="false">E20/COUNT($E$4:E20)</f>
        <v>0.0108263851776024</v>
      </c>
      <c r="N20" s="19" t="n">
        <f aca="false">M20*252</f>
        <v>2.72824906475581</v>
      </c>
      <c r="O20" s="20" t="n">
        <f aca="false">STDEV($D$4:$D20)</f>
        <v>0.029161166007915</v>
      </c>
      <c r="P20" s="20" t="n">
        <f aca="false">O20*SQRT(252)</f>
        <v>0.46291915918568</v>
      </c>
      <c r="Q20" s="0" t="n">
        <f aca="false">Treasuries!J18/100</f>
        <v>0.0453</v>
      </c>
      <c r="R20" s="20" t="n">
        <f aca="false">AJ20/AK20*SQRT(252)</f>
        <v>5.09811480998475</v>
      </c>
      <c r="S20" s="32" t="n">
        <f aca="false">IF(D20&lt;s_p!H20, D20-s_p!H20, 0)</f>
        <v>0</v>
      </c>
      <c r="T20" s="0" t="n">
        <f aca="false">S20^2</f>
        <v>0</v>
      </c>
      <c r="U20" s="0" t="n">
        <f aca="false">SQRT(AVERAGE(T$4:T20)) * SQRT(252)</f>
        <v>0.259909575413265</v>
      </c>
      <c r="V20" s="0" t="n">
        <f aca="false">AJ20/U20*252</f>
        <v>8.89135332954129</v>
      </c>
      <c r="W20" s="22" t="n">
        <f aca="false">(s_p!$J20)/COUNT(s_p!$J$4:$J20)</f>
        <v>0.00120352878031265</v>
      </c>
      <c r="X20" s="22" t="n">
        <f aca="false">W20 * 252</f>
        <v>0.303289252638787</v>
      </c>
      <c r="Y20" s="21" t="n">
        <f aca="false">STDEV(s_p!$H$4:$H20)</f>
        <v>0.00738573912510857</v>
      </c>
      <c r="Z20" s="21" t="n">
        <f aca="false">Y20*SQRT(252)</f>
        <v>0.117244973840622</v>
      </c>
      <c r="AA20" s="0" t="n">
        <f aca="false">AJ20/AK20</f>
        <v>0.321151046249404</v>
      </c>
      <c r="AB20" s="0" t="n">
        <f aca="false">_xlfn.COVARIANCE.S($D$4:$D20,s_p!$H$4:$H20)</f>
        <v>4.47709234373173E-005</v>
      </c>
      <c r="AC20" s="0" t="n">
        <f aca="false">_xlfn.VAR.S(s_p!$H$4:$H20)</f>
        <v>5.45491424241596E-005</v>
      </c>
      <c r="AD20" s="0" t="n">
        <f aca="false">AB20/AC20</f>
        <v>0.820744771552787</v>
      </c>
      <c r="AE20" s="0" t="n">
        <f aca="false">M20-(AD20*W20)</f>
        <v>0.00983859522374751</v>
      </c>
      <c r="AF20" s="33" t="n">
        <f aca="false">MAX($E$4:E20)</f>
        <v>0.208819804331584</v>
      </c>
      <c r="AG20" s="0" t="n">
        <f aca="false">1 - ((1 + E20) / (1 + AF20))</f>
        <v>0.0204921</v>
      </c>
      <c r="AH20" s="0" t="n">
        <f aca="false">MAX($AG$5:AG20)</f>
        <v>0.0572633718240002</v>
      </c>
      <c r="AI20" s="19" t="n">
        <f aca="false">D20-s_p!H20</f>
        <v>0.0189649682133031</v>
      </c>
      <c r="AJ20" s="19" t="n">
        <f aca="false">AVERAGE(AI$4:AI20)</f>
        <v>0.00917042805051747</v>
      </c>
      <c r="AK20" s="0" t="n">
        <f aca="false">STDEV(AI$4:AI20)</f>
        <v>0.0285548752140629</v>
      </c>
    </row>
    <row r="21" customFormat="false" ht="13.8" hidden="false" customHeight="false" outlineLevel="0" collapsed="false">
      <c r="A21" s="6" t="n">
        <f aca="false">WORKDAY(A20,1,holiday!$B$2:$B$10)</f>
        <v>38744</v>
      </c>
      <c r="B21" s="24" t="n">
        <v>1129463.90995555</v>
      </c>
      <c r="C21" s="24" t="n">
        <f aca="false">B21-B20</f>
        <v>-54584.6380636869</v>
      </c>
      <c r="D21" s="31" t="n">
        <f aca="false">C21/B20</f>
        <v>-0.0460999999999999</v>
      </c>
      <c r="E21" s="31" t="n">
        <f aca="false" t="array" ref="E21:E21">PRODUCT(1+$D$4:D21)-1</f>
        <v>0.129463909955554</v>
      </c>
      <c r="F21" s="0" t="n">
        <f aca="false">IF(ISBLANK(A22),MONTH(A21),IF(MONTH(A22)-MONTH(A21)=1,MONTH(A21),0))</f>
        <v>0</v>
      </c>
      <c r="G21" s="0" t="str">
        <f aca="false">IF(B22&gt;B21,IF(AND(B20&gt;B21,B22&gt;B21),"min",""),IF(AND(B20&gt;B21,B22&gt;B21),"",IF(AND(B20&lt;B21,B22&lt;B21),"max","")))</f>
        <v>min</v>
      </c>
      <c r="H21" s="0" t="n">
        <f aca="false">IF(G21="min",COUNTIF(G$4:G21,"min"),IF(G21="max",COUNTIF(G$4:G21,"max"),""))</f>
        <v>5</v>
      </c>
      <c r="I21" s="24" t="n">
        <f aca="false" t="array" ref="I21:I21">IF($G$3=0,IF(G21="min",INDEX($B$4:$B$254,(MATCH(1,($G$4:$G$254="max")*($H$4:$H$254=(H21-1)),0))),""),IF($G$3=1,IF(G21="min",INDEX($B$4:$B$254,(MATCH(1,($G$4:$G$254="max")*($H$4:$H$254=(H21)),0))),""),""))</f>
        <v>1184048.54801924</v>
      </c>
      <c r="J21" s="29" t="n">
        <f aca="false">IF(AND(G19=0,G21="min",H21=1),B21-B20,IF(G21="min",B21-I21,""))</f>
        <v>-54584.6380636899</v>
      </c>
      <c r="K21" s="34" t="n">
        <f aca="false">IF(AND(G19=0,G21="min",H21=1),(B21-B20)/B20,IF(G21="min",(B21-I21)/I21,""))</f>
        <v>-0.0461000000000025</v>
      </c>
      <c r="L21" s="5"/>
      <c r="M21" s="0" t="n">
        <f aca="false">E21/COUNT($E$4:E21)</f>
        <v>0.00719243944197524</v>
      </c>
      <c r="N21" s="19" t="n">
        <f aca="false">M21*252</f>
        <v>1.81249473937776</v>
      </c>
      <c r="O21" s="20" t="n">
        <f aca="false">STDEV($D$4:$D21)</f>
        <v>0.0312669953785138</v>
      </c>
      <c r="P21" s="20" t="n">
        <f aca="false">O21*SQRT(252)</f>
        <v>0.49634816409452</v>
      </c>
      <c r="Q21" s="0" t="n">
        <f aca="false">Treasuries!J19/100</f>
        <v>0.0452</v>
      </c>
      <c r="R21" s="20" t="n">
        <f aca="false">AJ21/AK21*SQRT(252)</f>
        <v>2.86257183867733</v>
      </c>
      <c r="S21" s="32" t="n">
        <f aca="false">IF(D21&lt;s_p!H21, D21-s_p!H21, 0)</f>
        <v>-0.0538639873452501</v>
      </c>
      <c r="T21" s="0" t="n">
        <f aca="false">S21^2</f>
        <v>0.00290132913272926</v>
      </c>
      <c r="U21" s="0" t="n">
        <f aca="false">SQRT(AVERAGE(T$4:T21)) * SQRT(252)</f>
        <v>0.323138749619635</v>
      </c>
      <c r="V21" s="0" t="n">
        <f aca="false">AJ21/U21*252</f>
        <v>4.42059658543302</v>
      </c>
      <c r="W21" s="22" t="n">
        <f aca="false">(s_p!$J21)/COUNT(s_p!$J$4:$J21)</f>
        <v>0.00157682376157251</v>
      </c>
      <c r="X21" s="22" t="n">
        <f aca="false">W21 * 252</f>
        <v>0.397359587916272</v>
      </c>
      <c r="Y21" s="21" t="n">
        <f aca="false">STDEV(s_p!$H$4:$H21)</f>
        <v>0.00732946535131457</v>
      </c>
      <c r="Z21" s="21" t="n">
        <f aca="false">Y21*SQRT(252)</f>
        <v>0.116351655375858</v>
      </c>
      <c r="AA21" s="0" t="n">
        <f aca="false">AJ21/AK21</f>
        <v>0.180325076076123</v>
      </c>
      <c r="AB21" s="0" t="n">
        <f aca="false">_xlfn.COVARIANCE.S($D$4:$D21,s_p!$H$4:$H21)</f>
        <v>2.15938862690619E-005</v>
      </c>
      <c r="AC21" s="0" t="n">
        <f aca="false">_xlfn.VAR.S(s_p!$H$4:$H21)</f>
        <v>5.3721062336121E-005</v>
      </c>
      <c r="AD21" s="0" t="n">
        <f aca="false">AB21/AC21</f>
        <v>0.401963128241092</v>
      </c>
      <c r="AE21" s="0" t="n">
        <f aca="false">M21-(AD21*W21)</f>
        <v>0.00655861443008867</v>
      </c>
      <c r="AF21" s="33" t="n">
        <f aca="false">MAX($E$4:E21)</f>
        <v>0.208819804331584</v>
      </c>
      <c r="AG21" s="0" t="n">
        <f aca="false">1 - ((1 + E21) / (1 + AF21))</f>
        <v>0.0656474141899998</v>
      </c>
      <c r="AH21" s="0" t="n">
        <f aca="false">MAX($AG$5:AG21)</f>
        <v>0.0656474141899998</v>
      </c>
      <c r="AI21" s="19" t="n">
        <f aca="false">D21-s_p!H21</f>
        <v>-0.0538639873452501</v>
      </c>
      <c r="AJ21" s="19" t="n">
        <f aca="false">AVERAGE(AI$4:AI21)</f>
        <v>0.00566851608408593</v>
      </c>
      <c r="AK21" s="0" t="n">
        <f aca="false">STDEV(AI$4:AI21)</f>
        <v>0.0314349851248255</v>
      </c>
    </row>
    <row r="22" customFormat="false" ht="13.8" hidden="false" customHeight="false" outlineLevel="0" collapsed="false">
      <c r="A22" s="6" t="n">
        <f aca="false">WORKDAY(A21,1,holiday!$B$2:$B$10)</f>
        <v>38747</v>
      </c>
      <c r="B22" s="24" t="n">
        <v>1131835.78416646</v>
      </c>
      <c r="C22" s="24" t="n">
        <f aca="false">B22-B21</f>
        <v>2371.87421090668</v>
      </c>
      <c r="D22" s="31" t="n">
        <f aca="false">C22/B21</f>
        <v>0.00210000000000002</v>
      </c>
      <c r="E22" s="31" t="n">
        <f aca="false" t="array" ref="E22:E22">PRODUCT(1+$D$4:D22)-1</f>
        <v>0.131835784166461</v>
      </c>
      <c r="F22" s="0" t="n">
        <f aca="false">IF(ISBLANK(A23),MONTH(A22),IF(MONTH(A23)-MONTH(A22)=1,MONTH(A22),0))</f>
        <v>0</v>
      </c>
      <c r="G22" s="0" t="str">
        <f aca="false">IF(B23&gt;B22,IF(AND(B21&gt;B22,B23&gt;B22),"min",""),IF(AND(B21&gt;B22,B23&gt;B22),"",IF(AND(B21&lt;B22,B23&lt;B22),"max","")))</f>
        <v>max</v>
      </c>
      <c r="H22" s="0" t="n">
        <f aca="false">IF(G22="min",COUNTIF(G$4:G22,"min"),IF(G22="max",COUNTIF(G$4:G22,"max"),""))</f>
        <v>5</v>
      </c>
      <c r="I22" s="24" t="str">
        <f aca="false" t="array" ref="I22:I22">IF($G$3=0,IF(G22="min",INDEX($B$4:$B$254,(MATCH(1,($G$4:$G$254="max")*($H$4:$H$254=(H22-1)),0))),""),IF($G$3=1,IF(G22="min",INDEX($B$4:$B$254,(MATCH(1,($G$4:$G$254="max")*($H$4:$H$254=(H22)),0))),""),""))</f>
        <v/>
      </c>
      <c r="J22" s="29" t="str">
        <f aca="false">IF(AND(G20=0,G22="min",H22=1),B22-B21,IF(G22="min",B22-I22,""))</f>
        <v/>
      </c>
      <c r="K22" s="34" t="str">
        <f aca="false">IF(AND(G20=0,G22="min",H22=1),(B22-B21)/B21,IF(G22="min",(B22-I22)/I22,""))</f>
        <v/>
      </c>
      <c r="L22" s="5"/>
      <c r="M22" s="0" t="n">
        <f aca="false">E22/COUNT($E$4:E22)</f>
        <v>0.00693872548244531</v>
      </c>
      <c r="N22" s="19" t="n">
        <f aca="false">M22*252</f>
        <v>1.74855882157622</v>
      </c>
      <c r="O22" s="20" t="n">
        <f aca="false">STDEV($D$4:$D22)</f>
        <v>0.0304090187453103</v>
      </c>
      <c r="P22" s="20" t="n">
        <f aca="false">O22*SQRT(252)</f>
        <v>0.482728207281555</v>
      </c>
      <c r="Q22" s="0" t="n">
        <f aca="false">Treasuries!J20/100</f>
        <v>0.0454</v>
      </c>
      <c r="R22" s="20" t="n">
        <f aca="false">AJ22/AK22*SQRT(252)</f>
        <v>2.81488507720246</v>
      </c>
      <c r="S22" s="32" t="n">
        <f aca="false">IF(D22&lt;s_p!H22, D22-s_p!H22, 0)</f>
        <v>0</v>
      </c>
      <c r="T22" s="0" t="n">
        <f aca="false">S22^2</f>
        <v>0</v>
      </c>
      <c r="U22" s="0" t="n">
        <f aca="false">SQRT(AVERAGE(T$4:T22)) * SQRT(252)</f>
        <v>0.314520163114289</v>
      </c>
      <c r="V22" s="0" t="n">
        <f aca="false">AJ22/U22*252</f>
        <v>4.34296001549974</v>
      </c>
      <c r="W22" s="22" t="n">
        <f aca="false">(s_p!$J22)/COUNT(s_p!$J$4:$J22)</f>
        <v>0.00155581256211129</v>
      </c>
      <c r="X22" s="22" t="n">
        <f aca="false">W22 * 252</f>
        <v>0.392064765652045</v>
      </c>
      <c r="Y22" s="21" t="n">
        <f aca="false">STDEV(s_p!$H$4:$H22)</f>
        <v>0.00712366346170032</v>
      </c>
      <c r="Z22" s="21" t="n">
        <f aca="false">Y22*SQRT(252)</f>
        <v>0.113084651660259</v>
      </c>
      <c r="AA22" s="0" t="n">
        <f aca="false">AJ22/AK22</f>
        <v>0.177321092464394</v>
      </c>
      <c r="AB22" s="0" t="n">
        <f aca="false">_xlfn.COVARIANCE.S($D$4:$D22,s_p!$H$4:$H22)</f>
        <v>2.05125063476719E-005</v>
      </c>
      <c r="AC22" s="0" t="n">
        <f aca="false">_xlfn.VAR.S(s_p!$H$4:$H22)</f>
        <v>5.07465811155642E-005</v>
      </c>
      <c r="AD22" s="0" t="n">
        <f aca="false">AB22/AC22</f>
        <v>0.404214547990122</v>
      </c>
      <c r="AE22" s="0" t="n">
        <f aca="false">M22-(AD22*W22)</f>
        <v>0.00630984341089414</v>
      </c>
      <c r="AF22" s="33" t="n">
        <f aca="false">MAX($E$4:E22)</f>
        <v>0.208819804331584</v>
      </c>
      <c r="AG22" s="0" t="n">
        <f aca="false">1 - ((1 + E22) / (1 + AF22))</f>
        <v>0.0636852737597989</v>
      </c>
      <c r="AH22" s="0" t="n">
        <f aca="false">MAX($AG$5:AG22)</f>
        <v>0.0656474141899998</v>
      </c>
      <c r="AI22" s="19" t="n">
        <f aca="false">D22-s_p!H22</f>
        <v>0.000954890474558238</v>
      </c>
      <c r="AJ22" s="19" t="n">
        <f aca="false">AVERAGE(AI$4:AI22)</f>
        <v>0.00542043052568974</v>
      </c>
      <c r="AK22" s="0" t="n">
        <f aca="false">STDEV(AI$4:AI22)</f>
        <v>0.0305684476130675</v>
      </c>
    </row>
    <row r="23" customFormat="false" ht="13.8" hidden="false" customHeight="false" outlineLevel="0" collapsed="false">
      <c r="A23" s="6" t="n">
        <f aca="false">WORKDAY(A22,1,holiday!$B$2:$B$10)</f>
        <v>38748</v>
      </c>
      <c r="B23" s="24" t="n">
        <v>1100936.66725872</v>
      </c>
      <c r="C23" s="24" t="n">
        <f aca="false">B23-B22</f>
        <v>-30899.1169077444</v>
      </c>
      <c r="D23" s="31" t="n">
        <f aca="false">C23/B22</f>
        <v>-0.0273000000000001</v>
      </c>
      <c r="E23" s="31" t="n">
        <f aca="false" t="array" ref="E23:E23">PRODUCT(1+$D$4:D23)-1</f>
        <v>0.100936667258716</v>
      </c>
      <c r="F23" s="0" t="n">
        <f aca="false">IF(ISBLANK(A24),MONTH(A23),IF(MONTH(A24)-MONTH(A23)=1,MONTH(A23),0))</f>
        <v>1</v>
      </c>
      <c r="G23" s="0" t="str">
        <f aca="false">IF(B24&gt;B23,IF(AND(B22&gt;B23,B24&gt;B23),"min",""),IF(AND(B22&gt;B23,B24&gt;B23),"",IF(AND(B22&lt;B23,B24&lt;B23),"max","")))</f>
        <v/>
      </c>
      <c r="H23" s="0" t="str">
        <f aca="false">IF(G23="min",COUNTIF(G$4:G23,"min"),IF(G23="max",COUNTIF(G$4:G23,"max"),""))</f>
        <v/>
      </c>
      <c r="I23" s="24" t="str">
        <f aca="false" t="array" ref="I23:I23">IF($G$3=0,IF(G23="min",INDEX($B$4:$B$254,(MATCH(1,($G$4:$G$254="max")*($H$4:$H$254=(H23-1)),0))),""),IF($G$3=1,IF(G23="min",INDEX($B$4:$B$254,(MATCH(1,($G$4:$G$254="max")*($H$4:$H$254=(H23)),0))),""),""))</f>
        <v/>
      </c>
      <c r="J23" s="29" t="str">
        <f aca="false">IF(AND(G21=0,G23="min",H23=1),B23-B22,IF(G23="min",B23-I23,""))</f>
        <v/>
      </c>
      <c r="K23" s="34" t="str">
        <f aca="false">IF(AND(G21=0,G23="min",H23=1),(B23-B22)/B22,IF(G23="min",(B23-I23)/I23,""))</f>
        <v/>
      </c>
      <c r="L23" s="5"/>
      <c r="M23" s="0" t="n">
        <f aca="false">E23/COUNT($E$4:E23)</f>
        <v>0.00504683336293582</v>
      </c>
      <c r="N23" s="19" t="n">
        <f aca="false">M23*252</f>
        <v>1.27180200745983</v>
      </c>
      <c r="O23" s="20" t="n">
        <f aca="false">STDEV($D$4:$D23)</f>
        <v>0.0305743661981905</v>
      </c>
      <c r="P23" s="20" t="n">
        <f aca="false">O23*SQRT(252)</f>
        <v>0.485353016722989</v>
      </c>
      <c r="Q23" s="0" t="n">
        <f aca="false">Treasuries!J21/100</f>
        <v>0.0453</v>
      </c>
      <c r="R23" s="20" t="n">
        <f aca="false">AJ23/AK23*SQRT(252)</f>
        <v>2.07728757895583</v>
      </c>
      <c r="S23" s="32" t="n">
        <f aca="false">IF(D23&lt;s_p!H23, D23-s_p!H23, 0)</f>
        <v>-0.023323934204281</v>
      </c>
      <c r="T23" s="0" t="n">
        <f aca="false">S23^2</f>
        <v>0.00054400590676563</v>
      </c>
      <c r="U23" s="0" t="n">
        <f aca="false">SQRT(AVERAGE(T$4:T23)) * SQRT(252)</f>
        <v>0.317539384613018</v>
      </c>
      <c r="V23" s="0" t="n">
        <f aca="false">AJ23/U23*252</f>
        <v>3.16108661008922</v>
      </c>
      <c r="W23" s="22" t="n">
        <f aca="false">(s_p!$J23)/COUNT(s_p!$J$4:$J23)</f>
        <v>0.00127334193176265</v>
      </c>
      <c r="X23" s="22" t="n">
        <f aca="false">W23 * 252</f>
        <v>0.320882166804188</v>
      </c>
      <c r="Y23" s="21" t="n">
        <f aca="false">STDEV(s_p!$H$4:$H23)</f>
        <v>0.00704324418676246</v>
      </c>
      <c r="Z23" s="21" t="n">
        <f aca="false">Y23*SQRT(252)</f>
        <v>0.111808035247649</v>
      </c>
      <c r="AA23" s="0" t="n">
        <f aca="false">AJ23/AK23</f>
        <v>0.130856817511442</v>
      </c>
      <c r="AB23" s="0" t="n">
        <f aca="false">_xlfn.COVARIANCE.S($D$4:$D23,s_p!$H$4:$H23)</f>
        <v>2.8918884098907E-005</v>
      </c>
      <c r="AC23" s="0" t="n">
        <f aca="false">_xlfn.VAR.S(s_p!$H$4:$H23)</f>
        <v>4.96072886743632E-005</v>
      </c>
      <c r="AD23" s="0" t="n">
        <f aca="false">AB23/AC23</f>
        <v>0.582956353223395</v>
      </c>
      <c r="AE23" s="0" t="n">
        <f aca="false">M23-(AD23*W23)</f>
        <v>0.00430453059398903</v>
      </c>
      <c r="AF23" s="33" t="n">
        <f aca="false">MAX($E$4:E23)</f>
        <v>0.208819804331584</v>
      </c>
      <c r="AG23" s="0" t="n">
        <f aca="false">1 - ((1 + E23) / (1 + AF23))</f>
        <v>0.0892466657861564</v>
      </c>
      <c r="AH23" s="0" t="n">
        <f aca="false">MAX($AG$5:AG23)</f>
        <v>0.0892466657861564</v>
      </c>
      <c r="AI23" s="19" t="n">
        <f aca="false">D23-s_p!H23</f>
        <v>-0.023323934204281</v>
      </c>
      <c r="AJ23" s="19" t="n">
        <f aca="false">AVERAGE(AI$4:AI23)</f>
        <v>0.0039832122891912</v>
      </c>
      <c r="AK23" s="0" t="n">
        <f aca="false">STDEV(AI$4:AI23)</f>
        <v>0.0304394709037066</v>
      </c>
    </row>
    <row r="24" customFormat="false" ht="13.8" hidden="false" customHeight="false" outlineLevel="0" collapsed="false">
      <c r="A24" s="6" t="n">
        <f aca="false">WORKDAY(A23,1,holiday!$B$2:$B$10)</f>
        <v>38749</v>
      </c>
      <c r="B24" s="24" t="n">
        <v>1053706.48423332</v>
      </c>
      <c r="C24" s="24" t="n">
        <f aca="false">B24-B23</f>
        <v>-47230.183025399</v>
      </c>
      <c r="D24" s="31" t="n">
        <f aca="false">C24/B23</f>
        <v>-0.0429000000000001</v>
      </c>
      <c r="E24" s="31" t="n">
        <f aca="false" t="array" ref="E24:E24">PRODUCT(1+$D$4:D24)-1</f>
        <v>0.0537064842333175</v>
      </c>
      <c r="F24" s="0" t="n">
        <f aca="false">IF(ISBLANK(A25),MONTH(A24),IF(MONTH(A25)-MONTH(A24)=1,MONTH(A24),0))</f>
        <v>0</v>
      </c>
      <c r="G24" s="0" t="str">
        <f aca="false">IF(B25&gt;B24,IF(AND(B23&gt;B24,B25&gt;B24),"min",""),IF(AND(B23&gt;B24,B25&gt;B24),"",IF(AND(B23&lt;B24,B25&lt;B24),"max","")))</f>
        <v>min</v>
      </c>
      <c r="H24" s="0" t="n">
        <f aca="false">IF(G24="min",COUNTIF(G$4:G24,"min"),IF(G24="max",COUNTIF(G$4:G24,"max"),""))</f>
        <v>6</v>
      </c>
      <c r="I24" s="24" t="n">
        <f aca="false" t="array" ref="I24:I24">IF($G$3=0,IF(G24="min",INDEX($B$4:$B$254,(MATCH(1,($G$4:$G$254="max")*($H$4:$H$254=(H24-1)),0))),""),IF($G$3=1,IF(G24="min",INDEX($B$4:$B$254,(MATCH(1,($G$4:$G$254="max")*($H$4:$H$254=(H24)),0))),""),""))</f>
        <v>1131835.78416646</v>
      </c>
      <c r="J24" s="29" t="n">
        <f aca="false">IF(AND(G22=0,G24="min",H24=1),B24-B23,IF(G24="min",B24-I24,""))</f>
        <v>-78129.2999331399</v>
      </c>
      <c r="K24" s="34" t="n">
        <f aca="false">IF(AND(G22=0,G24="min",H24=1),(B24-B23)/B23,IF(G24="min",(B24-I24)/I24,""))</f>
        <v>-0.0690288299999971</v>
      </c>
      <c r="L24" s="5"/>
      <c r="M24" s="0" t="n">
        <f aca="false">E24/COUNT($E$4:E24)</f>
        <v>0.00255745163015797</v>
      </c>
      <c r="N24" s="19" t="n">
        <f aca="false">M24*252</f>
        <v>0.64447781079981</v>
      </c>
      <c r="O24" s="20" t="n">
        <f aca="false">STDEV($D$4:$D24)</f>
        <v>0.0315994009888976</v>
      </c>
      <c r="P24" s="20" t="n">
        <f aca="false">O24*SQRT(252)</f>
        <v>0.50162493957139</v>
      </c>
      <c r="Q24" s="0" t="n">
        <f aca="false">Treasuries!J22/100</f>
        <v>0.0457</v>
      </c>
      <c r="R24" s="20" t="n">
        <f aca="false">AJ24/AK24*SQRT(252)</f>
        <v>0.837169449114377</v>
      </c>
      <c r="S24" s="32" t="n">
        <f aca="false">IF(D24&lt;s_p!H24, D24-s_p!H24, 0)</f>
        <v>-0.0447592587963254</v>
      </c>
      <c r="T24" s="0" t="n">
        <f aca="false">S24^2</f>
        <v>0.00200339124799643</v>
      </c>
      <c r="U24" s="0" t="n">
        <f aca="false">SQRT(AVERAGE(T$4:T24)) * SQRT(252)</f>
        <v>0.346511857153229</v>
      </c>
      <c r="V24" s="0" t="n">
        <f aca="false">AJ24/U24*252</f>
        <v>1.20878935367791</v>
      </c>
      <c r="W24" s="22" t="n">
        <f aca="false">(s_p!$J24)/COUNT(s_p!$J$4:$J24)</f>
        <v>0.0013034974702536</v>
      </c>
      <c r="X24" s="22" t="n">
        <f aca="false">W24 * 252</f>
        <v>0.328481362503906</v>
      </c>
      <c r="Y24" s="21" t="n">
        <f aca="false">STDEV(s_p!$H$4:$H24)</f>
        <v>0.00686606174603667</v>
      </c>
      <c r="Z24" s="21" t="n">
        <f aca="false">Y24*SQRT(252)</f>
        <v>0.108995351198562</v>
      </c>
      <c r="AA24" s="0" t="n">
        <f aca="false">AJ24/AK24</f>
        <v>0.052736718275657</v>
      </c>
      <c r="AB24" s="0" t="n">
        <f aca="false">_xlfn.COVARIANCE.S($D$4:$D24,s_p!$H$4:$H24)</f>
        <v>2.61484687113949E-005</v>
      </c>
      <c r="AC24" s="0" t="n">
        <f aca="false">_xlfn.VAR.S(s_p!$H$4:$H24)</f>
        <v>4.71428039003883E-005</v>
      </c>
      <c r="AD24" s="0" t="n">
        <f aca="false">AB24/AC24</f>
        <v>0.554665114248318</v>
      </c>
      <c r="AE24" s="0" t="n">
        <f aca="false">M24-(AD24*W24)</f>
        <v>0.00183444705689737</v>
      </c>
      <c r="AF24" s="33" t="n">
        <f aca="false">MAX($E$4:E24)</f>
        <v>0.208819804331584</v>
      </c>
      <c r="AG24" s="0" t="n">
        <f aca="false">1 - ((1 + E24) / (1 + AF24))</f>
        <v>0.12831798382393</v>
      </c>
      <c r="AH24" s="0" t="n">
        <f aca="false">MAX($AG$5:AG24)</f>
        <v>0.12831798382393</v>
      </c>
      <c r="AI24" s="19" t="n">
        <f aca="false">D24-s_p!H24</f>
        <v>-0.0447592587963254</v>
      </c>
      <c r="AJ24" s="19" t="n">
        <f aca="false">AVERAGE(AI$4:AI24)</f>
        <v>0.00166214223749993</v>
      </c>
      <c r="AK24" s="0" t="n">
        <f aca="false">STDEV(AI$4:AI24)</f>
        <v>0.0315177411838911</v>
      </c>
    </row>
    <row r="25" customFormat="false" ht="13.8" hidden="false" customHeight="false" outlineLevel="0" collapsed="false">
      <c r="A25" s="6" t="n">
        <f aca="false">WORKDAY(A24,1,holiday!$B$2:$B$10)</f>
        <v>38750</v>
      </c>
      <c r="B25" s="24" t="n">
        <v>1098699.75111008</v>
      </c>
      <c r="C25" s="24" t="n">
        <f aca="false">B25-B24</f>
        <v>44993.2668767627</v>
      </c>
      <c r="D25" s="31" t="n">
        <f aca="false">C25/B24</f>
        <v>0.0427000000000001</v>
      </c>
      <c r="E25" s="31" t="n">
        <f aca="false" t="array" ref="E25:E25">PRODUCT(1+$D$4:D25)-1</f>
        <v>0.0986997511100802</v>
      </c>
      <c r="F25" s="0" t="n">
        <f aca="false">IF(ISBLANK(A26),MONTH(A25),IF(MONTH(A26)-MONTH(A25)=1,MONTH(A25),0))</f>
        <v>0</v>
      </c>
      <c r="G25" s="0" t="str">
        <f aca="false">IF(B26&gt;B25,IF(AND(B24&gt;B25,B26&gt;B25),"min",""),IF(AND(B24&gt;B25,B26&gt;B25),"",IF(AND(B24&lt;B25,B26&lt;B25),"max","")))</f>
        <v>max</v>
      </c>
      <c r="H25" s="0" t="n">
        <f aca="false">IF(G25="min",COUNTIF(G$4:G25,"min"),IF(G25="max",COUNTIF(G$4:G25,"max"),""))</f>
        <v>6</v>
      </c>
      <c r="I25" s="24" t="str">
        <f aca="false" t="array" ref="I25:I25">IF($G$3=0,IF(G25="min",INDEX($B$4:$B$254,(MATCH(1,($G$4:$G$254="max")*($H$4:$H$254=(H25-1)),0))),""),IF($G$3=1,IF(G25="min",INDEX($B$4:$B$254,(MATCH(1,($G$4:$G$254="max")*($H$4:$H$254=(H25)),0))),""),""))</f>
        <v/>
      </c>
      <c r="J25" s="29" t="str">
        <f aca="false">IF(AND(G23=0,G25="min",H25=1),B25-B24,IF(G25="min",B25-I25,""))</f>
        <v/>
      </c>
      <c r="K25" s="34" t="str">
        <f aca="false">IF(AND(G23=0,G25="min",H25=1),(B25-B24)/B24,IF(G25="min",(B25-I25)/I25,""))</f>
        <v/>
      </c>
      <c r="L25" s="5"/>
      <c r="M25" s="0" t="n">
        <f aca="false">E25/COUNT($E$4:E25)</f>
        <v>0.00448635232318546</v>
      </c>
      <c r="N25" s="19" t="n">
        <f aca="false">M25*252</f>
        <v>1.13056078544274</v>
      </c>
      <c r="O25" s="20" t="n">
        <f aca="false">STDEV($D$4:$D25)</f>
        <v>0.0319799480600279</v>
      </c>
      <c r="P25" s="20" t="n">
        <f aca="false">O25*SQRT(252)</f>
        <v>0.507665937045577</v>
      </c>
      <c r="Q25" s="0" t="n">
        <f aca="false">Treasuries!J23/100</f>
        <v>0.0457</v>
      </c>
      <c r="R25" s="20" t="n">
        <f aca="false">AJ25/AK25*SQRT(252)</f>
        <v>1.92061913017168</v>
      </c>
      <c r="S25" s="32" t="n">
        <f aca="false">IF(D25&lt;s_p!H25, D25-s_p!H25, 0)</f>
        <v>0</v>
      </c>
      <c r="T25" s="0" t="n">
        <f aca="false">S25^2</f>
        <v>0</v>
      </c>
      <c r="U25" s="0" t="n">
        <f aca="false">SQRT(AVERAGE(T$4:T25)) * SQRT(252)</f>
        <v>0.338545002386777</v>
      </c>
      <c r="V25" s="0" t="n">
        <f aca="false">AJ25/U25*252</f>
        <v>2.93230198363121</v>
      </c>
      <c r="W25" s="22" t="n">
        <f aca="false">(s_p!$J25)/COUNT(s_p!$J$4:$J25)</f>
        <v>0.000821123296669845</v>
      </c>
      <c r="X25" s="22" t="n">
        <f aca="false">W25 * 252</f>
        <v>0.206923070760801</v>
      </c>
      <c r="Y25" s="21" t="n">
        <f aca="false">STDEV(s_p!$H$4:$H25)</f>
        <v>0.00705591576565135</v>
      </c>
      <c r="Z25" s="21" t="n">
        <f aca="false">Y25*SQRT(252)</f>
        <v>0.1120091903264</v>
      </c>
      <c r="AA25" s="0" t="n">
        <f aca="false">AJ25/AK25</f>
        <v>0.120987632897797</v>
      </c>
      <c r="AB25" s="0" t="n">
        <f aca="false">_xlfn.COVARIANCE.S($D$4:$D25,s_p!$H$4:$H25)</f>
        <v>6.17670364912097E-006</v>
      </c>
      <c r="AC25" s="0" t="n">
        <f aca="false">_xlfn.VAR.S(s_p!$H$4:$H25)</f>
        <v>4.97859472919673E-005</v>
      </c>
      <c r="AD25" s="0" t="n">
        <f aca="false">AB25/AC25</f>
        <v>0.124065202835209</v>
      </c>
      <c r="AE25" s="0" t="n">
        <f aca="false">M25-(AD25*W25)</f>
        <v>0.0043844794948314</v>
      </c>
      <c r="AF25" s="33" t="n">
        <f aca="false">MAX($E$4:E25)</f>
        <v>0.208819804331584</v>
      </c>
      <c r="AG25" s="0" t="n">
        <f aca="false">1 - ((1 + E25) / (1 + AF25))</f>
        <v>0.091097161733212</v>
      </c>
      <c r="AH25" s="0" t="n">
        <f aca="false">MAX($AG$5:AG25)</f>
        <v>0.12831798382393</v>
      </c>
      <c r="AI25" s="19" t="n">
        <f aca="false">D25-s_p!H25</f>
        <v>0.0517607114451915</v>
      </c>
      <c r="AJ25" s="19" t="n">
        <f aca="false">AVERAGE(AI$4:AI25)</f>
        <v>0.00393934992875864</v>
      </c>
      <c r="AK25" s="0" t="n">
        <f aca="false">STDEV(AI$4:AI25)</f>
        <v>0.032559938850001</v>
      </c>
    </row>
    <row r="26" customFormat="false" ht="13.8" hidden="false" customHeight="false" outlineLevel="0" collapsed="false">
      <c r="A26" s="6" t="n">
        <f aca="false">WORKDAY(A25,1,holiday!$B$2:$B$10)</f>
        <v>38751</v>
      </c>
      <c r="B26" s="24" t="n">
        <v>1087273.27369853</v>
      </c>
      <c r="C26" s="24" t="n">
        <f aca="false">B26-B25</f>
        <v>-11426.4774115449</v>
      </c>
      <c r="D26" s="31" t="n">
        <f aca="false">C26/B25</f>
        <v>-0.0104000000000001</v>
      </c>
      <c r="E26" s="31" t="n">
        <f aca="false" t="array" ref="E26:E26">PRODUCT(1+$D$4:D26)-1</f>
        <v>0.0872732736985353</v>
      </c>
      <c r="F26" s="0" t="n">
        <f aca="false">IF(ISBLANK(A27),MONTH(A26),IF(MONTH(A27)-MONTH(A26)=1,MONTH(A26),0))</f>
        <v>0</v>
      </c>
      <c r="G26" s="0" t="str">
        <f aca="false">IF(B27&gt;B26,IF(AND(B25&gt;B26,B27&gt;B26),"min",""),IF(AND(B25&gt;B26,B27&gt;B26),"",IF(AND(B25&lt;B26,B27&lt;B26),"max","")))</f>
        <v>min</v>
      </c>
      <c r="H26" s="0" t="n">
        <f aca="false">IF(G26="min",COUNTIF(G$4:G26,"min"),IF(G26="max",COUNTIF(G$4:G26,"max"),""))</f>
        <v>7</v>
      </c>
      <c r="I26" s="24" t="n">
        <f aca="false" t="array" ref="I26:I26">IF($G$3=0,IF(G26="min",INDEX($B$4:$B$254,(MATCH(1,($G$4:$G$254="max")*($H$4:$H$254=(H26-1)),0))),""),IF($G$3=1,IF(G26="min",INDEX($B$4:$B$254,(MATCH(1,($G$4:$G$254="max")*($H$4:$H$254=(H26)),0))),""),""))</f>
        <v>1098699.75111008</v>
      </c>
      <c r="J26" s="29" t="n">
        <f aca="false">IF(AND(G24=0,G26="min",H26=1),B26-B25,IF(G26="min",B26-I26,""))</f>
        <v>-11426.47741155</v>
      </c>
      <c r="K26" s="34" t="n">
        <f aca="false">IF(AND(G24=0,G26="min",H26=1),(B26-B25)/B25,IF(G26="min",(B26-I26)/I26,""))</f>
        <v>-0.0104000000000047</v>
      </c>
      <c r="L26" s="5"/>
      <c r="M26" s="0" t="n">
        <f aca="false">E26/COUNT($E$4:E26)</f>
        <v>0.00379449016080588</v>
      </c>
      <c r="N26" s="19" t="n">
        <f aca="false">M26*252</f>
        <v>0.956211520523083</v>
      </c>
      <c r="O26" s="20" t="n">
        <f aca="false">STDEV($D$4:$D26)</f>
        <v>0.0314045400912021</v>
      </c>
      <c r="P26" s="20" t="n">
        <f aca="false">O26*SQRT(252)</f>
        <v>0.498531618718072</v>
      </c>
      <c r="Q26" s="0" t="n">
        <f aca="false">Treasuries!J24/100</f>
        <v>0.0454</v>
      </c>
      <c r="R26" s="20" t="n">
        <f aca="false">AJ26/AK26*SQRT(252)</f>
        <v>1.76790601251922</v>
      </c>
      <c r="S26" s="32" t="n">
        <f aca="false">IF(D26&lt;s_p!H26, D26-s_p!H26, 0)</f>
        <v>-0.00504133958641542</v>
      </c>
      <c r="T26" s="0" t="n">
        <f aca="false">S26^2</f>
        <v>2.54151048255592E-005</v>
      </c>
      <c r="U26" s="0" t="n">
        <f aca="false">SQRT(AVERAGE(T$4:T26)) * SQRT(252)</f>
        <v>0.331523782117573</v>
      </c>
      <c r="V26" s="0" t="n">
        <f aca="false">AJ26/U26*252</f>
        <v>2.69760153081455</v>
      </c>
      <c r="W26" s="22" t="n">
        <f aca="false">(s_p!$J26)/COUNT(s_p!$J$4:$J26)</f>
        <v>0.000548228237097919</v>
      </c>
      <c r="X26" s="22" t="n">
        <f aca="false">W26 * 252</f>
        <v>0.138153515748676</v>
      </c>
      <c r="Y26" s="21" t="n">
        <f aca="false">STDEV(s_p!$H$4:$H26)</f>
        <v>0.00701373028058897</v>
      </c>
      <c r="Z26" s="21" t="n">
        <f aca="false">Y26*SQRT(252)</f>
        <v>0.11133951651193</v>
      </c>
      <c r="AA26" s="0" t="n">
        <f aca="false">AJ26/AK26</f>
        <v>0.111367610725279</v>
      </c>
      <c r="AB26" s="0" t="n">
        <f aca="false">_xlfn.COVARIANCE.S($D$4:$D26,s_p!$H$4:$H26)</f>
        <v>9.98495453961509E-006</v>
      </c>
      <c r="AC26" s="0" t="n">
        <f aca="false">_xlfn.VAR.S(s_p!$H$4:$H26)</f>
        <v>4.91924124488506E-005</v>
      </c>
      <c r="AD26" s="0" t="n">
        <f aca="false">AB26/AC26</f>
        <v>0.202977533374629</v>
      </c>
      <c r="AE26" s="0" t="n">
        <f aca="false">M26-(AD26*W26)</f>
        <v>0.00368321214551343</v>
      </c>
      <c r="AF26" s="33" t="n">
        <f aca="false">MAX($E$4:E26)</f>
        <v>0.208819804331584</v>
      </c>
      <c r="AG26" s="0" t="n">
        <f aca="false">1 - ((1 + E26) / (1 + AF26))</f>
        <v>0.100549751251187</v>
      </c>
      <c r="AH26" s="0" t="n">
        <f aca="false">MAX($AG$5:AG26)</f>
        <v>0.12831798382393</v>
      </c>
      <c r="AI26" s="19" t="n">
        <f aca="false">D26-s_p!H26</f>
        <v>-0.00504133958641537</v>
      </c>
      <c r="AJ26" s="19" t="n">
        <f aca="false">AVERAGE(AI$4:AI26)</f>
        <v>0.00354888516722934</v>
      </c>
      <c r="AK26" s="0" t="n">
        <f aca="false">STDEV(AI$4:AI26)</f>
        <v>0.0318664030243381</v>
      </c>
    </row>
    <row r="27" customFormat="false" ht="13.8" hidden="false" customHeight="false" outlineLevel="0" collapsed="false">
      <c r="A27" s="6" t="n">
        <f aca="false">WORKDAY(A26,1,holiday!$B$2:$B$10)</f>
        <v>38754</v>
      </c>
      <c r="B27" s="24" t="n">
        <v>1124892.9289685</v>
      </c>
      <c r="C27" s="24" t="n">
        <f aca="false">B27-B26</f>
        <v>37619.6552699693</v>
      </c>
      <c r="D27" s="31" t="n">
        <f aca="false">C27/B26</f>
        <v>0.0346</v>
      </c>
      <c r="E27" s="31" t="n">
        <f aca="false" t="array" ref="E27:E27">PRODUCT(1+$D$4:D27)-1</f>
        <v>0.124892928968505</v>
      </c>
      <c r="F27" s="0" t="n">
        <f aca="false">IF(ISBLANK(A28),MONTH(A27),IF(MONTH(A28)-MONTH(A27)=1,MONTH(A27),0))</f>
        <v>0</v>
      </c>
      <c r="G27" s="0" t="str">
        <f aca="false">IF(B28&gt;B27,IF(AND(B26&gt;B27,B28&gt;B27),"min",""),IF(AND(B26&gt;B27,B28&gt;B27),"",IF(AND(B26&lt;B27,B28&lt;B27),"max","")))</f>
        <v>max</v>
      </c>
      <c r="H27" s="0" t="n">
        <f aca="false">IF(G27="min",COUNTIF(G$4:G27,"min"),IF(G27="max",COUNTIF(G$4:G27,"max"),""))</f>
        <v>7</v>
      </c>
      <c r="I27" s="24" t="str">
        <f aca="false" t="array" ref="I27:I27">IF($G$3=0,IF(G27="min",INDEX($B$4:$B$254,(MATCH(1,($G$4:$G$254="max")*($H$4:$H$254=(H27-1)),0))),""),IF($G$3=1,IF(G27="min",INDEX($B$4:$B$254,(MATCH(1,($G$4:$G$254="max")*($H$4:$H$254=(H27)),0))),""),""))</f>
        <v/>
      </c>
      <c r="J27" s="29" t="str">
        <f aca="false">IF(AND(G25=0,G27="min",H27=1),B27-B26,IF(G27="min",B27-I27,""))</f>
        <v/>
      </c>
      <c r="K27" s="34" t="str">
        <f aca="false">IF(AND(G25=0,G27="min",H27=1),(B27-B26)/B26,IF(G27="min",(B27-I27)/I27,""))</f>
        <v/>
      </c>
      <c r="L27" s="5"/>
      <c r="M27" s="0" t="n">
        <f aca="false">E27/COUNT($E$4:E27)</f>
        <v>0.00520387204035436</v>
      </c>
      <c r="N27" s="19" t="n">
        <f aca="false">M27*252</f>
        <v>1.3113757541693</v>
      </c>
      <c r="O27" s="20" t="n">
        <f aca="false">STDEV($D$4:$D27)</f>
        <v>0.0313381738667771</v>
      </c>
      <c r="P27" s="20" t="n">
        <f aca="false">O27*SQRT(252)</f>
        <v>0.497478087566373</v>
      </c>
      <c r="Q27" s="0" t="n">
        <f aca="false">Treasuries!J25/100</f>
        <v>0.0455</v>
      </c>
      <c r="R27" s="20" t="n">
        <f aca="false">AJ27/AK27*SQRT(252)</f>
        <v>2.40324883666898</v>
      </c>
      <c r="S27" s="32" t="n">
        <f aca="false">IF(D27&lt;s_p!H27, D27-s_p!H27, 0)</f>
        <v>0</v>
      </c>
      <c r="T27" s="0" t="n">
        <f aca="false">S27^2</f>
        <v>0</v>
      </c>
      <c r="U27" s="0" t="n">
        <f aca="false">SQRT(AVERAGE(T$4:T27)) * SQRT(252)</f>
        <v>0.324543552323838</v>
      </c>
      <c r="V27" s="0" t="n">
        <f aca="false">AJ27/U27*252</f>
        <v>3.734882612778</v>
      </c>
      <c r="W27" s="22" t="n">
        <f aca="false">(s_p!$J27)/COUNT(s_p!$J$4:$J27)</f>
        <v>0.000558430599727091</v>
      </c>
      <c r="X27" s="22" t="n">
        <f aca="false">W27 * 252</f>
        <v>0.140724511131227</v>
      </c>
      <c r="Y27" s="21" t="n">
        <f aca="false">STDEV(s_p!$H$4:$H27)</f>
        <v>0.00685970353833705</v>
      </c>
      <c r="Z27" s="21" t="n">
        <f aca="false">Y27*SQRT(252)</f>
        <v>0.108894417780418</v>
      </c>
      <c r="AA27" s="0" t="n">
        <f aca="false">AJ27/AK27</f>
        <v>0.151390446676939</v>
      </c>
      <c r="AB27" s="0" t="n">
        <f aca="false">_xlfn.COVARIANCE.S($D$4:$D27,s_p!$H$4:$H27)</f>
        <v>9.82352238380416E-006</v>
      </c>
      <c r="AC27" s="0" t="n">
        <f aca="false">_xlfn.VAR.S(s_p!$H$4:$H27)</f>
        <v>4.70555326338739E-005</v>
      </c>
      <c r="AD27" s="0" t="n">
        <f aca="false">AB27/AC27</f>
        <v>0.208764449873265</v>
      </c>
      <c r="AE27" s="0" t="n">
        <f aca="false">M27-(AD27*W27)</f>
        <v>0.00508729158340993</v>
      </c>
      <c r="AF27" s="33" t="n">
        <f aca="false">MAX($E$4:E27)</f>
        <v>0.208819804331584</v>
      </c>
      <c r="AG27" s="0" t="n">
        <f aca="false">1 - ((1 + E27) / (1 + AF27))</f>
        <v>0.0694287726444778</v>
      </c>
      <c r="AH27" s="0" t="n">
        <f aca="false">MAX($AG$5:AG27)</f>
        <v>0.12831798382393</v>
      </c>
      <c r="AI27" s="19" t="n">
        <f aca="false">D27-s_p!H27</f>
        <v>0.0338167907407261</v>
      </c>
      <c r="AJ27" s="19" t="n">
        <f aca="false">AVERAGE(AI$4:AI27)</f>
        <v>0.00481004789945837</v>
      </c>
      <c r="AK27" s="0" t="n">
        <f aca="false">STDEV(AI$4:AI27)</f>
        <v>0.0317724665263907</v>
      </c>
    </row>
    <row r="28" customFormat="false" ht="13.8" hidden="false" customHeight="false" outlineLevel="0" collapsed="false">
      <c r="A28" s="6" t="n">
        <f aca="false">WORKDAY(A27,1,holiday!$B$2:$B$10)</f>
        <v>38755</v>
      </c>
      <c r="B28" s="24" t="n">
        <v>1089908.75887758</v>
      </c>
      <c r="C28" s="24" t="n">
        <f aca="false">B28-B27</f>
        <v>-34984.1700909205</v>
      </c>
      <c r="D28" s="31" t="n">
        <f aca="false">C28/B27</f>
        <v>-0.0311</v>
      </c>
      <c r="E28" s="31" t="n">
        <f aca="false" t="array" ref="E28:E28">PRODUCT(1+$D$4:D28)-1</f>
        <v>0.089908758877584</v>
      </c>
      <c r="F28" s="0" t="n">
        <f aca="false">IF(ISBLANK(A29),MONTH(A28),IF(MONTH(A29)-MONTH(A28)=1,MONTH(A28),0))</f>
        <v>0</v>
      </c>
      <c r="G28" s="0" t="str">
        <f aca="false">IF(B29&gt;B28,IF(AND(B27&gt;B28,B29&gt;B28),"min",""),IF(AND(B27&gt;B28,B29&gt;B28),"",IF(AND(B27&lt;B28,B29&lt;B28),"max","")))</f>
        <v>min</v>
      </c>
      <c r="H28" s="0" t="n">
        <f aca="false">IF(G28="min",COUNTIF(G$4:G28,"min"),IF(G28="max",COUNTIF(G$4:G28,"max"),""))</f>
        <v>8</v>
      </c>
      <c r="I28" s="24" t="n">
        <f aca="false" t="array" ref="I28:I28">IF($G$3=0,IF(G28="min",INDEX($B$4:$B$254,(MATCH(1,($G$4:$G$254="max")*($H$4:$H$254=(H28-1)),0))),""),IF($G$3=1,IF(G28="min",INDEX($B$4:$B$254,(MATCH(1,($G$4:$G$254="max")*($H$4:$H$254=(H28)),0))),""),""))</f>
        <v>1124892.9289685</v>
      </c>
      <c r="J28" s="29" t="n">
        <f aca="false">IF(AND(G26=0,G28="min",H28=1),B28-B27,IF(G28="min",B28-I28,""))</f>
        <v>-34984.1700909201</v>
      </c>
      <c r="K28" s="34" t="n">
        <f aca="false">IF(AND(G26=0,G28="min",H28=1),(B28-B27)/B27,IF(G28="min",(B28-I28)/I28,""))</f>
        <v>-0.0310999999999997</v>
      </c>
      <c r="L28" s="5"/>
      <c r="M28" s="0" t="n">
        <f aca="false">E28/COUNT($E$4:E28)</f>
        <v>0.00359635035510336</v>
      </c>
      <c r="N28" s="19" t="n">
        <f aca="false">M28*252</f>
        <v>0.906280289486046</v>
      </c>
      <c r="O28" s="20" t="n">
        <f aca="false">STDEV($D$4:$D28)</f>
        <v>0.0315343400121202</v>
      </c>
      <c r="P28" s="20" t="n">
        <f aca="false">O28*SQRT(252)</f>
        <v>0.500592128583741</v>
      </c>
      <c r="Q28" s="0" t="n">
        <f aca="false">Treasuries!J26/100</f>
        <v>0.0457</v>
      </c>
      <c r="R28" s="20" t="n">
        <f aca="false">AJ28/AK28*SQRT(252)</f>
        <v>1.85760751155662</v>
      </c>
      <c r="S28" s="32" t="n">
        <f aca="false">IF(D28&lt;s_p!H28, D28-s_p!H28, 0)</f>
        <v>-0.0230052663199001</v>
      </c>
      <c r="T28" s="0" t="n">
        <f aca="false">S28^2</f>
        <v>0.000529242278449528</v>
      </c>
      <c r="U28" s="0" t="n">
        <f aca="false">SQRT(AVERAGE(T$4:T28)) * SQRT(252)</f>
        <v>0.326266974773035</v>
      </c>
      <c r="V28" s="0" t="n">
        <f aca="false">AJ28/U28*252</f>
        <v>2.85580146130494</v>
      </c>
      <c r="W28" s="22" t="n">
        <f aca="false">(s_p!$J28)/COUNT(s_p!$J$4:$J28)</f>
        <v>0.000207964495429742</v>
      </c>
      <c r="X28" s="22" t="n">
        <f aca="false">W28 * 252</f>
        <v>0.052407052848295</v>
      </c>
      <c r="Y28" s="21" t="n">
        <f aca="false">STDEV(s_p!$H$4:$H28)</f>
        <v>0.00693564399961202</v>
      </c>
      <c r="Z28" s="21" t="n">
        <f aca="false">Y28*SQRT(252)</f>
        <v>0.110099935230305</v>
      </c>
      <c r="AA28" s="0" t="n">
        <f aca="false">AJ28/AK28</f>
        <v>0.117018274027247</v>
      </c>
      <c r="AB28" s="0" t="n">
        <f aca="false">_xlfn.COVARIANCE.S($D$4:$D28,s_p!$H$4:$H28)</f>
        <v>2.20712640979921E-005</v>
      </c>
      <c r="AC28" s="0" t="n">
        <f aca="false">_xlfn.VAR.S(s_p!$H$4:$H28)</f>
        <v>4.81031576893543E-005</v>
      </c>
      <c r="AD28" s="0" t="n">
        <f aca="false">AB28/AC28</f>
        <v>0.45883191786548</v>
      </c>
      <c r="AE28" s="0" t="n">
        <f aca="false">M28-(AD28*W28)</f>
        <v>0.0035009296068174</v>
      </c>
      <c r="AF28" s="33" t="n">
        <f aca="false">MAX($E$4:E28)</f>
        <v>0.208819804331584</v>
      </c>
      <c r="AG28" s="0" t="n">
        <f aca="false">1 - ((1 + E28) / (1 + AF28))</f>
        <v>0.0983695378152346</v>
      </c>
      <c r="AH28" s="0" t="n">
        <f aca="false">MAX($AG$5:AG28)</f>
        <v>0.12831798382393</v>
      </c>
      <c r="AI28" s="19" t="n">
        <f aca="false">D28-s_p!H28</f>
        <v>-0.0230052663199001</v>
      </c>
      <c r="AJ28" s="19" t="n">
        <f aca="false">AVERAGE(AI$4:AI28)</f>
        <v>0.00369743533068403</v>
      </c>
      <c r="AK28" s="0" t="n">
        <f aca="false">STDEV(AI$4:AI28)</f>
        <v>0.0315970762807791</v>
      </c>
    </row>
    <row r="29" customFormat="false" ht="13.8" hidden="false" customHeight="false" outlineLevel="0" collapsed="false">
      <c r="A29" s="6" t="n">
        <f aca="false">WORKDAY(A28,1,holiday!$B$2:$B$10)</f>
        <v>38756</v>
      </c>
      <c r="B29" s="24" t="n">
        <v>1090235.73150525</v>
      </c>
      <c r="C29" s="24" t="n">
        <f aca="false">B29-B28</f>
        <v>326.972627663286</v>
      </c>
      <c r="D29" s="31" t="n">
        <f aca="false">C29/B28</f>
        <v>0.00030000000000001</v>
      </c>
      <c r="E29" s="31" t="n">
        <f aca="false" t="array" ref="E29:E29">PRODUCT(1+$D$4:D29)-1</f>
        <v>0.0902357315052473</v>
      </c>
      <c r="F29" s="0" t="n">
        <f aca="false">IF(ISBLANK(A30),MONTH(A29),IF(MONTH(A30)-MONTH(A29)=1,MONTH(A29),0))</f>
        <v>0</v>
      </c>
      <c r="G29" s="0" t="str">
        <f aca="false">IF(B30&gt;B29,IF(AND(B28&gt;B29,B30&gt;B29),"min",""),IF(AND(B28&gt;B29,B30&gt;B29),"",IF(AND(B28&lt;B29,B30&lt;B29),"max","")))</f>
        <v/>
      </c>
      <c r="H29" s="0" t="str">
        <f aca="false">IF(G29="min",COUNTIF(G$4:G29,"min"),IF(G29="max",COUNTIF(G$4:G29,"max"),""))</f>
        <v/>
      </c>
      <c r="I29" s="24" t="str">
        <f aca="false" t="array" ref="I29:I29">IF($G$3=0,IF(G29="min",INDEX($B$4:$B$254,(MATCH(1,($G$4:$G$254="max")*($H$4:$H$254=(H29-1)),0))),""),IF($G$3=1,IF(G29="min",INDEX($B$4:$B$254,(MATCH(1,($G$4:$G$254="max")*($H$4:$H$254=(H29)),0))),""),""))</f>
        <v/>
      </c>
      <c r="J29" s="29" t="str">
        <f aca="false">IF(AND(G27=0,G29="min",H29=1),B29-B28,IF(G29="min",B29-I29,""))</f>
        <v/>
      </c>
      <c r="K29" s="34" t="str">
        <f aca="false">IF(AND(G27=0,G29="min",H29=1),(B29-B28)/B28,IF(G29="min",(B29-I29)/I29,""))</f>
        <v/>
      </c>
      <c r="L29" s="5"/>
      <c r="M29" s="0" t="n">
        <f aca="false">E29/COUNT($E$4:E29)</f>
        <v>0.00347060505789413</v>
      </c>
      <c r="N29" s="19" t="n">
        <f aca="false">M29*252</f>
        <v>0.87459247458932</v>
      </c>
      <c r="O29" s="20" t="n">
        <f aca="false">STDEV($D$4:$D29)</f>
        <v>0.0309054082894639</v>
      </c>
      <c r="P29" s="20" t="n">
        <f aca="false">O29*SQRT(252)</f>
        <v>0.490608147005013</v>
      </c>
      <c r="Q29" s="0" t="n">
        <f aca="false">Treasuries!J27/100</f>
        <v>0.0456</v>
      </c>
      <c r="R29" s="20" t="n">
        <f aca="false">AJ29/AK29*SQRT(252)</f>
        <v>1.65324505796259</v>
      </c>
      <c r="S29" s="32" t="n">
        <f aca="false">IF(D29&lt;s_p!H29, D29-s_p!H29, 0)</f>
        <v>-0.00836287317298652</v>
      </c>
      <c r="T29" s="0" t="n">
        <f aca="false">S29^2</f>
        <v>6.99376477074576E-005</v>
      </c>
      <c r="U29" s="0" t="n">
        <f aca="false">SQRT(AVERAGE(T$4:T29)) * SQRT(252)</f>
        <v>0.320988722418176</v>
      </c>
      <c r="V29" s="0" t="n">
        <f aca="false">AJ29/U29*252</f>
        <v>2.53859847882463</v>
      </c>
      <c r="W29" s="22" t="n">
        <f aca="false">(s_p!$J29)/COUNT(s_p!$J$4:$J29)</f>
        <v>0.000534885569613077</v>
      </c>
      <c r="X29" s="22" t="n">
        <f aca="false">W29 * 252</f>
        <v>0.134791163542495</v>
      </c>
      <c r="Y29" s="21" t="n">
        <f aca="false">STDEV(s_p!$H$4:$H29)</f>
        <v>0.00699383971414888</v>
      </c>
      <c r="Z29" s="21" t="n">
        <f aca="false">Y29*SQRT(252)</f>
        <v>0.11102376355851</v>
      </c>
      <c r="AA29" s="0" t="n">
        <f aca="false">AJ29/AK29</f>
        <v>0.104144649514657</v>
      </c>
      <c r="AB29" s="0" t="n">
        <f aca="false">_xlfn.COVARIANCE.S($D$4:$D29,s_p!$H$4:$H29)</f>
        <v>2.00117821782525E-005</v>
      </c>
      <c r="AC29" s="0" t="n">
        <f aca="false">_xlfn.VAR.S(s_p!$H$4:$H29)</f>
        <v>4.89137939472061E-005</v>
      </c>
      <c r="AD29" s="0" t="n">
        <f aca="false">AB29/AC29</f>
        <v>0.409123491828333</v>
      </c>
      <c r="AE29" s="0" t="n">
        <f aca="false">M29-(AD29*W29)</f>
        <v>0.00325177080592544</v>
      </c>
      <c r="AF29" s="33" t="n">
        <f aca="false">MAX($E$4:E29)</f>
        <v>0.208819804331584</v>
      </c>
      <c r="AG29" s="0" t="n">
        <f aca="false">1 - ((1 + E29) / (1 + AF29))</f>
        <v>0.0980990486765792</v>
      </c>
      <c r="AH29" s="0" t="n">
        <f aca="false">MAX($AG$5:AG29)</f>
        <v>0.12831798382393</v>
      </c>
      <c r="AI29" s="19" t="n">
        <f aca="false">D29-s_p!H29</f>
        <v>-0.00836287317298652</v>
      </c>
      <c r="AJ29" s="19" t="n">
        <f aca="false">AVERAGE(AI$4:AI29)</f>
        <v>0.00323357731131209</v>
      </c>
      <c r="AK29" s="0" t="n">
        <f aca="false">STDEV(AI$4:AI29)</f>
        <v>0.0310489048297869</v>
      </c>
    </row>
    <row r="30" customFormat="false" ht="13.8" hidden="false" customHeight="false" outlineLevel="0" collapsed="false">
      <c r="A30" s="6" t="n">
        <f aca="false">WORKDAY(A29,1,holiday!$B$2:$B$10)</f>
        <v>38757</v>
      </c>
      <c r="B30" s="24" t="n">
        <v>1113239.70544001</v>
      </c>
      <c r="C30" s="24" t="n">
        <f aca="false">B30-B29</f>
        <v>23003.9739347608</v>
      </c>
      <c r="D30" s="31" t="n">
        <f aca="false">C30/B29</f>
        <v>0.0211000000000001</v>
      </c>
      <c r="E30" s="31" t="n">
        <f aca="false" t="array" ref="E30:E30">PRODUCT(1+$D$4:D30)-1</f>
        <v>0.113239705440008</v>
      </c>
      <c r="F30" s="0" t="n">
        <f aca="false">IF(ISBLANK(A31),MONTH(A30),IF(MONTH(A31)-MONTH(A30)=1,MONTH(A30),0))</f>
        <v>0</v>
      </c>
      <c r="G30" s="0" t="str">
        <f aca="false">IF(B31&gt;B30,IF(AND(B29&gt;B30,B31&gt;B30),"min",""),IF(AND(B29&gt;B30,B31&gt;B30),"",IF(AND(B29&lt;B30,B31&lt;B30),"max","")))</f>
        <v/>
      </c>
      <c r="H30" s="0" t="str">
        <f aca="false">IF(G30="min",COUNTIF(G$4:G30,"min"),IF(G30="max",COUNTIF(G$4:G30,"max"),""))</f>
        <v/>
      </c>
      <c r="I30" s="24" t="str">
        <f aca="false" t="array" ref="I30:I30">IF($G$3=0,IF(G30="min",INDEX($B$4:$B$254,(MATCH(1,($G$4:$G$254="max")*($H$4:$H$254=(H30-1)),0))),""),IF($G$3=1,IF(G30="min",INDEX($B$4:$B$254,(MATCH(1,($G$4:$G$254="max")*($H$4:$H$254=(H30)),0))),""),""))</f>
        <v/>
      </c>
      <c r="J30" s="29" t="str">
        <f aca="false">IF(AND(G28=0,G30="min",H30=1),B30-B29,IF(G30="min",B30-I30,""))</f>
        <v/>
      </c>
      <c r="K30" s="34" t="str">
        <f aca="false">IF(AND(G28=0,G30="min",H30=1),(B30-B29)/B29,IF(G30="min",(B30-I30)/I30,""))</f>
        <v/>
      </c>
      <c r="L30" s="5"/>
      <c r="M30" s="0" t="n">
        <f aca="false">E30/COUNT($E$4:E30)</f>
        <v>0.00419406316444475</v>
      </c>
      <c r="N30" s="19" t="n">
        <f aca="false">M30*252</f>
        <v>1.05690391744008</v>
      </c>
      <c r="O30" s="20" t="n">
        <f aca="false">STDEV($D$4:$D30)</f>
        <v>0.0304878262566807</v>
      </c>
      <c r="P30" s="20" t="n">
        <f aca="false">O30*SQRT(252)</f>
        <v>0.483979237740735</v>
      </c>
      <c r="Q30" s="0" t="n">
        <f aca="false">Treasuries!J28/100</f>
        <v>0.0454</v>
      </c>
      <c r="R30" s="20" t="n">
        <f aca="false">AJ30/AK30*SQRT(252)</f>
        <v>2.04431269498899</v>
      </c>
      <c r="S30" s="32" t="n">
        <f aca="false">IF(D30&lt;s_p!H30, D30-s_p!H30, 0)</f>
        <v>0</v>
      </c>
      <c r="T30" s="0" t="n">
        <f aca="false">S30^2</f>
        <v>0</v>
      </c>
      <c r="U30" s="0" t="n">
        <f aca="false">SQRT(AVERAGE(T$4:T30)) * SQRT(252)</f>
        <v>0.314988404131714</v>
      </c>
      <c r="V30" s="0" t="n">
        <f aca="false">AJ30/U30*252</f>
        <v>3.16013149529352</v>
      </c>
      <c r="W30" s="22" t="n">
        <f aca="false">(s_p!$J30)/COUNT(s_p!$J$4:$J30)</f>
        <v>0.000459591684387201</v>
      </c>
      <c r="X30" s="22" t="n">
        <f aca="false">W30 * 252</f>
        <v>0.115817104465575</v>
      </c>
      <c r="Y30" s="21" t="n">
        <f aca="false">STDEV(s_p!$H$4:$H30)</f>
        <v>0.00686916873328608</v>
      </c>
      <c r="Z30" s="21" t="n">
        <f aca="false">Y30*SQRT(252)</f>
        <v>0.109044673092093</v>
      </c>
      <c r="AA30" s="0" t="n">
        <f aca="false">AJ30/AK30</f>
        <v>0.128779595071265</v>
      </c>
      <c r="AB30" s="0" t="n">
        <f aca="false">_xlfn.COVARIANCE.S($D$4:$D30,s_p!$H$4:$H30)</f>
        <v>1.79389972563702E-005</v>
      </c>
      <c r="AC30" s="0" t="n">
        <f aca="false">_xlfn.VAR.S(s_p!$H$4:$H30)</f>
        <v>4.71854790863551E-005</v>
      </c>
      <c r="AD30" s="0" t="n">
        <f aca="false">AB30/AC30</f>
        <v>0.380180462373597</v>
      </c>
      <c r="AE30" s="0" t="n">
        <f aca="false">M30-(AD30*W30)</f>
        <v>0.00401933538537136</v>
      </c>
      <c r="AF30" s="33" t="n">
        <f aca="false">MAX($E$4:E30)</f>
        <v>0.208819804331584</v>
      </c>
      <c r="AG30" s="0" t="n">
        <f aca="false">1 - ((1 + E30) / (1 + AF30))</f>
        <v>0.0790689386036548</v>
      </c>
      <c r="AH30" s="0" t="n">
        <f aca="false">MAX($AG$5:AG30)</f>
        <v>0.12831798382393</v>
      </c>
      <c r="AI30" s="19" t="n">
        <f aca="false">D30-s_p!H30</f>
        <v>0.0225775016789794</v>
      </c>
      <c r="AJ30" s="19" t="n">
        <f aca="false">AVERAGE(AI$4:AI30)</f>
        <v>0.00395001895455902</v>
      </c>
      <c r="AK30" s="0" t="n">
        <f aca="false">STDEV(AI$4:AI30)</f>
        <v>0.0306727082995807</v>
      </c>
    </row>
    <row r="31" customFormat="false" ht="13.8" hidden="false" customHeight="false" outlineLevel="0" collapsed="false">
      <c r="A31" s="6" t="n">
        <f aca="false">WORKDAY(A30,1,holiday!$B$2:$B$10)</f>
        <v>38758</v>
      </c>
      <c r="B31" s="24" t="n">
        <v>1140848.05013492</v>
      </c>
      <c r="C31" s="24" t="n">
        <f aca="false">B31-B30</f>
        <v>27608.3446949122</v>
      </c>
      <c r="D31" s="31" t="n">
        <f aca="false">C31/B30</f>
        <v>0.0248</v>
      </c>
      <c r="E31" s="31" t="n">
        <f aca="false" t="array" ref="E31:E31">PRODUCT(1+$D$4:D31)-1</f>
        <v>0.14084805013492</v>
      </c>
      <c r="F31" s="0" t="n">
        <f aca="false">IF(ISBLANK(A32),MONTH(A31),IF(MONTH(A32)-MONTH(A31)=1,MONTH(A31),0))</f>
        <v>0</v>
      </c>
      <c r="G31" s="0" t="str">
        <f aca="false">IF(B32&gt;B31,IF(AND(B30&gt;B31,B32&gt;B31),"min",""),IF(AND(B30&gt;B31,B32&gt;B31),"",IF(AND(B30&lt;B31,B32&lt;B31),"max","")))</f>
        <v>max</v>
      </c>
      <c r="H31" s="0" t="n">
        <f aca="false">IF(G31="min",COUNTIF(G$4:G31,"min"),IF(G31="max",COUNTIF(G$4:G31,"max"),""))</f>
        <v>8</v>
      </c>
      <c r="I31" s="24" t="str">
        <f aca="false" t="array" ref="I31:I31">IF($G$3=0,IF(G31="min",INDEX($B$4:$B$254,(MATCH(1,($G$4:$G$254="max")*($H$4:$H$254=(H31-1)),0))),""),IF($G$3=1,IF(G31="min",INDEX($B$4:$B$254,(MATCH(1,($G$4:$G$254="max")*($H$4:$H$254=(H31)),0))),""),""))</f>
        <v/>
      </c>
      <c r="J31" s="29" t="str">
        <f aca="false">IF(AND(G29=0,G31="min",H31=1),B31-B30,IF(G31="min",B31-I31,""))</f>
        <v/>
      </c>
      <c r="K31" s="34" t="str">
        <f aca="false">IF(AND(G29=0,G31="min",H31=1),(B31-B30)/B30,IF(G31="min",(B31-I31)/I31,""))</f>
        <v/>
      </c>
      <c r="L31" s="5"/>
      <c r="M31" s="0" t="n">
        <f aca="false">E31/COUNT($E$4:E31)</f>
        <v>0.00503028750481858</v>
      </c>
      <c r="N31" s="19" t="n">
        <f aca="false">M31*252</f>
        <v>1.26763245121428</v>
      </c>
      <c r="O31" s="20" t="n">
        <f aca="false">STDEV($D$4:$D31)</f>
        <v>0.0301645662690691</v>
      </c>
      <c r="P31" s="20" t="n">
        <f aca="false">O31*SQRT(252)</f>
        <v>0.478847644524506</v>
      </c>
      <c r="Q31" s="0" t="n">
        <f aca="false">Treasuries!J29/100</f>
        <v>0.0459</v>
      </c>
      <c r="R31" s="20" t="n">
        <f aca="false">AJ31/AK31*SQRT(252)</f>
        <v>2.41225165543978</v>
      </c>
      <c r="S31" s="32" t="n">
        <f aca="false">IF(D31&lt;s_p!H31, D31-s_p!H31, 0)</f>
        <v>0</v>
      </c>
      <c r="T31" s="0" t="n">
        <f aca="false">S31^2</f>
        <v>0</v>
      </c>
      <c r="U31" s="0" t="n">
        <f aca="false">SQRT(AVERAGE(T$4:T31)) * SQRT(252)</f>
        <v>0.309312472492911</v>
      </c>
      <c r="V31" s="0" t="n">
        <f aca="false">AJ31/U31*252</f>
        <v>3.75088209393245</v>
      </c>
      <c r="W31" s="22" t="n">
        <f aca="false">(s_p!$J31)/COUNT(s_p!$J$4:$J31)</f>
        <v>0.000535017618387669</v>
      </c>
      <c r="X31" s="22" t="n">
        <f aca="false">W31 * 252</f>
        <v>0.134824439833693</v>
      </c>
      <c r="Y31" s="21" t="n">
        <f aca="false">STDEV(s_p!$H$4:$H31)</f>
        <v>0.00675199844821762</v>
      </c>
      <c r="Z31" s="21" t="n">
        <f aca="false">Y31*SQRT(252)</f>
        <v>0.107184652480067</v>
      </c>
      <c r="AA31" s="0" t="n">
        <f aca="false">AJ31/AK31</f>
        <v>0.151957570952322</v>
      </c>
      <c r="AB31" s="0" t="n">
        <f aca="false">_xlfn.COVARIANCE.S($D$4:$D31,s_p!$H$4:$H31)</f>
        <v>1.87735497474946E-005</v>
      </c>
      <c r="AC31" s="0" t="n">
        <f aca="false">_xlfn.VAR.S(s_p!$H$4:$H31)</f>
        <v>4.55894830447332E-005</v>
      </c>
      <c r="AD31" s="0" t="n">
        <f aca="false">AB31/AC31</f>
        <v>0.411795626835112</v>
      </c>
      <c r="AE31" s="0" t="n">
        <f aca="false">M31-(AD31*W31)</f>
        <v>0.0048099695892868</v>
      </c>
      <c r="AF31" s="33" t="n">
        <f aca="false">MAX($E$4:E31)</f>
        <v>0.208819804331584</v>
      </c>
      <c r="AG31" s="0" t="n">
        <f aca="false">1 - ((1 + E31) / (1 + AF31))</f>
        <v>0.0562298482810256</v>
      </c>
      <c r="AH31" s="0" t="n">
        <f aca="false">MAX($AG$5:AG31)</f>
        <v>0.12831798382393</v>
      </c>
      <c r="AI31" s="19" t="n">
        <f aca="false">D31-s_p!H31</f>
        <v>0.0222600009495323</v>
      </c>
      <c r="AJ31" s="19" t="n">
        <f aca="false">AVERAGE(AI$4:AI31)</f>
        <v>0.00460394688295093</v>
      </c>
      <c r="AK31" s="0" t="n">
        <f aca="false">STDEV(AI$4:AI31)</f>
        <v>0.0302975814505185</v>
      </c>
    </row>
    <row r="32" customFormat="false" ht="13.8" hidden="false" customHeight="false" outlineLevel="0" collapsed="false">
      <c r="A32" s="6" t="n">
        <f aca="false">WORKDAY(A31,1,holiday!$B$2:$B$10)</f>
        <v>38761</v>
      </c>
      <c r="B32" s="24" t="n">
        <v>1116319.81705702</v>
      </c>
      <c r="C32" s="24" t="n">
        <f aca="false">B32-B31</f>
        <v>-24528.2330779007</v>
      </c>
      <c r="D32" s="31" t="n">
        <f aca="false">C32/B31</f>
        <v>-0.0215</v>
      </c>
      <c r="E32" s="31" t="n">
        <f aca="false" t="array" ref="E32:E32">PRODUCT(1+$D$4:D32)-1</f>
        <v>0.116319817057019</v>
      </c>
      <c r="F32" s="0" t="n">
        <f aca="false">IF(ISBLANK(A33),MONTH(A32),IF(MONTH(A33)-MONTH(A32)=1,MONTH(A32),0))</f>
        <v>0</v>
      </c>
      <c r="G32" s="0" t="str">
        <f aca="false">IF(B33&gt;B32,IF(AND(B31&gt;B32,B33&gt;B32),"min",""),IF(AND(B31&gt;B32,B33&gt;B32),"",IF(AND(B31&lt;B32,B33&lt;B32),"max","")))</f>
        <v>min</v>
      </c>
      <c r="H32" s="0" t="n">
        <f aca="false">IF(G32="min",COUNTIF(G$4:G32,"min"),IF(G32="max",COUNTIF(G$4:G32,"max"),""))</f>
        <v>9</v>
      </c>
      <c r="I32" s="24" t="n">
        <f aca="false" t="array" ref="I32:I32">IF($G$3=0,IF(G32="min",INDEX($B$4:$B$254,(MATCH(1,($G$4:$G$254="max")*($H$4:$H$254=(H32-1)),0))),""),IF($G$3=1,IF(G32="min",INDEX($B$4:$B$254,(MATCH(1,($G$4:$G$254="max")*($H$4:$H$254=(H32)),0))),""),""))</f>
        <v>1140848.05013492</v>
      </c>
      <c r="J32" s="29" t="n">
        <f aca="false">IF(AND(G30=0,G32="min",H32=1),B32-B31,IF(G32="min",B32-I32,""))</f>
        <v>-24528.2330779</v>
      </c>
      <c r="K32" s="34" t="n">
        <f aca="false">IF(AND(G30=0,G32="min",H32=1),(B32-B31)/B31,IF(G32="min",(B32-I32)/I32,""))</f>
        <v>-0.0214999999999993</v>
      </c>
      <c r="L32" s="5"/>
      <c r="M32" s="0" t="n">
        <f aca="false">E32/COUNT($E$4:E32)</f>
        <v>0.00401102817437998</v>
      </c>
      <c r="N32" s="19" t="n">
        <f aca="false">M32*252</f>
        <v>1.01077909994376</v>
      </c>
      <c r="O32" s="20" t="n">
        <f aca="false">STDEV($D$4:$D32)</f>
        <v>0.0300317857063039</v>
      </c>
      <c r="P32" s="20" t="n">
        <f aca="false">O32*SQRT(252)</f>
        <v>0.476739818436387</v>
      </c>
      <c r="Q32" s="0" t="n">
        <f aca="false">Treasuries!J30/100</f>
        <v>0.0458</v>
      </c>
      <c r="R32" s="20" t="n">
        <f aca="false">AJ32/AK32*SQRT(252)</f>
        <v>2.01582055619802</v>
      </c>
      <c r="S32" s="32" t="n">
        <f aca="false">IF(D32&lt;s_p!H32, D32-s_p!H32, 0)</f>
        <v>-0.0182403057640549</v>
      </c>
      <c r="T32" s="0" t="n">
        <f aca="false">S32^2</f>
        <v>0.000332708754366215</v>
      </c>
      <c r="U32" s="0" t="n">
        <f aca="false">SQRT(AVERAGE(T$4:T32)) * SQRT(252)</f>
        <v>0.308652262989702</v>
      </c>
      <c r="V32" s="0" t="n">
        <f aca="false">AJ32/U32*252</f>
        <v>3.11575857897318</v>
      </c>
      <c r="W32" s="22" t="n">
        <f aca="false">(s_p!$J32)/COUNT(s_p!$J$4:$J32)</f>
        <v>0.000402481629351709</v>
      </c>
      <c r="X32" s="22" t="n">
        <f aca="false">W32 * 252</f>
        <v>0.101425370596631</v>
      </c>
      <c r="Y32" s="21" t="n">
        <f aca="false">STDEV(s_p!$H$4:$H32)</f>
        <v>0.00666802835250385</v>
      </c>
      <c r="Z32" s="21" t="n">
        <f aca="false">Y32*SQRT(252)</f>
        <v>0.105851668535118</v>
      </c>
      <c r="AA32" s="0" t="n">
        <f aca="false">AJ32/AK32</f>
        <v>0.126984759034092</v>
      </c>
      <c r="AB32" s="0" t="n">
        <f aca="false">_xlfn.COVARIANCE.S($D$4:$D32,s_p!$H$4:$H32)</f>
        <v>2.16079195876042E-005</v>
      </c>
      <c r="AC32" s="0" t="n">
        <f aca="false">_xlfn.VAR.S(s_p!$H$4:$H32)</f>
        <v>4.44626021097952E-005</v>
      </c>
      <c r="AD32" s="0" t="n">
        <f aca="false">AB32/AC32</f>
        <v>0.48597964496648</v>
      </c>
      <c r="AE32" s="0" t="n">
        <f aca="false">M32-(AD32*W32)</f>
        <v>0.00381543029504211</v>
      </c>
      <c r="AF32" s="33" t="n">
        <f aca="false">MAX($E$4:E32)</f>
        <v>0.208819804331584</v>
      </c>
      <c r="AG32" s="0" t="n">
        <f aca="false">1 - ((1 + E32) / (1 + AF32))</f>
        <v>0.0765209065429836</v>
      </c>
      <c r="AH32" s="0" t="n">
        <f aca="false">MAX($AG$5:AG32)</f>
        <v>0.12831798382393</v>
      </c>
      <c r="AI32" s="19" t="n">
        <f aca="false">D32-s_p!H32</f>
        <v>-0.0182403057640549</v>
      </c>
      <c r="AJ32" s="19" t="n">
        <f aca="false">AVERAGE(AI$4:AI32)</f>
        <v>0.00381621403305417</v>
      </c>
      <c r="AK32" s="0" t="n">
        <f aca="false">STDEV(AI$4:AI32)</f>
        <v>0.0300525359270054</v>
      </c>
    </row>
    <row r="33" customFormat="false" ht="13.8" hidden="false" customHeight="false" outlineLevel="0" collapsed="false">
      <c r="A33" s="6" t="n">
        <f aca="false">WORKDAY(A32,1,holiday!$B$2:$B$10)</f>
        <v>38762</v>
      </c>
      <c r="B33" s="24" t="n">
        <v>1120785.09632525</v>
      </c>
      <c r="C33" s="24" t="n">
        <f aca="false">B33-B32</f>
        <v>4465.27926822798</v>
      </c>
      <c r="D33" s="31" t="n">
        <f aca="false">C33/B32</f>
        <v>0.00399999999999992</v>
      </c>
      <c r="E33" s="31" t="n">
        <f aca="false" t="array" ref="E33:E33">PRODUCT(1+$D$4:D33)-1</f>
        <v>0.120785096325247</v>
      </c>
      <c r="F33" s="0" t="n">
        <f aca="false">IF(ISBLANK(A34),MONTH(A33),IF(MONTH(A34)-MONTH(A33)=1,MONTH(A33),0))</f>
        <v>0</v>
      </c>
      <c r="G33" s="0" t="str">
        <f aca="false">IF(B34&gt;B33,IF(AND(B32&gt;B33,B34&gt;B33),"min",""),IF(AND(B32&gt;B33,B34&gt;B33),"",IF(AND(B32&lt;B33,B34&lt;B33),"max","")))</f>
        <v/>
      </c>
      <c r="H33" s="0" t="str">
        <f aca="false">IF(G33="min",COUNTIF(G$4:G33,"min"),IF(G33="max",COUNTIF(G$4:G33,"max"),""))</f>
        <v/>
      </c>
      <c r="I33" s="24" t="str">
        <f aca="false" t="array" ref="I33:I33">IF($G$3=0,IF(G33="min",INDEX($B$4:$B$254,(MATCH(1,($G$4:$G$254="max")*($H$4:$H$254=(H33-1)),0))),""),IF($G$3=1,IF(G33="min",INDEX($B$4:$B$254,(MATCH(1,($G$4:$G$254="max")*($H$4:$H$254=(H33)),0))),""),""))</f>
        <v/>
      </c>
      <c r="J33" s="29" t="str">
        <f aca="false">IF(AND(G31=0,G33="min",H33=1),B33-B32,IF(G33="min",B33-I33,""))</f>
        <v/>
      </c>
      <c r="K33" s="34" t="str">
        <f aca="false">IF(AND(G31=0,G33="min",H33=1),(B33-B32)/B32,IF(G33="min",(B33-I33)/I33,""))</f>
        <v/>
      </c>
      <c r="L33" s="5"/>
      <c r="M33" s="0" t="n">
        <f aca="false">E33/COUNT($E$4:E33)</f>
        <v>0.00402616987750825</v>
      </c>
      <c r="N33" s="19" t="n">
        <f aca="false">M33*252</f>
        <v>1.01459480913208</v>
      </c>
      <c r="O33" s="20" t="n">
        <f aca="false">STDEV($D$4:$D33)</f>
        <v>0.0295094859091224</v>
      </c>
      <c r="P33" s="20" t="n">
        <f aca="false">O33*SQRT(252)</f>
        <v>0.468448566197415</v>
      </c>
      <c r="Q33" s="0" t="n">
        <f aca="false">Treasuries!J31/100</f>
        <v>0.0462</v>
      </c>
      <c r="R33" s="20" t="n">
        <f aca="false">AJ33/AK33*SQRT(252)</f>
        <v>1.87154907804151</v>
      </c>
      <c r="S33" s="32" t="n">
        <f aca="false">IF(D33&lt;s_p!H33, D33-s_p!H33, 0)</f>
        <v>-0.00603278273126078</v>
      </c>
      <c r="T33" s="0" t="n">
        <f aca="false">S33^2</f>
        <v>3.63944674825983E-005</v>
      </c>
      <c r="U33" s="0" t="n">
        <f aca="false">SQRT(AVERAGE(T$4:T33)) * SQRT(252)</f>
        <v>0.303967748827453</v>
      </c>
      <c r="V33" s="0" t="n">
        <f aca="false">AJ33/U33*252</f>
        <v>2.89160401687333</v>
      </c>
      <c r="W33" s="22" t="n">
        <f aca="false">(s_p!$J33)/COUNT(s_p!$J$4:$J33)</f>
        <v>0.000727395076464599</v>
      </c>
      <c r="X33" s="22" t="n">
        <f aca="false">W33 * 252</f>
        <v>0.183303559269079</v>
      </c>
      <c r="Y33" s="21" t="n">
        <f aca="false">STDEV(s_p!$H$4:$H33)</f>
        <v>0.00678295621999487</v>
      </c>
      <c r="Z33" s="21" t="n">
        <f aca="false">Y33*SQRT(252)</f>
        <v>0.107676091871671</v>
      </c>
      <c r="AA33" s="0" t="n">
        <f aca="false">AJ33/AK33</f>
        <v>0.117896510165478</v>
      </c>
      <c r="AB33" s="0" t="n">
        <f aca="false">_xlfn.COVARIANCE.S($D$4:$D33,s_p!$H$4:$H33)</f>
        <v>2.07865932184501E-005</v>
      </c>
      <c r="AC33" s="0" t="n">
        <f aca="false">_xlfn.VAR.S(s_p!$H$4:$H33)</f>
        <v>4.60084950823671E-005</v>
      </c>
      <c r="AD33" s="0" t="n">
        <f aca="false">AB33/AC33</f>
        <v>0.451799024967818</v>
      </c>
      <c r="AE33" s="0" t="n">
        <f aca="false">M33-(AD33*W33)</f>
        <v>0.00369753349119515</v>
      </c>
      <c r="AF33" s="33" t="n">
        <f aca="false">MAX($E$4:E33)</f>
        <v>0.208819804331584</v>
      </c>
      <c r="AG33" s="0" t="n">
        <f aca="false">1 - ((1 + E33) / (1 + AF33))</f>
        <v>0.0728269901691556</v>
      </c>
      <c r="AH33" s="0" t="n">
        <f aca="false">MAX($AG$5:AG33)</f>
        <v>0.12831798382393</v>
      </c>
      <c r="AI33" s="19" t="n">
        <f aca="false">D33-s_p!H33</f>
        <v>-0.00603278273126082</v>
      </c>
      <c r="AJ33" s="19" t="n">
        <f aca="false">AVERAGE(AI$4:AI33)</f>
        <v>0.00348791414091034</v>
      </c>
      <c r="AK33" s="0" t="n">
        <f aca="false">STDEV(AI$4:AI33)</f>
        <v>0.0295845410183453</v>
      </c>
    </row>
    <row r="34" customFormat="false" ht="13.8" hidden="false" customHeight="false" outlineLevel="0" collapsed="false">
      <c r="A34" s="6" t="n">
        <f aca="false">WORKDAY(A33,1,holiday!$B$2:$B$10)</f>
        <v>38763</v>
      </c>
      <c r="B34" s="24" t="n">
        <v>1150710.05839713</v>
      </c>
      <c r="C34" s="24" t="n">
        <f aca="false">B34-B33</f>
        <v>29924.9620718842</v>
      </c>
      <c r="D34" s="31" t="n">
        <f aca="false">C34/B33</f>
        <v>0.0267000000000001</v>
      </c>
      <c r="E34" s="31" t="n">
        <f aca="false" t="array" ref="E34:E34">PRODUCT(1+$D$4:D34)-1</f>
        <v>0.150710058397132</v>
      </c>
      <c r="F34" s="0" t="n">
        <f aca="false">IF(ISBLANK(A35),MONTH(A34),IF(MONTH(A35)-MONTH(A34)=1,MONTH(A34),0))</f>
        <v>0</v>
      </c>
      <c r="G34" s="0" t="str">
        <f aca="false">IF(B35&gt;B34,IF(AND(B33&gt;B34,B35&gt;B34),"min",""),IF(AND(B33&gt;B34,B35&gt;B34),"",IF(AND(B33&lt;B34,B35&lt;B34),"max","")))</f>
        <v/>
      </c>
      <c r="H34" s="0" t="str">
        <f aca="false">IF(G34="min",COUNTIF(G$4:G34,"min"),IF(G34="max",COUNTIF(G$4:G34,"max"),""))</f>
        <v/>
      </c>
      <c r="I34" s="24" t="str">
        <f aca="false" t="array" ref="I34:I34">IF($G$3=0,IF(G34="min",INDEX($B$4:$B$254,(MATCH(1,($G$4:$G$254="max")*($H$4:$H$254=(H34-1)),0))),""),IF($G$3=1,IF(G34="min",INDEX($B$4:$B$254,(MATCH(1,($G$4:$G$254="max")*($H$4:$H$254=(H34)),0))),""),""))</f>
        <v/>
      </c>
      <c r="J34" s="29" t="str">
        <f aca="false">IF(AND(G32=0,G34="min",H34=1),B34-B33,IF(G34="min",B34-I34,""))</f>
        <v/>
      </c>
      <c r="K34" s="34" t="str">
        <f aca="false">IF(AND(G32=0,G34="min",H34=1),(B34-B33)/B33,IF(G34="min",(B34-I34)/I34,""))</f>
        <v/>
      </c>
      <c r="L34" s="5"/>
      <c r="M34" s="0" t="n">
        <f aca="false">E34/COUNT($E$4:E34)</f>
        <v>0.00486161478700425</v>
      </c>
      <c r="N34" s="19" t="n">
        <f aca="false">M34*252</f>
        <v>1.22512692632507</v>
      </c>
      <c r="O34" s="20" t="n">
        <f aca="false">STDEV($D$4:$D34)</f>
        <v>0.0292928300523032</v>
      </c>
      <c r="P34" s="20" t="n">
        <f aca="false">O34*SQRT(252)</f>
        <v>0.465009261094041</v>
      </c>
      <c r="Q34" s="0" t="n">
        <f aca="false">Treasuries!J32/100</f>
        <v>0.0461</v>
      </c>
      <c r="R34" s="20" t="n">
        <f aca="false">AJ34/AK34*SQRT(252)</f>
        <v>2.2340164328927</v>
      </c>
      <c r="S34" s="32" t="n">
        <f aca="false">IF(D34&lt;s_p!H34, D34-s_p!H34, 0)</f>
        <v>0</v>
      </c>
      <c r="T34" s="0" t="n">
        <f aca="false">S34^2</f>
        <v>0</v>
      </c>
      <c r="U34" s="0" t="n">
        <f aca="false">SQRT(AVERAGE(T$4:T34)) * SQRT(252)</f>
        <v>0.299024854389196</v>
      </c>
      <c r="V34" s="0" t="n">
        <f aca="false">AJ34/U34*252</f>
        <v>3.47515784772201</v>
      </c>
      <c r="W34" s="22" t="n">
        <f aca="false">(s_p!$J34)/COUNT(s_p!$J$4:$J34)</f>
        <v>0.000819443579461861</v>
      </c>
      <c r="X34" s="22" t="n">
        <f aca="false">W34 * 252</f>
        <v>0.206499782024389</v>
      </c>
      <c r="Y34" s="21" t="n">
        <f aca="false">STDEV(s_p!$H$4:$H34)</f>
        <v>0.006687377992556</v>
      </c>
      <c r="Z34" s="21" t="n">
        <f aca="false">Y34*SQRT(252)</f>
        <v>0.106158834548337</v>
      </c>
      <c r="AA34" s="0" t="n">
        <f aca="false">AJ34/AK34</f>
        <v>0.140729807292041</v>
      </c>
      <c r="AB34" s="0" t="n">
        <f aca="false">_xlfn.COVARIANCE.S($D$4:$D34,s_p!$H$4:$H34)</f>
        <v>2.20959575595285E-005</v>
      </c>
      <c r="AC34" s="0" t="n">
        <f aca="false">_xlfn.VAR.S(s_p!$H$4:$H34)</f>
        <v>4.47210244153223E-005</v>
      </c>
      <c r="AD34" s="0" t="n">
        <f aca="false">AB34/AC34</f>
        <v>0.494084333899068</v>
      </c>
      <c r="AE34" s="0" t="n">
        <f aca="false">M34-(AD34*W34)</f>
        <v>0.00445674055187797</v>
      </c>
      <c r="AF34" s="33" t="n">
        <f aca="false">MAX($E$4:E34)</f>
        <v>0.208819804331584</v>
      </c>
      <c r="AG34" s="0" t="n">
        <f aca="false">1 - ((1 + E34) / (1 + AF34))</f>
        <v>0.048071470806672</v>
      </c>
      <c r="AH34" s="0" t="n">
        <f aca="false">MAX($AG$5:AG34)</f>
        <v>0.12831798382393</v>
      </c>
      <c r="AI34" s="19" t="n">
        <f aca="false">D34-s_p!H34</f>
        <v>0.0231955743886855</v>
      </c>
      <c r="AJ34" s="19" t="n">
        <f aca="false">AVERAGE(AI$4:AI34)</f>
        <v>0.00412364511664502</v>
      </c>
      <c r="AK34" s="0" t="n">
        <f aca="false">STDEV(AI$4:AI34)</f>
        <v>0.0293018600394136</v>
      </c>
    </row>
    <row r="35" customFormat="false" ht="13.8" hidden="false" customHeight="false" outlineLevel="0" collapsed="false">
      <c r="A35" s="6" t="n">
        <f aca="false">WORKDAY(A34,1,holiday!$B$2:$B$10)</f>
        <v>38764</v>
      </c>
      <c r="B35" s="24" t="n">
        <v>1154047.11756648</v>
      </c>
      <c r="C35" s="24" t="n">
        <f aca="false">B35-B34</f>
        <v>3337.05916935159</v>
      </c>
      <c r="D35" s="31" t="n">
        <f aca="false">C35/B34</f>
        <v>0.00289999999999992</v>
      </c>
      <c r="E35" s="31" t="n">
        <f aca="false" t="array" ref="E35:E35">PRODUCT(1+$D$4:D35)-1</f>
        <v>0.154047117566483</v>
      </c>
      <c r="F35" s="0" t="n">
        <f aca="false">IF(ISBLANK(A36),MONTH(A35),IF(MONTH(A36)-MONTH(A35)=1,MONTH(A35),0))</f>
        <v>0</v>
      </c>
      <c r="G35" s="0" t="str">
        <f aca="false">IF(B36&gt;B35,IF(AND(B34&gt;B35,B36&gt;B35),"min",""),IF(AND(B34&gt;B35,B36&gt;B35),"",IF(AND(B34&lt;B35,B36&lt;B35),"max","")))</f>
        <v>max</v>
      </c>
      <c r="H35" s="0" t="n">
        <f aca="false">IF(G35="min",COUNTIF(G$4:G35,"min"),IF(G35="max",COUNTIF(G$4:G35,"max"),""))</f>
        <v>9</v>
      </c>
      <c r="I35" s="24" t="str">
        <f aca="false" t="array" ref="I35:I35">IF($G$3=0,IF(G35="min",INDEX($B$4:$B$254,(MATCH(1,($G$4:$G$254="max")*($H$4:$H$254=(H35-1)),0))),""),IF($G$3=1,IF(G35="min",INDEX($B$4:$B$254,(MATCH(1,($G$4:$G$254="max")*($H$4:$H$254=(H35)),0))),""),""))</f>
        <v/>
      </c>
      <c r="J35" s="29" t="str">
        <f aca="false">IF(AND(G33=0,G35="min",H35=1),B35-B34,IF(G35="min",B35-I35,""))</f>
        <v/>
      </c>
      <c r="K35" s="34" t="str">
        <f aca="false">IF(AND(G33=0,G35="min",H35=1),(B35-B34)/B34,IF(G35="min",(B35-I35)/I35,""))</f>
        <v/>
      </c>
      <c r="L35" s="5"/>
      <c r="M35" s="0" t="n">
        <f aca="false">E35/COUNT($E$4:E35)</f>
        <v>0.00481397242395261</v>
      </c>
      <c r="N35" s="19" t="n">
        <f aca="false">M35*252</f>
        <v>1.21312105083606</v>
      </c>
      <c r="O35" s="20" t="n">
        <f aca="false">STDEV($D$4:$D35)</f>
        <v>0.0288187815033653</v>
      </c>
      <c r="P35" s="20" t="n">
        <f aca="false">O35*SQRT(252)</f>
        <v>0.457483973674877</v>
      </c>
      <c r="Q35" s="0" t="n">
        <f aca="false">Treasuries!J33/100</f>
        <v>0.0459</v>
      </c>
      <c r="R35" s="20" t="n">
        <f aca="false">AJ35/AK35*SQRT(252)</f>
        <v>2.12085603506426</v>
      </c>
      <c r="S35" s="32" t="n">
        <f aca="false">IF(D35&lt;s_p!H35, D35-s_p!H35, 0)</f>
        <v>-0.00442812500000021</v>
      </c>
      <c r="T35" s="0" t="n">
        <f aca="false">S35^2</f>
        <v>1.96082910156269E-005</v>
      </c>
      <c r="U35" s="0" t="n">
        <f aca="false">SQRT(AVERAGE(T$4:T35)) * SQRT(252)</f>
        <v>0.294577719962874</v>
      </c>
      <c r="V35" s="0" t="n">
        <f aca="false">AJ35/U35*252</f>
        <v>3.29900502946537</v>
      </c>
      <c r="W35" s="22" t="n">
        <f aca="false">(s_p!$J35)/COUNT(s_p!$J$4:$J35)</f>
        <v>0.00102865720305378</v>
      </c>
      <c r="X35" s="22" t="n">
        <f aca="false">W35 * 252</f>
        <v>0.259221615169552</v>
      </c>
      <c r="Y35" s="21" t="n">
        <f aca="false">STDEV(s_p!$H$4:$H35)</f>
        <v>0.00667813423815696</v>
      </c>
      <c r="Z35" s="21" t="n">
        <f aca="false">Y35*SQRT(252)</f>
        <v>0.106012094496415</v>
      </c>
      <c r="AA35" s="0" t="n">
        <f aca="false">AJ35/AK35</f>
        <v>0.133601372270251</v>
      </c>
      <c r="AB35" s="0" t="n">
        <f aca="false">_xlfn.COVARIANCE.S($D$4:$D35,s_p!$H$4:$H35)</f>
        <v>2.09659926678664E-005</v>
      </c>
      <c r="AC35" s="0" t="n">
        <f aca="false">_xlfn.VAR.S(s_p!$H$4:$H35)</f>
        <v>4.45974769028443E-005</v>
      </c>
      <c r="AD35" s="0" t="n">
        <f aca="false">AB35/AC35</f>
        <v>0.470116116961972</v>
      </c>
      <c r="AE35" s="0" t="n">
        <f aca="false">M35-(AD35*W35)</f>
        <v>0.004330384093968</v>
      </c>
      <c r="AF35" s="33" t="n">
        <f aca="false">MAX($E$4:E35)</f>
        <v>0.208819804331584</v>
      </c>
      <c r="AG35" s="0" t="n">
        <f aca="false">1 - ((1 + E35) / (1 + AF35))</f>
        <v>0.0453108780720112</v>
      </c>
      <c r="AH35" s="0" t="n">
        <f aca="false">MAX($AG$5:AG35)</f>
        <v>0.12831798382393</v>
      </c>
      <c r="AI35" s="19" t="n">
        <f aca="false">D35-s_p!H35</f>
        <v>-0.00442812500000021</v>
      </c>
      <c r="AJ35" s="19" t="n">
        <f aca="false">AVERAGE(AI$4:AI35)</f>
        <v>0.00385640230049986</v>
      </c>
      <c r="AK35" s="0" t="n">
        <f aca="false">STDEV(AI$4:AI35)</f>
        <v>0.0288649901941058</v>
      </c>
    </row>
    <row r="36" customFormat="false" ht="13.8" hidden="false" customHeight="false" outlineLevel="0" collapsed="false">
      <c r="A36" s="6" t="n">
        <f aca="false">WORKDAY(A35,1,holiday!$B$2:$B$10)</f>
        <v>38765</v>
      </c>
      <c r="B36" s="24" t="n">
        <v>1111462.77892828</v>
      </c>
      <c r="C36" s="24" t="n">
        <f aca="false">B36-B35</f>
        <v>-42584.3386382032</v>
      </c>
      <c r="D36" s="31" t="n">
        <f aca="false">C36/B35</f>
        <v>-0.0369</v>
      </c>
      <c r="E36" s="31" t="n">
        <f aca="false" t="array" ref="E36:E36">PRODUCT(1+$D$4:D36)-1</f>
        <v>0.11146277892828</v>
      </c>
      <c r="F36" s="0" t="n">
        <f aca="false">IF(ISBLANK(A37),MONTH(A36),IF(MONTH(A37)-MONTH(A36)=1,MONTH(A36),0))</f>
        <v>0</v>
      </c>
      <c r="G36" s="0" t="str">
        <f aca="false">IF(B37&gt;B36,IF(AND(B35&gt;B36,B37&gt;B36),"min",""),IF(AND(B35&gt;B36,B37&gt;B36),"",IF(AND(B35&lt;B36,B37&lt;B36),"max","")))</f>
        <v>min</v>
      </c>
      <c r="H36" s="0" t="n">
        <f aca="false">IF(G36="min",COUNTIF(G$4:G36,"min"),IF(G36="max",COUNTIF(G$4:G36,"max"),""))</f>
        <v>10</v>
      </c>
      <c r="I36" s="24" t="n">
        <f aca="false" t="array" ref="I36:I36">IF($G$3=0,IF(G36="min",INDEX($B$4:$B$254,(MATCH(1,($G$4:$G$254="max")*($H$4:$H$254=(H36-1)),0))),""),IF($G$3=1,IF(G36="min",INDEX($B$4:$B$254,(MATCH(1,($G$4:$G$254="max")*($H$4:$H$254=(H36)),0))),""),""))</f>
        <v>1154047.11756648</v>
      </c>
      <c r="J36" s="29" t="n">
        <f aca="false">IF(AND(G34=0,G36="min",H36=1),B36-B35,IF(G36="min",B36-I36,""))</f>
        <v>-42584.3386382</v>
      </c>
      <c r="K36" s="34" t="n">
        <f aca="false">IF(AND(G34=0,G36="min",H36=1),(B36-B35)/B35,IF(G36="min",(B36-I36)/I36,""))</f>
        <v>-0.0368999999999973</v>
      </c>
      <c r="L36" s="5"/>
      <c r="M36" s="0" t="n">
        <f aca="false">E36/COUNT($E$4:E36)</f>
        <v>0.00337765996752364</v>
      </c>
      <c r="N36" s="19" t="n">
        <f aca="false">M36*252</f>
        <v>0.851170311815958</v>
      </c>
      <c r="O36" s="20" t="n">
        <f aca="false">STDEV($D$4:$D36)</f>
        <v>0.0292829518481214</v>
      </c>
      <c r="P36" s="20" t="n">
        <f aca="false">O36*SQRT(252)</f>
        <v>0.464852449464051</v>
      </c>
      <c r="Q36" s="0" t="n">
        <f aca="false">Treasuries!J34/100</f>
        <v>0.0454</v>
      </c>
      <c r="R36" s="20" t="n">
        <f aca="false">AJ36/AK36*SQRT(252)</f>
        <v>1.45173150820612</v>
      </c>
      <c r="S36" s="32" t="n">
        <f aca="false">IF(D36&lt;s_p!H36, D36-s_p!H36, 0)</f>
        <v>-0.0352402875800772</v>
      </c>
      <c r="T36" s="0" t="n">
        <f aca="false">S36^2</f>
        <v>0.00124187786872654</v>
      </c>
      <c r="U36" s="0" t="n">
        <f aca="false">SQRT(AVERAGE(T$4:T36)) * SQRT(252)</f>
        <v>0.305990011823119</v>
      </c>
      <c r="V36" s="0" t="n">
        <f aca="false">AJ36/U36*252</f>
        <v>2.20025756660621</v>
      </c>
      <c r="W36" s="22" t="n">
        <f aca="false">(s_p!$J36)/COUNT(s_p!$J$4:$J36)</f>
        <v>0.000945535917377399</v>
      </c>
      <c r="X36" s="22" t="n">
        <f aca="false">W36 * 252</f>
        <v>0.238275051179104</v>
      </c>
      <c r="Y36" s="21" t="n">
        <f aca="false">STDEV(s_p!$H$4:$H36)</f>
        <v>0.00658966793701819</v>
      </c>
      <c r="Z36" s="21" t="n">
        <f aca="false">Y36*SQRT(252)</f>
        <v>0.104607735503077</v>
      </c>
      <c r="AA36" s="0" t="n">
        <f aca="false">AJ36/AK36</f>
        <v>0.0914504890750032</v>
      </c>
      <c r="AB36" s="0" t="n">
        <f aca="false">_xlfn.COVARIANCE.S($D$4:$D36,s_p!$H$4:$H36)</f>
        <v>2.37223578924542E-005</v>
      </c>
      <c r="AC36" s="0" t="n">
        <f aca="false">_xlfn.VAR.S(s_p!$H$4:$H36)</f>
        <v>4.34237235201656E-005</v>
      </c>
      <c r="AD36" s="0" t="n">
        <f aca="false">AB36/AC36</f>
        <v>0.546299487224714</v>
      </c>
      <c r="AE36" s="0" t="n">
        <f aca="false">M36-(AD36*W36)</f>
        <v>0.00286111418070782</v>
      </c>
      <c r="AF36" s="33" t="n">
        <f aca="false">MAX($E$4:E36)</f>
        <v>0.208819804331584</v>
      </c>
      <c r="AG36" s="0" t="n">
        <f aca="false">1 - ((1 + E36) / (1 + AF36))</f>
        <v>0.0805389066711539</v>
      </c>
      <c r="AH36" s="0" t="n">
        <f aca="false">MAX($AG$5:AG36)</f>
        <v>0.12831798382393</v>
      </c>
      <c r="AI36" s="19" t="n">
        <f aca="false">D36-s_p!H36</f>
        <v>-0.0352402875800772</v>
      </c>
      <c r="AJ36" s="19" t="n">
        <f aca="false">AVERAGE(AI$4:AI36)</f>
        <v>0.00267165412230056</v>
      </c>
      <c r="AK36" s="0" t="n">
        <f aca="false">STDEV(AI$4:AI36)</f>
        <v>0.0292142136069868</v>
      </c>
    </row>
    <row r="37" customFormat="false" ht="13.8" hidden="false" customHeight="false" outlineLevel="0" collapsed="false">
      <c r="A37" s="6" t="n">
        <f aca="false">WORKDAY(A36,1,holiday!$B$2:$B$10)</f>
        <v>38769</v>
      </c>
      <c r="B37" s="24" t="n">
        <v>1117798.11676817</v>
      </c>
      <c r="C37" s="24" t="n">
        <f aca="false">B37-B36</f>
        <v>6335.3378398912</v>
      </c>
      <c r="D37" s="31" t="n">
        <f aca="false">C37/B36</f>
        <v>0.00570000000000001</v>
      </c>
      <c r="E37" s="31" t="n">
        <f aca="false" t="array" ref="E37:E37">PRODUCT(1+$D$4:D37)-1</f>
        <v>0.117798116768171</v>
      </c>
      <c r="F37" s="0" t="n">
        <f aca="false">IF(ISBLANK(A38),MONTH(A37),IF(MONTH(A38)-MONTH(A37)=1,MONTH(A37),0))</f>
        <v>0</v>
      </c>
      <c r="G37" s="0" t="str">
        <f aca="false">IF(B38&gt;B37,IF(AND(B36&gt;B37,B38&gt;B37),"min",""),IF(AND(B36&gt;B37,B38&gt;B37),"",IF(AND(B36&lt;B37,B38&lt;B37),"max","")))</f>
        <v/>
      </c>
      <c r="H37" s="0" t="str">
        <f aca="false">IF(G37="min",COUNTIF(G$4:G37,"min"),IF(G37="max",COUNTIF(G$4:G37,"max"),""))</f>
        <v/>
      </c>
      <c r="I37" s="24" t="str">
        <f aca="false" t="array" ref="I37:I37">IF($G$3=0,IF(G37="min",INDEX($B$4:$B$254,(MATCH(1,($G$4:$G$254="max")*($H$4:$H$254=(H37-1)),0))),""),IF($G$3=1,IF(G37="min",INDEX($B$4:$B$254,(MATCH(1,($G$4:$G$254="max")*($H$4:$H$254=(H37)),0))),""),""))</f>
        <v/>
      </c>
      <c r="J37" s="29" t="str">
        <f aca="false">IF(AND(G35=0,G37="min",H37=1),B37-B36,IF(G37="min",B37-I37,""))</f>
        <v/>
      </c>
      <c r="K37" s="34" t="str">
        <f aca="false">IF(AND(G35=0,G37="min",H37=1),(B37-B36)/B36,IF(G37="min",(B37-I37)/I37,""))</f>
        <v/>
      </c>
      <c r="L37" s="5"/>
      <c r="M37" s="0" t="n">
        <f aca="false">E37/COUNT($E$4:E37)</f>
        <v>0.00346465049318151</v>
      </c>
      <c r="N37" s="19" t="n">
        <f aca="false">M37*252</f>
        <v>0.873091924281741</v>
      </c>
      <c r="O37" s="20" t="n">
        <f aca="false">STDEV($D$4:$D37)</f>
        <v>0.0288380549543002</v>
      </c>
      <c r="P37" s="20" t="n">
        <f aca="false">O37*SQRT(252)</f>
        <v>0.457789930223355</v>
      </c>
      <c r="Q37" s="0" t="n">
        <f aca="false">Treasuries!J35/100</f>
        <v>0.0457</v>
      </c>
      <c r="R37" s="20" t="n">
        <f aca="false">AJ37/AK37*SQRT(252)</f>
        <v>1.5753591454746</v>
      </c>
      <c r="S37" s="32" t="n">
        <f aca="false">IF(D37&lt;s_p!H37, D37-s_p!H37, 0)</f>
        <v>0</v>
      </c>
      <c r="T37" s="0" t="n">
        <f aca="false">S37^2</f>
        <v>0</v>
      </c>
      <c r="U37" s="0" t="n">
        <f aca="false">SQRT(AVERAGE(T$4:T37)) * SQRT(252)</f>
        <v>0.301456575844286</v>
      </c>
      <c r="V37" s="0" t="n">
        <f aca="false">AJ37/U37*252</f>
        <v>2.38821419003657</v>
      </c>
      <c r="W37" s="22" t="n">
        <f aca="false">(s_p!$J37)/COUNT(s_p!$J$4:$J37)</f>
        <v>0.000818531515819526</v>
      </c>
      <c r="X37" s="22" t="n">
        <f aca="false">W37 * 252</f>
        <v>0.20626994198652</v>
      </c>
      <c r="Y37" s="21" t="n">
        <f aca="false">STDEV(s_p!$H$4:$H37)</f>
        <v>0.00652935006190343</v>
      </c>
      <c r="Z37" s="21" t="n">
        <f aca="false">Y37*SQRT(252)</f>
        <v>0.103650218920084</v>
      </c>
      <c r="AA37" s="0" t="n">
        <f aca="false">AJ37/AK37</f>
        <v>0.0992382982032623</v>
      </c>
      <c r="AB37" s="0" t="n">
        <f aca="false">_xlfn.COVARIANCE.S($D$4:$D37,s_p!$H$4:$H37)</f>
        <v>2.27456680009427E-005</v>
      </c>
      <c r="AC37" s="0" t="n">
        <f aca="false">_xlfn.VAR.S(s_p!$H$4:$H37)</f>
        <v>4.26324122308783E-005</v>
      </c>
      <c r="AD37" s="0" t="n">
        <f aca="false">AB37/AC37</f>
        <v>0.53352993205644</v>
      </c>
      <c r="AE37" s="0" t="n">
        <f aca="false">M37-(AD37*W37)</f>
        <v>0.00302793942916027</v>
      </c>
      <c r="AF37" s="33" t="n">
        <f aca="false">MAX($E$4:E37)</f>
        <v>0.208819804331584</v>
      </c>
      <c r="AG37" s="0" t="n">
        <f aca="false">1 - ((1 + E37) / (1 + AF37))</f>
        <v>0.0752979784391795</v>
      </c>
      <c r="AH37" s="0" t="n">
        <f aca="false">MAX($AG$5:AG37)</f>
        <v>0.12831798382393</v>
      </c>
      <c r="AI37" s="19" t="n">
        <f aca="false">D37-s_p!H37</f>
        <v>0.00897056337590504</v>
      </c>
      <c r="AJ37" s="19" t="n">
        <f aca="false">AVERAGE(AI$4:AI37)</f>
        <v>0.00285691615917128</v>
      </c>
      <c r="AK37" s="0" t="n">
        <f aca="false">STDEV(AI$4:AI37)</f>
        <v>0.0287884436845105</v>
      </c>
    </row>
    <row r="38" customFormat="false" ht="13.8" hidden="false" customHeight="false" outlineLevel="0" collapsed="false">
      <c r="A38" s="6" t="n">
        <f aca="false">WORKDAY(A37,1,holiday!$B$2:$B$10)</f>
        <v>38770</v>
      </c>
      <c r="B38" s="24" t="n">
        <v>1151108.50064786</v>
      </c>
      <c r="C38" s="24" t="n">
        <f aca="false">B38-B37</f>
        <v>33310.3838796916</v>
      </c>
      <c r="D38" s="31" t="n">
        <f aca="false">C38/B37</f>
        <v>0.0298000000000001</v>
      </c>
      <c r="E38" s="31" t="n">
        <f aca="false" t="array" ref="E38:E38">PRODUCT(1+$D$4:D38)-1</f>
        <v>0.151108500647863</v>
      </c>
      <c r="F38" s="0" t="n">
        <f aca="false">IF(ISBLANK(A39),MONTH(A38),IF(MONTH(A39)-MONTH(A38)=1,MONTH(A38),0))</f>
        <v>0</v>
      </c>
      <c r="G38" s="0" t="str">
        <f aca="false">IF(B39&gt;B38,IF(AND(B37&gt;B38,B39&gt;B38),"min",""),IF(AND(B37&gt;B38,B39&gt;B38),"",IF(AND(B37&lt;B38,B39&lt;B38),"max","")))</f>
        <v>max</v>
      </c>
      <c r="H38" s="0" t="n">
        <f aca="false">IF(G38="min",COUNTIF(G$4:G38,"min"),IF(G38="max",COUNTIF(G$4:G38,"max"),""))</f>
        <v>10</v>
      </c>
      <c r="I38" s="24" t="str">
        <f aca="false" t="array" ref="I38:I38">IF($G$3=0,IF(G38="min",INDEX($B$4:$B$254,(MATCH(1,($G$4:$G$254="max")*($H$4:$H$254=(H38-1)),0))),""),IF($G$3=1,IF(G38="min",INDEX($B$4:$B$254,(MATCH(1,($G$4:$G$254="max")*($H$4:$H$254=(H38)),0))),""),""))</f>
        <v/>
      </c>
      <c r="J38" s="29" t="str">
        <f aca="false">IF(AND(G36=0,G38="min",H38=1),B38-B37,IF(G38="min",B38-I38,""))</f>
        <v/>
      </c>
      <c r="K38" s="34" t="str">
        <f aca="false">IF(AND(G36=0,G38="min",H38=1),(B38-B37)/B37,IF(G38="min",(B38-I38)/I38,""))</f>
        <v/>
      </c>
      <c r="L38" s="5"/>
      <c r="M38" s="0" t="n">
        <f aca="false">E38/COUNT($E$4:E38)</f>
        <v>0.00431738573279609</v>
      </c>
      <c r="N38" s="19" t="n">
        <f aca="false">M38*252</f>
        <v>1.08798120466462</v>
      </c>
      <c r="O38" s="20" t="n">
        <f aca="false">STDEV($D$4:$D38)</f>
        <v>0.0287516728048236</v>
      </c>
      <c r="P38" s="20" t="n">
        <f aca="false">O38*SQRT(252)</f>
        <v>0.456418656111973</v>
      </c>
      <c r="Q38" s="0" t="n">
        <f aca="false">Treasuries!J36/100</f>
        <v>0.0453</v>
      </c>
      <c r="R38" s="20" t="n">
        <f aca="false">AJ38/AK38*SQRT(252)</f>
        <v>1.89708762905684</v>
      </c>
      <c r="S38" s="32" t="n">
        <f aca="false">IF(D38&lt;s_p!H38, D38-s_p!H38, 0)</f>
        <v>0</v>
      </c>
      <c r="T38" s="0" t="n">
        <f aca="false">S38^2</f>
        <v>0</v>
      </c>
      <c r="U38" s="0" t="n">
        <f aca="false">SQRT(AVERAGE(T$4:T38)) * SQRT(252)</f>
        <v>0.297118845008521</v>
      </c>
      <c r="V38" s="0" t="n">
        <f aca="false">AJ38/U38*252</f>
        <v>2.89391315231551</v>
      </c>
      <c r="W38" s="22" t="n">
        <f aca="false">(s_p!$J38)/COUNT(s_p!$J$4:$J38)</f>
        <v>0.00101578960017304</v>
      </c>
      <c r="X38" s="22" t="n">
        <f aca="false">W38 * 252</f>
        <v>0.255978979243605</v>
      </c>
      <c r="Y38" s="21" t="n">
        <f aca="false">STDEV(s_p!$H$4:$H38)</f>
        <v>0.00653110907167797</v>
      </c>
      <c r="Z38" s="21" t="n">
        <f aca="false">Y38*SQRT(252)</f>
        <v>0.103678142334587</v>
      </c>
      <c r="AA38" s="0" t="n">
        <f aca="false">AJ38/AK38</f>
        <v>0.119505287661466</v>
      </c>
      <c r="AB38" s="0" t="n">
        <f aca="false">_xlfn.COVARIANCE.S($D$4:$D38,s_p!$H$4:$H38)</f>
        <v>2.70646509529001E-005</v>
      </c>
      <c r="AC38" s="0" t="n">
        <f aca="false">_xlfn.VAR.S(s_p!$H$4:$H38)</f>
        <v>4.26553857061543E-005</v>
      </c>
      <c r="AD38" s="0" t="n">
        <f aca="false">AB38/AC38</f>
        <v>0.634495515744339</v>
      </c>
      <c r="AE38" s="0" t="n">
        <f aca="false">M38-(AD38*W38)</f>
        <v>0.00367287178654656</v>
      </c>
      <c r="AF38" s="33" t="n">
        <f aca="false">MAX($E$4:E38)</f>
        <v>0.208819804331584</v>
      </c>
      <c r="AG38" s="0" t="n">
        <f aca="false">1 - ((1 + E38) / (1 + AF38))</f>
        <v>0.0477418581966669</v>
      </c>
      <c r="AH38" s="0" t="n">
        <f aca="false">MAX($AG$5:AG38)</f>
        <v>0.12831798382393</v>
      </c>
      <c r="AI38" s="19" t="n">
        <f aca="false">D38-s_p!H38</f>
        <v>0.0222865357785867</v>
      </c>
      <c r="AJ38" s="19" t="n">
        <f aca="false">AVERAGE(AI$4:AI38)</f>
        <v>0.00341204814829743</v>
      </c>
      <c r="AK38" s="0" t="n">
        <f aca="false">STDEV(AI$4:AI38)</f>
        <v>0.0285514408196152</v>
      </c>
    </row>
    <row r="39" customFormat="false" ht="13.8" hidden="false" customHeight="false" outlineLevel="0" collapsed="false">
      <c r="A39" s="6" t="n">
        <f aca="false">WORKDAY(A38,1,holiday!$B$2:$B$10)</f>
        <v>38771</v>
      </c>
      <c r="B39" s="24" t="n">
        <v>1130503.65848627</v>
      </c>
      <c r="C39" s="24" t="n">
        <f aca="false">B39-B38</f>
        <v>-20604.8421615968</v>
      </c>
      <c r="D39" s="31" t="n">
        <f aca="false">C39/B38</f>
        <v>-0.0179</v>
      </c>
      <c r="E39" s="31" t="n">
        <f aca="false" t="array" ref="E39:E39">PRODUCT(1+$D$4:D39)-1</f>
        <v>0.130503658486266</v>
      </c>
      <c r="F39" s="0" t="n">
        <f aca="false">IF(ISBLANK(A40),MONTH(A39),IF(MONTH(A40)-MONTH(A39)=1,MONTH(A39),0))</f>
        <v>0</v>
      </c>
      <c r="G39" s="0" t="str">
        <f aca="false">IF(B40&gt;B39,IF(AND(B38&gt;B39,B40&gt;B39),"min",""),IF(AND(B38&gt;B39,B40&gt;B39),"",IF(AND(B38&lt;B39,B40&lt;B39),"max","")))</f>
        <v/>
      </c>
      <c r="H39" s="0" t="str">
        <f aca="false">IF(G39="min",COUNTIF(G$4:G39,"min"),IF(G39="max",COUNTIF(G$4:G39,"max"),""))</f>
        <v/>
      </c>
      <c r="I39" s="24" t="str">
        <f aca="false" t="array" ref="I39:I39">IF($G$3=0,IF(G39="min",INDEX($B$4:$B$254,(MATCH(1,($G$4:$G$254="max")*($H$4:$H$254=(H39-1)),0))),""),IF($G$3=1,IF(G39="min",INDEX($B$4:$B$254,(MATCH(1,($G$4:$G$254="max")*($H$4:$H$254=(H39)),0))),""),""))</f>
        <v/>
      </c>
      <c r="J39" s="29" t="str">
        <f aca="false">IF(AND(G37=0,G39="min",H39=1),B39-B38,IF(G39="min",B39-I39,""))</f>
        <v/>
      </c>
      <c r="K39" s="34" t="str">
        <f aca="false">IF(AND(G37=0,G39="min",H39=1),(B39-B38)/B38,IF(G39="min",(B39-I39)/I39,""))</f>
        <v/>
      </c>
      <c r="L39" s="5"/>
      <c r="M39" s="0" t="n">
        <f aca="false">E39/COUNT($E$4:E39)</f>
        <v>0.00362510162461851</v>
      </c>
      <c r="N39" s="19" t="n">
        <f aca="false">M39*252</f>
        <v>0.913525609403864</v>
      </c>
      <c r="O39" s="20" t="n">
        <f aca="false">STDEV($D$4:$D39)</f>
        <v>0.0285813303477016</v>
      </c>
      <c r="P39" s="20" t="n">
        <f aca="false">O39*SQRT(252)</f>
        <v>0.45371455343641</v>
      </c>
      <c r="Q39" s="0" t="n">
        <f aca="false">Treasuries!J37/100</f>
        <v>0.0456</v>
      </c>
      <c r="R39" s="20" t="n">
        <f aca="false">AJ39/AK39*SQRT(252)</f>
        <v>1.64115473648133</v>
      </c>
      <c r="S39" s="32" t="n">
        <f aca="false">IF(D39&lt;s_p!H39, D39-s_p!H39, 0)</f>
        <v>-0.0141248679090564</v>
      </c>
      <c r="T39" s="0" t="n">
        <f aca="false">S39^2</f>
        <v>0.000199511893448291</v>
      </c>
      <c r="U39" s="0" t="n">
        <f aca="false">SQRT(AVERAGE(T$4:T39)) * SQRT(252)</f>
        <v>0.295337061640353</v>
      </c>
      <c r="V39" s="0" t="n">
        <f aca="false">AJ39/U39*252</f>
        <v>2.49571698477536</v>
      </c>
      <c r="W39" s="22" t="n">
        <f aca="false">(s_p!$J39)/COUNT(s_p!$J$4:$J39)</f>
        <v>0.000878980222722462</v>
      </c>
      <c r="X39" s="22" t="n">
        <f aca="false">W39 * 252</f>
        <v>0.22150301612606</v>
      </c>
      <c r="Y39" s="21" t="n">
        <f aca="false">STDEV(s_p!$H$4:$H39)</f>
        <v>0.00648653974836681</v>
      </c>
      <c r="Z39" s="21" t="n">
        <f aca="false">Y39*SQRT(252)</f>
        <v>0.102970626261084</v>
      </c>
      <c r="AA39" s="0" t="n">
        <f aca="false">AJ39/AK39</f>
        <v>0.103383030850128</v>
      </c>
      <c r="AB39" s="0" t="n">
        <f aca="false">_xlfn.COVARIANCE.S($D$4:$D39,s_p!$H$4:$H39)</f>
        <v>2.92654950375798E-005</v>
      </c>
      <c r="AC39" s="0" t="n">
        <f aca="false">_xlfn.VAR.S(s_p!$H$4:$H39)</f>
        <v>4.20751979071425E-005</v>
      </c>
      <c r="AD39" s="0" t="n">
        <f aca="false">AB39/AC39</f>
        <v>0.695552165961691</v>
      </c>
      <c r="AE39" s="0" t="n">
        <f aca="false">M39-(AD39*W39)</f>
        <v>0.00301372502686641</v>
      </c>
      <c r="AF39" s="33" t="n">
        <f aca="false">MAX($E$4:E39)</f>
        <v>0.208819804331584</v>
      </c>
      <c r="AG39" s="0" t="n">
        <f aca="false">1 - ((1 + E39) / (1 + AF39))</f>
        <v>0.0647872789349467</v>
      </c>
      <c r="AH39" s="0" t="n">
        <f aca="false">MAX($AG$5:AG39)</f>
        <v>0.12831798382393</v>
      </c>
      <c r="AI39" s="19" t="n">
        <f aca="false">D39-s_p!H39</f>
        <v>-0.0141248679090564</v>
      </c>
      <c r="AJ39" s="19" t="n">
        <f aca="false">AVERAGE(AI$4:AI39)</f>
        <v>0.00292491159114871</v>
      </c>
      <c r="AK39" s="0" t="n">
        <f aca="false">STDEV(AI$4:AI39)</f>
        <v>0.0282919891891049</v>
      </c>
    </row>
    <row r="40" customFormat="false" ht="13.8" hidden="false" customHeight="false" outlineLevel="0" collapsed="false">
      <c r="A40" s="6" t="n">
        <f aca="false">WORKDAY(A39,1,holiday!$B$2:$B$10)</f>
        <v>38772</v>
      </c>
      <c r="B40" s="24" t="n">
        <v>1089692.47641491</v>
      </c>
      <c r="C40" s="24" t="n">
        <f aca="false">B40-B39</f>
        <v>-40811.1820713542</v>
      </c>
      <c r="D40" s="31" t="n">
        <f aca="false">C40/B39</f>
        <v>-0.0361</v>
      </c>
      <c r="E40" s="31" t="n">
        <f aca="false" t="array" ref="E40:E40">PRODUCT(1+$D$4:D40)-1</f>
        <v>0.0896924764149119</v>
      </c>
      <c r="F40" s="0" t="n">
        <f aca="false">IF(ISBLANK(A41),MONTH(A40),IF(MONTH(A41)-MONTH(A40)=1,MONTH(A40),0))</f>
        <v>0</v>
      </c>
      <c r="G40" s="0" t="str">
        <f aca="false">IF(B41&gt;B40,IF(AND(B39&gt;B40,B41&gt;B40),"min",""),IF(AND(B39&gt;B40,B41&gt;B40),"",IF(AND(B39&lt;B40,B41&lt;B40),"max","")))</f>
        <v/>
      </c>
      <c r="H40" s="0" t="str">
        <f aca="false">IF(G40="min",COUNTIF(G$4:G40,"min"),IF(G40="max",COUNTIF(G$4:G40,"max"),""))</f>
        <v/>
      </c>
      <c r="I40" s="24" t="str">
        <f aca="false" t="array" ref="I40:I40">IF($G$3=0,IF(G40="min",INDEX($B$4:$B$254,(MATCH(1,($G$4:$G$254="max")*($H$4:$H$254=(H40-1)),0))),""),IF($G$3=1,IF(G40="min",INDEX($B$4:$B$254,(MATCH(1,($G$4:$G$254="max")*($H$4:$H$254=(H40)),0))),""),""))</f>
        <v/>
      </c>
      <c r="J40" s="29" t="str">
        <f aca="false">IF(AND(G38=0,G40="min",H40=1),B40-B39,IF(G40="min",B40-I40,""))</f>
        <v/>
      </c>
      <c r="K40" s="34" t="str">
        <f aca="false">IF(AND(G38=0,G40="min",H40=1),(B40-B39)/B39,IF(G40="min",(B40-I40)/I40,""))</f>
        <v/>
      </c>
      <c r="L40" s="5"/>
      <c r="M40" s="0" t="n">
        <f aca="false">E40/COUNT($E$4:E40)</f>
        <v>0.00242412098418681</v>
      </c>
      <c r="N40" s="19" t="n">
        <f aca="false">M40*252</f>
        <v>0.610878488015075</v>
      </c>
      <c r="O40" s="20" t="n">
        <f aca="false">STDEV($D$4:$D40)</f>
        <v>0.0289353115112358</v>
      </c>
      <c r="P40" s="20" t="n">
        <f aca="false">O40*SQRT(252)</f>
        <v>0.459333830201487</v>
      </c>
      <c r="Q40" s="0" t="n">
        <f aca="false">Treasuries!J38/100</f>
        <v>0.0458</v>
      </c>
      <c r="R40" s="20" t="n">
        <f aca="false">AJ40/AK40*SQRT(252)</f>
        <v>1.01638189141551</v>
      </c>
      <c r="S40" s="32" t="n">
        <f aca="false">IF(D40&lt;s_p!H40, D40-s_p!H40, 0)</f>
        <v>-0.037373499561264</v>
      </c>
      <c r="T40" s="0" t="n">
        <f aca="false">S40^2</f>
        <v>0.0013967784694558</v>
      </c>
      <c r="U40" s="0" t="n">
        <f aca="false">SQRT(AVERAGE(T$4:T40)) * SQRT(252)</f>
        <v>0.307212905025416</v>
      </c>
      <c r="V40" s="0" t="n">
        <f aca="false">AJ40/U40*252</f>
        <v>1.5058380005093</v>
      </c>
      <c r="W40" s="22" t="n">
        <f aca="false">(s_p!$J40)/COUNT(s_p!$J$4:$J40)</f>
        <v>0.000890732034937308</v>
      </c>
      <c r="X40" s="22" t="n">
        <f aca="false">W40 * 252</f>
        <v>0.224464472804201</v>
      </c>
      <c r="Y40" s="21" t="n">
        <f aca="false">STDEV(s_p!$H$4:$H40)</f>
        <v>0.00639613136978169</v>
      </c>
      <c r="Z40" s="21" t="n">
        <f aca="false">Y40*SQRT(252)</f>
        <v>0.101535437744048</v>
      </c>
      <c r="AA40" s="0" t="n">
        <f aca="false">AJ40/AK40</f>
        <v>0.0640260409941646</v>
      </c>
      <c r="AB40" s="0" t="n">
        <f aca="false">_xlfn.COVARIANCE.S($D$4:$D40,s_p!$H$4:$H40)</f>
        <v>2.80347923230659E-005</v>
      </c>
      <c r="AC40" s="0" t="n">
        <f aca="false">_xlfn.VAR.S(s_p!$H$4:$H40)</f>
        <v>4.09104964995055E-005</v>
      </c>
      <c r="AD40" s="0" t="n">
        <f aca="false">AB40/AC40</f>
        <v>0.68527137829786</v>
      </c>
      <c r="AE40" s="0" t="n">
        <f aca="false">M40-(AD40*W40)</f>
        <v>0.00181372781491126</v>
      </c>
      <c r="AF40" s="33" t="n">
        <f aca="false">MAX($E$4:E40)</f>
        <v>0.208819804331584</v>
      </c>
      <c r="AG40" s="0" t="n">
        <f aca="false">1 - ((1 + E40) / (1 + AF40))</f>
        <v>0.0985484581653953</v>
      </c>
      <c r="AH40" s="0" t="n">
        <f aca="false">MAX($AG$5:AG40)</f>
        <v>0.12831798382393</v>
      </c>
      <c r="AI40" s="19" t="n">
        <f aca="false">D40-s_p!H40</f>
        <v>-0.037373499561264</v>
      </c>
      <c r="AJ40" s="19" t="n">
        <f aca="false">AVERAGE(AI$4:AI40)</f>
        <v>0.00183576534378621</v>
      </c>
      <c r="AK40" s="0" t="n">
        <f aca="false">STDEV(AI$4:AI40)</f>
        <v>0.0286721670632973</v>
      </c>
    </row>
    <row r="41" customFormat="false" ht="13.8" hidden="false" customHeight="false" outlineLevel="0" collapsed="false">
      <c r="A41" s="6" t="n">
        <f aca="false">WORKDAY(A40,1,holiday!$B$2:$B$10)</f>
        <v>38775</v>
      </c>
      <c r="B41" s="24" t="n">
        <v>1045995.80811067</v>
      </c>
      <c r="C41" s="24" t="n">
        <f aca="false">B41-B40</f>
        <v>-43696.6683042379</v>
      </c>
      <c r="D41" s="31" t="n">
        <f aca="false">C41/B40</f>
        <v>-0.0400999999999999</v>
      </c>
      <c r="E41" s="31" t="n">
        <f aca="false" t="array" ref="E41:E41">PRODUCT(1+$D$4:D41)-1</f>
        <v>0.0459958081106739</v>
      </c>
      <c r="F41" s="0" t="n">
        <f aca="false">IF(ISBLANK(A42),MONTH(A41),IF(MONTH(A42)-MONTH(A41)=1,MONTH(A41),0))</f>
        <v>0</v>
      </c>
      <c r="G41" s="0" t="str">
        <f aca="false">IF(B42&gt;B41,IF(AND(B40&gt;B41,B42&gt;B41),"min",""),IF(AND(B40&gt;B41,B42&gt;B41),"",IF(AND(B40&lt;B41,B42&lt;B41),"max","")))</f>
        <v/>
      </c>
      <c r="H41" s="0" t="str">
        <f aca="false">IF(G41="min",COUNTIF(G$4:G41,"min"),IF(G41="max",COUNTIF(G$4:G41,"max"),""))</f>
        <v/>
      </c>
      <c r="I41" s="24" t="str">
        <f aca="false" t="array" ref="I41:I41">IF($G$3=0,IF(G41="min",INDEX($B$4:$B$254,(MATCH(1,($G$4:$G$254="max")*($H$4:$H$254=(H41-1)),0))),""),IF($G$3=1,IF(G41="min",INDEX($B$4:$B$254,(MATCH(1,($G$4:$G$254="max")*($H$4:$H$254=(H41)),0))),""),""))</f>
        <v/>
      </c>
      <c r="J41" s="29" t="str">
        <f aca="false">IF(AND(G39=0,G41="min",H41=1),B41-B40,IF(G41="min",B41-I41,""))</f>
        <v/>
      </c>
      <c r="K41" s="34" t="str">
        <f aca="false">IF(AND(G39=0,G41="min",H41=1),(B41-B40)/B40,IF(G41="min",(B41-I41)/I41,""))</f>
        <v/>
      </c>
      <c r="L41" s="5"/>
      <c r="M41" s="0" t="n">
        <f aca="false">E41/COUNT($E$4:E41)</f>
        <v>0.00121041600291247</v>
      </c>
      <c r="N41" s="19" t="n">
        <f aca="false">M41*252</f>
        <v>0.305024832733943</v>
      </c>
      <c r="O41" s="20" t="n">
        <f aca="false">STDEV($D$4:$D41)</f>
        <v>0.0293752142935799</v>
      </c>
      <c r="P41" s="20" t="n">
        <f aca="false">O41*SQRT(252)</f>
        <v>0.466317070380254</v>
      </c>
      <c r="Q41" s="0" t="n">
        <f aca="false">Treasuries!J39/100</f>
        <v>0.0459</v>
      </c>
      <c r="R41" s="20" t="n">
        <f aca="false">AJ41/AK41*SQRT(252)</f>
        <v>0.345635277442189</v>
      </c>
      <c r="S41" s="32" t="n">
        <f aca="false">IF(D41&lt;s_p!H41, D41-s_p!H41, 0)</f>
        <v>-0.0437372660788099</v>
      </c>
      <c r="T41" s="0" t="n">
        <f aca="false">S41^2</f>
        <v>0.00191294844404861</v>
      </c>
      <c r="U41" s="0" t="n">
        <f aca="false">SQRT(AVERAGE(T$4:T41)) * SQRT(252)</f>
        <v>0.323391341119637</v>
      </c>
      <c r="V41" s="0" t="n">
        <f aca="false">AJ41/U41*252</f>
        <v>0.495967858412573</v>
      </c>
      <c r="W41" s="22" t="n">
        <f aca="false">(s_p!$J41)/COUNT(s_p!$J$4:$J41)</f>
        <v>0.000966163817365315</v>
      </c>
      <c r="X41" s="22" t="n">
        <f aca="false">W41 * 252</f>
        <v>0.243473281976059</v>
      </c>
      <c r="Y41" s="21" t="n">
        <f aca="false">STDEV(s_p!$H$4:$H41)</f>
        <v>0.00632474997261595</v>
      </c>
      <c r="Z41" s="21" t="n">
        <f aca="false">Y41*SQRT(252)</f>
        <v>0.100402293193226</v>
      </c>
      <c r="AA41" s="0" t="n">
        <f aca="false">AJ41/AK41</f>
        <v>0.0217729759153061</v>
      </c>
      <c r="AB41" s="0" t="n">
        <f aca="false">_xlfn.COVARIANCE.S($D$4:$D41,s_p!$H$4:$H41)</f>
        <v>2.41879762577117E-005</v>
      </c>
      <c r="AC41" s="0" t="n">
        <f aca="false">_xlfn.VAR.S(s_p!$H$4:$H41)</f>
        <v>4.00024622161055E-005</v>
      </c>
      <c r="AD41" s="0" t="n">
        <f aca="false">AB41/AC41</f>
        <v>0.60466218621846</v>
      </c>
      <c r="AE41" s="0" t="n">
        <f aca="false">M41-(AD41*W41)</f>
        <v>0.000626213276859187</v>
      </c>
      <c r="AF41" s="33" t="n">
        <f aca="false">MAX($E$4:E41)</f>
        <v>0.208819804331584</v>
      </c>
      <c r="AG41" s="0" t="n">
        <f aca="false">1 - ((1 + E41) / (1 + AF41))</f>
        <v>0.134696664992963</v>
      </c>
      <c r="AH41" s="0" t="n">
        <f aca="false">MAX($AG$5:AG41)</f>
        <v>0.134696664992963</v>
      </c>
      <c r="AI41" s="19" t="n">
        <f aca="false">D41-s_p!H41</f>
        <v>-0.0437372660788099</v>
      </c>
      <c r="AJ41" s="19" t="n">
        <f aca="false">AVERAGE(AI$4:AI41)</f>
        <v>0.000636475043191573</v>
      </c>
      <c r="AK41" s="0" t="n">
        <f aca="false">STDEV(AI$4:AI41)</f>
        <v>0.0292323403868802</v>
      </c>
      <c r="AO41" s="35"/>
    </row>
    <row r="42" customFormat="false" ht="13.8" hidden="false" customHeight="false" outlineLevel="0" collapsed="false">
      <c r="A42" s="6" t="n">
        <f aca="false">WORKDAY(A41,1,holiday!$B$2:$B$10)</f>
        <v>38776</v>
      </c>
      <c r="B42" s="24" t="n">
        <v>1033130.05967091</v>
      </c>
      <c r="C42" s="24" t="n">
        <f aca="false">B42-B41</f>
        <v>-12865.7484397612</v>
      </c>
      <c r="D42" s="31" t="n">
        <f aca="false">C42/B41</f>
        <v>-0.0122999999999999</v>
      </c>
      <c r="E42" s="31" t="n">
        <f aca="false" t="array" ref="E42:E42">PRODUCT(1+$D$4:D42)-1</f>
        <v>0.033130059670913</v>
      </c>
      <c r="F42" s="0" t="n">
        <f aca="false">IF(ISBLANK(A43),MONTH(A42),IF(MONTH(A43)-MONTH(A42)=1,MONTH(A42),0))</f>
        <v>2</v>
      </c>
      <c r="G42" s="0" t="str">
        <f aca="false">IF(B43&gt;B42,IF(AND(B41&gt;B42,B43&gt;B42),"min",""),IF(AND(B41&gt;B42,B43&gt;B42),"",IF(AND(B41&lt;B42,B43&lt;B42),"max","")))</f>
        <v/>
      </c>
      <c r="H42" s="0" t="str">
        <f aca="false">IF(G42="min",COUNTIF(G$4:G42,"min"),IF(G42="max",COUNTIF(G$4:G42,"max"),""))</f>
        <v/>
      </c>
      <c r="I42" s="24" t="str">
        <f aca="false" t="array" ref="I42:I42">IF($G$3=0,IF(G42="min",INDEX($B$4:$B$254,(MATCH(1,($G$4:$G$254="max")*($H$4:$H$254=(H42-1)),0))),""),IF($G$3=1,IF(G42="min",INDEX($B$4:$B$254,(MATCH(1,($G$4:$G$254="max")*($H$4:$H$254=(H42)),0))),""),""))</f>
        <v/>
      </c>
      <c r="J42" s="29" t="str">
        <f aca="false">IF(AND(G40=0,G42="min",H42=1),B42-B41,IF(G42="min",B42-I42,""))</f>
        <v/>
      </c>
      <c r="K42" s="34" t="str">
        <f aca="false">IF(AND(G40=0,G42="min",H42=1),(B42-B41)/B41,IF(G42="min",(B42-I42)/I42,""))</f>
        <v/>
      </c>
      <c r="L42" s="5"/>
      <c r="M42" s="0" t="n">
        <f aca="false">E42/COUNT($E$4:E42)</f>
        <v>0.000849488709510589</v>
      </c>
      <c r="N42" s="19" t="n">
        <f aca="false">M42*252</f>
        <v>0.214071154796668</v>
      </c>
      <c r="O42" s="20" t="n">
        <f aca="false">STDEV($D$4:$D42)</f>
        <v>0.0290715168234882</v>
      </c>
      <c r="P42" s="20" t="n">
        <f aca="false">O42*SQRT(252)</f>
        <v>0.461496022502281</v>
      </c>
      <c r="Q42" s="0" t="n">
        <f aca="false">Treasuries!J40/100</f>
        <v>0.0455</v>
      </c>
      <c r="R42" s="20" t="n">
        <f aca="false">AJ42/AK42*SQRT(252)</f>
        <v>0.314463666095277</v>
      </c>
      <c r="S42" s="32" t="n">
        <f aca="false">IF(D42&lt;s_p!H42, D42-s_p!H42, 0)</f>
        <v>-0.0018991098198004</v>
      </c>
      <c r="T42" s="0" t="n">
        <f aca="false">S42^2</f>
        <v>3.6066181076623E-006</v>
      </c>
      <c r="U42" s="0" t="n">
        <f aca="false">SQRT(AVERAGE(T$4:T42)) * SQRT(252)</f>
        <v>0.319254874837272</v>
      </c>
      <c r="V42" s="0" t="n">
        <f aca="false">AJ42/U42*252</f>
        <v>0.451075122479998</v>
      </c>
      <c r="W42" s="22" t="n">
        <f aca="false">(s_p!$J42)/COUNT(s_p!$J$4:$J42)</f>
        <v>0.000664909596327783</v>
      </c>
      <c r="X42" s="22" t="n">
        <f aca="false">W42 * 252</f>
        <v>0.167557218274601</v>
      </c>
      <c r="Y42" s="21" t="n">
        <f aca="false">STDEV(s_p!$H$4:$H42)</f>
        <v>0.00650110533475079</v>
      </c>
      <c r="Z42" s="21" t="n">
        <f aca="false">Y42*SQRT(252)</f>
        <v>0.103201847776715</v>
      </c>
      <c r="AA42" s="0" t="n">
        <f aca="false">AJ42/AK42</f>
        <v>0.0198093489727088</v>
      </c>
      <c r="AB42" s="0" t="n">
        <f aca="false">_xlfn.COVARIANCE.S($D$4:$D42,s_p!$H$4:$H42)</f>
        <v>2.76052548926481E-005</v>
      </c>
      <c r="AC42" s="0" t="n">
        <f aca="false">_xlfn.VAR.S(s_p!$H$4:$H42)</f>
        <v>4.22643705735251E-005</v>
      </c>
      <c r="AD42" s="0" t="n">
        <f aca="false">AB42/AC42</f>
        <v>0.65315665460165</v>
      </c>
      <c r="AE42" s="0" t="n">
        <f aca="false">M42-(AD42*W42)</f>
        <v>0.000415198581960601</v>
      </c>
      <c r="AF42" s="33" t="n">
        <f aca="false">MAX($E$4:E42)</f>
        <v>0.208819804331584</v>
      </c>
      <c r="AG42" s="0" t="n">
        <f aca="false">1 - ((1 + E42) / (1 + AF42))</f>
        <v>0.145339896013549</v>
      </c>
      <c r="AH42" s="0" t="n">
        <f aca="false">MAX($AG$5:AG42)</f>
        <v>0.145339896013549</v>
      </c>
      <c r="AI42" s="19" t="n">
        <f aca="false">D42-s_p!H42</f>
        <v>-0.00189910981980043</v>
      </c>
      <c r="AJ42" s="19" t="n">
        <f aca="false">AVERAGE(AI$4:AI42)</f>
        <v>0.000571460046704598</v>
      </c>
      <c r="AK42" s="0" t="n">
        <f aca="false">STDEV(AI$4:AI42)</f>
        <v>0.0288479973517502</v>
      </c>
    </row>
    <row r="43" customFormat="false" ht="13.8" hidden="false" customHeight="false" outlineLevel="0" collapsed="false">
      <c r="A43" s="6" t="n">
        <f aca="false">WORKDAY(A42,1,holiday!$B$2:$B$10)</f>
        <v>38777</v>
      </c>
      <c r="B43" s="24" t="n">
        <v>1027964.40937256</v>
      </c>
      <c r="C43" s="24" t="n">
        <f aca="false">B43-B42</f>
        <v>-5165.65029835457</v>
      </c>
      <c r="D43" s="31" t="n">
        <f aca="false">C43/B42</f>
        <v>-0.005</v>
      </c>
      <c r="E43" s="31" t="n">
        <f aca="false" t="array" ref="E43:E43">PRODUCT(1+$D$4:D43)-1</f>
        <v>0.0279644093725584</v>
      </c>
      <c r="F43" s="0" t="n">
        <f aca="false">IF(ISBLANK(A44),MONTH(A43),IF(MONTH(A44)-MONTH(A43)=1,MONTH(A43),0))</f>
        <v>0</v>
      </c>
      <c r="G43" s="0" t="str">
        <f aca="false">IF(B44&gt;B43,IF(AND(B42&gt;B43,B44&gt;B43),"min",""),IF(AND(B42&gt;B43,B44&gt;B43),"",IF(AND(B42&lt;B43,B44&lt;B43),"max","")))</f>
        <v>min</v>
      </c>
      <c r="H43" s="0" t="n">
        <f aca="false">IF(G43="min",COUNTIF(G$4:G43,"min"),IF(G43="max",COUNTIF(G$4:G43,"max"),""))</f>
        <v>11</v>
      </c>
      <c r="I43" s="24" t="n">
        <f aca="false" t="array" ref="I43:I43">IF($G$3=0,IF(G43="min",INDEX($B$4:$B$254,(MATCH(1,($G$4:$G$254="max")*($H$4:$H$254=(H43-1)),0))),""),IF($G$3=1,IF(G43="min",INDEX($B$4:$B$254,(MATCH(1,($G$4:$G$254="max")*($H$4:$H$254=(H43)),0))),""),""))</f>
        <v>1151108.50064786</v>
      </c>
      <c r="J43" s="29" t="n">
        <f aca="false">IF(AND(G41=0,G43="min",H43=1),B43-B42,IF(G43="min",B43-I43,""))</f>
        <v>-123144.0912753</v>
      </c>
      <c r="K43" s="34" t="n">
        <f aca="false">IF(AND(G41=0,G43="min",H43=1),(B43-B42)/B42,IF(G43="min",(B43-I43)/I43,""))</f>
        <v>-0.106978700275424</v>
      </c>
      <c r="L43" s="5"/>
      <c r="M43" s="0" t="n">
        <f aca="false">E43/COUNT($E$4:E43)</f>
        <v>0.00069911023431396</v>
      </c>
      <c r="N43" s="19" t="n">
        <f aca="false">M43*252</f>
        <v>0.176175779047118</v>
      </c>
      <c r="O43" s="20" t="n">
        <f aca="false">STDEV($D$4:$D43)</f>
        <v>0.0287133881709632</v>
      </c>
      <c r="P43" s="20" t="n">
        <f aca="false">O43*SQRT(252)</f>
        <v>0.455810906390595</v>
      </c>
      <c r="Q43" s="0" t="n">
        <f aca="false">Treasuries!J41/100</f>
        <v>0.0459</v>
      </c>
      <c r="R43" s="20" t="n">
        <f aca="false">AJ43/AK43*SQRT(252)</f>
        <v>0.125418841665272</v>
      </c>
      <c r="S43" s="32" t="n">
        <f aca="false">IF(D43&lt;s_p!H43, D43-s_p!H43, 0)</f>
        <v>-0.0132613652335515</v>
      </c>
      <c r="T43" s="0" t="n">
        <f aca="false">S43^2</f>
        <v>0.000175863807857648</v>
      </c>
      <c r="U43" s="0" t="n">
        <f aca="false">SQRT(AVERAGE(T$4:T43)) * SQRT(252)</f>
        <v>0.316991364581405</v>
      </c>
      <c r="V43" s="0" t="n">
        <f aca="false">AJ43/U43*252</f>
        <v>0.179377544177053</v>
      </c>
      <c r="W43" s="22" t="n">
        <f aca="false">(s_p!$J43)/COUNT(s_p!$J$4:$J43)</f>
        <v>0.000860176721755368</v>
      </c>
      <c r="X43" s="22" t="n">
        <f aca="false">W43 * 252</f>
        <v>0.216764533882353</v>
      </c>
      <c r="Y43" s="21" t="n">
        <f aca="false">STDEV(s_p!$H$4:$H43)</f>
        <v>0.00652829501970881</v>
      </c>
      <c r="Z43" s="21" t="n">
        <f aca="false">Y43*SQRT(252)</f>
        <v>0.103633470644466</v>
      </c>
      <c r="AA43" s="0" t="n">
        <f aca="false">AJ43/AK43</f>
        <v>0.00790064439924064</v>
      </c>
      <c r="AB43" s="0" t="n">
        <f aca="false">_xlfn.COVARIANCE.S($D$4:$D43,s_p!$H$4:$H43)</f>
        <v>2.5712654153929E-005</v>
      </c>
      <c r="AC43" s="0" t="n">
        <f aca="false">_xlfn.VAR.S(s_p!$H$4:$H43)</f>
        <v>4.26186358643548E-005</v>
      </c>
      <c r="AD43" s="0" t="n">
        <f aca="false">AB43/AC43</f>
        <v>0.603319501726109</v>
      </c>
      <c r="AE43" s="0" t="n">
        <f aca="false">M43-(AD43*W43)</f>
        <v>0.000180148843148113</v>
      </c>
      <c r="AF43" s="33" t="n">
        <f aca="false">MAX($E$4:E43)</f>
        <v>0.208819804331584</v>
      </c>
      <c r="AG43" s="0" t="n">
        <f aca="false">1 - ((1 + E43) / (1 + AF43))</f>
        <v>0.149613196533482</v>
      </c>
      <c r="AH43" s="0" t="n">
        <f aca="false">MAX($AG$5:AG43)</f>
        <v>0.149613196533482</v>
      </c>
      <c r="AI43" s="19" t="n">
        <f aca="false">D43-s_p!H43</f>
        <v>-0.0132613652335515</v>
      </c>
      <c r="AJ43" s="19" t="n">
        <f aca="false">AVERAGE(AI$4:AI43)</f>
        <v>0.000225639414698196</v>
      </c>
      <c r="AK43" s="0" t="n">
        <f aca="false">STDEV(AI$4:AI43)</f>
        <v>0.0285596216328737</v>
      </c>
    </row>
    <row r="44" customFormat="false" ht="13.8" hidden="false" customHeight="false" outlineLevel="0" collapsed="false">
      <c r="A44" s="6" t="n">
        <f aca="false">WORKDAY(A43,1,holiday!$B$2:$B$10)</f>
        <v>38778</v>
      </c>
      <c r="B44" s="24" t="n">
        <v>1048832.08688282</v>
      </c>
      <c r="C44" s="24" t="n">
        <f aca="false">B44-B43</f>
        <v>20867.6775102628</v>
      </c>
      <c r="D44" s="31" t="n">
        <f aca="false">C44/B43</f>
        <v>0.0202999999999999</v>
      </c>
      <c r="E44" s="31" t="n">
        <f aca="false" t="array" ref="E44:E44">PRODUCT(1+$D$4:D44)-1</f>
        <v>0.0488320868828211</v>
      </c>
      <c r="F44" s="0" t="n">
        <f aca="false">IF(ISBLANK(A45),MONTH(A44),IF(MONTH(A45)-MONTH(A44)=1,MONTH(A44),0))</f>
        <v>0</v>
      </c>
      <c r="G44" s="0" t="str">
        <f aca="false">IF(B45&gt;B44,IF(AND(B43&gt;B44,B45&gt;B44),"min",""),IF(AND(B43&gt;B44,B45&gt;B44),"",IF(AND(B43&lt;B44,B45&lt;B44),"max","")))</f>
        <v>max</v>
      </c>
      <c r="H44" s="0" t="n">
        <f aca="false">IF(G44="min",COUNTIF(G$4:G44,"min"),IF(G44="max",COUNTIF(G$4:G44,"max"),""))</f>
        <v>11</v>
      </c>
      <c r="I44" s="24" t="str">
        <f aca="false" t="array" ref="I44:I44">IF($G$3=0,IF(G44="min",INDEX($B$4:$B$254,(MATCH(1,($G$4:$G$254="max")*($H$4:$H$254=(H44-1)),0))),""),IF($G$3=1,IF(G44="min",INDEX($B$4:$B$254,(MATCH(1,($G$4:$G$254="max")*($H$4:$H$254=(H44)),0))),""),""))</f>
        <v/>
      </c>
      <c r="J44" s="29" t="str">
        <f aca="false">IF(AND(G42=0,G44="min",H44=1),B44-B43,IF(G44="min",B44-I44,""))</f>
        <v/>
      </c>
      <c r="K44" s="34" t="str">
        <f aca="false">IF(AND(G42=0,G44="min",H44=1),(B44-B43)/B43,IF(G44="min",(B44-I44)/I44,""))</f>
        <v/>
      </c>
      <c r="L44" s="5"/>
      <c r="M44" s="0" t="n">
        <f aca="false">E44/COUNT($E$4:E44)</f>
        <v>0.0011910265093371</v>
      </c>
      <c r="N44" s="19" t="n">
        <f aca="false">M44*252</f>
        <v>0.300138680352949</v>
      </c>
      <c r="O44" s="20" t="n">
        <f aca="false">STDEV($D$4:$D44)</f>
        <v>0.0285104443848985</v>
      </c>
      <c r="P44" s="20" t="n">
        <f aca="false">O44*SQRT(252)</f>
        <v>0.452589273662276</v>
      </c>
      <c r="Q44" s="0" t="n">
        <f aca="false">Treasuries!J42/100</f>
        <v>0.0464</v>
      </c>
      <c r="R44" s="20" t="n">
        <f aca="false">AJ44/AK44*SQRT(252)</f>
        <v>0.421925187031663</v>
      </c>
      <c r="S44" s="32" t="n">
        <f aca="false">IF(D44&lt;s_p!H44, D44-s_p!H44, 0)</f>
        <v>0</v>
      </c>
      <c r="T44" s="0" t="n">
        <f aca="false">S44^2</f>
        <v>0</v>
      </c>
      <c r="U44" s="0" t="n">
        <f aca="false">SQRT(AVERAGE(T$4:T44)) * SQRT(252)</f>
        <v>0.313101752679394</v>
      </c>
      <c r="V44" s="0" t="n">
        <f aca="false">AJ44/U44*252</f>
        <v>0.607601424212591</v>
      </c>
      <c r="W44" s="22" t="n">
        <f aca="false">(s_p!$J44)/COUNT(s_p!$J$4:$J44)</f>
        <v>0.000798165060534526</v>
      </c>
      <c r="X44" s="22" t="n">
        <f aca="false">W44 * 252</f>
        <v>0.2011375952547</v>
      </c>
      <c r="Y44" s="21" t="n">
        <f aca="false">STDEV(s_p!$H$4:$H44)</f>
        <v>0.00645792392097755</v>
      </c>
      <c r="Z44" s="21" t="n">
        <f aca="false">Y44*SQRT(252)</f>
        <v>0.10251636408409</v>
      </c>
      <c r="AA44" s="0" t="n">
        <f aca="false">AJ44/AK44</f>
        <v>0.0265787884942907</v>
      </c>
      <c r="AB44" s="0" t="n">
        <f aca="false">_xlfn.COVARIANCE.S($D$4:$D44,s_p!$H$4:$H44)</f>
        <v>2.39018324164954E-005</v>
      </c>
      <c r="AC44" s="0" t="n">
        <f aca="false">_xlfn.VAR.S(s_p!$H$4:$H44)</f>
        <v>4.17047813691341E-005</v>
      </c>
      <c r="AD44" s="0" t="n">
        <f aca="false">AB44/AC44</f>
        <v>0.57311971509783</v>
      </c>
      <c r="AE44" s="0" t="n">
        <f aca="false">M44-(AD44*W44)</f>
        <v>0.000733582377242511</v>
      </c>
      <c r="AF44" s="33" t="n">
        <f aca="false">MAX($E$4:E44)</f>
        <v>0.208819804331584</v>
      </c>
      <c r="AG44" s="0" t="n">
        <f aca="false">1 - ((1 + E44) / (1 + AF44))</f>
        <v>0.132350344423111</v>
      </c>
      <c r="AH44" s="0" t="n">
        <f aca="false">MAX($AG$5:AG44)</f>
        <v>0.149613196533482</v>
      </c>
      <c r="AI44" s="19" t="n">
        <f aca="false">D44-s_p!H44</f>
        <v>0.0219263436696507</v>
      </c>
      <c r="AJ44" s="19" t="n">
        <f aca="false">AVERAGE(AI$4:AI44)</f>
        <v>0.000754924884331184</v>
      </c>
      <c r="AK44" s="0" t="n">
        <f aca="false">STDEV(AI$4:AI44)</f>
        <v>0.0284032842389843</v>
      </c>
    </row>
    <row r="45" customFormat="false" ht="13.8" hidden="false" customHeight="false" outlineLevel="0" collapsed="false">
      <c r="A45" s="6" t="n">
        <f aca="false">WORKDAY(A44,1,holiday!$B$2:$B$10)</f>
        <v>38779</v>
      </c>
      <c r="B45" s="24" t="n">
        <v>1005829.97132062</v>
      </c>
      <c r="C45" s="24" t="n">
        <f aca="false">B45-B44</f>
        <v>-43002.1155621957</v>
      </c>
      <c r="D45" s="31" t="n">
        <f aca="false">C45/B44</f>
        <v>-0.041</v>
      </c>
      <c r="E45" s="31" t="n">
        <f aca="false" t="array" ref="E45:E45">PRODUCT(1+$D$4:D45)-1</f>
        <v>0.00582997132062557</v>
      </c>
      <c r="F45" s="0" t="n">
        <f aca="false">IF(ISBLANK(A46),MONTH(A45),IF(MONTH(A46)-MONTH(A45)=1,MONTH(A45),0))</f>
        <v>0</v>
      </c>
      <c r="G45" s="0" t="str">
        <f aca="false">IF(B46&gt;B45,IF(AND(B44&gt;B45,B46&gt;B45),"min",""),IF(AND(B44&gt;B45,B46&gt;B45),"",IF(AND(B44&lt;B45,B46&lt;B45),"max","")))</f>
        <v>min</v>
      </c>
      <c r="H45" s="0" t="n">
        <f aca="false">IF(G45="min",COUNTIF(G$4:G45,"min"),IF(G45="max",COUNTIF(G$4:G45,"max"),""))</f>
        <v>12</v>
      </c>
      <c r="I45" s="24" t="n">
        <f aca="false" t="array" ref="I45:I45">IF($G$3=0,IF(G45="min",INDEX($B$4:$B$254,(MATCH(1,($G$4:$G$254="max")*($H$4:$H$254=(H45-1)),0))),""),IF($G$3=1,IF(G45="min",INDEX($B$4:$B$254,(MATCH(1,($G$4:$G$254="max")*($H$4:$H$254=(H45)),0))),""),""))</f>
        <v>1048832.08688282</v>
      </c>
      <c r="J45" s="29" t="n">
        <f aca="false">IF(AND(G43=0,G45="min",H45=1),B45-B44,IF(G45="min",B45-I45,""))</f>
        <v>-43002.1155621999</v>
      </c>
      <c r="K45" s="34" t="n">
        <f aca="false">IF(AND(G43=0,G45="min",H45=1),(B45-B44)/B44,IF(G45="min",(B45-I45)/I45,""))</f>
        <v>-0.041000000000004</v>
      </c>
      <c r="L45" s="5"/>
      <c r="M45" s="0" t="n">
        <f aca="false">E45/COUNT($E$4:E45)</f>
        <v>0.000138808840967276</v>
      </c>
      <c r="N45" s="19" t="n">
        <f aca="false">M45*252</f>
        <v>0.0349798279237534</v>
      </c>
      <c r="O45" s="20" t="n">
        <f aca="false">STDEV($D$4:$D45)</f>
        <v>0.0289162477585994</v>
      </c>
      <c r="P45" s="20" t="n">
        <f aca="false">O45*SQRT(252)</f>
        <v>0.459031202510297</v>
      </c>
      <c r="Q45" s="0" t="n">
        <f aca="false">Treasuries!J43/100</f>
        <v>0.0468</v>
      </c>
      <c r="R45" s="20" t="n">
        <f aca="false">AJ45/AK45*SQRT(252)</f>
        <v>-0.11267955813878</v>
      </c>
      <c r="S45" s="32" t="n">
        <f aca="false">IF(D45&lt;s_p!H45, D45-s_p!H45, 0)</f>
        <v>-0.0395183921063654</v>
      </c>
      <c r="T45" s="0" t="n">
        <f aca="false">S45^2</f>
        <v>0.00156170331467244</v>
      </c>
      <c r="U45" s="0" t="n">
        <f aca="false">SQRT(AVERAGE(T$4:T45)) * SQRT(252)</f>
        <v>0.324143201895202</v>
      </c>
      <c r="V45" s="0" t="n">
        <f aca="false">AJ45/U45*252</f>
        <v>-0.158568283376613</v>
      </c>
      <c r="W45" s="22" t="n">
        <f aca="false">(s_p!$J45)/COUNT(s_p!$J$4:$J45)</f>
        <v>0.000742730340820534</v>
      </c>
      <c r="X45" s="22" t="n">
        <f aca="false">W45 * 252</f>
        <v>0.187168045886775</v>
      </c>
      <c r="Y45" s="21" t="n">
        <f aca="false">STDEV(s_p!$H$4:$H45)</f>
        <v>0.00638844236977693</v>
      </c>
      <c r="Z45" s="21" t="n">
        <f aca="false">Y45*SQRT(252)</f>
        <v>0.101413378652987</v>
      </c>
      <c r="AA45" s="0" t="n">
        <f aca="false">AJ45/AK45</f>
        <v>-0.00709814496847245</v>
      </c>
      <c r="AB45" s="0" t="n">
        <f aca="false">_xlfn.COVARIANCE.S($D$4:$D45,s_p!$H$4:$H45)</f>
        <v>2.56370747676952E-005</v>
      </c>
      <c r="AC45" s="0" t="n">
        <f aca="false">_xlfn.VAR.S(s_p!$H$4:$H45)</f>
        <v>4.08121959119611E-005</v>
      </c>
      <c r="AD45" s="0" t="n">
        <f aca="false">AB45/AC45</f>
        <v>0.628171902903702</v>
      </c>
      <c r="AE45" s="0" t="n">
        <f aca="false">M45-(AD45*W45)</f>
        <v>-0.000327753490570274</v>
      </c>
      <c r="AF45" s="33" t="n">
        <f aca="false">MAX($E$4:E45)</f>
        <v>0.208819804331584</v>
      </c>
      <c r="AG45" s="0" t="n">
        <f aca="false">1 - ((1 + E45) / (1 + AF45))</f>
        <v>0.167923980301764</v>
      </c>
      <c r="AH45" s="0" t="n">
        <f aca="false">MAX($AG$5:AG45)</f>
        <v>0.167923980301764</v>
      </c>
      <c r="AI45" s="19" t="n">
        <f aca="false">D45-s_p!H45</f>
        <v>-0.0395183921063654</v>
      </c>
      <c r="AJ45" s="19" t="n">
        <f aca="false">AVERAGE(AI$4:AI45)</f>
        <v>-0.000203963615447306</v>
      </c>
      <c r="AK45" s="0" t="n">
        <f aca="false">STDEV(AI$4:AI45)</f>
        <v>0.0287347773753908</v>
      </c>
    </row>
    <row r="46" customFormat="false" ht="13.8" hidden="false" customHeight="false" outlineLevel="0" collapsed="false">
      <c r="A46" s="6" t="n">
        <f aca="false">WORKDAY(A45,1,holiday!$B$2:$B$10)</f>
        <v>38782</v>
      </c>
      <c r="B46" s="24" t="n">
        <v>1006936.38428908</v>
      </c>
      <c r="C46" s="24" t="n">
        <f aca="false">B46-B45</f>
        <v>1106.41296845267</v>
      </c>
      <c r="D46" s="31" t="n">
        <f aca="false">C46/B45</f>
        <v>0.00109999999999998</v>
      </c>
      <c r="E46" s="31" t="n">
        <f aca="false" t="array" ref="E46:E46">PRODUCT(1+$D$4:D46)-1</f>
        <v>0.00693638428907817</v>
      </c>
      <c r="F46" s="0" t="n">
        <f aca="false">IF(ISBLANK(A47),MONTH(A46),IF(MONTH(A47)-MONTH(A46)=1,MONTH(A46),0))</f>
        <v>0</v>
      </c>
      <c r="G46" s="0" t="str">
        <f aca="false">IF(B47&gt;B46,IF(AND(B45&gt;B46,B47&gt;B46),"min",""),IF(AND(B45&gt;B46,B47&gt;B46),"",IF(AND(B45&lt;B46,B47&lt;B46),"max","")))</f>
        <v/>
      </c>
      <c r="H46" s="0" t="str">
        <f aca="false">IF(G46="min",COUNTIF(G$4:G46,"min"),IF(G46="max",COUNTIF(G$4:G46,"max"),""))</f>
        <v/>
      </c>
      <c r="I46" s="24" t="str">
        <f aca="false" t="array" ref="I46:I46">IF($G$3=0,IF(G46="min",INDEX($B$4:$B$254,(MATCH(1,($G$4:$G$254="max")*($H$4:$H$254=(H46-1)),0))),""),IF($G$3=1,IF(G46="min",INDEX($B$4:$B$254,(MATCH(1,($G$4:$G$254="max")*($H$4:$H$254=(H46)),0))),""),""))</f>
        <v/>
      </c>
      <c r="J46" s="29" t="str">
        <f aca="false">IF(AND(G44=0,G46="min",H46=1),B46-B45,IF(G46="min",B46-I46,""))</f>
        <v/>
      </c>
      <c r="K46" s="34" t="str">
        <f aca="false">IF(AND(G44=0,G46="min",H46=1),(B46-B45)/B45,IF(G46="min",(B46-I46)/I46,""))</f>
        <v/>
      </c>
      <c r="L46" s="5"/>
      <c r="M46" s="0" t="n">
        <f aca="false">E46/COUNT($E$4:E46)</f>
        <v>0.000161311262536702</v>
      </c>
      <c r="N46" s="19" t="n">
        <f aca="false">M46*252</f>
        <v>0.0406504381592488</v>
      </c>
      <c r="O46" s="20" t="n">
        <f aca="false">STDEV($D$4:$D46)</f>
        <v>0.0285700570822545</v>
      </c>
      <c r="P46" s="20" t="n">
        <f aca="false">O46*SQRT(252)</f>
        <v>0.45353559589539</v>
      </c>
      <c r="Q46" s="0" t="n">
        <f aca="false">Treasuries!J44/100</f>
        <v>0.0474</v>
      </c>
      <c r="R46" s="20" t="n">
        <f aca="false">AJ46/AK46*SQRT(252)</f>
        <v>-0.00646956887210904</v>
      </c>
      <c r="S46" s="32" t="n">
        <f aca="false">IF(D46&lt;s_p!H46, D46-s_p!H46, 0)</f>
        <v>0</v>
      </c>
      <c r="T46" s="0" t="n">
        <f aca="false">S46^2</f>
        <v>0</v>
      </c>
      <c r="U46" s="0" t="n">
        <f aca="false">SQRT(AVERAGE(T$4:T46)) * SQRT(252)</f>
        <v>0.320351922911558</v>
      </c>
      <c r="V46" s="0" t="n">
        <f aca="false">AJ46/U46*252</f>
        <v>-0.00911069943023514</v>
      </c>
      <c r="W46" s="22" t="n">
        <f aca="false">(s_p!$J46)/COUNT(s_p!$J$4:$J46)</f>
        <v>0.000558345211598306</v>
      </c>
      <c r="X46" s="22" t="n">
        <f aca="false">W46 * 252</f>
        <v>0.140702993322773</v>
      </c>
      <c r="Y46" s="21" t="n">
        <f aca="false">STDEV(s_p!$H$4:$H46)</f>
        <v>0.00642078644559622</v>
      </c>
      <c r="Z46" s="21" t="n">
        <f aca="false">Y46*SQRT(252)</f>
        <v>0.101926824939012</v>
      </c>
      <c r="AA46" s="0" t="n">
        <f aca="false">AJ46/AK46</f>
        <v>-0.00040754453155697</v>
      </c>
      <c r="AB46" s="0" t="n">
        <f aca="false">_xlfn.COVARIANCE.S($D$4:$D46,s_p!$H$4:$H46)</f>
        <v>2.49274961349378E-005</v>
      </c>
      <c r="AC46" s="0" t="n">
        <f aca="false">_xlfn.VAR.S(s_p!$H$4:$H46)</f>
        <v>4.12264985799521E-005</v>
      </c>
      <c r="AD46" s="0" t="n">
        <f aca="false">AB46/AC46</f>
        <v>0.604647423224531</v>
      </c>
      <c r="AE46" s="0" t="n">
        <f aca="false">M46-(AD46*W46)</f>
        <v>-0.00017629073092597</v>
      </c>
      <c r="AF46" s="33" t="n">
        <f aca="false">MAX($E$4:E46)</f>
        <v>0.208819804331584</v>
      </c>
      <c r="AG46" s="0" t="n">
        <f aca="false">1 - ((1 + E46) / (1 + AF46))</f>
        <v>0.167008696680096</v>
      </c>
      <c r="AH46" s="0" t="n">
        <f aca="false">MAX($AG$5:AG46)</f>
        <v>0.167923980301764</v>
      </c>
      <c r="AI46" s="19" t="n">
        <f aca="false">D46-s_p!H46</f>
        <v>0.00806845163645974</v>
      </c>
      <c r="AJ46" s="19" t="n">
        <f aca="false">AVERAGE(AI$4:AI46)</f>
        <v>-1.15818654029566E-005</v>
      </c>
      <c r="AK46" s="0" t="n">
        <f aca="false">STDEV(AI$4:AI46)</f>
        <v>0.028418650003006</v>
      </c>
    </row>
    <row r="47" customFormat="false" ht="13.8" hidden="false" customHeight="false" outlineLevel="0" collapsed="false">
      <c r="A47" s="6" t="n">
        <f aca="false">WORKDAY(A46,1,holiday!$B$2:$B$10)</f>
        <v>38783</v>
      </c>
      <c r="B47" s="24" t="n">
        <v>1018818.23362369</v>
      </c>
      <c r="C47" s="24" t="n">
        <f aca="false">B47-B46</f>
        <v>11881.8493346111</v>
      </c>
      <c r="D47" s="31" t="n">
        <f aca="false">C47/B46</f>
        <v>0.0118</v>
      </c>
      <c r="E47" s="31" t="n">
        <f aca="false" t="array" ref="E47:E47">PRODUCT(1+$D$4:D47)-1</f>
        <v>0.0188182336236893</v>
      </c>
      <c r="F47" s="0" t="n">
        <f aca="false">IF(ISBLANK(A48),MONTH(A47),IF(MONTH(A48)-MONTH(A47)=1,MONTH(A47),0))</f>
        <v>0</v>
      </c>
      <c r="G47" s="0" t="str">
        <f aca="false">IF(B48&gt;B47,IF(AND(B46&gt;B47,B48&gt;B47),"min",""),IF(AND(B46&gt;B47,B48&gt;B47),"",IF(AND(B46&lt;B47,B48&lt;B47),"max","")))</f>
        <v/>
      </c>
      <c r="H47" s="0" t="str">
        <f aca="false">IF(G47="min",COUNTIF(G$4:G47,"min"),IF(G47="max",COUNTIF(G$4:G47,"max"),""))</f>
        <v/>
      </c>
      <c r="I47" s="24" t="str">
        <f aca="false" t="array" ref="I47:I47">IF($G$3=0,IF(G47="min",INDEX($B$4:$B$254,(MATCH(1,($G$4:$G$254="max")*($H$4:$H$254=(H47-1)),0))),""),IF($G$3=1,IF(G47="min",INDEX($B$4:$B$254,(MATCH(1,($G$4:$G$254="max")*($H$4:$H$254=(H47)),0))),""),""))</f>
        <v/>
      </c>
      <c r="J47" s="29" t="str">
        <f aca="false">IF(AND(G45=0,G47="min",H47=1),B47-B46,IF(G47="min",B47-I47,""))</f>
        <v/>
      </c>
      <c r="K47" s="34" t="str">
        <f aca="false">IF(AND(G45=0,G47="min",H47=1),(B47-B46)/B46,IF(G47="min",(B47-I47)/I47,""))</f>
        <v/>
      </c>
      <c r="L47" s="5"/>
      <c r="M47" s="0" t="n">
        <f aca="false">E47/COUNT($E$4:E47)</f>
        <v>0.00042768712781112</v>
      </c>
      <c r="N47" s="19" t="n">
        <f aca="false">M47*252</f>
        <v>0.107777156208402</v>
      </c>
      <c r="O47" s="20" t="n">
        <f aca="false">STDEV($D$4:$D47)</f>
        <v>0.0282866879955746</v>
      </c>
      <c r="P47" s="20" t="n">
        <f aca="false">O47*SQRT(252)</f>
        <v>0.4490372510998</v>
      </c>
      <c r="Q47" s="0" t="n">
        <f aca="false">Treasuries!J45/100</f>
        <v>0.0474</v>
      </c>
      <c r="R47" s="20" t="n">
        <f aca="false">AJ47/AK47*SQRT(252)</f>
        <v>0.168644151249139</v>
      </c>
      <c r="S47" s="32" t="n">
        <f aca="false">IF(D47&lt;s_p!H47, D47-s_p!H47, 0)</f>
        <v>0</v>
      </c>
      <c r="T47" s="0" t="n">
        <f aca="false">S47^2</f>
        <v>0</v>
      </c>
      <c r="U47" s="0" t="n">
        <f aca="false">SQRT(AVERAGE(T$4:T47)) * SQRT(252)</f>
        <v>0.316690637835064</v>
      </c>
      <c r="V47" s="0" t="n">
        <f aca="false">AJ47/U47*252</f>
        <v>0.238065655288513</v>
      </c>
      <c r="W47" s="22" t="n">
        <f aca="false">(s_p!$J47)/COUNT(s_p!$J$4:$J47)</f>
        <v>0.000502323542242157</v>
      </c>
      <c r="X47" s="22" t="n">
        <f aca="false">W47 * 252</f>
        <v>0.126585532645024</v>
      </c>
      <c r="Y47" s="21" t="n">
        <f aca="false">STDEV(s_p!$H$4:$H47)</f>
        <v>0.00635628681344988</v>
      </c>
      <c r="Z47" s="21" t="n">
        <f aca="false">Y47*SQRT(252)</f>
        <v>0.100902925021126</v>
      </c>
      <c r="AA47" s="0" t="n">
        <f aca="false">AJ47/AK47</f>
        <v>0.0106235829588285</v>
      </c>
      <c r="AB47" s="0" t="n">
        <f aca="false">_xlfn.COVARIANCE.S($D$4:$D47,s_p!$H$4:$H47)</f>
        <v>2.37260482915119E-005</v>
      </c>
      <c r="AC47" s="0" t="n">
        <f aca="false">_xlfn.VAR.S(s_p!$H$4:$H47)</f>
        <v>4.04023820548368E-005</v>
      </c>
      <c r="AD47" s="0" t="n">
        <f aca="false">AB47/AC47</f>
        <v>0.587243798133222</v>
      </c>
      <c r="AE47" s="0" t="n">
        <f aca="false">M47-(AD47*W47)</f>
        <v>0.000132700742973102</v>
      </c>
      <c r="AF47" s="33" t="n">
        <f aca="false">MAX($E$4:E47)</f>
        <v>0.208819804331584</v>
      </c>
      <c r="AG47" s="0" t="n">
        <f aca="false">1 - ((1 + E47) / (1 + AF47))</f>
        <v>0.157179399300921</v>
      </c>
      <c r="AH47" s="0" t="n">
        <f aca="false">MAX($AG$5:AG47)</f>
        <v>0.167923980301764</v>
      </c>
      <c r="AI47" s="19" t="n">
        <f aca="false">D47-s_p!H47</f>
        <v>0.0136619060285074</v>
      </c>
      <c r="AJ47" s="19" t="n">
        <f aca="false">AVERAGE(AI$4:AI47)</f>
        <v>0.000299179223095006</v>
      </c>
      <c r="AK47" s="0" t="n">
        <f aca="false">STDEV(AI$4:AI47)</f>
        <v>0.0281618004259458</v>
      </c>
    </row>
    <row r="48" customFormat="false" ht="13.8" hidden="false" customHeight="false" outlineLevel="0" collapsed="false">
      <c r="A48" s="6" t="n">
        <f aca="false">WORKDAY(A47,1,holiday!$B$2:$B$10)</f>
        <v>38784</v>
      </c>
      <c r="B48" s="24" t="n">
        <v>1029312.06143001</v>
      </c>
      <c r="C48" s="24" t="n">
        <f aca="false">B48-B47</f>
        <v>10493.827806324</v>
      </c>
      <c r="D48" s="31" t="n">
        <f aca="false">C48/B47</f>
        <v>0.0103</v>
      </c>
      <c r="E48" s="31" t="n">
        <f aca="false" t="array" ref="E48:E48">PRODUCT(1+$D$4:D48)-1</f>
        <v>0.0293120614300131</v>
      </c>
      <c r="F48" s="0" t="n">
        <f aca="false">IF(ISBLANK(A49),MONTH(A48),IF(MONTH(A49)-MONTH(A48)=1,MONTH(A48),0))</f>
        <v>0</v>
      </c>
      <c r="G48" s="0" t="str">
        <f aca="false">IF(B49&gt;B48,IF(AND(B47&gt;B48,B49&gt;B48),"min",""),IF(AND(B47&gt;B48,B49&gt;B48),"",IF(AND(B47&lt;B48,B49&lt;B48),"max","")))</f>
        <v>max</v>
      </c>
      <c r="H48" s="0" t="n">
        <f aca="false">IF(G48="min",COUNTIF(G$4:G48,"min"),IF(G48="max",COUNTIF(G$4:G48,"max"),""))</f>
        <v>12</v>
      </c>
      <c r="I48" s="24" t="str">
        <f aca="false" t="array" ref="I48:I48">IF($G$3=0,IF(G48="min",INDEX($B$4:$B$254,(MATCH(1,($G$4:$G$254="max")*($H$4:$H$254=(H48-1)),0))),""),IF($G$3=1,IF(G48="min",INDEX($B$4:$B$254,(MATCH(1,($G$4:$G$254="max")*($H$4:$H$254=(H48)),0))),""),""))</f>
        <v/>
      </c>
      <c r="J48" s="29" t="str">
        <f aca="false">IF(AND(G46=0,G48="min",H48=1),B48-B47,IF(G48="min",B48-I48,""))</f>
        <v/>
      </c>
      <c r="K48" s="34" t="str">
        <f aca="false">IF(AND(G46=0,G48="min",H48=1),(B48-B47)/B47,IF(G48="min",(B48-I48)/I48,""))</f>
        <v/>
      </c>
      <c r="L48" s="5"/>
      <c r="M48" s="0" t="n">
        <f aca="false">E48/COUNT($E$4:E48)</f>
        <v>0.00065137914288918</v>
      </c>
      <c r="N48" s="19" t="n">
        <f aca="false">M48*252</f>
        <v>0.164147544008073</v>
      </c>
      <c r="O48" s="20" t="n">
        <f aca="false">STDEV($D$4:$D48)</f>
        <v>0.0279991184926175</v>
      </c>
      <c r="P48" s="20" t="n">
        <f aca="false">O48*SQRT(252)</f>
        <v>0.444472226762974</v>
      </c>
      <c r="Q48" s="0" t="n">
        <f aca="false">Treasuries!J46/100</f>
        <v>0.0473</v>
      </c>
      <c r="R48" s="20" t="n">
        <f aca="false">AJ48/AK48*SQRT(252)</f>
        <v>0.271347446775035</v>
      </c>
      <c r="S48" s="32" t="n">
        <f aca="false">IF(D48&lt;s_p!H48, D48-s_p!H48, 0)</f>
        <v>0</v>
      </c>
      <c r="T48" s="0" t="n">
        <f aca="false">S48^2</f>
        <v>0</v>
      </c>
      <c r="U48" s="0" t="n">
        <f aca="false">SQRT(AVERAGE(T$4:T48)) * SQRT(252)</f>
        <v>0.313152083891968</v>
      </c>
      <c r="V48" s="0" t="n">
        <f aca="false">AJ48/U48*252</f>
        <v>0.383295933538349</v>
      </c>
      <c r="W48" s="22" t="n">
        <f aca="false">(s_p!$J48)/COUNT(s_p!$J$4:$J48)</f>
        <v>0.000537268316390158</v>
      </c>
      <c r="X48" s="22" t="n">
        <f aca="false">W48 * 252</f>
        <v>0.13539161573032</v>
      </c>
      <c r="Y48" s="21" t="n">
        <f aca="false">STDEV(s_p!$H$4:$H48)</f>
        <v>0.0062876889847554</v>
      </c>
      <c r="Z48" s="21" t="n">
        <f aca="false">Y48*SQRT(252)</f>
        <v>0.0998139682498979</v>
      </c>
      <c r="AA48" s="0" t="n">
        <f aca="false">AJ48/AK48</f>
        <v>0.0170932824537878</v>
      </c>
      <c r="AB48" s="0" t="n">
        <f aca="false">_xlfn.COVARIANCE.S($D$4:$D48,s_p!$H$4:$H48)</f>
        <v>2.35057470530039E-005</v>
      </c>
      <c r="AC48" s="0" t="n">
        <f aca="false">_xlfn.VAR.S(s_p!$H$4:$H48)</f>
        <v>3.95350327690144E-005</v>
      </c>
      <c r="AD48" s="0" t="n">
        <f aca="false">AB48/AC48</f>
        <v>0.594554889845104</v>
      </c>
      <c r="AE48" s="0" t="n">
        <f aca="false">M48-(AD48*W48)</f>
        <v>0.000331943638220565</v>
      </c>
      <c r="AF48" s="33" t="n">
        <f aca="false">MAX($E$4:E48)</f>
        <v>0.208819804331584</v>
      </c>
      <c r="AG48" s="0" t="n">
        <f aca="false">1 - ((1 + E48) / (1 + AF48))</f>
        <v>0.14849834711372</v>
      </c>
      <c r="AH48" s="0" t="n">
        <f aca="false">MAX($AG$5:AG48)</f>
        <v>0.167923980301764</v>
      </c>
      <c r="AI48" s="19" t="n">
        <f aca="false">D48-s_p!H48</f>
        <v>0.00827002852932893</v>
      </c>
      <c r="AJ48" s="19" t="n">
        <f aca="false">AVERAGE(AI$4:AI48)</f>
        <v>0.000476309207677982</v>
      </c>
      <c r="AK48" s="0" t="n">
        <f aca="false">STDEV(AI$4:AI48)</f>
        <v>0.0278652862003362</v>
      </c>
    </row>
    <row r="49" customFormat="false" ht="13.8" hidden="false" customHeight="false" outlineLevel="0" collapsed="false">
      <c r="A49" s="6" t="n">
        <f aca="false">WORKDAY(A48,1,holiday!$B$2:$B$10)</f>
        <v>38785</v>
      </c>
      <c r="B49" s="24" t="n">
        <v>1010372.7194997</v>
      </c>
      <c r="C49" s="24" t="n">
        <f aca="false">B49-B48</f>
        <v>-18939.3419303122</v>
      </c>
      <c r="D49" s="31" t="n">
        <f aca="false">C49/B48</f>
        <v>-0.0184</v>
      </c>
      <c r="E49" s="31" t="n">
        <f aca="false" t="array" ref="E49:E49">PRODUCT(1+$D$4:D49)-1</f>
        <v>0.010372719499701</v>
      </c>
      <c r="F49" s="0" t="n">
        <f aca="false">IF(ISBLANK(A50),MONTH(A49),IF(MONTH(A50)-MONTH(A49)=1,MONTH(A49),0))</f>
        <v>0</v>
      </c>
      <c r="G49" s="0" t="str">
        <f aca="false">IF(B50&gt;B49,IF(AND(B48&gt;B49,B50&gt;B49),"min",""),IF(AND(B48&gt;B49,B50&gt;B49),"",IF(AND(B48&lt;B49,B50&lt;B49),"max","")))</f>
        <v/>
      </c>
      <c r="H49" s="0" t="str">
        <f aca="false">IF(G49="min",COUNTIF(G$4:G49,"min"),IF(G49="max",COUNTIF(G$4:G49,"max"),""))</f>
        <v/>
      </c>
      <c r="I49" s="24" t="str">
        <f aca="false" t="array" ref="I49:I49">IF($G$3=0,IF(G49="min",INDEX($B$4:$B$254,(MATCH(1,($G$4:$G$254="max")*($H$4:$H$254=(H49-1)),0))),""),IF($G$3=1,IF(G49="min",INDEX($B$4:$B$254,(MATCH(1,($G$4:$G$254="max")*($H$4:$H$254=(H49)),0))),""),""))</f>
        <v/>
      </c>
      <c r="J49" s="29" t="str">
        <f aca="false">IF(AND(G47=0,G49="min",H49=1),B49-B48,IF(G49="min",B49-I49,""))</f>
        <v/>
      </c>
      <c r="K49" s="34" t="str">
        <f aca="false">IF(AND(G47=0,G49="min",H49=1),(B49-B48)/B48,IF(G49="min",(B49-I49)/I49,""))</f>
        <v/>
      </c>
      <c r="L49" s="5"/>
      <c r="M49" s="0" t="n">
        <f aca="false">E49/COUNT($E$4:E49)</f>
        <v>0.000225493902167413</v>
      </c>
      <c r="N49" s="19" t="n">
        <f aca="false">M49*252</f>
        <v>0.056824463346188</v>
      </c>
      <c r="O49" s="20" t="n">
        <f aca="false">STDEV($D$4:$D49)</f>
        <v>0.0278340395640681</v>
      </c>
      <c r="P49" s="20" t="n">
        <f aca="false">O49*SQRT(252)</f>
        <v>0.441851680013141</v>
      </c>
      <c r="Q49" s="0" t="n">
        <f aca="false">Treasuries!J47/100</f>
        <v>0.0474</v>
      </c>
      <c r="R49" s="20" t="n">
        <f aca="false">AJ49/AK49*SQRT(252)</f>
        <v>0.0988510960497488</v>
      </c>
      <c r="S49" s="32" t="n">
        <f aca="false">IF(D49&lt;s_p!H49, D49-s_p!H49, 0)</f>
        <v>-0.0135191658779634</v>
      </c>
      <c r="T49" s="0" t="n">
        <f aca="false">S49^2</f>
        <v>0.000182767846035891</v>
      </c>
      <c r="U49" s="0" t="n">
        <f aca="false">SQRT(AVERAGE(T$4:T49)) * SQRT(252)</f>
        <v>0.311341687779288</v>
      </c>
      <c r="V49" s="0" t="n">
        <f aca="false">AJ49/U49*252</f>
        <v>0.139265182030313</v>
      </c>
      <c r="W49" s="22" t="n">
        <f aca="false">(s_p!$J49)/COUNT(s_p!$J$4:$J49)</f>
        <v>0.000416918170143714</v>
      </c>
      <c r="X49" s="22" t="n">
        <f aca="false">W49 * 252</f>
        <v>0.105063378876216</v>
      </c>
      <c r="Y49" s="21" t="n">
        <f aca="false">STDEV(s_p!$H$4:$H49)</f>
        <v>0.00626879046705338</v>
      </c>
      <c r="Z49" s="21" t="n">
        <f aca="false">Y49*SQRT(252)</f>
        <v>0.0995139635819741</v>
      </c>
      <c r="AA49" s="0" t="n">
        <f aca="false">AJ49/AK49</f>
        <v>0.0062270337374716</v>
      </c>
      <c r="AB49" s="0" t="n">
        <f aca="false">_xlfn.COVARIANCE.S($D$4:$D49,s_p!$H$4:$H49)</f>
        <v>2.52770916499576E-005</v>
      </c>
      <c r="AC49" s="0" t="n">
        <f aca="false">_xlfn.VAR.S(s_p!$H$4:$H49)</f>
        <v>3.92977339198194E-005</v>
      </c>
      <c r="AD49" s="0" t="n">
        <f aca="false">AB49/AC49</f>
        <v>0.643220082397916</v>
      </c>
      <c r="AE49" s="0" t="n">
        <f aca="false">M49-(AD49*W49)</f>
        <v>-4.26762375856156E-005</v>
      </c>
      <c r="AF49" s="33" t="n">
        <f aca="false">MAX($E$4:E49)</f>
        <v>0.208819804331584</v>
      </c>
      <c r="AG49" s="0" t="n">
        <f aca="false">1 - ((1 + E49) / (1 + AF49))</f>
        <v>0.164165977526828</v>
      </c>
      <c r="AH49" s="0" t="n">
        <f aca="false">MAX($AG$5:AG49)</f>
        <v>0.167923980301764</v>
      </c>
      <c r="AI49" s="19" t="n">
        <f aca="false">D49-s_p!H49</f>
        <v>-0.0135191658779634</v>
      </c>
      <c r="AJ49" s="19" t="n">
        <f aca="false">AVERAGE(AI$4:AI49)</f>
        <v>0.000172059749294474</v>
      </c>
      <c r="AK49" s="0" t="n">
        <f aca="false">STDEV(AI$4:AI49)</f>
        <v>0.0276310931574198</v>
      </c>
    </row>
    <row r="50" customFormat="false" ht="13.8" hidden="false" customHeight="false" outlineLevel="0" collapsed="false">
      <c r="A50" s="6" t="n">
        <f aca="false">WORKDAY(A49,1,holiday!$B$2:$B$10)</f>
        <v>38786</v>
      </c>
      <c r="B50" s="24" t="n">
        <v>966219.431657563</v>
      </c>
      <c r="C50" s="24" t="n">
        <f aca="false">B50-B49</f>
        <v>-44153.2878421369</v>
      </c>
      <c r="D50" s="31" t="n">
        <f aca="false">C50/B49</f>
        <v>-0.0437</v>
      </c>
      <c r="E50" s="31" t="n">
        <f aca="false" t="array" ref="E50:E50">PRODUCT(1+$D$4:D50)-1</f>
        <v>-0.033780568342436</v>
      </c>
      <c r="F50" s="0" t="n">
        <f aca="false">IF(ISBLANK(A51),MONTH(A50),IF(MONTH(A51)-MONTH(A50)=1,MONTH(A50),0))</f>
        <v>0</v>
      </c>
      <c r="G50" s="0" t="str">
        <f aca="false">IF(B51&gt;B50,IF(AND(B49&gt;B50,B51&gt;B50),"min",""),IF(AND(B49&gt;B50,B51&gt;B50),"",IF(AND(B49&lt;B50,B51&lt;B50),"max","")))</f>
        <v>min</v>
      </c>
      <c r="H50" s="0" t="n">
        <f aca="false">IF(G50="min",COUNTIF(G$4:G50,"min"),IF(G50="max",COUNTIF(G$4:G50,"max"),""))</f>
        <v>13</v>
      </c>
      <c r="I50" s="24" t="n">
        <f aca="false" t="array" ref="I50:I50">IF($G$3=0,IF(G50="min",INDEX($B$4:$B$254,(MATCH(1,($G$4:$G$254="max")*($H$4:$H$254=(H50-1)),0))),""),IF($G$3=1,IF(G50="min",INDEX($B$4:$B$254,(MATCH(1,($G$4:$G$254="max")*($H$4:$H$254=(H50)),0))),""),""))</f>
        <v>1029312.06143001</v>
      </c>
      <c r="J50" s="29" t="n">
        <f aca="false">IF(AND(G48=0,G50="min",H50=1),B50-B49,IF(G50="min",B50-I50,""))</f>
        <v>-63092.6297724471</v>
      </c>
      <c r="K50" s="34" t="n">
        <f aca="false">IF(AND(G48=0,G50="min",H50=1),(B50-B49)/B49,IF(G50="min",(B50-I50)/I50,""))</f>
        <v>-0.0612959199999981</v>
      </c>
      <c r="L50" s="5"/>
      <c r="M50" s="0" t="n">
        <f aca="false">E50/COUNT($E$4:E50)</f>
        <v>-0.000718735496647575</v>
      </c>
      <c r="N50" s="19" t="n">
        <f aca="false">M50*252</f>
        <v>-0.181121345155189</v>
      </c>
      <c r="O50" s="20" t="n">
        <f aca="false">STDEV($D$4:$D50)</f>
        <v>0.0282781722027209</v>
      </c>
      <c r="P50" s="20" t="n">
        <f aca="false">O50*SQRT(252)</f>
        <v>0.448902067079154</v>
      </c>
      <c r="Q50" s="0" t="n">
        <f aca="false">Treasuries!J48/100</f>
        <v>0.0476</v>
      </c>
      <c r="R50" s="20" t="n">
        <f aca="false">AJ50/AK50*SQRT(252)</f>
        <v>-0.512810093272043</v>
      </c>
      <c r="S50" s="32" t="n">
        <f aca="false">IF(D50&lt;s_p!H50, D50-s_p!H50, 0)</f>
        <v>-0.0509235366246669</v>
      </c>
      <c r="T50" s="0" t="n">
        <f aca="false">S50^2</f>
        <v>0.00259320658236379</v>
      </c>
      <c r="U50" s="0" t="n">
        <f aca="false">SQRT(AVERAGE(T$4:T50)) * SQRT(252)</f>
        <v>0.329810900043782</v>
      </c>
      <c r="V50" s="0" t="n">
        <f aca="false">AJ50/U50*252</f>
        <v>-0.699189477787071</v>
      </c>
      <c r="W50" s="22" t="n">
        <f aca="false">(s_p!$J50)/COUNT(s_p!$J$4:$J50)</f>
        <v>0.000564687385961016</v>
      </c>
      <c r="X50" s="22" t="n">
        <f aca="false">W50 * 252</f>
        <v>0.142301221262176</v>
      </c>
      <c r="Y50" s="21" t="n">
        <f aca="false">STDEV(s_p!$H$4:$H50)</f>
        <v>0.00627891188328248</v>
      </c>
      <c r="Z50" s="21" t="n">
        <f aca="false">Y50*SQRT(252)</f>
        <v>0.099674636083522</v>
      </c>
      <c r="AA50" s="0" t="n">
        <f aca="false">AJ50/AK50</f>
        <v>-0.0323039994428964</v>
      </c>
      <c r="AB50" s="0" t="n">
        <f aca="false">_xlfn.COVARIANCE.S($D$4:$D50,s_p!$H$4:$H50)</f>
        <v>1.83258484269622E-005</v>
      </c>
      <c r="AC50" s="0" t="n">
        <f aca="false">_xlfn.VAR.S(s_p!$H$4:$H50)</f>
        <v>3.9424734438026E-005</v>
      </c>
      <c r="AD50" s="0" t="n">
        <f aca="false">AB50/AC50</f>
        <v>0.464831245871032</v>
      </c>
      <c r="AE50" s="0" t="n">
        <f aca="false">M50-(AD50*W50)</f>
        <v>-0.00098121983779149</v>
      </c>
      <c r="AF50" s="33" t="n">
        <f aca="false">MAX($E$4:E50)</f>
        <v>0.208819804331584</v>
      </c>
      <c r="AG50" s="0" t="n">
        <f aca="false">1 - ((1 + E50) / (1 + AF50))</f>
        <v>0.200691924308906</v>
      </c>
      <c r="AH50" s="0" t="n">
        <f aca="false">MAX($AG$5:AG50)</f>
        <v>0.200691924308906</v>
      </c>
      <c r="AI50" s="19" t="n">
        <f aca="false">D50-s_p!H50</f>
        <v>-0.0509235366246669</v>
      </c>
      <c r="AJ50" s="19" t="n">
        <f aca="false">AVERAGE(AI$4:AI50)</f>
        <v>-0.000915080599087683</v>
      </c>
      <c r="AK50" s="0" t="n">
        <f aca="false">STDEV(AI$4:AI50)</f>
        <v>0.0283271611834091</v>
      </c>
    </row>
    <row r="51" customFormat="false" ht="13.8" hidden="false" customHeight="false" outlineLevel="0" collapsed="false">
      <c r="A51" s="6" t="n">
        <f aca="false">WORKDAY(A50,1,holiday!$B$2:$B$10)</f>
        <v>38789</v>
      </c>
      <c r="B51" s="24" t="n">
        <v>1005931.05029869</v>
      </c>
      <c r="C51" s="24" t="n">
        <f aca="false">B51-B50</f>
        <v>39711.6186411259</v>
      </c>
      <c r="D51" s="31" t="n">
        <f aca="false">C51/B50</f>
        <v>0.0411</v>
      </c>
      <c r="E51" s="31" t="n">
        <f aca="false" t="array" ref="E51:E51">PRODUCT(1+$D$4:D51)-1</f>
        <v>0.00593105029868979</v>
      </c>
      <c r="F51" s="0" t="n">
        <f aca="false">IF(ISBLANK(A52),MONTH(A51),IF(MONTH(A52)-MONTH(A51)=1,MONTH(A51),0))</f>
        <v>0</v>
      </c>
      <c r="G51" s="0" t="str">
        <f aca="false">IF(B52&gt;B51,IF(AND(B50&gt;B51,B52&gt;B51),"min",""),IF(AND(B50&gt;B51,B52&gt;B51),"",IF(AND(B50&lt;B51,B52&lt;B51),"max","")))</f>
        <v>max</v>
      </c>
      <c r="H51" s="0" t="n">
        <f aca="false">IF(G51="min",COUNTIF(G$4:G51,"min"),IF(G51="max",COUNTIF(G$4:G51,"max"),""))</f>
        <v>13</v>
      </c>
      <c r="I51" s="24" t="str">
        <f aca="false" t="array" ref="I51:I51">IF($G$3=0,IF(G51="min",INDEX($B$4:$B$254,(MATCH(1,($G$4:$G$254="max")*($H$4:$H$254=(H51-1)),0))),""),IF($G$3=1,IF(G51="min",INDEX($B$4:$B$254,(MATCH(1,($G$4:$G$254="max")*($H$4:$H$254=(H51)),0))),""),""))</f>
        <v/>
      </c>
      <c r="J51" s="29" t="str">
        <f aca="false">IF(AND(G49=0,G51="min",H51=1),B51-B50,IF(G51="min",B51-I51,""))</f>
        <v/>
      </c>
      <c r="K51" s="34" t="str">
        <f aca="false">IF(AND(G49=0,G51="min",H51=1),(B51-B50)/B50,IF(G51="min",(B51-I51)/I51,""))</f>
        <v/>
      </c>
      <c r="L51" s="5"/>
      <c r="M51" s="0" t="n">
        <f aca="false">E51/COUNT($E$4:E51)</f>
        <v>0.000123563547889371</v>
      </c>
      <c r="N51" s="19" t="n">
        <f aca="false">M51*252</f>
        <v>0.0311380140681214</v>
      </c>
      <c r="O51" s="20" t="n">
        <f aca="false">STDEV($D$4:$D51)</f>
        <v>0.0286079478615832</v>
      </c>
      <c r="P51" s="20" t="n">
        <f aca="false">O51*SQRT(252)</f>
        <v>0.454137093369908</v>
      </c>
      <c r="Q51" s="0" t="n">
        <f aca="false">Treasuries!J49/100</f>
        <v>0.0477</v>
      </c>
      <c r="R51" s="20" t="n">
        <f aca="false">AJ51/AK51*SQRT(252)</f>
        <v>-0.0465116486452452</v>
      </c>
      <c r="S51" s="32" t="n">
        <f aca="false">IF(D51&lt;s_p!H51, D51-s_p!H51, 0)</f>
        <v>0</v>
      </c>
      <c r="T51" s="0" t="n">
        <f aca="false">S51^2</f>
        <v>0</v>
      </c>
      <c r="U51" s="0" t="n">
        <f aca="false">SQRT(AVERAGE(T$4:T51)) * SQRT(252)</f>
        <v>0.326357287596145</v>
      </c>
      <c r="V51" s="0" t="n">
        <f aca="false">AJ51/U51*252</f>
        <v>-0.064726775543603</v>
      </c>
      <c r="W51" s="22" t="n">
        <f aca="false">(s_p!$J51)/COUNT(s_p!$J$4:$J51)</f>
        <v>0.000598151604728606</v>
      </c>
      <c r="X51" s="22" t="n">
        <f aca="false">W51 * 252</f>
        <v>0.150734204391609</v>
      </c>
      <c r="Y51" s="21" t="n">
        <f aca="false">STDEV(s_p!$H$4:$H51)</f>
        <v>0.00621572153020783</v>
      </c>
      <c r="Z51" s="21" t="n">
        <f aca="false">Y51*SQRT(252)</f>
        <v>0.0986715203265587</v>
      </c>
      <c r="AA51" s="0" t="n">
        <f aca="false">AJ51/AK51</f>
        <v>-0.00292995846149814</v>
      </c>
      <c r="AB51" s="0" t="n">
        <f aca="false">_xlfn.COVARIANCE.S($D$4:$D51,s_p!$H$4:$H51)</f>
        <v>1.92637394934619E-005</v>
      </c>
      <c r="AC51" s="0" t="n">
        <f aca="false">_xlfn.VAR.S(s_p!$H$4:$H51)</f>
        <v>3.86351941410892E-005</v>
      </c>
      <c r="AD51" s="0" t="n">
        <f aca="false">AB51/AC51</f>
        <v>0.498605996985909</v>
      </c>
      <c r="AE51" s="0" t="n">
        <f aca="false">M51-(AD51*W51)</f>
        <v>-0.000174678429335057</v>
      </c>
      <c r="AF51" s="33" t="n">
        <f aca="false">MAX($E$4:E51)</f>
        <v>0.208819804331584</v>
      </c>
      <c r="AG51" s="0" t="n">
        <f aca="false">1 - ((1 + E51) / (1 + AF51))</f>
        <v>0.167840362398002</v>
      </c>
      <c r="AH51" s="0" t="n">
        <f aca="false">MAX($AG$5:AG51)</f>
        <v>0.200691924308906</v>
      </c>
      <c r="AI51" s="19" t="n">
        <f aca="false">D51-s_p!H51</f>
        <v>0.0389851586521202</v>
      </c>
      <c r="AJ51" s="19" t="n">
        <f aca="false">AVERAGE(AI$4:AI51)</f>
        <v>-8.3825614687519E-005</v>
      </c>
      <c r="AK51" s="0" t="n">
        <f aca="false">STDEV(AI$4:AI51)</f>
        <v>0.0286098304085367</v>
      </c>
    </row>
    <row r="52" customFormat="false" ht="13.8" hidden="false" customHeight="false" outlineLevel="0" collapsed="false">
      <c r="A52" s="6" t="n">
        <f aca="false">WORKDAY(A51,1,holiday!$B$2:$B$10)</f>
        <v>38790</v>
      </c>
      <c r="B52" s="24" t="n">
        <v>981587.518881461</v>
      </c>
      <c r="C52" s="24" t="n">
        <f aca="false">B52-B51</f>
        <v>-24343.5314172283</v>
      </c>
      <c r="D52" s="31" t="n">
        <f aca="false">C52/B51</f>
        <v>-0.0242</v>
      </c>
      <c r="E52" s="31" t="n">
        <f aca="false" t="array" ref="E52:E52">PRODUCT(1+$D$4:D52)-1</f>
        <v>-0.0184124811185385</v>
      </c>
      <c r="F52" s="0" t="n">
        <f aca="false">IF(ISBLANK(A53),MONTH(A52),IF(MONTH(A53)-MONTH(A52)=1,MONTH(A52),0))</f>
        <v>0</v>
      </c>
      <c r="G52" s="0" t="str">
        <f aca="false">IF(B53&gt;B52,IF(AND(B51&gt;B52,B53&gt;B52),"min",""),IF(AND(B51&gt;B52,B53&gt;B52),"",IF(AND(B51&lt;B52,B53&lt;B52),"max","")))</f>
        <v/>
      </c>
      <c r="H52" s="0" t="str">
        <f aca="false">IF(G52="min",COUNTIF(G$4:G52,"min"),IF(G52="max",COUNTIF(G$4:G52,"max"),""))</f>
        <v/>
      </c>
      <c r="I52" s="24" t="str">
        <f aca="false" t="array" ref="I52:I52">IF($G$3=0,IF(G52="min",INDEX($B$4:$B$254,(MATCH(1,($G$4:$G$254="max")*($H$4:$H$254=(H52-1)),0))),""),IF($G$3=1,IF(G52="min",INDEX($B$4:$B$254,(MATCH(1,($G$4:$G$254="max")*($H$4:$H$254=(H52)),0))),""),""))</f>
        <v/>
      </c>
      <c r="J52" s="29" t="str">
        <f aca="false">IF(AND(G50=0,G52="min",H52=1),B52-B51,IF(G52="min",B52-I52,""))</f>
        <v/>
      </c>
      <c r="K52" s="34" t="str">
        <f aca="false">IF(AND(G50=0,G52="min",H52=1),(B52-B51)/B51,IF(G52="min",(B52-I52)/I52,""))</f>
        <v/>
      </c>
      <c r="L52" s="5"/>
      <c r="M52" s="0" t="n">
        <f aca="false">E52/COUNT($E$4:E52)</f>
        <v>-0.000375764920786501</v>
      </c>
      <c r="N52" s="19" t="n">
        <f aca="false">M52*252</f>
        <v>-0.0946927600381983</v>
      </c>
      <c r="O52" s="20" t="n">
        <f aca="false">STDEV($D$4:$D52)</f>
        <v>0.0285278882527829</v>
      </c>
      <c r="P52" s="20" t="n">
        <f aca="false">O52*SQRT(252)</f>
        <v>0.452866186480226</v>
      </c>
      <c r="Q52" s="0" t="n">
        <f aca="false">Treasuries!J50/100</f>
        <v>0.0471</v>
      </c>
      <c r="R52" s="20" t="n">
        <f aca="false">AJ52/AK52*SQRT(252)</f>
        <v>-0.435393811757346</v>
      </c>
      <c r="S52" s="32" t="n">
        <f aca="false">IF(D52&lt;s_p!H52, D52-s_p!H52, 0)</f>
        <v>-0.0345961436926168</v>
      </c>
      <c r="T52" s="0" t="n">
        <f aca="false">S52^2</f>
        <v>0.00119689315840019</v>
      </c>
      <c r="U52" s="0" t="n">
        <f aca="false">SQRT(AVERAGE(T$4:T52)) * SQRT(252)</f>
        <v>0.332401677220721</v>
      </c>
      <c r="V52" s="0" t="n">
        <f aca="false">AJ52/U52*252</f>
        <v>-0.597517973150918</v>
      </c>
      <c r="W52" s="22" t="n">
        <f aca="false">(s_p!$J52)/COUNT(s_p!$J$4:$J52)</f>
        <v>0.000804202189411445</v>
      </c>
      <c r="X52" s="22" t="n">
        <f aca="false">W52 * 252</f>
        <v>0.202658951731684</v>
      </c>
      <c r="Y52" s="21" t="n">
        <f aca="false">STDEV(s_p!$H$4:$H52)</f>
        <v>0.00630755299435446</v>
      </c>
      <c r="Z52" s="21" t="n">
        <f aca="false">Y52*SQRT(252)</f>
        <v>0.100129299626536</v>
      </c>
      <c r="AA52" s="0" t="n">
        <f aca="false">AJ52/AK52</f>
        <v>-0.0274272321020571</v>
      </c>
      <c r="AB52" s="0" t="n">
        <f aca="false">_xlfn.COVARIANCE.S($D$4:$D52,s_p!$H$4:$H52)</f>
        <v>1.39238107816991E-005</v>
      </c>
      <c r="AC52" s="0" t="n">
        <f aca="false">_xlfn.VAR.S(s_p!$H$4:$H52)</f>
        <v>3.97852247765899E-005</v>
      </c>
      <c r="AD52" s="0" t="n">
        <f aca="false">AB52/AC52</f>
        <v>0.349974415373722</v>
      </c>
      <c r="AE52" s="0" t="n">
        <f aca="false">M52-(AD52*W52)</f>
        <v>-0.000657215111868038</v>
      </c>
      <c r="AF52" s="33" t="n">
        <f aca="false">MAX($E$4:E52)</f>
        <v>0.208819804331584</v>
      </c>
      <c r="AG52" s="0" t="n">
        <f aca="false">1 - ((1 + E52) / (1 + AF52))</f>
        <v>0.18797862562797</v>
      </c>
      <c r="AH52" s="0" t="n">
        <f aca="false">MAX($AG$5:AG52)</f>
        <v>0.200691924308906</v>
      </c>
      <c r="AI52" s="19" t="n">
        <f aca="false">D52-s_p!H52</f>
        <v>-0.0345961436926168</v>
      </c>
      <c r="AJ52" s="19" t="n">
        <f aca="false">AVERAGE(AI$4:AI52)</f>
        <v>-0.000788158636686076</v>
      </c>
      <c r="AK52" s="0" t="n">
        <f aca="false">STDEV(AI$4:AI52)</f>
        <v>0.0287363534808517</v>
      </c>
    </row>
    <row r="53" customFormat="false" ht="13.8" hidden="false" customHeight="false" outlineLevel="0" collapsed="false">
      <c r="A53" s="6" t="n">
        <f aca="false">WORKDAY(A52,1,holiday!$B$2:$B$10)</f>
        <v>38791</v>
      </c>
      <c r="B53" s="24" t="n">
        <v>976286.946279501</v>
      </c>
      <c r="C53" s="24" t="n">
        <f aca="false">B53-B52</f>
        <v>-5300.57260195992</v>
      </c>
      <c r="D53" s="31" t="n">
        <f aca="false">C53/B52</f>
        <v>-0.00540000000000004</v>
      </c>
      <c r="E53" s="31" t="n">
        <f aca="false" t="array" ref="E53:E53">PRODUCT(1+$D$4:D53)-1</f>
        <v>-0.0237130537204984</v>
      </c>
      <c r="F53" s="0" t="n">
        <f aca="false">IF(ISBLANK(A54),MONTH(A53),IF(MONTH(A54)-MONTH(A53)=1,MONTH(A53),0))</f>
        <v>0</v>
      </c>
      <c r="G53" s="0" t="str">
        <f aca="false">IF(B54&gt;B53,IF(AND(B52&gt;B53,B54&gt;B53),"min",""),IF(AND(B52&gt;B53,B54&gt;B53),"",IF(AND(B52&lt;B53,B54&lt;B53),"max","")))</f>
        <v/>
      </c>
      <c r="H53" s="0" t="str">
        <f aca="false">IF(G53="min",COUNTIF(G$4:G53,"min"),IF(G53="max",COUNTIF(G$4:G53,"max"),""))</f>
        <v/>
      </c>
      <c r="I53" s="24" t="str">
        <f aca="false" t="array" ref="I53:I53">IF($G$3=0,IF(G53="min",INDEX($B$4:$B$254,(MATCH(1,($G$4:$G$254="max")*($H$4:$H$254=(H53-1)),0))),""),IF($G$3=1,IF(G53="min",INDEX($B$4:$B$254,(MATCH(1,($G$4:$G$254="max")*($H$4:$H$254=(H53)),0))),""),""))</f>
        <v/>
      </c>
      <c r="J53" s="29" t="str">
        <f aca="false">IF(AND(G51=0,G53="min",H53=1),B53-B52,IF(G53="min",B53-I53,""))</f>
        <v/>
      </c>
      <c r="K53" s="34" t="str">
        <f aca="false">IF(AND(G51=0,G53="min",H53=1),(B53-B52)/B52,IF(G53="min",(B53-I53)/I53,""))</f>
        <v/>
      </c>
      <c r="L53" s="5"/>
      <c r="M53" s="0" t="n">
        <f aca="false">E53/COUNT($E$4:E53)</f>
        <v>-0.000474261074409967</v>
      </c>
      <c r="N53" s="19" t="n">
        <f aca="false">M53*252</f>
        <v>-0.119513790751312</v>
      </c>
      <c r="O53" s="20" t="n">
        <f aca="false">STDEV($D$4:$D53)</f>
        <v>0.0282456905869673</v>
      </c>
      <c r="P53" s="20" t="n">
        <f aca="false">O53*SQRT(252)</f>
        <v>0.448386437414362</v>
      </c>
      <c r="Q53" s="0" t="n">
        <f aca="false">Treasuries!J51/100</f>
        <v>0.0473</v>
      </c>
      <c r="R53" s="20" t="n">
        <f aca="false">AJ53/AK53*SQRT(252)</f>
        <v>-0.538525704281884</v>
      </c>
      <c r="S53" s="32" t="n">
        <f aca="false">IF(D53&lt;s_p!H53, D53-s_p!H53, 0)</f>
        <v>-0.00966981533434038</v>
      </c>
      <c r="T53" s="0" t="n">
        <f aca="false">S53^2</f>
        <v>9.35053286002444E-005</v>
      </c>
      <c r="U53" s="0" t="n">
        <f aca="false">SQRT(AVERAGE(T$4:T53)) * SQRT(252)</f>
        <v>0.329776173146137</v>
      </c>
      <c r="V53" s="0" t="n">
        <f aca="false">AJ53/U53*252</f>
        <v>-0.738014283685734</v>
      </c>
      <c r="W53" s="22" t="n">
        <f aca="false">(s_p!$J53)/COUNT(s_p!$J$4:$J53)</f>
        <v>0.000876879571253477</v>
      </c>
      <c r="X53" s="22" t="n">
        <f aca="false">W53 * 252</f>
        <v>0.220973651955876</v>
      </c>
      <c r="Y53" s="21" t="n">
        <f aca="false">STDEV(s_p!$H$4:$H53)</f>
        <v>0.00626201934220412</v>
      </c>
      <c r="Z53" s="21" t="n">
        <f aca="false">Y53*SQRT(252)</f>
        <v>0.0994064753072902</v>
      </c>
      <c r="AA53" s="0" t="n">
        <f aca="false">AJ53/AK53</f>
        <v>-0.0339239306701373</v>
      </c>
      <c r="AB53" s="0" t="n">
        <f aca="false">_xlfn.COVARIANCE.S($D$4:$D53,s_p!$H$4:$H53)</f>
        <v>1.32644237817732E-005</v>
      </c>
      <c r="AC53" s="0" t="n">
        <f aca="false">_xlfn.VAR.S(s_p!$H$4:$H53)</f>
        <v>3.92128862421385E-005</v>
      </c>
      <c r="AD53" s="0" t="n">
        <f aca="false">AB53/AC53</f>
        <v>0.338266958975315</v>
      </c>
      <c r="AE53" s="0" t="n">
        <f aca="false">M53-(AD53*W53)</f>
        <v>-0.000770880460365459</v>
      </c>
      <c r="AF53" s="33" t="n">
        <f aca="false">MAX($E$4:E53)</f>
        <v>0.208819804331584</v>
      </c>
      <c r="AG53" s="0" t="n">
        <f aca="false">1 - ((1 + E53) / (1 + AF53))</f>
        <v>0.192363541049579</v>
      </c>
      <c r="AH53" s="0" t="n">
        <f aca="false">MAX($AG$5:AG53)</f>
        <v>0.200691924308906</v>
      </c>
      <c r="AI53" s="19" t="n">
        <f aca="false">D53-s_p!H53</f>
        <v>-0.00966981533434038</v>
      </c>
      <c r="AJ53" s="19" t="n">
        <f aca="false">AVERAGE(AI$4:AI53)</f>
        <v>-0.000965791770639162</v>
      </c>
      <c r="AK53" s="0" t="n">
        <f aca="false">STDEV(AI$4:AI53)</f>
        <v>0.0284693357037583</v>
      </c>
    </row>
    <row r="54" customFormat="false" ht="13.8" hidden="false" customHeight="false" outlineLevel="0" collapsed="false">
      <c r="A54" s="6" t="n">
        <f aca="false">WORKDAY(A53,1,holiday!$B$2:$B$10)</f>
        <v>38792</v>
      </c>
      <c r="B54" s="24" t="n">
        <v>972479.427189011</v>
      </c>
      <c r="C54" s="24" t="n">
        <f aca="false">B54-B53</f>
        <v>-3807.51909049007</v>
      </c>
      <c r="D54" s="31" t="n">
        <f aca="false">C54/B53</f>
        <v>-0.00390000000000001</v>
      </c>
      <c r="E54" s="31" t="n">
        <f aca="false" t="array" ref="E54:E54">PRODUCT(1+$D$4:D54)-1</f>
        <v>-0.0275205728109885</v>
      </c>
      <c r="F54" s="0" t="n">
        <f aca="false">IF(ISBLANK(A55),MONTH(A54),IF(MONTH(A55)-MONTH(A54)=1,MONTH(A54),0))</f>
        <v>0</v>
      </c>
      <c r="G54" s="0" t="str">
        <f aca="false">IF(B55&gt;B54,IF(AND(B53&gt;B54,B55&gt;B54),"min",""),IF(AND(B53&gt;B54,B55&gt;B54),"",IF(AND(B53&lt;B54,B55&lt;B54),"max","")))</f>
        <v/>
      </c>
      <c r="H54" s="0" t="str">
        <f aca="false">IF(G54="min",COUNTIF(G$4:G54,"min"),IF(G54="max",COUNTIF(G$4:G54,"max"),""))</f>
        <v/>
      </c>
      <c r="I54" s="24" t="str">
        <f aca="false" t="array" ref="I54:I54">IF($G$3=0,IF(G54="min",INDEX($B$4:$B$254,(MATCH(1,($G$4:$G$254="max")*($H$4:$H$254=(H54-1)),0))),""),IF($G$3=1,IF(G54="min",INDEX($B$4:$B$254,(MATCH(1,($G$4:$G$254="max")*($H$4:$H$254=(H54)),0))),""),""))</f>
        <v/>
      </c>
      <c r="J54" s="29" t="str">
        <f aca="false">IF(AND(G52=0,G54="min",H54=1),B54-B53,IF(G54="min",B54-I54,""))</f>
        <v/>
      </c>
      <c r="K54" s="34" t="str">
        <f aca="false">IF(AND(G52=0,G54="min",H54=1),(B54-B53)/B53,IF(G54="min",(B54-I54)/I54,""))</f>
        <v/>
      </c>
      <c r="L54" s="5"/>
      <c r="M54" s="0" t="n">
        <f aca="false">E54/COUNT($E$4:E54)</f>
        <v>-0.000539619074725265</v>
      </c>
      <c r="N54" s="19" t="n">
        <f aca="false">M54*252</f>
        <v>-0.135984006830767</v>
      </c>
      <c r="O54" s="20" t="n">
        <f aca="false">STDEV($D$4:$D54)</f>
        <v>0.0279669015858698</v>
      </c>
      <c r="P54" s="20" t="n">
        <f aca="false">O54*SQRT(252)</f>
        <v>0.443960799223377</v>
      </c>
      <c r="Q54" s="0" t="n">
        <f aca="false">Treasuries!J52/100</f>
        <v>0.0465</v>
      </c>
      <c r="R54" s="20" t="n">
        <f aca="false">AJ54/AK54*SQRT(252)</f>
        <v>-0.595816040834056</v>
      </c>
      <c r="S54" s="32" t="n">
        <f aca="false">IF(D54&lt;s_p!H54, D54-s_p!H54, 0)</f>
        <v>-0.00567280471520015</v>
      </c>
      <c r="T54" s="0" t="n">
        <f aca="false">S54^2</f>
        <v>3.21807133367971E-005</v>
      </c>
      <c r="U54" s="0" t="n">
        <f aca="false">SQRT(AVERAGE(T$4:T54)) * SQRT(252)</f>
        <v>0.326770464456784</v>
      </c>
      <c r="V54" s="0" t="n">
        <f aca="false">AJ54/U54*252</f>
        <v>-0.815978605204545</v>
      </c>
      <c r="W54" s="22" t="n">
        <f aca="false">(s_p!$J54)/COUNT(s_p!$J$4:$J54)</f>
        <v>0.000895970786074568</v>
      </c>
      <c r="X54" s="22" t="n">
        <f aca="false">W54 * 252</f>
        <v>0.225784638090791</v>
      </c>
      <c r="Y54" s="21" t="n">
        <f aca="false">STDEV(s_p!$H$4:$H54)</f>
        <v>0.00620034961467309</v>
      </c>
      <c r="Z54" s="21" t="n">
        <f aca="false">Y54*SQRT(252)</f>
        <v>0.098427498732481</v>
      </c>
      <c r="AA54" s="0" t="n">
        <f aca="false">AJ54/AK54</f>
        <v>-0.0375328826473811</v>
      </c>
      <c r="AB54" s="0" t="n">
        <f aca="false">_xlfn.COVARIANCE.S($D$4:$D54,s_p!$H$4:$H54)</f>
        <v>1.29322374758501E-005</v>
      </c>
      <c r="AC54" s="0" t="n">
        <f aca="false">_xlfn.VAR.S(s_p!$H$4:$H54)</f>
        <v>3.84443353441768E-005</v>
      </c>
      <c r="AD54" s="0" t="n">
        <f aca="false">AB54/AC54</f>
        <v>0.336388634634283</v>
      </c>
      <c r="AE54" s="0" t="n">
        <f aca="false">M54-(AD54*W54)</f>
        <v>-0.000841013464125094</v>
      </c>
      <c r="AF54" s="33" t="n">
        <f aca="false">MAX($E$4:E54)</f>
        <v>0.208819804331584</v>
      </c>
      <c r="AG54" s="0" t="n">
        <f aca="false">1 - ((1 + E54) / (1 + AF54))</f>
        <v>0.195513323239486</v>
      </c>
      <c r="AH54" s="0" t="n">
        <f aca="false">MAX($AG$5:AG54)</f>
        <v>0.200691924308906</v>
      </c>
      <c r="AI54" s="19" t="n">
        <f aca="false">D54-s_p!H54</f>
        <v>-0.00567280471520015</v>
      </c>
      <c r="AJ54" s="19" t="n">
        <f aca="false">AVERAGE(AI$4:AI54)</f>
        <v>-0.00105808614210114</v>
      </c>
      <c r="AK54" s="0" t="n">
        <f aca="false">STDEV(AI$4:AI54)</f>
        <v>0.0281909106753614</v>
      </c>
    </row>
    <row r="55" customFormat="false" ht="13.8" hidden="false" customHeight="false" outlineLevel="0" collapsed="false">
      <c r="A55" s="6" t="n">
        <f aca="false">WORKDAY(A54,1,holiday!$B$2:$B$10)</f>
        <v>38793</v>
      </c>
      <c r="B55" s="24" t="n">
        <v>945930.738826751</v>
      </c>
      <c r="C55" s="24" t="n">
        <f aca="false">B55-B54</f>
        <v>-26548.68836226</v>
      </c>
      <c r="D55" s="31" t="n">
        <f aca="false">C55/B54</f>
        <v>-0.0273</v>
      </c>
      <c r="E55" s="31" t="n">
        <f aca="false" t="array" ref="E55:E55">PRODUCT(1+$D$4:D55)-1</f>
        <v>-0.0540692611732485</v>
      </c>
      <c r="F55" s="0" t="n">
        <f aca="false">IF(ISBLANK(A56),MONTH(A55),IF(MONTH(A56)-MONTH(A55)=1,MONTH(A55),0))</f>
        <v>0</v>
      </c>
      <c r="G55" s="0" t="str">
        <f aca="false">IF(B56&gt;B55,IF(AND(B54&gt;B55,B56&gt;B55),"min",""),IF(AND(B54&gt;B55,B56&gt;B55),"",IF(AND(B54&lt;B55,B56&lt;B55),"max","")))</f>
        <v/>
      </c>
      <c r="H55" s="0" t="str">
        <f aca="false">IF(G55="min",COUNTIF(G$4:G55,"min"),IF(G55="max",COUNTIF(G$4:G55,"max"),""))</f>
        <v/>
      </c>
      <c r="I55" s="24" t="str">
        <f aca="false" t="array" ref="I55:I55">IF($G$3=0,IF(G55="min",INDEX($B$4:$B$254,(MATCH(1,($G$4:$G$254="max")*($H$4:$H$254=(H55-1)),0))),""),IF($G$3=1,IF(G55="min",INDEX($B$4:$B$254,(MATCH(1,($G$4:$G$254="max")*($H$4:$H$254=(H55)),0))),""),""))</f>
        <v/>
      </c>
      <c r="J55" s="29" t="str">
        <f aca="false">IF(AND(G53=0,G55="min",H55=1),B55-B54,IF(G55="min",B55-I55,""))</f>
        <v/>
      </c>
      <c r="K55" s="34" t="str">
        <f aca="false">IF(AND(G53=0,G55="min",H55=1),(B55-B54)/B54,IF(G55="min",(B55-I55)/I55,""))</f>
        <v/>
      </c>
      <c r="L55" s="5"/>
      <c r="M55" s="0" t="n">
        <f aca="false">E55/COUNT($E$4:E55)</f>
        <v>-0.00103979348410093</v>
      </c>
      <c r="N55" s="19" t="n">
        <f aca="false">M55*252</f>
        <v>-0.262027957993435</v>
      </c>
      <c r="O55" s="20" t="n">
        <f aca="false">STDEV($D$4:$D55)</f>
        <v>0.0279459028153126</v>
      </c>
      <c r="P55" s="20" t="n">
        <f aca="false">O55*SQRT(252)</f>
        <v>0.443627454074982</v>
      </c>
      <c r="Q55" s="0" t="n">
        <f aca="false">Treasuries!J53/100</f>
        <v>0.0468</v>
      </c>
      <c r="R55" s="20" t="n">
        <f aca="false">AJ55/AK55*SQRT(252)</f>
        <v>-0.896376639123925</v>
      </c>
      <c r="S55" s="32" t="n">
        <f aca="false">IF(D55&lt;s_p!H55, D55-s_p!H55, 0)</f>
        <v>-0.0287708924180093</v>
      </c>
      <c r="T55" s="0" t="n">
        <f aca="false">S55^2</f>
        <v>0.000827764250528668</v>
      </c>
      <c r="U55" s="0" t="n">
        <f aca="false">SQRT(AVERAGE(T$4:T55)) * SQRT(252)</f>
        <v>0.329752889695148</v>
      </c>
      <c r="V55" s="0" t="n">
        <f aca="false">AJ55/U55*252</f>
        <v>-1.21587480522721</v>
      </c>
      <c r="W55" s="22" t="n">
        <f aca="false">(s_p!$J55)/COUNT(s_p!$J$4:$J55)</f>
        <v>0.00090831950415862</v>
      </c>
      <c r="X55" s="22" t="n">
        <f aca="false">W55 * 252</f>
        <v>0.228896515047972</v>
      </c>
      <c r="Y55" s="21" t="n">
        <f aca="false">STDEV(s_p!$H$4:$H55)</f>
        <v>0.00613977973709174</v>
      </c>
      <c r="Z55" s="21" t="n">
        <f aca="false">Y55*SQRT(252)</f>
        <v>0.0974659817343497</v>
      </c>
      <c r="AA55" s="0" t="n">
        <f aca="false">AJ55/AK55</f>
        <v>-0.0564664206707092</v>
      </c>
      <c r="AB55" s="0" t="n">
        <f aca="false">_xlfn.COVARIANCE.S($D$4:$D55,s_p!$H$4:$H55)</f>
        <v>1.23783010315487E-005</v>
      </c>
      <c r="AC55" s="0" t="n">
        <f aca="false">_xlfn.VAR.S(s_p!$H$4:$H55)</f>
        <v>3.76968952200024E-005</v>
      </c>
      <c r="AD55" s="0" t="n">
        <f aca="false">AB55/AC55</f>
        <v>0.328363939770314</v>
      </c>
      <c r="AE55" s="0" t="n">
        <f aca="false">M55-(AD55*W55)</f>
        <v>-0.00133805285505668</v>
      </c>
      <c r="AF55" s="33" t="n">
        <f aca="false">MAX($E$4:E55)</f>
        <v>0.208819804331584</v>
      </c>
      <c r="AG55" s="0" t="n">
        <f aca="false">1 - ((1 + E55) / (1 + AF55))</f>
        <v>0.217475809515048</v>
      </c>
      <c r="AH55" s="0" t="n">
        <f aca="false">MAX($AG$5:AG55)</f>
        <v>0.217475809515048</v>
      </c>
      <c r="AI55" s="19" t="n">
        <f aca="false">D55-s_p!H55</f>
        <v>-0.0287708924180093</v>
      </c>
      <c r="AJ55" s="19" t="n">
        <f aca="false">AVERAGE(AI$4:AI55)</f>
        <v>-0.00159102472433015</v>
      </c>
      <c r="AK55" s="0" t="n">
        <f aca="false">STDEV(AI$4:AI55)</f>
        <v>0.0281764756014623</v>
      </c>
    </row>
    <row r="56" customFormat="false" ht="13.8" hidden="false" customHeight="false" outlineLevel="0" collapsed="false">
      <c r="A56" s="6" t="n">
        <f aca="false">WORKDAY(A55,1,holiday!$B$2:$B$10)</f>
        <v>38796</v>
      </c>
      <c r="B56" s="24" t="n">
        <v>938836.25828555</v>
      </c>
      <c r="C56" s="24" t="n">
        <f aca="false">B56-B55</f>
        <v>-7094.48054120061</v>
      </c>
      <c r="D56" s="31" t="n">
        <f aca="false">C56/B55</f>
        <v>-0.00749999999999998</v>
      </c>
      <c r="E56" s="31" t="n">
        <f aca="false" t="array" ref="E56:E56">PRODUCT(1+$D$4:D56)-1</f>
        <v>-0.0611637417144491</v>
      </c>
      <c r="F56" s="0" t="n">
        <f aca="false">IF(ISBLANK(A57),MONTH(A56),IF(MONTH(A57)-MONTH(A56)=1,MONTH(A56),0))</f>
        <v>0</v>
      </c>
      <c r="G56" s="0" t="str">
        <f aca="false">IF(B57&gt;B56,IF(AND(B55&gt;B56,B57&gt;B56),"min",""),IF(AND(B55&gt;B56,B57&gt;B56),"",IF(AND(B55&lt;B56,B57&lt;B56),"max","")))</f>
        <v>min</v>
      </c>
      <c r="H56" s="0" t="n">
        <f aca="false">IF(G56="min",COUNTIF(G$4:G56,"min"),IF(G56="max",COUNTIF(G$4:G56,"max"),""))</f>
        <v>14</v>
      </c>
      <c r="I56" s="24" t="n">
        <f aca="false" t="array" ref="I56:I56">IF($G$3=0,IF(G56="min",INDEX($B$4:$B$254,(MATCH(1,($G$4:$G$254="max")*($H$4:$H$254=(H56-1)),0))),""),IF($G$3=1,IF(G56="min",INDEX($B$4:$B$254,(MATCH(1,($G$4:$G$254="max")*($H$4:$H$254=(H56)),0))),""),""))</f>
        <v>1005931.05029869</v>
      </c>
      <c r="J56" s="29" t="n">
        <f aca="false">IF(AND(G54=0,G56="min",H56=1),B56-B55,IF(G56="min",B56-I56,""))</f>
        <v>-67094.7920131399</v>
      </c>
      <c r="K56" s="34" t="n">
        <f aca="false">IF(AND(G54=0,G56="min",H56=1),(B56-B55)/B55,IF(G56="min",(B56-I56)/I56,""))</f>
        <v>-0.0666991957283927</v>
      </c>
      <c r="L56" s="5"/>
      <c r="M56" s="0" t="n">
        <f aca="false">E56/COUNT($E$4:E56)</f>
        <v>-0.00115403286253677</v>
      </c>
      <c r="N56" s="19" t="n">
        <f aca="false">M56*252</f>
        <v>-0.290816281359267</v>
      </c>
      <c r="O56" s="20" t="n">
        <f aca="false">STDEV($D$4:$D56)</f>
        <v>0.0276917166019</v>
      </c>
      <c r="P56" s="20" t="n">
        <f aca="false">O56*SQRT(252)</f>
        <v>0.439592373030636</v>
      </c>
      <c r="Q56" s="0" t="n">
        <f aca="false">Treasuries!J54/100</f>
        <v>0.0466</v>
      </c>
      <c r="R56" s="20" t="n">
        <f aca="false">AJ56/AK56*SQRT(252)</f>
        <v>-0.950522113786164</v>
      </c>
      <c r="S56" s="32" t="n">
        <f aca="false">IF(D56&lt;s_p!H56, D56-s_p!H56, 0)</f>
        <v>-0.00584002677376164</v>
      </c>
      <c r="T56" s="0" t="n">
        <f aca="false">S56^2</f>
        <v>3.41059127182528E-005</v>
      </c>
      <c r="U56" s="0" t="n">
        <f aca="false">SQRT(AVERAGE(T$4:T56)) * SQRT(252)</f>
        <v>0.326875345222073</v>
      </c>
      <c r="V56" s="0" t="n">
        <f aca="false">AJ56/U56*252</f>
        <v>-1.2883842078771</v>
      </c>
      <c r="W56" s="22" t="n">
        <f aca="false">(s_p!$J56)/COUNT(s_p!$J$4:$J56)</f>
        <v>0.000858381813490669</v>
      </c>
      <c r="X56" s="22" t="n">
        <f aca="false">W56 * 252</f>
        <v>0.216312216999649</v>
      </c>
      <c r="Y56" s="21" t="n">
        <f aca="false">STDEV(s_p!$H$4:$H56)</f>
        <v>0.00609066704935349</v>
      </c>
      <c r="Z56" s="21" t="n">
        <f aca="false">Y56*SQRT(252)</f>
        <v>0.0966863419865094</v>
      </c>
      <c r="AA56" s="0" t="n">
        <f aca="false">AJ56/AK56</f>
        <v>-0.0598772649701338</v>
      </c>
      <c r="AB56" s="0" t="n">
        <f aca="false">_xlfn.COVARIANCE.S($D$4:$D56,s_p!$H$4:$H56)</f>
        <v>1.24702734650399E-005</v>
      </c>
      <c r="AC56" s="0" t="n">
        <f aca="false">_xlfn.VAR.S(s_p!$H$4:$H56)</f>
        <v>3.70962251060804E-005</v>
      </c>
      <c r="AD56" s="0" t="n">
        <f aca="false">AB56/AC56</f>
        <v>0.336160173424112</v>
      </c>
      <c r="AE56" s="0" t="n">
        <f aca="false">M56-(AD56*W56)</f>
        <v>-0.0014425866418239</v>
      </c>
      <c r="AF56" s="33" t="n">
        <f aca="false">MAX($E$4:E56)</f>
        <v>0.208819804331584</v>
      </c>
      <c r="AG56" s="0" t="n">
        <f aca="false">1 - ((1 + E56) / (1 + AF56))</f>
        <v>0.223344740943685</v>
      </c>
      <c r="AH56" s="0" t="n">
        <f aca="false">MAX($AG$5:AG56)</f>
        <v>0.223344740943685</v>
      </c>
      <c r="AI56" s="19" t="n">
        <f aca="false">D56-s_p!H56</f>
        <v>-0.00584002677376163</v>
      </c>
      <c r="AJ56" s="19" t="n">
        <f aca="false">AVERAGE(AI$4:AI56)</f>
        <v>-0.00167119457431942</v>
      </c>
      <c r="AK56" s="0" t="n">
        <f aca="false">STDEV(AI$4:AI56)</f>
        <v>0.0279103358370326</v>
      </c>
    </row>
    <row r="57" customFormat="false" ht="13.8" hidden="false" customHeight="false" outlineLevel="0" collapsed="false">
      <c r="A57" s="6" t="n">
        <f aca="false">WORKDAY(A56,1,holiday!$B$2:$B$10)</f>
        <v>38797</v>
      </c>
      <c r="B57" s="24" t="n">
        <v>944844.810338578</v>
      </c>
      <c r="C57" s="24" t="n">
        <f aca="false">B57-B56</f>
        <v>6008.55205302755</v>
      </c>
      <c r="D57" s="31" t="n">
        <f aca="false">C57/B56</f>
        <v>0.00640000000000003</v>
      </c>
      <c r="E57" s="31" t="n">
        <f aca="false" t="array" ref="E57:E57">PRODUCT(1+$D$4:D57)-1</f>
        <v>-0.0551551896614215</v>
      </c>
      <c r="F57" s="0" t="n">
        <f aca="false">IF(ISBLANK(A58),MONTH(A57),IF(MONTH(A58)-MONTH(A57)=1,MONTH(A57),0))</f>
        <v>0</v>
      </c>
      <c r="G57" s="0" t="str">
        <f aca="false">IF(B58&gt;B57,IF(AND(B56&gt;B57,B58&gt;B57),"min",""),IF(AND(B56&gt;B57,B58&gt;B57),"",IF(AND(B56&lt;B57,B58&lt;B57),"max","")))</f>
        <v>max</v>
      </c>
      <c r="H57" s="0" t="n">
        <f aca="false">IF(G57="min",COUNTIF(G$4:G57,"min"),IF(G57="max",COUNTIF(G$4:G57,"max"),""))</f>
        <v>14</v>
      </c>
      <c r="I57" s="24" t="str">
        <f aca="false" t="array" ref="I57:I57">IF($G$3=0,IF(G57="min",INDEX($B$4:$B$254,(MATCH(1,($G$4:$G$254="max")*($H$4:$H$254=(H57-1)),0))),""),IF($G$3=1,IF(G57="min",INDEX($B$4:$B$254,(MATCH(1,($G$4:$G$254="max")*($H$4:$H$254=(H57)),0))),""),""))</f>
        <v/>
      </c>
      <c r="J57" s="29" t="str">
        <f aca="false">IF(AND(G55=0,G57="min",H57=1),B57-B56,IF(G57="min",B57-I57,""))</f>
        <v/>
      </c>
      <c r="K57" s="34" t="str">
        <f aca="false">IF(AND(G55=0,G57="min",H57=1),(B57-B56)/B56,IF(G57="min",(B57-I57)/I57,""))</f>
        <v/>
      </c>
      <c r="L57" s="5"/>
      <c r="M57" s="0" t="n">
        <f aca="false">E57/COUNT($E$4:E57)</f>
        <v>-0.00102139240113744</v>
      </c>
      <c r="N57" s="19" t="n">
        <f aca="false">M57*252</f>
        <v>-0.257390885086634</v>
      </c>
      <c r="O57" s="20" t="n">
        <f aca="false">STDEV($D$4:$D57)</f>
        <v>0.0274467881726135</v>
      </c>
      <c r="P57" s="20" t="n">
        <f aca="false">O57*SQRT(252)</f>
        <v>0.435704254753225</v>
      </c>
      <c r="Q57" s="0" t="n">
        <f aca="false">Treasuries!J55/100</f>
        <v>0.0471</v>
      </c>
      <c r="R57" s="20" t="n">
        <f aca="false">AJ57/AK57*SQRT(252)</f>
        <v>-0.807892918404469</v>
      </c>
      <c r="S57" s="32" t="n">
        <f aca="false">IF(D57&lt;s_p!H57, D57-s_p!H57, 0)</f>
        <v>0</v>
      </c>
      <c r="T57" s="0" t="n">
        <f aca="false">S57^2</f>
        <v>0</v>
      </c>
      <c r="U57" s="0" t="n">
        <f aca="false">SQRT(AVERAGE(T$4:T57)) * SQRT(252)</f>
        <v>0.323834578245581</v>
      </c>
      <c r="V57" s="0" t="n">
        <f aca="false">AJ57/U57*252</f>
        <v>-1.09749138258213</v>
      </c>
      <c r="W57" s="22" t="n">
        <f aca="false">(s_p!$J57)/COUNT(s_p!$J$4:$J57)</f>
        <v>0.000726030246414139</v>
      </c>
      <c r="X57" s="22" t="n">
        <f aca="false">W57 * 252</f>
        <v>0.182959622096363</v>
      </c>
      <c r="Y57" s="21" t="n">
        <f aca="false">STDEV(s_p!$H$4:$H57)</f>
        <v>0.00610500304939403</v>
      </c>
      <c r="Z57" s="21" t="n">
        <f aca="false">Y57*SQRT(252)</f>
        <v>0.0969139189319255</v>
      </c>
      <c r="AA57" s="0" t="n">
        <f aca="false">AJ57/AK57</f>
        <v>-0.050892470192105</v>
      </c>
      <c r="AB57" s="0" t="n">
        <f aca="false">_xlfn.COVARIANCE.S($D$4:$D57,s_p!$H$4:$H57)</f>
        <v>1.13169117442852E-005</v>
      </c>
      <c r="AC57" s="0" t="n">
        <f aca="false">_xlfn.VAR.S(s_p!$H$4:$H57)</f>
        <v>3.72710622331104E-005</v>
      </c>
      <c r="AD57" s="0" t="n">
        <f aca="false">AB57/AC57</f>
        <v>0.303638025487549</v>
      </c>
      <c r="AE57" s="0" t="n">
        <f aca="false">M57-(AD57*W57)</f>
        <v>-0.00124184279160286</v>
      </c>
      <c r="AF57" s="33" t="n">
        <f aca="false">MAX($E$4:E57)</f>
        <v>0.208819804331584</v>
      </c>
      <c r="AG57" s="0" t="n">
        <f aca="false">1 - ((1 + E57) / (1 + AF57))</f>
        <v>0.218374147285724</v>
      </c>
      <c r="AH57" s="0" t="n">
        <f aca="false">MAX($AG$5:AG57)</f>
        <v>0.223344740943685</v>
      </c>
      <c r="AI57" s="19" t="n">
        <f aca="false">D57-s_p!H57</f>
        <v>0.0124149569375057</v>
      </c>
      <c r="AJ57" s="19" t="n">
        <f aca="false">AVERAGE(AI$4:AI57)</f>
        <v>-0.00141033991669303</v>
      </c>
      <c r="AK57" s="0" t="n">
        <f aca="false">STDEV(AI$4:AI57)</f>
        <v>0.0277121529249687</v>
      </c>
    </row>
    <row r="58" customFormat="false" ht="13.8" hidden="false" customHeight="false" outlineLevel="0" collapsed="false">
      <c r="A58" s="6" t="n">
        <f aca="false">WORKDAY(A57,1,holiday!$B$2:$B$10)</f>
        <v>38798</v>
      </c>
      <c r="B58" s="24" t="n">
        <v>909318.645469847</v>
      </c>
      <c r="C58" s="24" t="n">
        <f aca="false">B58-B57</f>
        <v>-35526.1648687305</v>
      </c>
      <c r="D58" s="31" t="n">
        <f aca="false">C58/B57</f>
        <v>-0.0375999999999999</v>
      </c>
      <c r="E58" s="31" t="n">
        <f aca="false" t="array" ref="E58:E58">PRODUCT(1+$D$4:D58)-1</f>
        <v>-0.090681354530152</v>
      </c>
      <c r="F58" s="0" t="n">
        <f aca="false">IF(ISBLANK(A59),MONTH(A58),IF(MONTH(A59)-MONTH(A58)=1,MONTH(A58),0))</f>
        <v>0</v>
      </c>
      <c r="G58" s="0" t="str">
        <f aca="false">IF(B59&gt;B58,IF(AND(B57&gt;B58,B59&gt;B58),"min",""),IF(AND(B57&gt;B58,B59&gt;B58),"",IF(AND(B57&lt;B58,B59&lt;B58),"max","")))</f>
        <v>min</v>
      </c>
      <c r="H58" s="0" t="n">
        <f aca="false">IF(G58="min",COUNTIF(G$4:G58,"min"),IF(G58="max",COUNTIF(G$4:G58,"max"),""))</f>
        <v>15</v>
      </c>
      <c r="I58" s="24" t="n">
        <f aca="false" t="array" ref="I58:I58">IF($G$3=0,IF(G58="min",INDEX($B$4:$B$254,(MATCH(1,($G$4:$G$254="max")*($H$4:$H$254=(H58-1)),0))),""),IF($G$3=1,IF(G58="min",INDEX($B$4:$B$254,(MATCH(1,($G$4:$G$254="max")*($H$4:$H$254=(H58)),0))),""),""))</f>
        <v>944844.810338578</v>
      </c>
      <c r="J58" s="29" t="n">
        <f aca="false">IF(AND(G56=0,G58="min",H58=1),B58-B57,IF(G58="min",B58-I58,""))</f>
        <v>-35526.1648687309</v>
      </c>
      <c r="K58" s="34" t="n">
        <f aca="false">IF(AND(G56=0,G58="min",H58=1),(B58-B57)/B57,IF(G58="min",(B58-I58)/I58,""))</f>
        <v>-0.0376000000000004</v>
      </c>
      <c r="L58" s="5"/>
      <c r="M58" s="0" t="n">
        <f aca="false">E58/COUNT($E$4:E58)</f>
        <v>-0.00164875190054822</v>
      </c>
      <c r="N58" s="19" t="n">
        <f aca="false">M58*252</f>
        <v>-0.415485478938151</v>
      </c>
      <c r="O58" s="20" t="n">
        <f aca="false">STDEV($D$4:$D58)</f>
        <v>0.0276434365174011</v>
      </c>
      <c r="P58" s="20" t="n">
        <f aca="false">O58*SQRT(252)</f>
        <v>0.438825950449468</v>
      </c>
      <c r="Q58" s="0" t="n">
        <f aca="false">Treasuries!J56/100</f>
        <v>0.047</v>
      </c>
      <c r="R58" s="20" t="n">
        <f aca="false">AJ58/AK58*SQRT(252)</f>
        <v>-1.23301641854376</v>
      </c>
      <c r="S58" s="32" t="n">
        <f aca="false">IF(D58&lt;s_p!H58, D58-s_p!H58, 0)</f>
        <v>-0.0436205206478418</v>
      </c>
      <c r="T58" s="0" t="n">
        <f aca="false">S58^2</f>
        <v>0.00190274982158879</v>
      </c>
      <c r="U58" s="0" t="n">
        <f aca="false">SQRT(AVERAGE(T$4:T58)) * SQRT(252)</f>
        <v>0.334185849074352</v>
      </c>
      <c r="V58" s="0" t="n">
        <f aca="false">AJ58/U58*252</f>
        <v>-1.64221505506162</v>
      </c>
      <c r="W58" s="22" t="n">
        <f aca="false">(s_p!$J58)/COUNT(s_p!$J$4:$J58)</f>
        <v>0.000826585314164326</v>
      </c>
      <c r="X58" s="22" t="n">
        <f aca="false">W58 * 252</f>
        <v>0.20829949916941</v>
      </c>
      <c r="Y58" s="21" t="n">
        <f aca="false">STDEV(s_p!$H$4:$H58)</f>
        <v>0.00609012501645797</v>
      </c>
      <c r="Z58" s="21" t="n">
        <f aca="false">Y58*SQRT(252)</f>
        <v>0.0966777374810456</v>
      </c>
      <c r="AA58" s="0" t="n">
        <f aca="false">AJ58/AK58</f>
        <v>-0.0776727334744358</v>
      </c>
      <c r="AB58" s="0" t="n">
        <f aca="false">_xlfn.COVARIANCE.S($D$4:$D58,s_p!$H$4:$H58)</f>
        <v>7.55639825532234E-006</v>
      </c>
      <c r="AC58" s="0" t="n">
        <f aca="false">_xlfn.VAR.S(s_p!$H$4:$H58)</f>
        <v>3.70896227160872E-005</v>
      </c>
      <c r="AD58" s="0" t="n">
        <f aca="false">AB58/AC58</f>
        <v>0.203733489368843</v>
      </c>
      <c r="AE58" s="0" t="n">
        <f aca="false">M58-(AD58*W58)</f>
        <v>-0.00181715501086396</v>
      </c>
      <c r="AF58" s="33" t="n">
        <f aca="false">MAX($E$4:E58)</f>
        <v>0.208819804331584</v>
      </c>
      <c r="AG58" s="0" t="n">
        <f aca="false">1 - ((1 + E58) / (1 + AF58))</f>
        <v>0.247763279347781</v>
      </c>
      <c r="AH58" s="0" t="n">
        <f aca="false">MAX($AG$5:AG58)</f>
        <v>0.247763279347781</v>
      </c>
      <c r="AI58" s="19" t="n">
        <f aca="false">D58-s_p!H58</f>
        <v>-0.0436205206478418</v>
      </c>
      <c r="AJ58" s="19" t="n">
        <f aca="false">AVERAGE(AI$4:AI58)</f>
        <v>-0.00217779774816846</v>
      </c>
      <c r="AK58" s="0" t="n">
        <f aca="false">STDEV(AI$4:AI58)</f>
        <v>0.0280381242007561</v>
      </c>
    </row>
    <row r="59" customFormat="false" ht="13.8" hidden="false" customHeight="false" outlineLevel="0" collapsed="false">
      <c r="A59" s="6" t="n">
        <f aca="false">WORKDAY(A58,1,holiday!$B$2:$B$10)</f>
        <v>38799</v>
      </c>
      <c r="B59" s="24" t="n">
        <v>947873.756037769</v>
      </c>
      <c r="C59" s="24" t="n">
        <f aca="false">B59-B58</f>
        <v>38555.1105679215</v>
      </c>
      <c r="D59" s="31" t="n">
        <f aca="false">C59/B58</f>
        <v>0.0424</v>
      </c>
      <c r="E59" s="31" t="n">
        <f aca="false" t="array" ref="E59:E59">PRODUCT(1+$D$4:D59)-1</f>
        <v>-0.0521262439622305</v>
      </c>
      <c r="F59" s="0" t="n">
        <f aca="false">IF(ISBLANK(A60),MONTH(A59),IF(MONTH(A60)-MONTH(A59)=1,MONTH(A59),0))</f>
        <v>0</v>
      </c>
      <c r="G59" s="0" t="str">
        <f aca="false">IF(B60&gt;B59,IF(AND(B58&gt;B59,B60&gt;B59),"min",""),IF(AND(B58&gt;B59,B60&gt;B59),"",IF(AND(B58&lt;B59,B60&lt;B59),"max","")))</f>
        <v/>
      </c>
      <c r="H59" s="0" t="str">
        <f aca="false">IF(G59="min",COUNTIF(G$4:G59,"min"),IF(G59="max",COUNTIF(G$4:G59,"max"),""))</f>
        <v/>
      </c>
      <c r="I59" s="24" t="str">
        <f aca="false" t="array" ref="I59:I59">IF($G$3=0,IF(G59="min",INDEX($B$4:$B$254,(MATCH(1,($G$4:$G$254="max")*($H$4:$H$254=(H59-1)),0))),""),IF($G$3=1,IF(G59="min",INDEX($B$4:$B$254,(MATCH(1,($G$4:$G$254="max")*($H$4:$H$254=(H59)),0))),""),""))</f>
        <v/>
      </c>
      <c r="J59" s="29" t="str">
        <f aca="false">IF(AND(G57=0,G59="min",H59=1),B59-B58,IF(G59="min",B59-I59,""))</f>
        <v/>
      </c>
      <c r="K59" s="34" t="str">
        <f aca="false">IF(AND(G57=0,G59="min",H59=1),(B59-B58)/B58,IF(G59="min",(B59-I59)/I59,""))</f>
        <v/>
      </c>
      <c r="L59" s="5"/>
      <c r="M59" s="0" t="n">
        <f aca="false">E59/COUNT($E$4:E59)</f>
        <v>-0.000930825785039831</v>
      </c>
      <c r="N59" s="19" t="n">
        <f aca="false">M59*252</f>
        <v>-0.234568097830037</v>
      </c>
      <c r="O59" s="20" t="n">
        <f aca="false">STDEV($D$4:$D59)</f>
        <v>0.0280079788608555</v>
      </c>
      <c r="P59" s="20" t="n">
        <f aca="false">O59*SQRT(252)</f>
        <v>0.444612880748267</v>
      </c>
      <c r="Q59" s="0" t="n">
        <f aca="false">Treasuries!J57/100</f>
        <v>0.0473</v>
      </c>
      <c r="R59" s="20" t="n">
        <f aca="false">AJ59/AK59*SQRT(252)</f>
        <v>-0.744276028355935</v>
      </c>
      <c r="S59" s="32" t="n">
        <f aca="false">IF(D59&lt;s_p!H59, D59-s_p!H59, 0)</f>
        <v>0</v>
      </c>
      <c r="T59" s="0" t="n">
        <f aca="false">S59^2</f>
        <v>0</v>
      </c>
      <c r="U59" s="0" t="n">
        <f aca="false">SQRT(AVERAGE(T$4:T59)) * SQRT(252)</f>
        <v>0.331188606027188</v>
      </c>
      <c r="V59" s="0" t="n">
        <f aca="false">AJ59/U59*252</f>
        <v>-1.01629284060483</v>
      </c>
      <c r="W59" s="22" t="n">
        <f aca="false">(s_p!$J59)/COUNT(s_p!$J$4:$J59)</f>
        <v>0.000763616055335136</v>
      </c>
      <c r="X59" s="22" t="n">
        <f aca="false">W59 * 252</f>
        <v>0.192431245944454</v>
      </c>
      <c r="Y59" s="21" t="n">
        <f aca="false">STDEV(s_p!$H$4:$H59)</f>
        <v>0.00605167839008381</v>
      </c>
      <c r="Z59" s="21" t="n">
        <f aca="false">Y59*SQRT(252)</f>
        <v>0.0960674162082329</v>
      </c>
      <c r="AA59" s="0" t="n">
        <f aca="false">AJ59/AK59</f>
        <v>-0.0468849828051584</v>
      </c>
      <c r="AB59" s="0" t="n">
        <f aca="false">_xlfn.COVARIANCE.S($D$4:$D59,s_p!$H$4:$H59)</f>
        <v>4.75552808242476E-006</v>
      </c>
      <c r="AC59" s="0" t="n">
        <f aca="false">_xlfn.VAR.S(s_p!$H$4:$H59)</f>
        <v>3.66228113370074E-005</v>
      </c>
      <c r="AD59" s="0" t="n">
        <f aca="false">AB59/AC59</f>
        <v>0.129851529929361</v>
      </c>
      <c r="AE59" s="0" t="n">
        <f aca="false">M59-(AD59*W59)</f>
        <v>-0.00102998249810372</v>
      </c>
      <c r="AF59" s="33" t="n">
        <f aca="false">MAX($E$4:E59)</f>
        <v>0.208819804331584</v>
      </c>
      <c r="AG59" s="0" t="n">
        <f aca="false">1 - ((1 + E59) / (1 + AF59))</f>
        <v>0.215868442392127</v>
      </c>
      <c r="AH59" s="0" t="n">
        <f aca="false">MAX($AG$5:AG59)</f>
        <v>0.247763279347781</v>
      </c>
      <c r="AI59" s="19" t="n">
        <f aca="false">D59-s_p!H59</f>
        <v>0.0449822963280818</v>
      </c>
      <c r="AJ59" s="19" t="n">
        <f aca="false">AVERAGE(AI$4:AI59)</f>
        <v>-0.00133565321109256</v>
      </c>
      <c r="AK59" s="0" t="n">
        <f aca="false">STDEV(AI$4:AI59)</f>
        <v>0.0284878682081038</v>
      </c>
    </row>
    <row r="60" customFormat="false" ht="13.8" hidden="false" customHeight="false" outlineLevel="0" collapsed="false">
      <c r="A60" s="6" t="n">
        <f aca="false">WORKDAY(A59,1,holiday!$B$2:$B$10)</f>
        <v>38800</v>
      </c>
      <c r="B60" s="24" t="n">
        <v>985693.918903676</v>
      </c>
      <c r="C60" s="24" t="n">
        <f aca="false">B60-B59</f>
        <v>37820.162865907</v>
      </c>
      <c r="D60" s="31" t="n">
        <f aca="false">C60/B59</f>
        <v>0.0399</v>
      </c>
      <c r="E60" s="31" t="n">
        <f aca="false" t="array" ref="E60:E60">PRODUCT(1+$D$4:D60)-1</f>
        <v>-0.0143060810963235</v>
      </c>
      <c r="F60" s="0" t="n">
        <f aca="false">IF(ISBLANK(A61),MONTH(A60),IF(MONTH(A61)-MONTH(A60)=1,MONTH(A60),0))</f>
        <v>0</v>
      </c>
      <c r="G60" s="0" t="str">
        <f aca="false">IF(B61&gt;B60,IF(AND(B59&gt;B60,B61&gt;B60),"min",""),IF(AND(B59&gt;B60,B61&gt;B60),"",IF(AND(B59&lt;B60,B61&lt;B60),"max","")))</f>
        <v/>
      </c>
      <c r="H60" s="0" t="str">
        <f aca="false">IF(G60="min",COUNTIF(G$4:G60,"min"),IF(G60="max",COUNTIF(G$4:G60,"max"),""))</f>
        <v/>
      </c>
      <c r="I60" s="24" t="str">
        <f aca="false" t="array" ref="I60:I60">IF($G$3=0,IF(G60="min",INDEX($B$4:$B$254,(MATCH(1,($G$4:$G$254="max")*($H$4:$H$254=(H60-1)),0))),""),IF($G$3=1,IF(G60="min",INDEX($B$4:$B$254,(MATCH(1,($G$4:$G$254="max")*($H$4:$H$254=(H60)),0))),""),""))</f>
        <v/>
      </c>
      <c r="J60" s="29" t="str">
        <f aca="false">IF(AND(G58=0,G60="min",H60=1),B60-B59,IF(G60="min",B60-I60,""))</f>
        <v/>
      </c>
      <c r="K60" s="34" t="str">
        <f aca="false">IF(AND(G58=0,G60="min",H60=1),(B60-B59)/B59,IF(G60="min",(B60-I60)/I60,""))</f>
        <v/>
      </c>
      <c r="L60" s="5"/>
      <c r="M60" s="0" t="n">
        <f aca="false">E60/COUNT($E$4:E60)</f>
        <v>-0.000250983878882868</v>
      </c>
      <c r="N60" s="19" t="n">
        <f aca="false">M60*252</f>
        <v>-0.0632479374784827</v>
      </c>
      <c r="O60" s="20" t="n">
        <f aca="false">STDEV($D$4:$D60)</f>
        <v>0.0282696319879094</v>
      </c>
      <c r="P60" s="20" t="n">
        <f aca="false">O60*SQRT(252)</f>
        <v>0.448766495371949</v>
      </c>
      <c r="Q60" s="0" t="n">
        <f aca="false">Treasuries!J58/100</f>
        <v>0.0467</v>
      </c>
      <c r="R60" s="20" t="n">
        <f aca="false">AJ60/AK60*SQRT(252)</f>
        <v>-0.347792821265235</v>
      </c>
      <c r="S60" s="32" t="n">
        <f aca="false">IF(D60&lt;s_p!H60, D60-s_p!H60, 0)</f>
        <v>0</v>
      </c>
      <c r="T60" s="0" t="n">
        <f aca="false">S60^2</f>
        <v>0</v>
      </c>
      <c r="U60" s="0" t="n">
        <f aca="false">SQRT(AVERAGE(T$4:T60)) * SQRT(252)</f>
        <v>0.328270587860263</v>
      </c>
      <c r="V60" s="0" t="n">
        <f aca="false">AJ60/U60*252</f>
        <v>-0.483220469794467</v>
      </c>
      <c r="W60" s="22" t="n">
        <f aca="false">(s_p!$J60)/COUNT(s_p!$J$4:$J60)</f>
        <v>0.000768208804381244</v>
      </c>
      <c r="X60" s="22" t="n">
        <f aca="false">W60 * 252</f>
        <v>0.193588618704074</v>
      </c>
      <c r="Y60" s="21" t="n">
        <f aca="false">STDEV(s_p!$H$4:$H60)</f>
        <v>0.00599747124132133</v>
      </c>
      <c r="Z60" s="21" t="n">
        <f aca="false">Y60*SQRT(252)</f>
        <v>0.0952069043987885</v>
      </c>
      <c r="AA60" s="0" t="n">
        <f aca="false">AJ60/AK60</f>
        <v>-0.0219088884009842</v>
      </c>
      <c r="AB60" s="0" t="n">
        <f aca="false">_xlfn.COVARIANCE.S($D$4:$D60,s_p!$H$4:$H60)</f>
        <v>4.82491925526954E-006</v>
      </c>
      <c r="AC60" s="0" t="n">
        <f aca="false">_xlfn.VAR.S(s_p!$H$4:$H60)</f>
        <v>3.59696612904764E-005</v>
      </c>
      <c r="AD60" s="0" t="n">
        <f aca="false">AB60/AC60</f>
        <v>0.134138579073777</v>
      </c>
      <c r="AE60" s="0" t="n">
        <f aca="false">M60-(AD60*W60)</f>
        <v>-0.000354030316334533</v>
      </c>
      <c r="AF60" s="33" t="n">
        <f aca="false">MAX($E$4:E60)</f>
        <v>0.208819804331584</v>
      </c>
      <c r="AG60" s="0" t="n">
        <f aca="false">1 - ((1 + E60) / (1 + AF60))</f>
        <v>0.184581593243573</v>
      </c>
      <c r="AH60" s="0" t="n">
        <f aca="false">MAX($AG$5:AG60)</f>
        <v>0.247763279347781</v>
      </c>
      <c r="AI60" s="19" t="n">
        <f aca="false">D60-s_p!H60</f>
        <v>0.0389166478446918</v>
      </c>
      <c r="AJ60" s="19" t="n">
        <f aca="false">AVERAGE(AI$4:AI60)</f>
        <v>-0.000629472490815644</v>
      </c>
      <c r="AK60" s="0" t="n">
        <f aca="false">STDEV(AI$4:AI60)</f>
        <v>0.0287313751065237</v>
      </c>
    </row>
    <row r="61" customFormat="false" ht="13.8" hidden="false" customHeight="false" outlineLevel="0" collapsed="false">
      <c r="A61" s="6" t="n">
        <f aca="false">WORKDAY(A60,1,holiday!$B$2:$B$10)</f>
        <v>38803</v>
      </c>
      <c r="B61" s="24" t="n">
        <v>1004422.10336285</v>
      </c>
      <c r="C61" s="24" t="n">
        <f aca="false">B61-B60</f>
        <v>18728.1844591699</v>
      </c>
      <c r="D61" s="31" t="n">
        <f aca="false">C61/B60</f>
        <v>0.019</v>
      </c>
      <c r="E61" s="31" t="n">
        <f aca="false" t="array" ref="E61:E61">PRODUCT(1+$D$4:D61)-1</f>
        <v>0.00442210336284621</v>
      </c>
      <c r="F61" s="0" t="n">
        <f aca="false">IF(ISBLANK(A62),MONTH(A61),IF(MONTH(A62)-MONTH(A61)=1,MONTH(A61),0))</f>
        <v>0</v>
      </c>
      <c r="G61" s="0" t="str">
        <f aca="false">IF(B62&gt;B61,IF(AND(B60&gt;B61,B62&gt;B61),"min",""),IF(AND(B60&gt;B61,B62&gt;B61),"",IF(AND(B60&lt;B61,B62&lt;B61),"max","")))</f>
        <v/>
      </c>
      <c r="H61" s="0" t="str">
        <f aca="false">IF(G61="min",COUNTIF(G$4:G61,"min"),IF(G61="max",COUNTIF(G$4:G61,"max"),""))</f>
        <v/>
      </c>
      <c r="I61" s="24" t="str">
        <f aca="false" t="array" ref="I61:I61">IF($G$3=0,IF(G61="min",INDEX($B$4:$B$254,(MATCH(1,($G$4:$G$254="max")*($H$4:$H$254=(H61-1)),0))),""),IF($G$3=1,IF(G61="min",INDEX($B$4:$B$254,(MATCH(1,($G$4:$G$254="max")*($H$4:$H$254=(H61)),0))),""),""))</f>
        <v/>
      </c>
      <c r="J61" s="29" t="str">
        <f aca="false">IF(AND(G59=0,G61="min",H61=1),B61-B60,IF(G61="min",B61-I61,""))</f>
        <v/>
      </c>
      <c r="K61" s="34" t="str">
        <f aca="false">IF(AND(G59=0,G61="min",H61=1),(B61-B60)/B60,IF(G61="min",(B61-I61)/I61,""))</f>
        <v/>
      </c>
      <c r="L61" s="5"/>
      <c r="M61" s="0" t="n">
        <f aca="false">E61/COUNT($E$4:E61)</f>
        <v>7.62431614283829E-005</v>
      </c>
      <c r="N61" s="19" t="n">
        <f aca="false">M61*252</f>
        <v>0.0192132766799525</v>
      </c>
      <c r="O61" s="20" t="n">
        <f aca="false">STDEV($D$4:$D61)</f>
        <v>0.0281297716527621</v>
      </c>
      <c r="P61" s="20" t="n">
        <f aca="false">O61*SQRT(252)</f>
        <v>0.446546281381458</v>
      </c>
      <c r="Q61" s="0" t="n">
        <f aca="false">Treasuries!J59/100</f>
        <v>0.047</v>
      </c>
      <c r="R61" s="20" t="n">
        <f aca="false">AJ61/AK61*SQRT(252)</f>
        <v>-0.151659074081368</v>
      </c>
      <c r="S61" s="32" t="n">
        <f aca="false">IF(D61&lt;s_p!H61, D61-s_p!H61, 0)</f>
        <v>0</v>
      </c>
      <c r="T61" s="0" t="n">
        <f aca="false">S61^2</f>
        <v>0</v>
      </c>
      <c r="U61" s="0" t="n">
        <f aca="false">SQRT(AVERAGE(T$4:T61)) * SQRT(252)</f>
        <v>0.325428364771753</v>
      </c>
      <c r="V61" s="0" t="n">
        <f aca="false">AJ61/U61*252</f>
        <v>-0.211634961008457</v>
      </c>
      <c r="W61" s="22" t="n">
        <f aca="false">(s_p!$J61)/COUNT(s_p!$J$4:$J61)</f>
        <v>0.000736455747324413</v>
      </c>
      <c r="X61" s="22" t="n">
        <f aca="false">W61 * 252</f>
        <v>0.185586848325752</v>
      </c>
      <c r="Y61" s="21" t="n">
        <f aca="false">STDEV(s_p!$H$4:$H61)</f>
        <v>0.00594931665407794</v>
      </c>
      <c r="Z61" s="21" t="n">
        <f aca="false">Y61*SQRT(252)</f>
        <v>0.0944424740247907</v>
      </c>
      <c r="AA61" s="0" t="n">
        <f aca="false">AJ61/AK61</f>
        <v>-0.00955362366870501</v>
      </c>
      <c r="AB61" s="0" t="n">
        <f aca="false">_xlfn.COVARIANCE.S($D$4:$D61,s_p!$H$4:$H61)</f>
        <v>4.15553825972652E-006</v>
      </c>
      <c r="AC61" s="0" t="n">
        <f aca="false">_xlfn.VAR.S(s_p!$H$4:$H61)</f>
        <v>3.53943686504892E-005</v>
      </c>
      <c r="AD61" s="0" t="n">
        <f aca="false">AB61/AC61</f>
        <v>0.117406763227265</v>
      </c>
      <c r="AE61" s="0" t="n">
        <f aca="false">M61-(AD61*W61)</f>
        <v>-1.02217241250932E-005</v>
      </c>
      <c r="AF61" s="33" t="n">
        <f aca="false">MAX($E$4:E61)</f>
        <v>0.208819804331584</v>
      </c>
      <c r="AG61" s="0" t="n">
        <f aca="false">1 - ((1 + E61) / (1 + AF61))</f>
        <v>0.169088643515201</v>
      </c>
      <c r="AH61" s="0" t="n">
        <f aca="false">MAX($AG$5:AG61)</f>
        <v>0.247763279347781</v>
      </c>
      <c r="AI61" s="19" t="n">
        <f aca="false">D61-s_p!H61</f>
        <v>0.0200284354733491</v>
      </c>
      <c r="AJ61" s="19" t="n">
        <f aca="false">AVERAGE(AI$4:AI61)</f>
        <v>-0.000273301663847286</v>
      </c>
      <c r="AK61" s="0" t="n">
        <f aca="false">STDEV(AI$4:AI61)</f>
        <v>0.0286071205361109</v>
      </c>
    </row>
    <row r="62" customFormat="false" ht="13.8" hidden="false" customHeight="false" outlineLevel="0" collapsed="false">
      <c r="A62" s="6" t="n">
        <f aca="false">WORKDAY(A61,1,holiday!$B$2:$B$10)</f>
        <v>38804</v>
      </c>
      <c r="B62" s="24" t="n">
        <v>1028126.46500221</v>
      </c>
      <c r="C62" s="24" t="n">
        <f aca="false">B62-B61</f>
        <v>23704.3616393631</v>
      </c>
      <c r="D62" s="31" t="n">
        <f aca="false">C62/B61</f>
        <v>0.0235999999999999</v>
      </c>
      <c r="E62" s="31" t="n">
        <f aca="false" t="array" ref="E62:E62">PRODUCT(1+$D$4:D62)-1</f>
        <v>0.0281264650022093</v>
      </c>
      <c r="F62" s="0" t="n">
        <f aca="false">IF(ISBLANK(A63),MONTH(A62),IF(MONTH(A63)-MONTH(A62)=1,MONTH(A62),0))</f>
        <v>0</v>
      </c>
      <c r="G62" s="0" t="str">
        <f aca="false">IF(B63&gt;B62,IF(AND(B61&gt;B62,B63&gt;B62),"min",""),IF(AND(B61&gt;B62,B63&gt;B62),"",IF(AND(B61&lt;B62,B63&lt;B62),"max","")))</f>
        <v>max</v>
      </c>
      <c r="H62" s="0" t="n">
        <f aca="false">IF(G62="min",COUNTIF(G$4:G62,"min"),IF(G62="max",COUNTIF(G$4:G62,"max"),""))</f>
        <v>15</v>
      </c>
      <c r="I62" s="24" t="str">
        <f aca="false" t="array" ref="I62:I62">IF($G$3=0,IF(G62="min",INDEX($B$4:$B$254,(MATCH(1,($G$4:$G$254="max")*($H$4:$H$254=(H62-1)),0))),""),IF($G$3=1,IF(G62="min",INDEX($B$4:$B$254,(MATCH(1,($G$4:$G$254="max")*($H$4:$H$254=(H62)),0))),""),""))</f>
        <v/>
      </c>
      <c r="J62" s="29" t="str">
        <f aca="false">IF(AND(G60=0,G62="min",H62=1),B62-B61,IF(G62="min",B62-I62,""))</f>
        <v/>
      </c>
      <c r="K62" s="34" t="str">
        <f aca="false">IF(AND(G60=0,G62="min",H62=1),(B62-B61)/B61,IF(G62="min",(B62-I62)/I62,""))</f>
        <v/>
      </c>
      <c r="L62" s="5"/>
      <c r="M62" s="0" t="n">
        <f aca="false">E62/COUNT($E$4:E62)</f>
        <v>0.000476719745800157</v>
      </c>
      <c r="N62" s="19" t="n">
        <f aca="false">M62*252</f>
        <v>0.12013337594164</v>
      </c>
      <c r="O62" s="20" t="n">
        <f aca="false">STDEV($D$4:$D62)</f>
        <v>0.0280483953895322</v>
      </c>
      <c r="P62" s="20" t="n">
        <f aca="false">O62*SQRT(252)</f>
        <v>0.445254473250676</v>
      </c>
      <c r="Q62" s="0" t="n">
        <f aca="false">Treasuries!J60/100</f>
        <v>0.0479</v>
      </c>
      <c r="R62" s="20" t="n">
        <f aca="false">AJ62/AK62*SQRT(252)</f>
        <v>0.133311370462984</v>
      </c>
      <c r="S62" s="32" t="n">
        <f aca="false">IF(D62&lt;s_p!H62, D62-s_p!H62, 0)</f>
        <v>0</v>
      </c>
      <c r="T62" s="0" t="n">
        <f aca="false">S62^2</f>
        <v>0</v>
      </c>
      <c r="U62" s="0" t="n">
        <f aca="false">SQRT(AVERAGE(T$4:T62)) * SQRT(252)</f>
        <v>0.3226587112999</v>
      </c>
      <c r="V62" s="0" t="n">
        <f aca="false">AJ62/U62*252</f>
        <v>0.187795865438385</v>
      </c>
      <c r="W62" s="22" t="n">
        <f aca="false">(s_p!$J62)/COUNT(s_p!$J$4:$J62)</f>
        <v>0.000610190673044121</v>
      </c>
      <c r="X62" s="22" t="n">
        <f aca="false">W62 * 252</f>
        <v>0.153768049607119</v>
      </c>
      <c r="Y62" s="21" t="n">
        <f aca="false">STDEV(s_p!$H$4:$H62)</f>
        <v>0.00597136167238831</v>
      </c>
      <c r="Z62" s="21" t="n">
        <f aca="false">Y62*SQRT(252)</f>
        <v>0.0947924278413734</v>
      </c>
      <c r="AA62" s="0" t="n">
        <f aca="false">AJ62/AK62</f>
        <v>0.00839782698053015</v>
      </c>
      <c r="AB62" s="0" t="n">
        <f aca="false">_xlfn.COVARIANCE.S($D$4:$D62,s_p!$H$4:$H62)</f>
        <v>1.26971872877158E-006</v>
      </c>
      <c r="AC62" s="0" t="n">
        <f aca="false">_xlfn.VAR.S(s_p!$H$4:$H62)</f>
        <v>3.56571602224682E-005</v>
      </c>
      <c r="AD62" s="0" t="n">
        <f aca="false">AB62/AC62</f>
        <v>0.0356090816220276</v>
      </c>
      <c r="AE62" s="0" t="n">
        <f aca="false">M62-(AD62*W62)</f>
        <v>0.000454991416318729</v>
      </c>
      <c r="AF62" s="33" t="n">
        <f aca="false">MAX($E$4:E62)</f>
        <v>0.208819804331584</v>
      </c>
      <c r="AG62" s="0" t="n">
        <f aca="false">1 - ((1 + E62) / (1 + AF62))</f>
        <v>0.14947913550216</v>
      </c>
      <c r="AH62" s="0" t="n">
        <f aca="false">MAX($AG$5:AG62)</f>
        <v>0.247763279347781</v>
      </c>
      <c r="AI62" s="19" t="n">
        <f aca="false">D62-s_p!H62</f>
        <v>0.0300381804073415</v>
      </c>
      <c r="AJ62" s="19" t="n">
        <f aca="false">AVERAGE(AI$4:AI62)</f>
        <v>0.000240452269562693</v>
      </c>
      <c r="AK62" s="0" t="n">
        <f aca="false">STDEV(AI$4:AI62)</f>
        <v>0.0286326772533141</v>
      </c>
    </row>
    <row r="63" customFormat="false" ht="13.8" hidden="false" customHeight="false" outlineLevel="0" collapsed="false">
      <c r="A63" s="6" t="n">
        <f aca="false">WORKDAY(A62,1,holiday!$B$2:$B$10)</f>
        <v>38805</v>
      </c>
      <c r="B63" s="24" t="n">
        <v>998927.673396146</v>
      </c>
      <c r="C63" s="24" t="n">
        <f aca="false">B63-B62</f>
        <v>-29198.7916060627</v>
      </c>
      <c r="D63" s="31" t="n">
        <f aca="false">C63/B62</f>
        <v>-0.0283999999999999</v>
      </c>
      <c r="E63" s="31" t="n">
        <f aca="false" t="array" ref="E63:E63">PRODUCT(1+$D$4:D63)-1</f>
        <v>-0.00107232660385337</v>
      </c>
      <c r="F63" s="0" t="n">
        <f aca="false">IF(ISBLANK(A64),MONTH(A63),IF(MONTH(A64)-MONTH(A63)=1,MONTH(A63),0))</f>
        <v>0</v>
      </c>
      <c r="G63" s="0" t="str">
        <f aca="false">IF(B64&gt;B63,IF(AND(B62&gt;B63,B64&gt;B63),"min",""),IF(AND(B62&gt;B63,B64&gt;B63),"",IF(AND(B62&lt;B63,B64&lt;B63),"max","")))</f>
        <v/>
      </c>
      <c r="H63" s="0" t="str">
        <f aca="false">IF(G63="min",COUNTIF(G$4:G63,"min"),IF(G63="max",COUNTIF(G$4:G63,"max"),""))</f>
        <v/>
      </c>
      <c r="I63" s="24" t="str">
        <f aca="false" t="array" ref="I63:I63">IF($G$3=0,IF(G63="min",INDEX($B$4:$B$254,(MATCH(1,($G$4:$G$254="max")*($H$4:$H$254=(H63-1)),0))),""),IF($G$3=1,IF(G63="min",INDEX($B$4:$B$254,(MATCH(1,($G$4:$G$254="max")*($H$4:$H$254=(H63)),0))),""),""))</f>
        <v/>
      </c>
      <c r="J63" s="29" t="str">
        <f aca="false">IF(AND(G61=0,G63="min",H63=1),B63-B62,IF(G63="min",B63-I63,""))</f>
        <v/>
      </c>
      <c r="K63" s="34" t="str">
        <f aca="false">IF(AND(G61=0,G63="min",H63=1),(B63-B62)/B62,IF(G63="min",(B63-I63)/I63,""))</f>
        <v/>
      </c>
      <c r="L63" s="5"/>
      <c r="M63" s="0" t="n">
        <f aca="false">E63/COUNT($E$4:E63)</f>
        <v>-1.78721100642228E-005</v>
      </c>
      <c r="N63" s="19" t="n">
        <f aca="false">M63*252</f>
        <v>-0.00450377173618415</v>
      </c>
      <c r="O63" s="20" t="n">
        <f aca="false">STDEV($D$4:$D63)</f>
        <v>0.028065017128815</v>
      </c>
      <c r="P63" s="20" t="n">
        <f aca="false">O63*SQRT(252)</f>
        <v>0.445518335181675</v>
      </c>
      <c r="Q63" s="0" t="n">
        <f aca="false">Treasuries!J61/100</f>
        <v>0.0481</v>
      </c>
      <c r="R63" s="20" t="n">
        <f aca="false">AJ63/AK63*SQRT(252)</f>
        <v>-0.199406925481425</v>
      </c>
      <c r="S63" s="32" t="n">
        <f aca="false">IF(D63&lt;s_p!H63, D63-s_p!H63, 0)</f>
        <v>-0.035869668968397</v>
      </c>
      <c r="T63" s="0" t="n">
        <f aca="false">S63^2</f>
        <v>0.00128663315190238</v>
      </c>
      <c r="U63" s="0" t="n">
        <f aca="false">SQRT(AVERAGE(T$4:T63)) * SQRT(252)</f>
        <v>0.328294622480184</v>
      </c>
      <c r="V63" s="0" t="n">
        <f aca="false">AJ63/U63*252</f>
        <v>-0.277398808977228</v>
      </c>
      <c r="W63" s="22" t="n">
        <f aca="false">(s_p!$J63)/COUNT(s_p!$J$4:$J63)</f>
        <v>0.000728997268262991</v>
      </c>
      <c r="X63" s="22" t="n">
        <f aca="false">W63 * 252</f>
        <v>0.183707311602274</v>
      </c>
      <c r="Y63" s="21" t="n">
        <f aca="false">STDEV(s_p!$H$4:$H63)</f>
        <v>0.00598626869055764</v>
      </c>
      <c r="Z63" s="21" t="n">
        <f aca="false">Y63*SQRT(252)</f>
        <v>0.0950290694185667</v>
      </c>
      <c r="AA63" s="0" t="n">
        <f aca="false">AJ63/AK63</f>
        <v>-0.0125614555839959</v>
      </c>
      <c r="AB63" s="0" t="n">
        <f aca="false">_xlfn.COVARIANCE.S($D$4:$D63,s_p!$H$4:$H63)</f>
        <v>-2.09326389057559E-006</v>
      </c>
      <c r="AC63" s="0" t="n">
        <f aca="false">_xlfn.VAR.S(s_p!$H$4:$H63)</f>
        <v>3.58354128355507E-005</v>
      </c>
      <c r="AD63" s="0" t="n">
        <f aca="false">AB63/AC63</f>
        <v>-0.0584132768382385</v>
      </c>
      <c r="AE63" s="0" t="n">
        <f aca="false">M63-(AD63*W63)</f>
        <v>2.47110091811429E-005</v>
      </c>
      <c r="AF63" s="33" t="n">
        <f aca="false">MAX($E$4:E63)</f>
        <v>0.208819804331584</v>
      </c>
      <c r="AG63" s="0" t="n">
        <f aca="false">1 - ((1 + E63) / (1 + AF63))</f>
        <v>0.173633928053898</v>
      </c>
      <c r="AH63" s="0" t="n">
        <f aca="false">MAX($AG$5:AG63)</f>
        <v>0.247763279347781</v>
      </c>
      <c r="AI63" s="19" t="n">
        <f aca="false">D63-s_p!H63</f>
        <v>-0.035869668968397</v>
      </c>
      <c r="AJ63" s="19" t="n">
        <f aca="false">AVERAGE(AI$4:AI63)</f>
        <v>-0.000361383084403302</v>
      </c>
      <c r="AK63" s="0" t="n">
        <f aca="false">STDEV(AI$4:AI63)</f>
        <v>0.0287692044912156</v>
      </c>
    </row>
    <row r="64" customFormat="false" ht="13.8" hidden="false" customHeight="false" outlineLevel="0" collapsed="false">
      <c r="A64" s="6" t="n">
        <f aca="false">WORKDAY(A63,1,holiday!$B$2:$B$10)</f>
        <v>38806</v>
      </c>
      <c r="B64" s="24" t="n">
        <v>964864.239733338</v>
      </c>
      <c r="C64" s="24" t="n">
        <f aca="false">B64-B63</f>
        <v>-34063.4336628086</v>
      </c>
      <c r="D64" s="31" t="n">
        <f aca="false">C64/B63</f>
        <v>-0.0341</v>
      </c>
      <c r="E64" s="31" t="n">
        <f aca="false" t="array" ref="E64:E64">PRODUCT(1+$D$4:D64)-1</f>
        <v>-0.035135760266662</v>
      </c>
      <c r="F64" s="0" t="n">
        <f aca="false">IF(ISBLANK(A65),MONTH(A64),IF(MONTH(A65)-MONTH(A64)=1,MONTH(A64),0))</f>
        <v>0</v>
      </c>
      <c r="G64" s="0" t="str">
        <f aca="false">IF(B65&gt;B64,IF(AND(B63&gt;B64,B65&gt;B64),"min",""),IF(AND(B63&gt;B64,B65&gt;B64),"",IF(AND(B63&lt;B64,B65&lt;B64),"max","")))</f>
        <v>min</v>
      </c>
      <c r="H64" s="0" t="n">
        <f aca="false">IF(G64="min",COUNTIF(G$4:G64,"min"),IF(G64="max",COUNTIF(G$4:G64,"max"),""))</f>
        <v>16</v>
      </c>
      <c r="I64" s="24" t="n">
        <f aca="false" t="array" ref="I64:I64">IF($G$3=0,IF(G64="min",INDEX($B$4:$B$254,(MATCH(1,($G$4:$G$254="max")*($H$4:$H$254=(H64-1)),0))),""),IF($G$3=1,IF(G64="min",INDEX($B$4:$B$254,(MATCH(1,($G$4:$G$254="max")*($H$4:$H$254=(H64)),0))),""),""))</f>
        <v>1028126.46500221</v>
      </c>
      <c r="J64" s="29" t="n">
        <f aca="false">IF(AND(G62=0,G64="min",H64=1),B64-B63,IF(G64="min",B64-I64,""))</f>
        <v>-63262.225268872</v>
      </c>
      <c r="K64" s="34" t="n">
        <f aca="false">IF(AND(G62=0,G64="min",H64=1),(B64-B63)/B63,IF(G64="min",(B64-I64)/I64,""))</f>
        <v>-0.0615315600000006</v>
      </c>
      <c r="L64" s="5"/>
      <c r="M64" s="0" t="n">
        <f aca="false">E64/COUNT($E$4:E64)</f>
        <v>-0.000575996069945278</v>
      </c>
      <c r="N64" s="19" t="n">
        <f aca="false">M64*252</f>
        <v>-0.14515100962621</v>
      </c>
      <c r="O64" s="20" t="n">
        <f aca="false">STDEV($D$4:$D64)</f>
        <v>0.0281779371508367</v>
      </c>
      <c r="P64" s="20" t="n">
        <f aca="false">O64*SQRT(252)</f>
        <v>0.447310884959531</v>
      </c>
      <c r="Q64" s="0" t="n">
        <f aca="false">Treasuries!J62/100</f>
        <v>0.0486</v>
      </c>
      <c r="R64" s="20" t="n">
        <f aca="false">AJ64/AK64*SQRT(252)</f>
        <v>-0.485478744295022</v>
      </c>
      <c r="S64" s="32" t="n">
        <f aca="false">IF(D64&lt;s_p!H64, D64-s_p!H64, 0)</f>
        <v>-0.0320737353114997</v>
      </c>
      <c r="T64" s="0" t="n">
        <f aca="false">S64^2</f>
        <v>0.00102872449683214</v>
      </c>
      <c r="U64" s="0" t="n">
        <f aca="false">SQRT(AVERAGE(T$4:T64)) * SQRT(252)</f>
        <v>0.332054709154343</v>
      </c>
      <c r="V64" s="0" t="n">
        <f aca="false">AJ64/U64*252</f>
        <v>-0.668796246729882</v>
      </c>
      <c r="W64" s="22" t="n">
        <f aca="false">(s_p!$J64)/COUNT(s_p!$J$4:$J64)</f>
        <v>0.000682376113474058</v>
      </c>
      <c r="X64" s="22" t="n">
        <f aca="false">W64 * 252</f>
        <v>0.171958780595463</v>
      </c>
      <c r="Y64" s="21" t="n">
        <f aca="false">STDEV(s_p!$H$4:$H64)</f>
        <v>0.00594666476917234</v>
      </c>
      <c r="Z64" s="21" t="n">
        <f aca="false">Y64*SQRT(252)</f>
        <v>0.094400376656996</v>
      </c>
      <c r="AA64" s="0" t="n">
        <f aca="false">AJ64/AK64</f>
        <v>-0.0305822862907746</v>
      </c>
      <c r="AB64" s="0" t="n">
        <f aca="false">_xlfn.COVARIANCE.S($D$4:$D64,s_p!$H$4:$H64)</f>
        <v>-5.00079130672746E-007</v>
      </c>
      <c r="AC64" s="0" t="n">
        <f aca="false">_xlfn.VAR.S(s_p!$H$4:$H64)</f>
        <v>3.53628218769155E-005</v>
      </c>
      <c r="AD64" s="0" t="n">
        <f aca="false">AB64/AC64</f>
        <v>-0.014141380809861</v>
      </c>
      <c r="AE64" s="0" t="n">
        <f aca="false">M64-(AD64*W64)</f>
        <v>-0.000566346329469089</v>
      </c>
      <c r="AF64" s="33" t="n">
        <f aca="false">MAX($E$4:E64)</f>
        <v>0.208819804331584</v>
      </c>
      <c r="AG64" s="0" t="n">
        <f aca="false">1 - ((1 + E64) / (1 + AF64))</f>
        <v>0.20181301110726</v>
      </c>
      <c r="AH64" s="0" t="n">
        <f aca="false">MAX($AG$5:AG64)</f>
        <v>0.247763279347781</v>
      </c>
      <c r="AI64" s="19" t="n">
        <f aca="false">D64-s_p!H64</f>
        <v>-0.0320737353114997</v>
      </c>
      <c r="AJ64" s="19" t="n">
        <f aca="false">AVERAGE(AI$4:AI64)</f>
        <v>-0.000881257711077013</v>
      </c>
      <c r="AK64" s="0" t="n">
        <f aca="false">STDEV(AI$4:AI64)</f>
        <v>0.0288159525647646</v>
      </c>
    </row>
    <row r="65" customFormat="false" ht="13.8" hidden="false" customHeight="false" outlineLevel="0" collapsed="false">
      <c r="A65" s="6" t="n">
        <f aca="false">WORKDAY(A64,1,holiday!$B$2:$B$10)</f>
        <v>38807</v>
      </c>
      <c r="B65" s="24" t="n">
        <v>990529.628510244</v>
      </c>
      <c r="C65" s="24" t="n">
        <f aca="false">B65-B64</f>
        <v>25665.3887769068</v>
      </c>
      <c r="D65" s="31" t="n">
        <f aca="false">C65/B64</f>
        <v>0.0266</v>
      </c>
      <c r="E65" s="31" t="n">
        <f aca="false" t="array" ref="E65:E65">PRODUCT(1+$D$4:D65)-1</f>
        <v>-0.00947037148975527</v>
      </c>
      <c r="F65" s="0" t="n">
        <f aca="false">IF(ISBLANK(A66),MONTH(A65),IF(MONTH(A66)-MONTH(A65)=1,MONTH(A65),0))</f>
        <v>3</v>
      </c>
      <c r="G65" s="0" t="str">
        <f aca="false">IF(B66&gt;B65,IF(AND(B64&gt;B65,B66&gt;B65),"min",""),IF(AND(B64&gt;B65,B66&gt;B65),"",IF(AND(B64&lt;B65,B66&lt;B65),"max","")))</f>
        <v/>
      </c>
      <c r="H65" s="0" t="str">
        <f aca="false">IF(G65="min",COUNTIF(G$4:G65,"min"),IF(G65="max",COUNTIF(G$4:G65,"max"),""))</f>
        <v/>
      </c>
      <c r="I65" s="24" t="str">
        <f aca="false" t="array" ref="I65:I65">IF($G$3=0,IF(G65="min",INDEX($B$4:$B$254,(MATCH(1,($G$4:$G$254="max")*($H$4:$H$254=(H65-1)),0))),""),IF($G$3=1,IF(G65="min",INDEX($B$4:$B$254,(MATCH(1,($G$4:$G$254="max")*($H$4:$H$254=(H65)),0))),""),""))</f>
        <v/>
      </c>
      <c r="J65" s="29" t="str">
        <f aca="false">IF(AND(G63=0,G65="min",H65=1),B65-B64,IF(G65="min",B65-I65,""))</f>
        <v/>
      </c>
      <c r="K65" s="34" t="str">
        <f aca="false">IF(AND(G63=0,G65="min",H65=1),(B65-B64)/B64,IF(G65="min",(B65-I65)/I65,""))</f>
        <v/>
      </c>
      <c r="L65" s="5"/>
      <c r="M65" s="0" t="n">
        <f aca="false">E65/COUNT($E$4:E65)</f>
        <v>-0.000152747927254117</v>
      </c>
      <c r="N65" s="19" t="n">
        <f aca="false">M65*252</f>
        <v>-0.0384924776680375</v>
      </c>
      <c r="O65" s="20" t="n">
        <f aca="false">STDEV($D$4:$D65)</f>
        <v>0.0281524435294524</v>
      </c>
      <c r="P65" s="20" t="n">
        <f aca="false">O65*SQRT(252)</f>
        <v>0.446906186266323</v>
      </c>
      <c r="Q65" s="0" t="n">
        <f aca="false">Treasuries!J63/100</f>
        <v>0.0486</v>
      </c>
      <c r="R65" s="20" t="n">
        <f aca="false">AJ65/AK65*SQRT(252)</f>
        <v>-0.204224099292277</v>
      </c>
      <c r="S65" s="32" t="n">
        <f aca="false">IF(D65&lt;s_p!H65, D65-s_p!H65, 0)</f>
        <v>0</v>
      </c>
      <c r="T65" s="0" t="n">
        <f aca="false">S65^2</f>
        <v>0</v>
      </c>
      <c r="U65" s="0" t="n">
        <f aca="false">SQRT(AVERAGE(T$4:T65)) * SQRT(252)</f>
        <v>0.329365962804738</v>
      </c>
      <c r="V65" s="0" t="n">
        <f aca="false">AJ65/U65*252</f>
        <v>-0.284064927854519</v>
      </c>
      <c r="W65" s="22" t="n">
        <f aca="false">(s_p!$J65)/COUNT(s_p!$J$4:$J65)</f>
        <v>0.000601855596520559</v>
      </c>
      <c r="X65" s="22" t="n">
        <f aca="false">W65 * 252</f>
        <v>0.151667610323181</v>
      </c>
      <c r="Y65" s="21" t="n">
        <f aca="false">STDEV(s_p!$H$4:$H65)</f>
        <v>0.00592945336062852</v>
      </c>
      <c r="Z65" s="21" t="n">
        <f aca="false">Y65*SQRT(252)</f>
        <v>0.0941271540166754</v>
      </c>
      <c r="AA65" s="0" t="n">
        <f aca="false">AJ65/AK65</f>
        <v>-0.0128649090107981</v>
      </c>
      <c r="AB65" s="0" t="n">
        <f aca="false">_xlfn.COVARIANCE.S($D$4:$D65,s_p!$H$4:$H65)</f>
        <v>-2.57664289378464E-006</v>
      </c>
      <c r="AC65" s="0" t="n">
        <f aca="false">_xlfn.VAR.S(s_p!$H$4:$H65)</f>
        <v>3.51584171558688E-005</v>
      </c>
      <c r="AD65" s="0" t="n">
        <f aca="false">AB65/AC65</f>
        <v>-0.0732866579960507</v>
      </c>
      <c r="AE65" s="0" t="n">
        <f aca="false">M65-(AD65*W65)</f>
        <v>-0.000108639941988906</v>
      </c>
      <c r="AF65" s="33" t="n">
        <f aca="false">MAX($E$4:E65)</f>
        <v>0.208819804331584</v>
      </c>
      <c r="AG65" s="0" t="n">
        <f aca="false">1 - ((1 + E65) / (1 + AF65))</f>
        <v>0.180581237202714</v>
      </c>
      <c r="AH65" s="0" t="n">
        <f aca="false">MAX($AG$5:AG65)</f>
        <v>0.247763279347781</v>
      </c>
      <c r="AI65" s="19" t="n">
        <f aca="false">D65-s_p!H65</f>
        <v>0.0307376658334936</v>
      </c>
      <c r="AJ65" s="19" t="n">
        <f aca="false">AVERAGE(AI$4:AI65)</f>
        <v>-0.000371275073261358</v>
      </c>
      <c r="AK65" s="0" t="n">
        <f aca="false">STDEV(AI$4:AI65)</f>
        <v>0.028859518007452</v>
      </c>
    </row>
    <row r="66" customFormat="false" ht="13.8" hidden="false" customHeight="false" outlineLevel="0" collapsed="false">
      <c r="A66" s="6" t="n">
        <f aca="false">WORKDAY(A65,1,holiday!$B$2:$B$10)</f>
        <v>38810</v>
      </c>
      <c r="B66" s="24" t="n">
        <v>1040056.10993576</v>
      </c>
      <c r="C66" s="24" t="n">
        <f aca="false">B66-B65</f>
        <v>49526.4814255122</v>
      </c>
      <c r="D66" s="31" t="n">
        <f aca="false">C66/B65</f>
        <v>0.05</v>
      </c>
      <c r="E66" s="31" t="n">
        <f aca="false" t="array" ref="E66:E66">PRODUCT(1+$D$4:D66)-1</f>
        <v>0.040056109935757</v>
      </c>
      <c r="F66" s="0" t="n">
        <f aca="false">IF(ISBLANK(A67),MONTH(A66),IF(MONTH(A67)-MONTH(A66)=1,MONTH(A66),0))</f>
        <v>0</v>
      </c>
      <c r="G66" s="0" t="str">
        <f aca="false">IF(B67&gt;B66,IF(AND(B65&gt;B66,B67&gt;B66),"min",""),IF(AND(B65&gt;B66,B67&gt;B66),"",IF(AND(B65&lt;B66,B67&lt;B66),"max","")))</f>
        <v/>
      </c>
      <c r="H66" s="0" t="str">
        <f aca="false">IF(G66="min",COUNTIF(G$4:G66,"min"),IF(G66="max",COUNTIF(G$4:G66,"max"),""))</f>
        <v/>
      </c>
      <c r="I66" s="24" t="str">
        <f aca="false" t="array" ref="I66:I66">IF($G$3=0,IF(G66="min",INDEX($B$4:$B$254,(MATCH(1,($G$4:$G$254="max")*($H$4:$H$254=(H66-1)),0))),""),IF($G$3=1,IF(G66="min",INDEX($B$4:$B$254,(MATCH(1,($G$4:$G$254="max")*($H$4:$H$254=(H66)),0))),""),""))</f>
        <v/>
      </c>
      <c r="J66" s="29" t="str">
        <f aca="false">IF(AND(G64=0,G66="min",H66=1),B66-B65,IF(G66="min",B66-I66,""))</f>
        <v/>
      </c>
      <c r="K66" s="34" t="str">
        <f aca="false">IF(AND(G64=0,G66="min",H66=1),(B66-B65)/B65,IF(G66="min",(B66-I66)/I66,""))</f>
        <v/>
      </c>
      <c r="L66" s="5"/>
      <c r="M66" s="0" t="n">
        <f aca="false">E66/COUNT($E$4:E66)</f>
        <v>0.00063581126882154</v>
      </c>
      <c r="N66" s="19" t="n">
        <f aca="false">M66*252</f>
        <v>0.160224439743028</v>
      </c>
      <c r="O66" s="20" t="n">
        <f aca="false">STDEV($D$4:$D66)</f>
        <v>0.0286196425123027</v>
      </c>
      <c r="P66" s="20" t="n">
        <f aca="false">O66*SQRT(252)</f>
        <v>0.454322740194748</v>
      </c>
      <c r="Q66" s="0" t="n">
        <f aca="false">Treasuries!J64/100</f>
        <v>0.0488</v>
      </c>
      <c r="R66" s="20" t="n">
        <f aca="false">AJ66/AK66*SQRT(252)</f>
        <v>0.212795268893736</v>
      </c>
      <c r="S66" s="32" t="n">
        <f aca="false">IF(D66&lt;s_p!H66, D66-s_p!H66, 0)</f>
        <v>0</v>
      </c>
      <c r="T66" s="0" t="n">
        <f aca="false">S66^2</f>
        <v>0</v>
      </c>
      <c r="U66" s="0" t="n">
        <f aca="false">SQRT(AVERAGE(T$4:T66)) * SQRT(252)</f>
        <v>0.326741490997309</v>
      </c>
      <c r="V66" s="0" t="n">
        <f aca="false">AJ66/U66*252</f>
        <v>0.302507614636171</v>
      </c>
      <c r="W66" s="22" t="n">
        <f aca="false">(s_p!$J66)/COUNT(s_p!$J$4:$J66)</f>
        <v>0.000629686808379267</v>
      </c>
      <c r="X66" s="22" t="n">
        <f aca="false">W66 * 252</f>
        <v>0.158681075711575</v>
      </c>
      <c r="Y66" s="21" t="n">
        <f aca="false">STDEV(s_p!$H$4:$H66)</f>
        <v>0.00588516760347216</v>
      </c>
      <c r="Z66" s="21" t="n">
        <f aca="false">Y66*SQRT(252)</f>
        <v>0.093424139416328</v>
      </c>
      <c r="AA66" s="0" t="n">
        <f aca="false">AJ66/AK66</f>
        <v>0.0134048419443798</v>
      </c>
      <c r="AB66" s="0" t="n">
        <f aca="false">_xlfn.COVARIANCE.S($D$4:$D66,s_p!$H$4:$H66)</f>
        <v>-1.22219155540067E-006</v>
      </c>
      <c r="AC66" s="0" t="n">
        <f aca="false">_xlfn.VAR.S(s_p!$H$4:$H66)</f>
        <v>3.46351977209583E-005</v>
      </c>
      <c r="AD66" s="0" t="n">
        <f aca="false">AB66/AC66</f>
        <v>-0.0352875582015548</v>
      </c>
      <c r="AE66" s="0" t="n">
        <f aca="false">M66-(AD66*W66)</f>
        <v>0.000658031378720975</v>
      </c>
      <c r="AF66" s="33" t="n">
        <f aca="false">MAX($E$4:E66)</f>
        <v>0.208819804331584</v>
      </c>
      <c r="AG66" s="0" t="n">
        <f aca="false">1 - ((1 + E66) / (1 + AF66))</f>
        <v>0.139610299062849</v>
      </c>
      <c r="AH66" s="0" t="n">
        <f aca="false">MAX($AG$5:AG66)</f>
        <v>0.247763279347781</v>
      </c>
      <c r="AI66" s="19" t="n">
        <f aca="false">D66-s_p!H66</f>
        <v>0.0477295018032697</v>
      </c>
      <c r="AJ66" s="19" t="n">
        <f aca="false">AVERAGE(AI$4:AI66)</f>
        <v>0.000392229321604214</v>
      </c>
      <c r="AK66" s="0" t="n">
        <f aca="false">STDEV(AI$4:AI66)</f>
        <v>0.029260272014521</v>
      </c>
    </row>
    <row r="67" customFormat="false" ht="13.8" hidden="false" customHeight="false" outlineLevel="0" collapsed="false">
      <c r="A67" s="6" t="n">
        <f aca="false">WORKDAY(A66,1,holiday!$B$2:$B$10)</f>
        <v>38811</v>
      </c>
      <c r="B67" s="24" t="n">
        <v>1047232.49709431</v>
      </c>
      <c r="C67" s="24" t="n">
        <f aca="false">B67-B66</f>
        <v>7176.38715855673</v>
      </c>
      <c r="D67" s="31" t="n">
        <f aca="false">C67/B66</f>
        <v>0.0069</v>
      </c>
      <c r="E67" s="31" t="n">
        <f aca="false" t="array" ref="E67:E67">PRODUCT(1+$D$4:D67)-1</f>
        <v>0.0472324970943139</v>
      </c>
      <c r="F67" s="0" t="n">
        <f aca="false">IF(ISBLANK(A68),MONTH(A67),IF(MONTH(A68)-MONTH(A67)=1,MONTH(A67),0))</f>
        <v>0</v>
      </c>
      <c r="G67" s="0" t="str">
        <f aca="false">IF(B68&gt;B67,IF(AND(B66&gt;B67,B68&gt;B67),"min",""),IF(AND(B66&gt;B67,B68&gt;B67),"",IF(AND(B66&lt;B67,B68&lt;B67),"max","")))</f>
        <v>max</v>
      </c>
      <c r="H67" s="0" t="n">
        <f aca="false">IF(G67="min",COUNTIF(G$4:G67,"min"),IF(G67="max",COUNTIF(G$4:G67,"max"),""))</f>
        <v>16</v>
      </c>
      <c r="I67" s="24" t="str">
        <f aca="false" t="array" ref="I67:I67">IF($G$3=0,IF(G67="min",INDEX($B$4:$B$254,(MATCH(1,($G$4:$G$254="max")*($H$4:$H$254=(H67-1)),0))),""),IF($G$3=1,IF(G67="min",INDEX($B$4:$B$254,(MATCH(1,($G$4:$G$254="max")*($H$4:$H$254=(H67)),0))),""),""))</f>
        <v/>
      </c>
      <c r="J67" s="29" t="str">
        <f aca="false">IF(AND(G65=0,G67="min",H67=1),B67-B66,IF(G67="min",B67-I67,""))</f>
        <v/>
      </c>
      <c r="K67" s="34" t="str">
        <f aca="false">IF(AND(G65=0,G67="min",H67=1),(B67-B66)/B66,IF(G67="min",(B67-I67)/I67,""))</f>
        <v/>
      </c>
      <c r="L67" s="5"/>
      <c r="M67" s="0" t="n">
        <f aca="false">E67/COUNT($E$4:E67)</f>
        <v>0.000738007767098654</v>
      </c>
      <c r="N67" s="19" t="n">
        <f aca="false">M67*252</f>
        <v>0.185977957308861</v>
      </c>
      <c r="O67" s="20" t="n">
        <f aca="false">STDEV($D$4:$D67)</f>
        <v>0.0284010835641714</v>
      </c>
      <c r="P67" s="20" t="n">
        <f aca="false">O67*SQRT(252)</f>
        <v>0.450853224453369</v>
      </c>
      <c r="Q67" s="0" t="n">
        <f aca="false">Treasuries!J65/100</f>
        <v>0.0487</v>
      </c>
      <c r="R67" s="20" t="n">
        <f aca="false">AJ67/AK67*SQRT(252)</f>
        <v>0.216649840388106</v>
      </c>
      <c r="S67" s="32" t="n">
        <f aca="false">IF(D67&lt;s_p!H67, D67-s_p!H67, 0)</f>
        <v>0</v>
      </c>
      <c r="T67" s="0" t="n">
        <f aca="false">S67^2</f>
        <v>0</v>
      </c>
      <c r="U67" s="0" t="n">
        <f aca="false">SQRT(AVERAGE(T$4:T67)) * SQRT(252)</f>
        <v>0.324178773069498</v>
      </c>
      <c r="V67" s="0" t="n">
        <f aca="false">AJ67/U67*252</f>
        <v>0.307948613174083</v>
      </c>
      <c r="W67" s="22" t="n">
        <f aca="false">(s_p!$J67)/COUNT(s_p!$J$4:$J67)</f>
        <v>0.000721486994208084</v>
      </c>
      <c r="X67" s="22" t="n">
        <f aca="false">W67 * 252</f>
        <v>0.181814722540437</v>
      </c>
      <c r="Y67" s="21" t="n">
        <f aca="false">STDEV(s_p!$H$4:$H67)</f>
        <v>0.00588041491326482</v>
      </c>
      <c r="Z67" s="21" t="n">
        <f aca="false">Y67*SQRT(252)</f>
        <v>0.093348692798245</v>
      </c>
      <c r="AA67" s="0" t="n">
        <f aca="false">AJ67/AK67</f>
        <v>0.0136476571249708</v>
      </c>
      <c r="AB67" s="0" t="n">
        <f aca="false">_xlfn.COVARIANCE.S($D$4:$D67,s_p!$H$4:$H67)</f>
        <v>-6.86889534043686E-007</v>
      </c>
      <c r="AC67" s="0" t="n">
        <f aca="false">_xlfn.VAR.S(s_p!$H$4:$H67)</f>
        <v>3.45792795521473E-005</v>
      </c>
      <c r="AD67" s="0" t="n">
        <f aca="false">AB67/AC67</f>
        <v>-0.0198641944812014</v>
      </c>
      <c r="AE67" s="0" t="n">
        <f aca="false">M67-(AD67*W67)</f>
        <v>0.000752339525067261</v>
      </c>
      <c r="AF67" s="33" t="n">
        <f aca="false">MAX($E$4:E67)</f>
        <v>0.208819804331584</v>
      </c>
      <c r="AG67" s="0" t="n">
        <f aca="false">1 - ((1 + E67) / (1 + AF67))</f>
        <v>0.133673610126383</v>
      </c>
      <c r="AH67" s="0" t="n">
        <f aca="false">MAX($AG$5:AG67)</f>
        <v>0.247763279347781</v>
      </c>
      <c r="AI67" s="19" t="n">
        <f aca="false">D67-s_p!H67</f>
        <v>0.000643306030928868</v>
      </c>
      <c r="AJ67" s="19" t="n">
        <f aca="false">AVERAGE(AI$4:AI67)</f>
        <v>0.000396152395187412</v>
      </c>
      <c r="AK67" s="0" t="n">
        <f aca="false">STDEV(AI$4:AI67)</f>
        <v>0.0290271356878229</v>
      </c>
    </row>
    <row r="68" customFormat="false" ht="13.8" hidden="false" customHeight="false" outlineLevel="0" collapsed="false">
      <c r="A68" s="6" t="n">
        <f aca="false">WORKDAY(A67,1,holiday!$B$2:$B$10)</f>
        <v>38812</v>
      </c>
      <c r="B68" s="24" t="n">
        <v>1000944.82072274</v>
      </c>
      <c r="C68" s="24" t="n">
        <f aca="false">B68-B67</f>
        <v>-46287.6763715687</v>
      </c>
      <c r="D68" s="31" t="n">
        <f aca="false">C68/B67</f>
        <v>-0.0442000000000001</v>
      </c>
      <c r="E68" s="31" t="n">
        <f aca="false" t="array" ref="E68:E68">PRODUCT(1+$D$4:D68)-1</f>
        <v>0.000944820722744932</v>
      </c>
      <c r="F68" s="0" t="n">
        <f aca="false">IF(ISBLANK(A69),MONTH(A68),IF(MONTH(A69)-MONTH(A68)=1,MONTH(A68),0))</f>
        <v>0</v>
      </c>
      <c r="G68" s="0" t="str">
        <f aca="false">IF(B69&gt;B68,IF(AND(B67&gt;B68,B69&gt;B68),"min",""),IF(AND(B67&gt;B68,B69&gt;B68),"",IF(AND(B67&lt;B68,B69&lt;B68),"max","")))</f>
        <v/>
      </c>
      <c r="H68" s="0" t="str">
        <f aca="false">IF(G68="min",COUNTIF(G$4:G68,"min"),IF(G68="max",COUNTIF(G$4:G68,"max"),""))</f>
        <v/>
      </c>
      <c r="I68" s="24" t="str">
        <f aca="false" t="array" ref="I68:I68">IF($G$3=0,IF(G68="min",INDEX($B$4:$B$254,(MATCH(1,($G$4:$G$254="max")*($H$4:$H$254=(H68-1)),0))),""),IF($G$3=1,IF(G68="min",INDEX($B$4:$B$254,(MATCH(1,($G$4:$G$254="max")*($H$4:$H$254=(H68)),0))),""),""))</f>
        <v/>
      </c>
      <c r="J68" s="29" t="str">
        <f aca="false">IF(AND(G66=0,G68="min",H68=1),B68-B67,IF(G68="min",B68-I68,""))</f>
        <v/>
      </c>
      <c r="K68" s="34" t="str">
        <f aca="false">IF(AND(G66=0,G68="min",H68=1),(B68-B67)/B67,IF(G68="min",(B68-I68)/I68,""))</f>
        <v/>
      </c>
      <c r="L68" s="5"/>
      <c r="M68" s="0" t="n">
        <f aca="false">E68/COUNT($E$4:E68)</f>
        <v>1.45357034268451E-005</v>
      </c>
      <c r="N68" s="19" t="n">
        <f aca="false">M68*252</f>
        <v>0.00366299726356497</v>
      </c>
      <c r="O68" s="20" t="n">
        <f aca="false">STDEV($D$4:$D68)</f>
        <v>0.0287335142533272</v>
      </c>
      <c r="P68" s="20" t="n">
        <f aca="false">O68*SQRT(252)</f>
        <v>0.456130398043401</v>
      </c>
      <c r="Q68" s="0" t="n">
        <f aca="false">Treasuries!J66/100</f>
        <v>0.0484</v>
      </c>
      <c r="R68" s="20" t="n">
        <f aca="false">AJ68/AK68*SQRT(252)</f>
        <v>-0.192160736645107</v>
      </c>
      <c r="S68" s="32" t="n">
        <f aca="false">IF(D68&lt;s_p!H68, D68-s_p!H68, 0)</f>
        <v>-0.0485111039642248</v>
      </c>
      <c r="T68" s="0" t="n">
        <f aca="false">S68^2</f>
        <v>0.00235332720782783</v>
      </c>
      <c r="U68" s="0" t="n">
        <f aca="false">SQRT(AVERAGE(T$4:T68)) * SQRT(252)</f>
        <v>0.335557368213148</v>
      </c>
      <c r="V68" s="0" t="n">
        <f aca="false">AJ68/U68*252</f>
        <v>-0.267552662305248</v>
      </c>
      <c r="W68" s="22" t="n">
        <f aca="false">(s_p!$J68)/COUNT(s_p!$J$4:$J68)</f>
        <v>0.000779774423719346</v>
      </c>
      <c r="X68" s="22" t="n">
        <f aca="false">W68 * 252</f>
        <v>0.196503154777275</v>
      </c>
      <c r="Y68" s="21" t="n">
        <f aca="false">STDEV(s_p!$H$4:$H68)</f>
        <v>0.00585124703077632</v>
      </c>
      <c r="Z68" s="21" t="n">
        <f aca="false">Y68*SQRT(252)</f>
        <v>0.0928856670182354</v>
      </c>
      <c r="AA68" s="0" t="n">
        <f aca="false">AJ68/AK68</f>
        <v>-0.0121049885931886</v>
      </c>
      <c r="AB68" s="0" t="n">
        <f aca="false">_xlfn.COVARIANCE.S($D$4:$D68,s_p!$H$4:$H68)</f>
        <v>-3.178104924699E-006</v>
      </c>
      <c r="AC68" s="0" t="n">
        <f aca="false">_xlfn.VAR.S(s_p!$H$4:$H68)</f>
        <v>3.42370918151687E-005</v>
      </c>
      <c r="AD68" s="0" t="n">
        <f aca="false">AB68/AC68</f>
        <v>-0.092826369186268</v>
      </c>
      <c r="AE68" s="0" t="n">
        <f aca="false">M68-(AD68*W68)</f>
        <v>8.69193319650265E-005</v>
      </c>
      <c r="AF68" s="33" t="n">
        <f aca="false">MAX($E$4:E68)</f>
        <v>0.208819804331584</v>
      </c>
      <c r="AG68" s="0" t="n">
        <f aca="false">1 - ((1 + E68) / (1 + AF68))</f>
        <v>0.171965236558797</v>
      </c>
      <c r="AH68" s="0" t="n">
        <f aca="false">MAX($AG$5:AG68)</f>
        <v>0.247763279347781</v>
      </c>
      <c r="AI68" s="19" t="n">
        <f aca="false">D68-s_p!H68</f>
        <v>-0.0485111039642248</v>
      </c>
      <c r="AJ68" s="19" t="n">
        <f aca="false">AVERAGE(AI$4:AI68)</f>
        <v>-0.00035626693341893</v>
      </c>
      <c r="AK68" s="0" t="n">
        <f aca="false">STDEV(AI$4:AI68)</f>
        <v>0.0294314142203653</v>
      </c>
    </row>
    <row r="69" customFormat="false" ht="13.8" hidden="false" customHeight="false" outlineLevel="0" collapsed="false">
      <c r="A69" s="6" t="n">
        <f aca="false">WORKDAY(A68,1,holiday!$B$2:$B$10)</f>
        <v>38813</v>
      </c>
      <c r="B69" s="24" t="n">
        <v>984929.703591181</v>
      </c>
      <c r="C69" s="24" t="n">
        <f aca="false">B69-B68</f>
        <v>-16015.117131564</v>
      </c>
      <c r="D69" s="31" t="n">
        <f aca="false">C69/B68</f>
        <v>-0.016</v>
      </c>
      <c r="E69" s="31" t="n">
        <f aca="false" t="array" ref="E69:E69">PRODUCT(1+$D$4:D69)-1</f>
        <v>-0.015070296408819</v>
      </c>
      <c r="F69" s="0" t="n">
        <f aca="false">IF(ISBLANK(A70),MONTH(A69),IF(MONTH(A70)-MONTH(A69)=1,MONTH(A69),0))</f>
        <v>0</v>
      </c>
      <c r="G69" s="0" t="str">
        <f aca="false">IF(B70&gt;B69,IF(AND(B68&gt;B69,B70&gt;B69),"min",""),IF(AND(B68&gt;B69,B70&gt;B69),"",IF(AND(B68&lt;B69,B70&lt;B69),"max","")))</f>
        <v>min</v>
      </c>
      <c r="H69" s="0" t="n">
        <f aca="false">IF(G69="min",COUNTIF(G$4:G69,"min"),IF(G69="max",COUNTIF(G$4:G69,"max"),""))</f>
        <v>17</v>
      </c>
      <c r="I69" s="24" t="n">
        <f aca="false" t="array" ref="I69:I69">IF($G$3=0,IF(G69="min",INDEX($B$4:$B$254,(MATCH(1,($G$4:$G$254="max")*($H$4:$H$254=(H69-1)),0))),""),IF($G$3=1,IF(G69="min",INDEX($B$4:$B$254,(MATCH(1,($G$4:$G$254="max")*($H$4:$H$254=(H69)),0))),""),""))</f>
        <v>1047232.49709431</v>
      </c>
      <c r="J69" s="29" t="n">
        <f aca="false">IF(AND(G67=0,G69="min",H69=1),B69-B68,IF(G69="min",B69-I69,""))</f>
        <v>-62302.793503129</v>
      </c>
      <c r="K69" s="34" t="n">
        <f aca="false">IF(AND(G67=0,G69="min",H69=1),(B69-B68)/B68,IF(G69="min",(B69-I69)/I69,""))</f>
        <v>-0.0594927999999968</v>
      </c>
      <c r="L69" s="5"/>
      <c r="M69" s="0" t="n">
        <f aca="false">E69/COUNT($E$4:E69)</f>
        <v>-0.000228337824376045</v>
      </c>
      <c r="N69" s="19" t="n">
        <f aca="false">M69*252</f>
        <v>-0.0575411317427633</v>
      </c>
      <c r="O69" s="20" t="n">
        <f aca="false">STDEV($D$4:$D69)</f>
        <v>0.0285831932621766</v>
      </c>
      <c r="P69" s="20" t="n">
        <f aca="false">O69*SQRT(252)</f>
        <v>0.453744126286898</v>
      </c>
      <c r="Q69" s="0" t="n">
        <f aca="false">Treasuries!J67/100</f>
        <v>0.049</v>
      </c>
      <c r="R69" s="20" t="n">
        <f aca="false">AJ69/AK69*SQRT(252)</f>
        <v>-0.306160689747383</v>
      </c>
      <c r="S69" s="32" t="n">
        <f aca="false">IF(D69&lt;s_p!H69, D69-s_p!H69, 0)</f>
        <v>-0.0140786239287566</v>
      </c>
      <c r="T69" s="0" t="n">
        <f aca="false">S69^2</f>
        <v>0.000198207651727357</v>
      </c>
      <c r="U69" s="0" t="n">
        <f aca="false">SQRT(AVERAGE(T$4:T69)) * SQRT(252)</f>
        <v>0.334139938629738</v>
      </c>
      <c r="V69" s="0" t="n">
        <f aca="false">AJ69/U69*252</f>
        <v>-0.425491552392101</v>
      </c>
      <c r="W69" s="22" t="n">
        <f aca="false">(s_p!$J69)/COUNT(s_p!$J$4:$J69)</f>
        <v>0.000737372361754522</v>
      </c>
      <c r="X69" s="22" t="n">
        <f aca="false">W69 * 252</f>
        <v>0.18581783516214</v>
      </c>
      <c r="Y69" s="21" t="n">
        <f aca="false">STDEV(s_p!$H$4:$H69)</f>
        <v>0.00581556144412243</v>
      </c>
      <c r="Z69" s="21" t="n">
        <f aca="false">Y69*SQRT(252)</f>
        <v>0.0923191758921816</v>
      </c>
      <c r="AA69" s="0" t="n">
        <f aca="false">AJ69/AK69</f>
        <v>-0.019286310626085</v>
      </c>
      <c r="AB69" s="0" t="n">
        <f aca="false">_xlfn.COVARIANCE.S($D$4:$D69,s_p!$H$4:$H69)</f>
        <v>-2.457624453358E-006</v>
      </c>
      <c r="AC69" s="0" t="n">
        <f aca="false">_xlfn.VAR.S(s_p!$H$4:$H69)</f>
        <v>3.38207549103634E-005</v>
      </c>
      <c r="AD69" s="0" t="n">
        <f aca="false">AB69/AC69</f>
        <v>-0.0726661619432075</v>
      </c>
      <c r="AE69" s="0" t="n">
        <f aca="false">M69-(AD69*W69)</f>
        <v>-0.000174755804924345</v>
      </c>
      <c r="AF69" s="33" t="n">
        <f aca="false">MAX($E$4:E69)</f>
        <v>0.208819804331584</v>
      </c>
      <c r="AG69" s="0" t="n">
        <f aca="false">1 - ((1 + E69) / (1 + AF69))</f>
        <v>0.185213792773856</v>
      </c>
      <c r="AH69" s="0" t="n">
        <f aca="false">MAX($AG$5:AG69)</f>
        <v>0.247763279347781</v>
      </c>
      <c r="AI69" s="19" t="n">
        <f aca="false">D69-s_p!H69</f>
        <v>-0.0140786239287566</v>
      </c>
      <c r="AJ69" s="19" t="n">
        <f aca="false">AVERAGE(AI$4:AI69)</f>
        <v>-0.000564181433348288</v>
      </c>
      <c r="AK69" s="0" t="n">
        <f aca="false">STDEV(AI$4:AI69)</f>
        <v>0.0292529475588361</v>
      </c>
    </row>
    <row r="70" customFormat="false" ht="13.8" hidden="false" customHeight="false" outlineLevel="0" collapsed="false">
      <c r="A70" s="6" t="n">
        <f aca="false">WORKDAY(A69,1,holiday!$B$2:$B$10)</f>
        <v>38814</v>
      </c>
      <c r="B70" s="24" t="n">
        <v>1001968.98746331</v>
      </c>
      <c r="C70" s="24" t="n">
        <f aca="false">B70-B69</f>
        <v>17039.2838721274</v>
      </c>
      <c r="D70" s="31" t="n">
        <f aca="false">C70/B69</f>
        <v>0.0173</v>
      </c>
      <c r="E70" s="31" t="n">
        <f aca="false" t="array" ref="E70:E70">PRODUCT(1+$D$4:D70)-1</f>
        <v>0.00196898746330842</v>
      </c>
      <c r="F70" s="0" t="n">
        <f aca="false">IF(ISBLANK(A71),MONTH(A70),IF(MONTH(A71)-MONTH(A70)=1,MONTH(A70),0))</f>
        <v>0</v>
      </c>
      <c r="G70" s="0" t="str">
        <f aca="false">IF(B71&gt;B70,IF(AND(B69&gt;B70,B71&gt;B70),"min",""),IF(AND(B69&gt;B70,B71&gt;B70),"",IF(AND(B69&lt;B70,B71&lt;B70),"max","")))</f>
        <v/>
      </c>
      <c r="H70" s="0" t="str">
        <f aca="false">IF(G70="min",COUNTIF(G$4:G70,"min"),IF(G70="max",COUNTIF(G$4:G70,"max"),""))</f>
        <v/>
      </c>
      <c r="I70" s="24" t="str">
        <f aca="false" t="array" ref="I70:I70">IF($G$3=0,IF(G70="min",INDEX($B$4:$B$254,(MATCH(1,($G$4:$G$254="max")*($H$4:$H$254=(H70-1)),0))),""),IF($G$3=1,IF(G70="min",INDEX($B$4:$B$254,(MATCH(1,($G$4:$G$254="max")*($H$4:$H$254=(H70)),0))),""),""))</f>
        <v/>
      </c>
      <c r="J70" s="29" t="str">
        <f aca="false">IF(AND(G68=0,G70="min",H70=1),B70-B69,IF(G70="min",B70-I70,""))</f>
        <v/>
      </c>
      <c r="K70" s="34" t="str">
        <f aca="false">IF(AND(G68=0,G70="min",H70=1),(B70-B69)/B69,IF(G70="min",(B70-I70)/I70,""))</f>
        <v/>
      </c>
      <c r="L70" s="5"/>
      <c r="M70" s="0" t="n">
        <f aca="false">E70/COUNT($E$4:E70)</f>
        <v>2.93878725866929E-005</v>
      </c>
      <c r="N70" s="19" t="n">
        <f aca="false">M70*252</f>
        <v>0.00740574389184661</v>
      </c>
      <c r="O70" s="20" t="n">
        <f aca="false">STDEV($D$4:$D70)</f>
        <v>0.0284428976381022</v>
      </c>
      <c r="P70" s="20" t="n">
        <f aca="false">O70*SQRT(252)</f>
        <v>0.45151700229891</v>
      </c>
      <c r="Q70" s="0" t="n">
        <f aca="false">Treasuries!J68/100</f>
        <v>0.0497</v>
      </c>
      <c r="R70" s="20" t="n">
        <f aca="false">AJ70/AK70*SQRT(252)</f>
        <v>-0.0777436939392318</v>
      </c>
      <c r="S70" s="32" t="n">
        <f aca="false">IF(D70&lt;s_p!H70, D70-s_p!H70, 0)</f>
        <v>0</v>
      </c>
      <c r="T70" s="0" t="n">
        <f aca="false">S70^2</f>
        <v>0</v>
      </c>
      <c r="U70" s="0" t="n">
        <f aca="false">SQRT(AVERAGE(T$4:T70)) * SQRT(252)</f>
        <v>0.331636982498644</v>
      </c>
      <c r="V70" s="0" t="n">
        <f aca="false">AJ70/U70*252</f>
        <v>-0.108791596905173</v>
      </c>
      <c r="W70" s="22" t="n">
        <f aca="false">(s_p!$J70)/COUNT(s_p!$J$4:$J70)</f>
        <v>0.000564473692548727</v>
      </c>
      <c r="X70" s="22" t="n">
        <f aca="false">W70 * 252</f>
        <v>0.142247370522279</v>
      </c>
      <c r="Y70" s="21" t="n">
        <f aca="false">STDEV(s_p!$H$4:$H70)</f>
        <v>0.00592796548414035</v>
      </c>
      <c r="Z70" s="21" t="n">
        <f aca="false">Y70*SQRT(252)</f>
        <v>0.0941035347096598</v>
      </c>
      <c r="AA70" s="0" t="n">
        <f aca="false">AJ70/AK70</f>
        <v>-0.00489739238492188</v>
      </c>
      <c r="AB70" s="0" t="n">
        <f aca="false">_xlfn.COVARIANCE.S($D$4:$D70,s_p!$H$4:$H70)</f>
        <v>-5.25287218320373E-006</v>
      </c>
      <c r="AC70" s="0" t="n">
        <f aca="false">_xlfn.VAR.S(s_p!$H$4:$H70)</f>
        <v>3.51407747811594E-005</v>
      </c>
      <c r="AD70" s="0" t="n">
        <f aca="false">AB70/AC70</f>
        <v>-0.14948083005899</v>
      </c>
      <c r="AE70" s="0" t="n">
        <f aca="false">M70-(AD70*W70)</f>
        <v>0.00011376586869534</v>
      </c>
      <c r="AF70" s="33" t="n">
        <f aca="false">MAX($E$4:E70)</f>
        <v>0.208819804331584</v>
      </c>
      <c r="AG70" s="0" t="n">
        <f aca="false">1 - ((1 + E70) / (1 + AF70))</f>
        <v>0.171117991388844</v>
      </c>
      <c r="AH70" s="0" t="n">
        <f aca="false">MAX($AG$5:AG70)</f>
        <v>0.247763279347781</v>
      </c>
      <c r="AI70" s="19" t="n">
        <f aca="false">D70-s_p!H70</f>
        <v>0.0276434578011366</v>
      </c>
      <c r="AJ70" s="19" t="n">
        <f aca="false">AVERAGE(AI$4:AI70)</f>
        <v>-0.000143171892535081</v>
      </c>
      <c r="AK70" s="0" t="n">
        <f aca="false">STDEV(AI$4:AI70)</f>
        <v>0.0292343110949981</v>
      </c>
    </row>
    <row r="71" customFormat="false" ht="13.8" hidden="false" customHeight="false" outlineLevel="0" collapsed="false">
      <c r="A71" s="6" t="n">
        <f aca="false">WORKDAY(A70,1,holiday!$B$2:$B$10)</f>
        <v>38817</v>
      </c>
      <c r="B71" s="24" t="n">
        <v>1036837.50822703</v>
      </c>
      <c r="C71" s="24" t="n">
        <f aca="false">B71-B70</f>
        <v>34868.5207637231</v>
      </c>
      <c r="D71" s="31" t="n">
        <f aca="false">C71/B70</f>
        <v>0.0347999999999999</v>
      </c>
      <c r="E71" s="31" t="n">
        <f aca="false" t="array" ref="E71:E71">PRODUCT(1+$D$4:D71)-1</f>
        <v>0.0368375082270316</v>
      </c>
      <c r="F71" s="0" t="n">
        <f aca="false">IF(ISBLANK(A72),MONTH(A71),IF(MONTH(A72)-MONTH(A71)=1,MONTH(A71),0))</f>
        <v>0</v>
      </c>
      <c r="G71" s="0" t="str">
        <f aca="false">IF(B72&gt;B71,IF(AND(B70&gt;B71,B72&gt;B71),"min",""),IF(AND(B70&gt;B71,B72&gt;B71),"",IF(AND(B70&lt;B71,B72&lt;B71),"max","")))</f>
        <v>max</v>
      </c>
      <c r="H71" s="0" t="n">
        <f aca="false">IF(G71="min",COUNTIF(G$4:G71,"min"),IF(G71="max",COUNTIF(G$4:G71,"max"),""))</f>
        <v>17</v>
      </c>
      <c r="I71" s="24" t="str">
        <f aca="false" t="array" ref="I71:I71">IF($G$3=0,IF(G71="min",INDEX($B$4:$B$254,(MATCH(1,($G$4:$G$254="max")*($H$4:$H$254=(H71-1)),0))),""),IF($G$3=1,IF(G71="min",INDEX($B$4:$B$254,(MATCH(1,($G$4:$G$254="max")*($H$4:$H$254=(H71)),0))),""),""))</f>
        <v/>
      </c>
      <c r="J71" s="29" t="str">
        <f aca="false">IF(AND(G69=0,G71="min",H71=1),B71-B70,IF(G71="min",B71-I71,""))</f>
        <v/>
      </c>
      <c r="K71" s="34" t="str">
        <f aca="false">IF(AND(G69=0,G71="min",H71=1),(B71-B70)/B70,IF(G71="min",(B71-I71)/I71,""))</f>
        <v/>
      </c>
      <c r="L71" s="5"/>
      <c r="M71" s="0" t="n">
        <f aca="false">E71/COUNT($E$4:E71)</f>
        <v>0.000541728062162229</v>
      </c>
      <c r="N71" s="19" t="n">
        <f aca="false">M71*252</f>
        <v>0.136515471664882</v>
      </c>
      <c r="O71" s="20" t="n">
        <f aca="false">STDEV($D$4:$D71)</f>
        <v>0.0285358983669725</v>
      </c>
      <c r="P71" s="20" t="n">
        <f aca="false">O71*SQRT(252)</f>
        <v>0.452993343100941</v>
      </c>
      <c r="Q71" s="0" t="n">
        <f aca="false">Treasuries!J69/100</f>
        <v>0.0497</v>
      </c>
      <c r="R71" s="20" t="n">
        <f aca="false">AJ71/AK71*SQRT(252)</f>
        <v>0.193899266118956</v>
      </c>
      <c r="S71" s="32" t="n">
        <f aca="false">IF(D71&lt;s_p!H71, D71-s_p!H71, 0)</f>
        <v>0</v>
      </c>
      <c r="T71" s="0" t="n">
        <f aca="false">S71^2</f>
        <v>0</v>
      </c>
      <c r="U71" s="0" t="n">
        <f aca="false">SQRT(AVERAGE(T$4:T71)) * SQRT(252)</f>
        <v>0.329189443642259</v>
      </c>
      <c r="V71" s="0" t="n">
        <f aca="false">AJ71/U71*252</f>
        <v>0.274043164090765</v>
      </c>
      <c r="W71" s="22" t="n">
        <f aca="false">(s_p!$J71)/COUNT(s_p!$J$4:$J71)</f>
        <v>0.000569367129527314</v>
      </c>
      <c r="X71" s="22" t="n">
        <f aca="false">W71 * 252</f>
        <v>0.143480516640883</v>
      </c>
      <c r="Y71" s="21" t="n">
        <f aca="false">STDEV(s_p!$H$4:$H71)</f>
        <v>0.00588366791202169</v>
      </c>
      <c r="Z71" s="21" t="n">
        <f aca="false">Y71*SQRT(252)</f>
        <v>0.0934003325526002</v>
      </c>
      <c r="AA71" s="0" t="n">
        <f aca="false">AJ71/AK71</f>
        <v>0.0122145056559214</v>
      </c>
      <c r="AB71" s="0" t="n">
        <f aca="false">_xlfn.COVARIANCE.S($D$4:$D71,s_p!$H$4:$H71)</f>
        <v>-5.02636927786308E-006</v>
      </c>
      <c r="AC71" s="0" t="n">
        <f aca="false">_xlfn.VAR.S(s_p!$H$4:$H71)</f>
        <v>3.46175480989537E-005</v>
      </c>
      <c r="AD71" s="0" t="n">
        <f aca="false">AB71/AC71</f>
        <v>-0.14519714866851</v>
      </c>
      <c r="AE71" s="0" t="n">
        <f aca="false">M71-(AD71*W71)</f>
        <v>0.00062439854591517</v>
      </c>
      <c r="AF71" s="33" t="n">
        <f aca="false">MAX($E$4:E71)</f>
        <v>0.208819804331584</v>
      </c>
      <c r="AG71" s="0" t="n">
        <f aca="false">1 - ((1 + E71) / (1 + AF71))</f>
        <v>0.142272897489176</v>
      </c>
      <c r="AH71" s="0" t="n">
        <f aca="false">MAX($AG$5:AG71)</f>
        <v>0.247763279347781</v>
      </c>
      <c r="AI71" s="19" t="n">
        <f aca="false">D71-s_p!H71</f>
        <v>0.0339354689309148</v>
      </c>
      <c r="AJ71" s="19" t="n">
        <f aca="false">AVERAGE(AI$4:AI71)</f>
        <v>0.000357984590162711</v>
      </c>
      <c r="AK71" s="0" t="n">
        <f aca="false">STDEV(AI$4:AI71)</f>
        <v>0.0293081521468834</v>
      </c>
    </row>
    <row r="72" customFormat="false" ht="13.8" hidden="false" customHeight="false" outlineLevel="0" collapsed="false">
      <c r="A72" s="6" t="n">
        <f aca="false">WORKDAY(A71,1,holiday!$B$2:$B$10)</f>
        <v>38818</v>
      </c>
      <c r="B72" s="24" t="n">
        <v>994949.272894659</v>
      </c>
      <c r="C72" s="24" t="n">
        <f aca="false">B72-B71</f>
        <v>-41888.235332372</v>
      </c>
      <c r="D72" s="31" t="n">
        <f aca="false">C72/B71</f>
        <v>-0.0404</v>
      </c>
      <c r="E72" s="31" t="n">
        <f aca="false" t="array" ref="E72:E72">PRODUCT(1+$D$4:D72)-1</f>
        <v>-0.00505072710534038</v>
      </c>
      <c r="F72" s="0" t="n">
        <f aca="false">IF(ISBLANK(A73),MONTH(A72),IF(MONTH(A73)-MONTH(A72)=1,MONTH(A72),0))</f>
        <v>0</v>
      </c>
      <c r="G72" s="0" t="str">
        <f aca="false">IF(B73&gt;B72,IF(AND(B71&gt;B72,B73&gt;B72),"min",""),IF(AND(B71&gt;B72,B73&gt;B72),"",IF(AND(B71&lt;B72,B73&lt;B72),"max","")))</f>
        <v/>
      </c>
      <c r="H72" s="0" t="str">
        <f aca="false">IF(G72="min",COUNTIF(G$4:G72,"min"),IF(G72="max",COUNTIF(G$4:G72,"max"),""))</f>
        <v/>
      </c>
      <c r="I72" s="24" t="str">
        <f aca="false" t="array" ref="I72:I72">IF($G$3=0,IF(G72="min",INDEX($B$4:$B$254,(MATCH(1,($G$4:$G$254="max")*($H$4:$H$254=(H72-1)),0))),""),IF($G$3=1,IF(G72="min",INDEX($B$4:$B$254,(MATCH(1,($G$4:$G$254="max")*($H$4:$H$254=(H72)),0))),""),""))</f>
        <v/>
      </c>
      <c r="J72" s="29" t="str">
        <f aca="false">IF(AND(G70=0,G72="min",H72=1),B72-B71,IF(G72="min",B72-I72,""))</f>
        <v/>
      </c>
      <c r="K72" s="34" t="str">
        <f aca="false">IF(AND(G70=0,G72="min",H72=1),(B72-B71)/B71,IF(G72="min",(B72-I72)/I72,""))</f>
        <v/>
      </c>
      <c r="L72" s="5"/>
      <c r="M72" s="0" t="n">
        <f aca="false">E72/COUNT($E$4:E72)</f>
        <v>-7.31989435556577E-005</v>
      </c>
      <c r="N72" s="19" t="n">
        <f aca="false">M72*252</f>
        <v>-0.0184461337760257</v>
      </c>
      <c r="O72" s="20" t="n">
        <f aca="false">STDEV($D$4:$D72)</f>
        <v>0.0287590539507687</v>
      </c>
      <c r="P72" s="20" t="n">
        <f aca="false">O72*SQRT(252)</f>
        <v>0.456535828171341</v>
      </c>
      <c r="Q72" s="0" t="n">
        <f aca="false">Treasuries!J70/100</f>
        <v>0.0493</v>
      </c>
      <c r="R72" s="20" t="n">
        <f aca="false">AJ72/AK72*SQRT(252)</f>
        <v>-0.0650825439113327</v>
      </c>
      <c r="S72" s="32" t="n">
        <f aca="false">IF(D72&lt;s_p!H72, D72-s_p!H72, 0)</f>
        <v>-0.0326490783730006</v>
      </c>
      <c r="T72" s="0" t="n">
        <f aca="false">S72^2</f>
        <v>0.00106596231860633</v>
      </c>
      <c r="U72" s="0" t="n">
        <f aca="false">SQRT(AVERAGE(T$4:T72)) * SQRT(252)</f>
        <v>0.332698440534734</v>
      </c>
      <c r="V72" s="0" t="n">
        <f aca="false">AJ72/U72*252</f>
        <v>-0.0911799211637061</v>
      </c>
      <c r="W72" s="22" t="n">
        <f aca="false">(s_p!$J72)/COUNT(s_p!$J$4:$J72)</f>
        <v>0.000444434072768073</v>
      </c>
      <c r="X72" s="22" t="n">
        <f aca="false">W72 * 252</f>
        <v>0.111997386337554</v>
      </c>
      <c r="Y72" s="21" t="n">
        <f aca="false">STDEV(s_p!$H$4:$H72)</f>
        <v>0.00592564939346746</v>
      </c>
      <c r="Z72" s="21" t="n">
        <f aca="false">Y72*SQRT(252)</f>
        <v>0.0940667679100538</v>
      </c>
      <c r="AA72" s="0" t="n">
        <f aca="false">AJ72/AK72</f>
        <v>-0.00409981490192427</v>
      </c>
      <c r="AB72" s="0" t="n">
        <f aca="false">_xlfn.COVARIANCE.S($D$4:$D72,s_p!$H$4:$H72)</f>
        <v>3.56182335877241E-008</v>
      </c>
      <c r="AC72" s="0" t="n">
        <f aca="false">_xlfn.VAR.S(s_p!$H$4:$H72)</f>
        <v>3.51133207343013E-005</v>
      </c>
      <c r="AD72" s="0" t="n">
        <f aca="false">AB72/AC72</f>
        <v>0.00101437952443301</v>
      </c>
      <c r="AE72" s="0" t="n">
        <f aca="false">M72-(AD72*W72)</f>
        <v>-7.3649768379034E-005</v>
      </c>
      <c r="AF72" s="33" t="n">
        <f aca="false">MAX($E$4:E72)</f>
        <v>0.208819804331584</v>
      </c>
      <c r="AG72" s="0" t="n">
        <f aca="false">1 - ((1 + E72) / (1 + AF72))</f>
        <v>0.176925072430613</v>
      </c>
      <c r="AH72" s="0" t="n">
        <f aca="false">MAX($AG$5:AG72)</f>
        <v>0.247763279347781</v>
      </c>
      <c r="AI72" s="19" t="n">
        <f aca="false">D72-s_p!H72</f>
        <v>-0.0326490783730005</v>
      </c>
      <c r="AJ72" s="19" t="n">
        <f aca="false">AVERAGE(AI$4:AI72)</f>
        <v>-0.00012037864118748</v>
      </c>
      <c r="AK72" s="0" t="n">
        <f aca="false">STDEV(AI$4:AI72)</f>
        <v>0.0293619697638007</v>
      </c>
    </row>
    <row r="73" customFormat="false" ht="13.8" hidden="false" customHeight="false" outlineLevel="0" collapsed="false">
      <c r="A73" s="6" t="n">
        <f aca="false">WORKDAY(A72,1,holiday!$B$2:$B$10)</f>
        <v>38819</v>
      </c>
      <c r="B73" s="24" t="n">
        <v>988183.617838975</v>
      </c>
      <c r="C73" s="24" t="n">
        <f aca="false">B73-B72</f>
        <v>-6765.65505568369</v>
      </c>
      <c r="D73" s="31" t="n">
        <f aca="false">C73/B72</f>
        <v>-0.00680000000000001</v>
      </c>
      <c r="E73" s="31" t="n">
        <f aca="false" t="array" ref="E73:E73">PRODUCT(1+$D$4:D73)-1</f>
        <v>-0.0118163821610242</v>
      </c>
      <c r="F73" s="0" t="n">
        <f aca="false">IF(ISBLANK(A74),MONTH(A73),IF(MONTH(A74)-MONTH(A73)=1,MONTH(A73),0))</f>
        <v>0</v>
      </c>
      <c r="G73" s="0" t="str">
        <f aca="false">IF(B74&gt;B73,IF(AND(B72&gt;B73,B74&gt;B73),"min",""),IF(AND(B72&gt;B73,B74&gt;B73),"",IF(AND(B72&lt;B73,B74&lt;B73),"max","")))</f>
        <v/>
      </c>
      <c r="H73" s="0" t="str">
        <f aca="false">IF(G73="min",COUNTIF(G$4:G73,"min"),IF(G73="max",COUNTIF(G$4:G73,"max"),""))</f>
        <v/>
      </c>
      <c r="I73" s="24" t="str">
        <f aca="false" t="array" ref="I73:I73">IF($G$3=0,IF(G73="min",INDEX($B$4:$B$254,(MATCH(1,($G$4:$G$254="max")*($H$4:$H$254=(H73-1)),0))),""),IF($G$3=1,IF(G73="min",INDEX($B$4:$B$254,(MATCH(1,($G$4:$G$254="max")*($H$4:$H$254=(H73)),0))),""),""))</f>
        <v/>
      </c>
      <c r="J73" s="29" t="str">
        <f aca="false">IF(AND(G71=0,G73="min",H73=1),B73-B72,IF(G73="min",B73-I73,""))</f>
        <v/>
      </c>
      <c r="K73" s="34" t="str">
        <f aca="false">IF(AND(G71=0,G73="min",H73=1),(B73-B72)/B72,IF(G73="min",(B73-I73)/I73,""))</f>
        <v/>
      </c>
      <c r="L73" s="5"/>
      <c r="M73" s="0" t="n">
        <f aca="false">E73/COUNT($E$4:E73)</f>
        <v>-0.000168805459443203</v>
      </c>
      <c r="N73" s="19" t="n">
        <f aca="false">M73*252</f>
        <v>-0.0425389757796872</v>
      </c>
      <c r="O73" s="20" t="n">
        <f aca="false">STDEV($D$4:$D73)</f>
        <v>0.0285626274591572</v>
      </c>
      <c r="P73" s="20" t="n">
        <f aca="false">O73*SQRT(252)</f>
        <v>0.453417654285088</v>
      </c>
      <c r="Q73" s="0" t="n">
        <f aca="false">Treasuries!J71/100</f>
        <v>0.0498</v>
      </c>
      <c r="R73" s="20" t="n">
        <f aca="false">AJ73/AK73*SQRT(252)</f>
        <v>-0.126834580442047</v>
      </c>
      <c r="S73" s="32" t="n">
        <f aca="false">IF(D73&lt;s_p!H73, D73-s_p!H73, 0)</f>
        <v>-0.00800475372502083</v>
      </c>
      <c r="T73" s="0" t="n">
        <f aca="false">S73^2</f>
        <v>6.40760821982349E-005</v>
      </c>
      <c r="U73" s="0" t="n">
        <f aca="false">SQRT(AVERAGE(T$4:T73)) * SQRT(252)</f>
        <v>0.330662464580613</v>
      </c>
      <c r="V73" s="0" t="n">
        <f aca="false">AJ73/U73*252</f>
        <v>-0.177580385350118</v>
      </c>
      <c r="W73" s="22" t="n">
        <f aca="false">(s_p!$J73)/COUNT(s_p!$J$4:$J73)</f>
        <v>0.000455823566639167</v>
      </c>
      <c r="X73" s="22" t="n">
        <f aca="false">W73 * 252</f>
        <v>0.11486753879307</v>
      </c>
      <c r="Y73" s="21" t="n">
        <f aca="false">STDEV(s_p!$H$4:$H73)</f>
        <v>0.00588323542041194</v>
      </c>
      <c r="Z73" s="21" t="n">
        <f aca="false">Y73*SQRT(252)</f>
        <v>0.0933934669611392</v>
      </c>
      <c r="AA73" s="0" t="n">
        <f aca="false">AJ73/AK73</f>
        <v>-0.00798982755935392</v>
      </c>
      <c r="AB73" s="0" t="n">
        <f aca="false">_xlfn.COVARIANCE.S($D$4:$D73,s_p!$H$4:$H73)</f>
        <v>-4.13005349136011E-008</v>
      </c>
      <c r="AC73" s="0" t="n">
        <f aca="false">_xlfn.VAR.S(s_p!$H$4:$H73)</f>
        <v>3.46124590119897E-005</v>
      </c>
      <c r="AD73" s="0" t="n">
        <f aca="false">AB73/AC73</f>
        <v>-0.0011932274126867</v>
      </c>
      <c r="AE73" s="0" t="n">
        <f aca="false">M73-(AD73*W73)</f>
        <v>-0.00016826155826814</v>
      </c>
      <c r="AF73" s="33" t="n">
        <f aca="false">MAX($E$4:E73)</f>
        <v>0.208819804331584</v>
      </c>
      <c r="AG73" s="0" t="n">
        <f aca="false">1 - ((1 + E73) / (1 + AF73))</f>
        <v>0.182521981938085</v>
      </c>
      <c r="AH73" s="0" t="n">
        <f aca="false">MAX($AG$5:AG73)</f>
        <v>0.247763279347781</v>
      </c>
      <c r="AI73" s="19" t="n">
        <f aca="false">D73-s_p!H73</f>
        <v>-0.00800475372502083</v>
      </c>
      <c r="AJ73" s="19" t="n">
        <f aca="false">AVERAGE(AI$4:AI73)</f>
        <v>-0.000233012570956528</v>
      </c>
      <c r="AK73" s="0" t="n">
        <f aca="false">STDEV(AI$4:AI73)</f>
        <v>0.0291636545626987</v>
      </c>
    </row>
    <row r="74" customFormat="false" ht="13.8" hidden="false" customHeight="false" outlineLevel="0" collapsed="false">
      <c r="A74" s="6" t="n">
        <f aca="false">WORKDAY(A73,1,holiday!$B$2:$B$10)</f>
        <v>38820</v>
      </c>
      <c r="B74" s="24" t="n">
        <v>951027.91380823</v>
      </c>
      <c r="C74" s="24" t="n">
        <f aca="false">B74-B73</f>
        <v>-37155.7040307454</v>
      </c>
      <c r="D74" s="31" t="n">
        <f aca="false">C74/B73</f>
        <v>-0.0376</v>
      </c>
      <c r="E74" s="31" t="n">
        <f aca="false" t="array" ref="E74:E74">PRODUCT(1+$D$4:D74)-1</f>
        <v>-0.0489720861917696</v>
      </c>
      <c r="F74" s="0" t="n">
        <f aca="false">IF(ISBLANK(A75),MONTH(A74),IF(MONTH(A75)-MONTH(A74)=1,MONTH(A74),0))</f>
        <v>0</v>
      </c>
      <c r="G74" s="0" t="str">
        <f aca="false">IF(B75&gt;B74,IF(AND(B73&gt;B74,B75&gt;B74),"min",""),IF(AND(B73&gt;B74,B75&gt;B74),"",IF(AND(B73&lt;B74,B75&lt;B74),"max","")))</f>
        <v>min</v>
      </c>
      <c r="H74" s="0" t="n">
        <f aca="false">IF(G74="min",COUNTIF(G$4:G74,"min"),IF(G74="max",COUNTIF(G$4:G74,"max"),""))</f>
        <v>18</v>
      </c>
      <c r="I74" s="24" t="n">
        <f aca="false" t="array" ref="I74:I74">IF($G$3=0,IF(G74="min",INDEX($B$4:$B$254,(MATCH(1,($G$4:$G$254="max")*($H$4:$H$254=(H74-1)),0))),""),IF($G$3=1,IF(G74="min",INDEX($B$4:$B$254,(MATCH(1,($G$4:$G$254="max")*($H$4:$H$254=(H74)),0))),""),""))</f>
        <v>1036837.50822703</v>
      </c>
      <c r="J74" s="29" t="n">
        <f aca="false">IF(AND(G72=0,G74="min",H74=1),B74-B73,IF(G74="min",B74-I74,""))</f>
        <v>-85809.5944188001</v>
      </c>
      <c r="K74" s="34" t="n">
        <f aca="false">IF(AND(G72=0,G74="min",H74=1),(B74-B73)/B73,IF(G74="min",(B74-I74)/I74,""))</f>
        <v>-0.082760889471999</v>
      </c>
      <c r="L74" s="5"/>
      <c r="M74" s="0" t="n">
        <f aca="false">E74/COUNT($E$4:E74)</f>
        <v>-0.000689747692841826</v>
      </c>
      <c r="N74" s="19" t="n">
        <f aca="false">M74*252</f>
        <v>-0.17381641859614</v>
      </c>
      <c r="O74" s="20" t="n">
        <f aca="false">STDEV($D$4:$D74)</f>
        <v>0.028711122782444</v>
      </c>
      <c r="P74" s="20" t="n">
        <f aca="false">O74*SQRT(252)</f>
        <v>0.455774944462725</v>
      </c>
      <c r="Q74" s="0" t="n">
        <f aca="false">Treasuries!J72/100</f>
        <v>0.0505</v>
      </c>
      <c r="R74" s="20" t="n">
        <f aca="false">AJ74/AK74*SQRT(252)</f>
        <v>-0.41722124156342</v>
      </c>
      <c r="S74" s="32" t="n">
        <f aca="false">IF(D74&lt;s_p!H74, D74-s_p!H74, 0)</f>
        <v>-0.0383763251870945</v>
      </c>
      <c r="T74" s="0" t="n">
        <f aca="false">S74^2</f>
        <v>0.00147274233486562</v>
      </c>
      <c r="U74" s="0" t="n">
        <f aca="false">SQRT(AVERAGE(T$4:T74)) * SQRT(252)</f>
        <v>0.336191755564197</v>
      </c>
      <c r="V74" s="0" t="n">
        <f aca="false">AJ74/U74*252</f>
        <v>-0.577352249030725</v>
      </c>
      <c r="W74" s="22" t="n">
        <f aca="false">(s_p!$J74)/COUNT(s_p!$J$4:$J74)</f>
        <v>0.000460686557238477</v>
      </c>
      <c r="X74" s="22" t="n">
        <f aca="false">W74 * 252</f>
        <v>0.116093012424096</v>
      </c>
      <c r="Y74" s="21" t="n">
        <f aca="false">STDEV(s_p!$H$4:$H74)</f>
        <v>0.00584117734820981</v>
      </c>
      <c r="Z74" s="21" t="n">
        <f aca="false">Y74*SQRT(252)</f>
        <v>0.0927258157631213</v>
      </c>
      <c r="AA74" s="0" t="n">
        <f aca="false">AJ74/AK74</f>
        <v>-0.0262824677826287</v>
      </c>
      <c r="AB74" s="0" t="n">
        <f aca="false">_xlfn.COVARIANCE.S($D$4:$D74,s_p!$H$4:$H74)</f>
        <v>-2.06138943748742E-007</v>
      </c>
      <c r="AC74" s="0" t="n">
        <f aca="false">_xlfn.VAR.S(s_p!$H$4:$H74)</f>
        <v>3.41193528132394E-005</v>
      </c>
      <c r="AD74" s="0" t="n">
        <f aca="false">AB74/AC74</f>
        <v>-0.00604170146125261</v>
      </c>
      <c r="AE74" s="0" t="n">
        <f aca="false">M74-(AD74*W74)</f>
        <v>-0.000686964362195779</v>
      </c>
      <c r="AF74" s="33" t="n">
        <f aca="false">MAX($E$4:E74)</f>
        <v>0.208819804331584</v>
      </c>
      <c r="AG74" s="0" t="n">
        <f aca="false">1 - ((1 + E74) / (1 + AF74))</f>
        <v>0.213259155417213</v>
      </c>
      <c r="AH74" s="0" t="n">
        <f aca="false">MAX($AG$5:AG74)</f>
        <v>0.247763279347781</v>
      </c>
      <c r="AI74" s="19" t="n">
        <f aca="false">D74-s_p!H74</f>
        <v>-0.0383763251870944</v>
      </c>
      <c r="AJ74" s="19" t="n">
        <f aca="false">AVERAGE(AI$4:AI74)</f>
        <v>-0.000770242326113399</v>
      </c>
      <c r="AK74" s="0" t="n">
        <f aca="false">STDEV(AI$4:AI74)</f>
        <v>0.0293063167615671</v>
      </c>
    </row>
    <row r="75" customFormat="false" ht="13.8" hidden="false" customHeight="false" outlineLevel="0" collapsed="false">
      <c r="A75" s="6" t="n">
        <f aca="false">WORKDAY(A74,1,holiday!$B$2:$B$10)</f>
        <v>38824</v>
      </c>
      <c r="B75" s="24" t="n">
        <v>984884.507539803</v>
      </c>
      <c r="C75" s="24" t="n">
        <f aca="false">B75-B74</f>
        <v>33856.593731573</v>
      </c>
      <c r="D75" s="31" t="n">
        <f aca="false">C75/B74</f>
        <v>0.0356</v>
      </c>
      <c r="E75" s="31" t="n">
        <f aca="false" t="array" ref="E75:E75">PRODUCT(1+$D$4:D75)-1</f>
        <v>-0.0151154924601966</v>
      </c>
      <c r="F75" s="0" t="n">
        <f aca="false">IF(ISBLANK(A76),MONTH(A75),IF(MONTH(A76)-MONTH(A75)=1,MONTH(A75),0))</f>
        <v>0</v>
      </c>
      <c r="G75" s="0" t="str">
        <f aca="false">IF(B76&gt;B75,IF(AND(B74&gt;B75,B76&gt;B75),"min",""),IF(AND(B74&gt;B75,B76&gt;B75),"",IF(AND(B74&lt;B75,B76&lt;B75),"max","")))</f>
        <v/>
      </c>
      <c r="H75" s="0" t="str">
        <f aca="false">IF(G75="min",COUNTIF(G$4:G75,"min"),IF(G75="max",COUNTIF(G$4:G75,"max"),""))</f>
        <v/>
      </c>
      <c r="I75" s="24" t="str">
        <f aca="false" t="array" ref="I75:I75">IF($G$3=0,IF(G75="min",INDEX($B$4:$B$254,(MATCH(1,($G$4:$G$254="max")*($H$4:$H$254=(H75-1)),0))),""),IF($G$3=1,IF(G75="min",INDEX($B$4:$B$254,(MATCH(1,($G$4:$G$254="max")*($H$4:$H$254=(H75)),0))),""),""))</f>
        <v/>
      </c>
      <c r="J75" s="29" t="str">
        <f aca="false">IF(AND(G73=0,G75="min",H75=1),B75-B74,IF(G75="min",B75-I75,""))</f>
        <v/>
      </c>
      <c r="K75" s="34" t="str">
        <f aca="false">IF(AND(G73=0,G75="min",H75=1),(B75-B74)/B74,IF(G75="min",(B75-I75)/I75,""))</f>
        <v/>
      </c>
      <c r="L75" s="5"/>
      <c r="M75" s="0" t="n">
        <f aca="false">E75/COUNT($E$4:E75)</f>
        <v>-0.000209937395280508</v>
      </c>
      <c r="N75" s="19" t="n">
        <f aca="false">M75*252</f>
        <v>-0.0529042236106881</v>
      </c>
      <c r="O75" s="20" t="n">
        <f aca="false">STDEV($D$4:$D75)</f>
        <v>0.0288204519178316</v>
      </c>
      <c r="P75" s="20" t="n">
        <f aca="false">O75*SQRT(252)</f>
        <v>0.457510490682462</v>
      </c>
      <c r="Q75" s="0" t="n">
        <f aca="false">Treasuries!J73/100</f>
        <v>0.0501</v>
      </c>
      <c r="R75" s="20" t="n">
        <f aca="false">AJ75/AK75*SQRT(252)</f>
        <v>-0.120822831768077</v>
      </c>
      <c r="S75" s="32" t="n">
        <f aca="false">IF(D75&lt;s_p!H75, D75-s_p!H75, 0)</f>
        <v>0</v>
      </c>
      <c r="T75" s="0" t="n">
        <f aca="false">S75^2</f>
        <v>0</v>
      </c>
      <c r="U75" s="0" t="n">
        <f aca="false">SQRT(AVERAGE(T$4:T75)) * SQRT(252)</f>
        <v>0.333848927330971</v>
      </c>
      <c r="V75" s="0" t="n">
        <f aca="false">AJ75/U75*252</f>
        <v>-0.169283913066287</v>
      </c>
      <c r="W75" s="22" t="n">
        <f aca="false">(s_p!$J75)/COUNT(s_p!$J$4:$J75)</f>
        <v>0.000412119334805576</v>
      </c>
      <c r="X75" s="22" t="n">
        <f aca="false">W75 * 252</f>
        <v>0.103854072371005</v>
      </c>
      <c r="Y75" s="21" t="n">
        <f aca="false">STDEV(s_p!$H$4:$H75)</f>
        <v>0.00581380443006558</v>
      </c>
      <c r="Z75" s="21" t="n">
        <f aca="false">Y75*SQRT(252)</f>
        <v>0.0922912841587147</v>
      </c>
      <c r="AA75" s="0" t="n">
        <f aca="false">AJ75/AK75</f>
        <v>-0.00761112298945047</v>
      </c>
      <c r="AB75" s="0" t="n">
        <f aca="false">_xlfn.COVARIANCE.S($D$4:$D75,s_p!$H$4:$H75)</f>
        <v>-1.90361534288894E-006</v>
      </c>
      <c r="AC75" s="0" t="n">
        <f aca="false">_xlfn.VAR.S(s_p!$H$4:$H75)</f>
        <v>3.38003219510501E-005</v>
      </c>
      <c r="AD75" s="0" t="n">
        <f aca="false">AB75/AC75</f>
        <v>-0.0563194441060582</v>
      </c>
      <c r="AE75" s="0" t="n">
        <f aca="false">M75-(AD75*W75)</f>
        <v>-0.0001867270634389</v>
      </c>
      <c r="AF75" s="33" t="n">
        <f aca="false">MAX($E$4:E75)</f>
        <v>0.208819804331584</v>
      </c>
      <c r="AG75" s="0" t="n">
        <f aca="false">1 - ((1 + E75) / (1 + AF75))</f>
        <v>0.185251181350065</v>
      </c>
      <c r="AH75" s="0" t="n">
        <f aca="false">MAX($AG$5:AG75)</f>
        <v>0.247763279347781</v>
      </c>
      <c r="AI75" s="19" t="n">
        <f aca="false">D75-s_p!H75</f>
        <v>0.0385399900707458</v>
      </c>
      <c r="AJ75" s="19" t="n">
        <f aca="false">AVERAGE(AI$4:AI75)</f>
        <v>-0.000224266876157021</v>
      </c>
      <c r="AK75" s="0" t="n">
        <f aca="false">STDEV(AI$4:AI75)</f>
        <v>0.0294656749691038</v>
      </c>
    </row>
    <row r="76" customFormat="false" ht="13.8" hidden="false" customHeight="false" outlineLevel="0" collapsed="false">
      <c r="A76" s="6" t="n">
        <f aca="false">WORKDAY(A75,1,holiday!$B$2:$B$10)</f>
        <v>38825</v>
      </c>
      <c r="B76" s="24" t="n">
        <v>989119.510922224</v>
      </c>
      <c r="C76" s="24" t="n">
        <f aca="false">B76-B75</f>
        <v>4235.0033824211</v>
      </c>
      <c r="D76" s="31" t="n">
        <f aca="false">C76/B75</f>
        <v>0.00429999999999995</v>
      </c>
      <c r="E76" s="31" t="n">
        <f aca="false" t="array" ref="E76:E76">PRODUCT(1+$D$4:D76)-1</f>
        <v>-0.0108804890777755</v>
      </c>
      <c r="F76" s="0" t="n">
        <f aca="false">IF(ISBLANK(A77),MONTH(A76),IF(MONTH(A77)-MONTH(A76)=1,MONTH(A76),0))</f>
        <v>0</v>
      </c>
      <c r="G76" s="0" t="str">
        <f aca="false">IF(B77&gt;B76,IF(AND(B75&gt;B76,B77&gt;B76),"min",""),IF(AND(B75&gt;B76,B77&gt;B76),"",IF(AND(B75&lt;B76,B77&lt;B76),"max","")))</f>
        <v>max</v>
      </c>
      <c r="H76" s="0" t="n">
        <f aca="false">IF(G76="min",COUNTIF(G$4:G76,"min"),IF(G76="max",COUNTIF(G$4:G76,"max"),""))</f>
        <v>18</v>
      </c>
      <c r="I76" s="24" t="str">
        <f aca="false" t="array" ref="I76:I76">IF($G$3=0,IF(G76="min",INDEX($B$4:$B$254,(MATCH(1,($G$4:$G$254="max")*($H$4:$H$254=(H76-1)),0))),""),IF($G$3=1,IF(G76="min",INDEX($B$4:$B$254,(MATCH(1,($G$4:$G$254="max")*($H$4:$H$254=(H76)),0))),""),""))</f>
        <v/>
      </c>
      <c r="J76" s="29" t="str">
        <f aca="false">IF(AND(G74=0,G76="min",H76=1),B76-B75,IF(G76="min",B76-I76,""))</f>
        <v/>
      </c>
      <c r="K76" s="34" t="str">
        <f aca="false">IF(AND(G74=0,G76="min",H76=1),(B76-B75)/B75,IF(G76="min",(B76-I76)/I76,""))</f>
        <v/>
      </c>
      <c r="L76" s="5"/>
      <c r="M76" s="0" t="n">
        <f aca="false">E76/COUNT($E$4:E76)</f>
        <v>-0.000149047795585966</v>
      </c>
      <c r="N76" s="19" t="n">
        <f aca="false">M76*252</f>
        <v>-0.0375600444876634</v>
      </c>
      <c r="O76" s="20" t="n">
        <f aca="false">STDEV($D$4:$D76)</f>
        <v>0.0286236355380571</v>
      </c>
      <c r="P76" s="20" t="n">
        <f aca="false">O76*SQRT(252)</f>
        <v>0.454386127513498</v>
      </c>
      <c r="Q76" s="0" t="n">
        <f aca="false">Treasuries!J74/100</f>
        <v>0.0499</v>
      </c>
      <c r="R76" s="20" t="n">
        <f aca="false">AJ76/AK76*SQRT(252)</f>
        <v>-0.214692947472663</v>
      </c>
      <c r="S76" s="32" t="n">
        <f aca="false">IF(D76&lt;s_p!H76, D76-s_p!H76, 0)</f>
        <v>-0.0127773264453488</v>
      </c>
      <c r="T76" s="0" t="n">
        <f aca="false">S76^2</f>
        <v>0.000163260071091011</v>
      </c>
      <c r="U76" s="0" t="n">
        <f aca="false">SQRT(AVERAGE(T$4:T76)) * SQRT(252)</f>
        <v>0.33240322909592</v>
      </c>
      <c r="V76" s="0" t="n">
        <f aca="false">AJ76/U76*252</f>
        <v>-0.30038547620272</v>
      </c>
      <c r="W76" s="22" t="n">
        <f aca="false">(s_p!$J76)/COUNT(s_p!$J$4:$J76)</f>
        <v>0.000647351330044169</v>
      </c>
      <c r="X76" s="22" t="n">
        <f aca="false">W76 * 252</f>
        <v>0.16313253517113</v>
      </c>
      <c r="Y76" s="21" t="n">
        <f aca="false">STDEV(s_p!$H$4:$H76)</f>
        <v>0.00609347774488685</v>
      </c>
      <c r="Z76" s="21" t="n">
        <f aca="false">Y76*SQRT(252)</f>
        <v>0.0967309603948637</v>
      </c>
      <c r="AA76" s="0" t="n">
        <f aca="false">AJ76/AK76</f>
        <v>-0.0135243844583836</v>
      </c>
      <c r="AB76" s="0" t="n">
        <f aca="false">_xlfn.COVARIANCE.S($D$4:$D76,s_p!$H$4:$H76)</f>
        <v>-9.4147254423939E-007</v>
      </c>
      <c r="AC76" s="0" t="n">
        <f aca="false">_xlfn.VAR.S(s_p!$H$4:$H76)</f>
        <v>3.71304710274313E-005</v>
      </c>
      <c r="AD76" s="0" t="n">
        <f aca="false">AB76/AC76</f>
        <v>-0.0253557931851671</v>
      </c>
      <c r="AE76" s="0" t="n">
        <f aca="false">M76-(AD76*W76)</f>
        <v>-0.000132633689143223</v>
      </c>
      <c r="AF76" s="33" t="n">
        <f aca="false">MAX($E$4:E76)</f>
        <v>0.208819804331584</v>
      </c>
      <c r="AG76" s="0" t="n">
        <f aca="false">1 - ((1 + E76) / (1 + AF76))</f>
        <v>0.181747761429871</v>
      </c>
      <c r="AH76" s="0" t="n">
        <f aca="false">MAX($AG$5:AG76)</f>
        <v>0.247763279347781</v>
      </c>
      <c r="AI76" s="19" t="n">
        <f aca="false">D76-s_p!H76</f>
        <v>-0.0127773264453488</v>
      </c>
      <c r="AJ76" s="19" t="n">
        <f aca="false">AVERAGE(AI$4:AI76)</f>
        <v>-0.000396226596282936</v>
      </c>
      <c r="AK76" s="0" t="n">
        <f aca="false">STDEV(AI$4:AI76)</f>
        <v>0.0292971999947339</v>
      </c>
    </row>
    <row r="77" customFormat="false" ht="13.8" hidden="false" customHeight="false" outlineLevel="0" collapsed="false">
      <c r="A77" s="6" t="n">
        <f aca="false">WORKDAY(A76,1,holiday!$B$2:$B$10)</f>
        <v>38826</v>
      </c>
      <c r="B77" s="24" t="n">
        <v>941542.862446865</v>
      </c>
      <c r="C77" s="24" t="n">
        <f aca="false">B77-B76</f>
        <v>-47576.648475359</v>
      </c>
      <c r="D77" s="31" t="n">
        <f aca="false">C77/B76</f>
        <v>-0.0481</v>
      </c>
      <c r="E77" s="31" t="n">
        <f aca="false" t="array" ref="E77:E77">PRODUCT(1+$D$4:D77)-1</f>
        <v>-0.0584571375531346</v>
      </c>
      <c r="F77" s="0" t="n">
        <f aca="false">IF(ISBLANK(A78),MONTH(A77),IF(MONTH(A78)-MONTH(A77)=1,MONTH(A77),0))</f>
        <v>0</v>
      </c>
      <c r="G77" s="0" t="str">
        <f aca="false">IF(B78&gt;B77,IF(AND(B76&gt;B77,B78&gt;B77),"min",""),IF(AND(B76&gt;B77,B78&gt;B77),"",IF(AND(B76&lt;B77,B78&lt;B77),"max","")))</f>
        <v/>
      </c>
      <c r="H77" s="0" t="str">
        <f aca="false">IF(G77="min",COUNTIF(G$4:G77,"min"),IF(G77="max",COUNTIF(G$4:G77,"max"),""))</f>
        <v/>
      </c>
      <c r="I77" s="24" t="str">
        <f aca="false" t="array" ref="I77:I77">IF($G$3=0,IF(G77="min",INDEX($B$4:$B$254,(MATCH(1,($G$4:$G$254="max")*($H$4:$H$254=(H77-1)),0))),""),IF($G$3=1,IF(G77="min",INDEX($B$4:$B$254,(MATCH(1,($G$4:$G$254="max")*($H$4:$H$254=(H77)),0))),""),""))</f>
        <v/>
      </c>
      <c r="J77" s="29" t="str">
        <f aca="false">IF(AND(G75=0,G77="min",H77=1),B77-B76,IF(G77="min",B77-I77,""))</f>
        <v/>
      </c>
      <c r="K77" s="34" t="str">
        <f aca="false">IF(AND(G75=0,G77="min",H77=1),(B77-B76)/B76,IF(G77="min",(B77-I77)/I77,""))</f>
        <v/>
      </c>
      <c r="L77" s="5"/>
      <c r="M77" s="0" t="n">
        <f aca="false">E77/COUNT($E$4:E77)</f>
        <v>-0.000789961318285603</v>
      </c>
      <c r="N77" s="19" t="n">
        <f aca="false">M77*252</f>
        <v>-0.199070252207972</v>
      </c>
      <c r="O77" s="20" t="n">
        <f aca="false">STDEV($D$4:$D77)</f>
        <v>0.0289773387758848</v>
      </c>
      <c r="P77" s="20" t="n">
        <f aca="false">O77*SQRT(252)</f>
        <v>0.46000099234476</v>
      </c>
      <c r="Q77" s="0" t="n">
        <f aca="false">Treasuries!J75/100</f>
        <v>0.0504</v>
      </c>
      <c r="R77" s="20" t="n">
        <f aca="false">AJ77/AK77*SQRT(252)</f>
        <v>-0.571663999089057</v>
      </c>
      <c r="S77" s="32" t="n">
        <f aca="false">IF(D77&lt;s_p!H77, D77-s_p!H77, 0)</f>
        <v>-0.0501271097240072</v>
      </c>
      <c r="T77" s="0" t="n">
        <f aca="false">S77^2</f>
        <v>0.00251272712928266</v>
      </c>
      <c r="U77" s="0" t="n">
        <f aca="false">SQRT(AVERAGE(T$4:T77)) * SQRT(252)</f>
        <v>0.342863861302497</v>
      </c>
      <c r="V77" s="0" t="n">
        <f aca="false">AJ77/U77*252</f>
        <v>-0.785159799167426</v>
      </c>
      <c r="W77" s="22" t="n">
        <f aca="false">(s_p!$J77)/COUNT(s_p!$J$4:$J77)</f>
        <v>0.00066729123278484</v>
      </c>
      <c r="X77" s="22" t="n">
        <f aca="false">W77 * 252</f>
        <v>0.16815739066178</v>
      </c>
      <c r="Y77" s="21" t="n">
        <f aca="false">STDEV(s_p!$H$4:$H77)</f>
        <v>0.00605371158013922</v>
      </c>
      <c r="Z77" s="21" t="n">
        <f aca="false">Y77*SQRT(252)</f>
        <v>0.0960996920997615</v>
      </c>
      <c r="AA77" s="0" t="n">
        <f aca="false">AJ77/AK77</f>
        <v>-0.0360114470256736</v>
      </c>
      <c r="AB77" s="0" t="n">
        <f aca="false">_xlfn.COVARIANCE.S($D$4:$D77,s_p!$H$4:$H77)</f>
        <v>-1.82777136064035E-006</v>
      </c>
      <c r="AC77" s="0" t="n">
        <f aca="false">_xlfn.VAR.S(s_p!$H$4:$H77)</f>
        <v>3.66474238955118E-005</v>
      </c>
      <c r="AD77" s="0" t="n">
        <f aca="false">AB77/AC77</f>
        <v>-0.0498744841070315</v>
      </c>
      <c r="AE77" s="0" t="n">
        <f aca="false">M77-(AD77*W77)</f>
        <v>-0.000756680512301314</v>
      </c>
      <c r="AF77" s="33" t="n">
        <f aca="false">MAX($E$4:E77)</f>
        <v>0.208819804331584</v>
      </c>
      <c r="AG77" s="0" t="n">
        <f aca="false">1 - ((1 + E77) / (1 + AF77))</f>
        <v>0.221105694105094</v>
      </c>
      <c r="AH77" s="0" t="n">
        <f aca="false">MAX($AG$5:AG77)</f>
        <v>0.247763279347781</v>
      </c>
      <c r="AI77" s="19" t="n">
        <f aca="false">D77-s_p!H77</f>
        <v>-0.0501271097240072</v>
      </c>
      <c r="AJ77" s="19" t="n">
        <f aca="false">AVERAGE(AI$4:AI77)</f>
        <v>-0.0010682655574684</v>
      </c>
      <c r="AK77" s="0" t="n">
        <f aca="false">STDEV(AI$4:AI77)</f>
        <v>0.0296646107196637</v>
      </c>
    </row>
    <row r="78" customFormat="false" ht="13.8" hidden="false" customHeight="false" outlineLevel="0" collapsed="false">
      <c r="A78" s="6" t="n">
        <f aca="false">WORKDAY(A77,1,holiday!$B$2:$B$10)</f>
        <v>38827</v>
      </c>
      <c r="B78" s="24" t="n">
        <v>928926.188090077</v>
      </c>
      <c r="C78" s="24" t="n">
        <f aca="false">B78-B77</f>
        <v>-12616.674356788</v>
      </c>
      <c r="D78" s="31" t="n">
        <f aca="false">C78/B77</f>
        <v>-0.0134000000000001</v>
      </c>
      <c r="E78" s="31" t="n">
        <f aca="false" t="array" ref="E78:E78">PRODUCT(1+$D$4:D78)-1</f>
        <v>-0.0710738119099227</v>
      </c>
      <c r="F78" s="0" t="n">
        <f aca="false">IF(ISBLANK(A79),MONTH(A78),IF(MONTH(A79)-MONTH(A78)=1,MONTH(A78),0))</f>
        <v>0</v>
      </c>
      <c r="G78" s="0" t="str">
        <f aca="false">IF(B79&gt;B78,IF(AND(B77&gt;B78,B79&gt;B78),"min",""),IF(AND(B77&gt;B78,B79&gt;B78),"",IF(AND(B77&lt;B78,B79&lt;B78),"max","")))</f>
        <v>min</v>
      </c>
      <c r="H78" s="0" t="n">
        <f aca="false">IF(G78="min",COUNTIF(G$4:G78,"min"),IF(G78="max",COUNTIF(G$4:G78,"max"),""))</f>
        <v>19</v>
      </c>
      <c r="I78" s="24" t="n">
        <f aca="false" t="array" ref="I78:I78">IF($G$3=0,IF(G78="min",INDEX($B$4:$B$254,(MATCH(1,($G$4:$G$254="max")*($H$4:$H$254=(H78-1)),0))),""),IF($G$3=1,IF(G78="min",INDEX($B$4:$B$254,(MATCH(1,($G$4:$G$254="max")*($H$4:$H$254=(H78)),0))),""),""))</f>
        <v>989119.510922224</v>
      </c>
      <c r="J78" s="29" t="n">
        <f aca="false">IF(AND(G76=0,G78="min",H78=1),B78-B77,IF(G78="min",B78-I78,""))</f>
        <v>-60193.322832147</v>
      </c>
      <c r="K78" s="34" t="n">
        <f aca="false">IF(AND(G76=0,G78="min",H78=1),(B78-B77)/B77,IF(G78="min",(B78-I78)/I78,""))</f>
        <v>-0.06085546</v>
      </c>
      <c r="L78" s="5"/>
      <c r="M78" s="0" t="n">
        <f aca="false">E78/COUNT($E$4:E78)</f>
        <v>-0.000947650825465636</v>
      </c>
      <c r="N78" s="19" t="n">
        <f aca="false">M78*252</f>
        <v>-0.23880800801734</v>
      </c>
      <c r="O78" s="20" t="n">
        <f aca="false">STDEV($D$4:$D78)</f>
        <v>0.0288200078774114</v>
      </c>
      <c r="P78" s="20" t="n">
        <f aca="false">O78*SQRT(252)</f>
        <v>0.457503441759318</v>
      </c>
      <c r="Q78" s="0" t="n">
        <f aca="false">Treasuries!J76/100</f>
        <v>0.0504</v>
      </c>
      <c r="R78" s="20" t="n">
        <f aca="false">AJ78/AK78*SQRT(252)</f>
        <v>-0.671606417416044</v>
      </c>
      <c r="S78" s="32" t="n">
        <f aca="false">IF(D78&lt;s_p!H78, D78-s_p!H78, 0)</f>
        <v>-0.0145680013435834</v>
      </c>
      <c r="T78" s="0" t="n">
        <f aca="false">S78^2</f>
        <v>0.000212226663146648</v>
      </c>
      <c r="U78" s="0" t="n">
        <f aca="false">SQRT(AVERAGE(T$4:T78)) * SQRT(252)</f>
        <v>0.341615720672025</v>
      </c>
      <c r="V78" s="0" t="n">
        <f aca="false">AJ78/U78*252</f>
        <v>-0.920806665760516</v>
      </c>
      <c r="W78" s="22" t="n">
        <f aca="false">(s_p!$J78)/COUNT(s_p!$J$4:$J78)</f>
        <v>0.000674736372691186</v>
      </c>
      <c r="X78" s="22" t="n">
        <f aca="false">W78 * 252</f>
        <v>0.170033565918179</v>
      </c>
      <c r="Y78" s="21" t="n">
        <f aca="false">STDEV(s_p!$H$4:$H78)</f>
        <v>0.0060129443922864</v>
      </c>
      <c r="Z78" s="21" t="n">
        <f aca="false">Y78*SQRT(252)</f>
        <v>0.0954525330555013</v>
      </c>
      <c r="AA78" s="0" t="n">
        <f aca="false">AJ78/AK78</f>
        <v>-0.0423072276047115</v>
      </c>
      <c r="AB78" s="0" t="n">
        <f aca="false">_xlfn.COVARIANCE.S($D$4:$D78,s_p!$H$4:$H78)</f>
        <v>-1.88946736291746E-006</v>
      </c>
      <c r="AC78" s="0" t="n">
        <f aca="false">_xlfn.VAR.S(s_p!$H$4:$H78)</f>
        <v>3.61555002647285E-005</v>
      </c>
      <c r="AD78" s="0" t="n">
        <f aca="false">AB78/AC78</f>
        <v>-0.0522594722540939</v>
      </c>
      <c r="AE78" s="0" t="n">
        <f aca="false">M78-(AD78*W78)</f>
        <v>-0.000912389458718153</v>
      </c>
      <c r="AF78" s="33" t="n">
        <f aca="false">MAX($E$4:E78)</f>
        <v>0.208819804331584</v>
      </c>
      <c r="AG78" s="0" t="n">
        <f aca="false">1 - ((1 + E78) / (1 + AF78))</f>
        <v>0.231542877804086</v>
      </c>
      <c r="AH78" s="0" t="n">
        <f aca="false">MAX($AG$5:AG78)</f>
        <v>0.247763279347781</v>
      </c>
      <c r="AI78" s="19" t="n">
        <f aca="false">D78-s_p!H78</f>
        <v>-0.0145680013435834</v>
      </c>
      <c r="AJ78" s="19" t="n">
        <f aca="false">AVERAGE(AI$4:AI78)</f>
        <v>-0.0012482620346166</v>
      </c>
      <c r="AK78" s="0" t="n">
        <f aca="false">STDEV(AI$4:AI78)</f>
        <v>0.029504699439998</v>
      </c>
    </row>
    <row r="79" customFormat="false" ht="13.8" hidden="false" customHeight="false" outlineLevel="0" collapsed="false">
      <c r="A79" s="6" t="n">
        <f aca="false">WORKDAY(A78,1,holiday!$B$2:$B$10)</f>
        <v>38828</v>
      </c>
      <c r="B79" s="24" t="n">
        <v>952799.591123992</v>
      </c>
      <c r="C79" s="24" t="n">
        <f aca="false">B79-B78</f>
        <v>23873.403033915</v>
      </c>
      <c r="D79" s="31" t="n">
        <f aca="false">C79/B78</f>
        <v>0.0257</v>
      </c>
      <c r="E79" s="31" t="n">
        <f aca="false" t="array" ref="E79:E79">PRODUCT(1+$D$4:D79)-1</f>
        <v>-0.0472004088760076</v>
      </c>
      <c r="F79" s="0" t="n">
        <f aca="false">IF(ISBLANK(A80),MONTH(A79),IF(MONTH(A80)-MONTH(A79)=1,MONTH(A79),0))</f>
        <v>0</v>
      </c>
      <c r="G79" s="0" t="str">
        <f aca="false">IF(B80&gt;B79,IF(AND(B78&gt;B79,B80&gt;B79),"min",""),IF(AND(B78&gt;B79,B80&gt;B79),"",IF(AND(B78&lt;B79,B80&lt;B79),"max","")))</f>
        <v/>
      </c>
      <c r="H79" s="0" t="str">
        <f aca="false">IF(G79="min",COUNTIF(G$4:G79,"min"),IF(G79="max",COUNTIF(G$4:G79,"max"),""))</f>
        <v/>
      </c>
      <c r="I79" s="24" t="str">
        <f aca="false" t="array" ref="I79:I79">IF($G$3=0,IF(G79="min",INDEX($B$4:$B$254,(MATCH(1,($G$4:$G$254="max")*($H$4:$H$254=(H79-1)),0))),""),IF($G$3=1,IF(G79="min",INDEX($B$4:$B$254,(MATCH(1,($G$4:$G$254="max")*($H$4:$H$254=(H79)),0))),""),""))</f>
        <v/>
      </c>
      <c r="J79" s="29" t="str">
        <f aca="false">IF(AND(G77=0,G79="min",H79=1),B79-B78,IF(G79="min",B79-I79,""))</f>
        <v/>
      </c>
      <c r="K79" s="34" t="str">
        <f aca="false">IF(AND(G77=0,G79="min",H79=1),(B79-B78)/B78,IF(G79="min",(B79-I79)/I79,""))</f>
        <v/>
      </c>
      <c r="L79" s="5"/>
      <c r="M79" s="0" t="n">
        <f aca="false">E79/COUNT($E$4:E79)</f>
        <v>-0.000621058011526416</v>
      </c>
      <c r="N79" s="19" t="n">
        <f aca="false">M79*252</f>
        <v>-0.156506618904657</v>
      </c>
      <c r="O79" s="20" t="n">
        <f aca="false">STDEV($D$4:$D79)</f>
        <v>0.028785414679063</v>
      </c>
      <c r="P79" s="20" t="n">
        <f aca="false">O79*SQRT(252)</f>
        <v>0.456954291760013</v>
      </c>
      <c r="Q79" s="0" t="n">
        <f aca="false">Treasuries!J77/100</f>
        <v>0.0501</v>
      </c>
      <c r="R79" s="20" t="n">
        <f aca="false">AJ79/AK79*SQRT(252)</f>
        <v>-0.480397135360832</v>
      </c>
      <c r="S79" s="32" t="n">
        <f aca="false">IF(D79&lt;s_p!H79, D79-s_p!H79, 0)</f>
        <v>0</v>
      </c>
      <c r="T79" s="0" t="n">
        <f aca="false">S79^2</f>
        <v>0</v>
      </c>
      <c r="U79" s="0" t="n">
        <f aca="false">SQRT(AVERAGE(T$4:T79)) * SQRT(252)</f>
        <v>0.339360806784143</v>
      </c>
      <c r="V79" s="0" t="n">
        <f aca="false">AJ79/U79*252</f>
        <v>-0.662280873893658</v>
      </c>
      <c r="W79" s="22" t="n">
        <f aca="false">(s_p!$J79)/COUNT(s_p!$J$4:$J79)</f>
        <v>0.000663960930131377</v>
      </c>
      <c r="X79" s="22" t="n">
        <f aca="false">W79 * 252</f>
        <v>0.167318154393107</v>
      </c>
      <c r="Y79" s="21" t="n">
        <f aca="false">STDEV(s_p!$H$4:$H79)</f>
        <v>0.0059734525093293</v>
      </c>
      <c r="Z79" s="21" t="n">
        <f aca="false">Y79*SQRT(252)</f>
        <v>0.0948256188488404</v>
      </c>
      <c r="AA79" s="0" t="n">
        <f aca="false">AJ79/AK79</f>
        <v>-0.0302621750169664</v>
      </c>
      <c r="AB79" s="0" t="n">
        <f aca="false">_xlfn.COVARIANCE.S($D$4:$D79,s_p!$H$4:$H79)</f>
        <v>-2.1454932876725E-006</v>
      </c>
      <c r="AC79" s="0" t="n">
        <f aca="false">_xlfn.VAR.S(s_p!$H$4:$H79)</f>
        <v>3.56821348812126E-005</v>
      </c>
      <c r="AD79" s="0" t="n">
        <f aca="false">AB79/AC79</f>
        <v>-0.0601279406295319</v>
      </c>
      <c r="AE79" s="0" t="n">
        <f aca="false">M79-(AD79*W79)</f>
        <v>-0.000581135408139148</v>
      </c>
      <c r="AF79" s="33" t="n">
        <f aca="false">MAX($E$4:E79)</f>
        <v>0.208819804331584</v>
      </c>
      <c r="AG79" s="0" t="n">
        <f aca="false">1 - ((1 + E79) / (1 + AF79))</f>
        <v>0.211793529763651</v>
      </c>
      <c r="AH79" s="0" t="n">
        <f aca="false">MAX($AG$5:AG79)</f>
        <v>0.247763279347781</v>
      </c>
      <c r="AI79" s="19" t="n">
        <f aca="false">D79-s_p!H79</f>
        <v>0.0258372516127065</v>
      </c>
      <c r="AJ79" s="19" t="n">
        <f aca="false">AVERAGE(AI$4:AI79)</f>
        <v>-0.000891873697151822</v>
      </c>
      <c r="AK79" s="0" t="n">
        <f aca="false">STDEV(AI$4:AI79)</f>
        <v>0.0294715662919732</v>
      </c>
    </row>
    <row r="80" customFormat="false" ht="13.8" hidden="false" customHeight="false" outlineLevel="0" collapsed="false">
      <c r="A80" s="6" t="n">
        <f aca="false">WORKDAY(A79,1,holiday!$B$2:$B$10)</f>
        <v>38831</v>
      </c>
      <c r="B80" s="24" t="n">
        <v>994913.333051673</v>
      </c>
      <c r="C80" s="24" t="n">
        <f aca="false">B80-B79</f>
        <v>42113.7419276804</v>
      </c>
      <c r="D80" s="31" t="n">
        <f aca="false">C80/B79</f>
        <v>0.0442</v>
      </c>
      <c r="E80" s="31" t="n">
        <f aca="false" t="array" ref="E80:E80">PRODUCT(1+$D$4:D80)-1</f>
        <v>-0.00508666694832716</v>
      </c>
      <c r="F80" s="0" t="n">
        <f aca="false">IF(ISBLANK(A81),MONTH(A80),IF(MONTH(A81)-MONTH(A80)=1,MONTH(A80),0))</f>
        <v>0</v>
      </c>
      <c r="G80" s="0" t="str">
        <f aca="false">IF(B81&gt;B80,IF(AND(B79&gt;B80,B81&gt;B80),"min",""),IF(AND(B79&gt;B80,B81&gt;B80),"",IF(AND(B79&lt;B80,B81&lt;B80),"max","")))</f>
        <v/>
      </c>
      <c r="H80" s="0" t="str">
        <f aca="false">IF(G80="min",COUNTIF(G$4:G80,"min"),IF(G80="max",COUNTIF(G$4:G80,"max"),""))</f>
        <v/>
      </c>
      <c r="I80" s="24" t="str">
        <f aca="false" t="array" ref="I80:I80">IF($G$3=0,IF(G80="min",INDEX($B$4:$B$254,(MATCH(1,($G$4:$G$254="max")*($H$4:$H$254=(H80-1)),0))),""),IF($G$3=1,IF(G80="min",INDEX($B$4:$B$254,(MATCH(1,($G$4:$G$254="max")*($H$4:$H$254=(H80)),0))),""),""))</f>
        <v/>
      </c>
      <c r="J80" s="29" t="str">
        <f aca="false">IF(AND(G78=0,G80="min",H80=1),B80-B79,IF(G80="min",B80-I80,""))</f>
        <v/>
      </c>
      <c r="K80" s="34" t="str">
        <f aca="false">IF(AND(G78=0,G80="min",H80=1),(B80-B79)/B79,IF(G80="min",(B80-I80)/I80,""))</f>
        <v/>
      </c>
      <c r="L80" s="5"/>
      <c r="M80" s="0" t="n">
        <f aca="false">E80/COUNT($E$4:E80)</f>
        <v>-6.60606097185345E-005</v>
      </c>
      <c r="N80" s="19" t="n">
        <f aca="false">M80*252</f>
        <v>-0.0166472736490707</v>
      </c>
      <c r="O80" s="20" t="n">
        <f aca="false">STDEV($D$4:$D80)</f>
        <v>0.0290401429212837</v>
      </c>
      <c r="P80" s="20" t="n">
        <f aca="false">O80*SQRT(252)</f>
        <v>0.460997977244937</v>
      </c>
      <c r="Q80" s="0" t="n">
        <f aca="false">Treasuries!J78/100</f>
        <v>0.0499</v>
      </c>
      <c r="R80" s="20" t="n">
        <f aca="false">AJ80/AK80*SQRT(252)</f>
        <v>-0.1465537644556</v>
      </c>
      <c r="S80" s="32" t="n">
        <f aca="false">IF(D80&lt;s_p!H80, D80-s_p!H80, 0)</f>
        <v>0</v>
      </c>
      <c r="T80" s="0" t="n">
        <f aca="false">S80^2</f>
        <v>0</v>
      </c>
      <c r="U80" s="0" t="n">
        <f aca="false">SQRT(AVERAGE(T$4:T80)) * SQRT(252)</f>
        <v>0.337149963661593</v>
      </c>
      <c r="V80" s="0" t="n">
        <f aca="false">AJ80/U80*252</f>
        <v>-0.205448626896358</v>
      </c>
      <c r="W80" s="22" t="n">
        <f aca="false">(s_p!$J80)/COUNT(s_p!$J$4:$J80)</f>
        <v>0.00062235787908509</v>
      </c>
      <c r="X80" s="22" t="n">
        <f aca="false">W80 * 252</f>
        <v>0.156834185529443</v>
      </c>
      <c r="Y80" s="21" t="n">
        <f aca="false">STDEV(s_p!$H$4:$H80)</f>
        <v>0.00594441558740339</v>
      </c>
      <c r="Z80" s="21" t="n">
        <f aca="false">Y80*SQRT(252)</f>
        <v>0.0943646720033118</v>
      </c>
      <c r="AA80" s="0" t="n">
        <f aca="false">AJ80/AK80</f>
        <v>-0.00923201939166305</v>
      </c>
      <c r="AB80" s="0" t="n">
        <f aca="false">_xlfn.COVARIANCE.S($D$4:$D80,s_p!$H$4:$H80)</f>
        <v>-3.89607151451696E-006</v>
      </c>
      <c r="AC80" s="0" t="n">
        <f aca="false">_xlfn.VAR.S(s_p!$H$4:$H80)</f>
        <v>3.53360766757644E-005</v>
      </c>
      <c r="AD80" s="0" t="n">
        <f aca="false">AB80/AC80</f>
        <v>-0.110257614343166</v>
      </c>
      <c r="AE80" s="0" t="n">
        <f aca="false">M80-(AD80*W80)</f>
        <v>2.55908529705986E-006</v>
      </c>
      <c r="AF80" s="33" t="n">
        <f aca="false">MAX($E$4:E80)</f>
        <v>0.208819804331584</v>
      </c>
      <c r="AG80" s="0" t="n">
        <f aca="false">1 - ((1 + E80) / (1 + AF80))</f>
        <v>0.176954803779204</v>
      </c>
      <c r="AH80" s="0" t="n">
        <f aca="false">MAX($AG$5:AG80)</f>
        <v>0.247763279347781</v>
      </c>
      <c r="AI80" s="19" t="n">
        <f aca="false">D80-s_p!H80</f>
        <v>0.0466174852052956</v>
      </c>
      <c r="AJ80" s="19" t="n">
        <f aca="false">AVERAGE(AI$4:AI80)</f>
        <v>-0.000274869036081076</v>
      </c>
      <c r="AK80" s="0" t="n">
        <f aca="false">STDEV(AI$4:AI80)</f>
        <v>0.0297734465689376</v>
      </c>
    </row>
    <row r="81" customFormat="false" ht="13.8" hidden="false" customHeight="false" outlineLevel="0" collapsed="false">
      <c r="A81" s="6" t="n">
        <f aca="false">WORKDAY(A80,1,holiday!$B$2:$B$10)</f>
        <v>38832</v>
      </c>
      <c r="B81" s="24" t="n">
        <v>1018194.30504508</v>
      </c>
      <c r="C81" s="24" t="n">
        <f aca="false">B81-B80</f>
        <v>23280.9719934091</v>
      </c>
      <c r="D81" s="31" t="n">
        <f aca="false">C81/B80</f>
        <v>0.0234</v>
      </c>
      <c r="E81" s="31" t="n">
        <f aca="false" t="array" ref="E81:E81">PRODUCT(1+$D$4:D81)-1</f>
        <v>0.0181943050450821</v>
      </c>
      <c r="F81" s="0" t="n">
        <f aca="false">IF(ISBLANK(A82),MONTH(A81),IF(MONTH(A82)-MONTH(A81)=1,MONTH(A81),0))</f>
        <v>0</v>
      </c>
      <c r="G81" s="0" t="str">
        <f aca="false">IF(B82&gt;B81,IF(AND(B80&gt;B81,B82&gt;B81),"min",""),IF(AND(B80&gt;B81,B82&gt;B81),"",IF(AND(B80&lt;B81,B82&lt;B81),"max","")))</f>
        <v/>
      </c>
      <c r="H81" s="0" t="str">
        <f aca="false">IF(G81="min",COUNTIF(G$4:G81,"min"),IF(G81="max",COUNTIF(G$4:G81,"max"),""))</f>
        <v/>
      </c>
      <c r="I81" s="24" t="str">
        <f aca="false" t="array" ref="I81:I81">IF($G$3=0,IF(G81="min",INDEX($B$4:$B$254,(MATCH(1,($G$4:$G$254="max")*($H$4:$H$254=(H81-1)),0))),""),IF($G$3=1,IF(G81="min",INDEX($B$4:$B$254,(MATCH(1,($G$4:$G$254="max")*($H$4:$H$254=(H81)),0))),""),""))</f>
        <v/>
      </c>
      <c r="J81" s="29" t="str">
        <f aca="false">IF(AND(G79=0,G81="min",H81=1),B81-B80,IF(G81="min",B81-I81,""))</f>
        <v/>
      </c>
      <c r="K81" s="34" t="str">
        <f aca="false">IF(AND(G79=0,G81="min",H81=1),(B81-B80)/B80,IF(G81="min",(B81-I81)/I81,""))</f>
        <v/>
      </c>
      <c r="L81" s="5"/>
      <c r="M81" s="0" t="n">
        <f aca="false">E81/COUNT($E$4:E81)</f>
        <v>0.000233260321090796</v>
      </c>
      <c r="N81" s="19" t="n">
        <f aca="false">M81*252</f>
        <v>0.0587816009148807</v>
      </c>
      <c r="O81" s="20" t="n">
        <f aca="false">STDEV($D$4:$D81)</f>
        <v>0.0289687547410784</v>
      </c>
      <c r="P81" s="20" t="n">
        <f aca="false">O81*SQRT(252)</f>
        <v>0.459864725016701</v>
      </c>
      <c r="Q81" s="0" t="n">
        <f aca="false">Treasuries!J79/100</f>
        <v>0.0507</v>
      </c>
      <c r="R81" s="20" t="n">
        <f aca="false">AJ81/AK81*SQRT(252)</f>
        <v>0.0485941530561647</v>
      </c>
      <c r="S81" s="32" t="n">
        <f aca="false">IF(D81&lt;s_p!H81, D81-s_p!H81, 0)</f>
        <v>0</v>
      </c>
      <c r="T81" s="0" t="n">
        <f aca="false">S81^2</f>
        <v>0</v>
      </c>
      <c r="U81" s="0" t="n">
        <f aca="false">SQRT(AVERAGE(T$4:T81)) * SQRT(252)</f>
        <v>0.334981774203215</v>
      </c>
      <c r="V81" s="0" t="n">
        <f aca="false">AJ81/U81*252</f>
        <v>0.0685221256014158</v>
      </c>
      <c r="W81" s="22" t="n">
        <f aca="false">(s_p!$J81)/COUNT(s_p!$J$4:$J81)</f>
        <v>0.000548956100150141</v>
      </c>
      <c r="X81" s="22" t="n">
        <f aca="false">W81 * 252</f>
        <v>0.138336937237836</v>
      </c>
      <c r="Y81" s="21" t="n">
        <f aca="false">STDEV(s_p!$H$4:$H81)</f>
        <v>0.00593837536213515</v>
      </c>
      <c r="Z81" s="21" t="n">
        <f aca="false">Y81*SQRT(252)</f>
        <v>0.0942687863997764</v>
      </c>
      <c r="AA81" s="0" t="n">
        <f aca="false">AJ81/AK81</f>
        <v>0.00306114390853399</v>
      </c>
      <c r="AB81" s="0" t="n">
        <f aca="false">_xlfn.COVARIANCE.S($D$4:$D81,s_p!$H$4:$H81)</f>
        <v>-5.46931159200896E-006</v>
      </c>
      <c r="AC81" s="0" t="n">
        <f aca="false">_xlfn.VAR.S(s_p!$H$4:$H81)</f>
        <v>3.52643019416138E-005</v>
      </c>
      <c r="AD81" s="0" t="n">
        <f aca="false">AB81/AC81</f>
        <v>-0.155094849206553</v>
      </c>
      <c r="AE81" s="0" t="n">
        <f aca="false">M81-(AD81*W81)</f>
        <v>0.0003184005846646</v>
      </c>
      <c r="AF81" s="33" t="n">
        <f aca="false">MAX($E$4:E81)</f>
        <v>0.208819804331584</v>
      </c>
      <c r="AG81" s="0" t="n">
        <f aca="false">1 - ((1 + E81) / (1 + AF81))</f>
        <v>0.157695546187637</v>
      </c>
      <c r="AH81" s="0" t="n">
        <f aca="false">MAX($AG$5:AG81)</f>
        <v>0.247763279347781</v>
      </c>
      <c r="AI81" s="19" t="n">
        <f aca="false">D81-s_p!H81</f>
        <v>0.0282696210563331</v>
      </c>
      <c r="AJ81" s="19" t="n">
        <f aca="false">AVERAGE(AI$4:AI81)</f>
        <v>9.10859651037214E-005</v>
      </c>
      <c r="AK81" s="0" t="n">
        <f aca="false">STDEV(AI$4:AI81)</f>
        <v>0.0297555318617292</v>
      </c>
    </row>
    <row r="82" customFormat="false" ht="13.8" hidden="false" customHeight="false" outlineLevel="0" collapsed="false">
      <c r="A82" s="6" t="n">
        <f aca="false">WORKDAY(A81,1,holiday!$B$2:$B$10)</f>
        <v>38833</v>
      </c>
      <c r="B82" s="24" t="n">
        <v>1058311.16066386</v>
      </c>
      <c r="C82" s="24" t="n">
        <f aca="false">B82-B81</f>
        <v>40116.8556187763</v>
      </c>
      <c r="D82" s="31" t="n">
        <f aca="false">C82/B81</f>
        <v>0.0394000000000001</v>
      </c>
      <c r="E82" s="31" t="n">
        <f aca="false" t="array" ref="E82:E82">PRODUCT(1+$D$4:D82)-1</f>
        <v>0.0583111606638584</v>
      </c>
      <c r="F82" s="0" t="n">
        <f aca="false">IF(ISBLANK(A83),MONTH(A82),IF(MONTH(A83)-MONTH(A82)=1,MONTH(A82),0))</f>
        <v>0</v>
      </c>
      <c r="G82" s="0" t="str">
        <f aca="false">IF(B83&gt;B82,IF(AND(B81&gt;B82,B83&gt;B82),"min",""),IF(AND(B81&gt;B82,B83&gt;B82),"",IF(AND(B81&lt;B82,B83&lt;B82),"max","")))</f>
        <v/>
      </c>
      <c r="H82" s="0" t="str">
        <f aca="false">IF(G82="min",COUNTIF(G$4:G82,"min"),IF(G82="max",COUNTIF(G$4:G82,"max"),""))</f>
        <v/>
      </c>
      <c r="I82" s="24" t="str">
        <f aca="false" t="array" ref="I82:I82">IF($G$3=0,IF(G82="min",INDEX($B$4:$B$254,(MATCH(1,($G$4:$G$254="max")*($H$4:$H$254=(H82-1)),0))),""),IF($G$3=1,IF(G82="min",INDEX($B$4:$B$254,(MATCH(1,($G$4:$G$254="max")*($H$4:$H$254=(H82)),0))),""),""))</f>
        <v/>
      </c>
      <c r="J82" s="29" t="str">
        <f aca="false">IF(AND(G80=0,G82="min",H82=1),B82-B81,IF(G82="min",B82-I82,""))</f>
        <v/>
      </c>
      <c r="K82" s="34" t="str">
        <f aca="false">IF(AND(G80=0,G82="min",H82=1),(B82-B81)/B81,IF(G82="min",(B82-I82)/I82,""))</f>
        <v/>
      </c>
      <c r="L82" s="5"/>
      <c r="M82" s="0" t="n">
        <f aca="false">E82/COUNT($E$4:E82)</f>
        <v>0.00073811595777036</v>
      </c>
      <c r="N82" s="19" t="n">
        <f aca="false">M82*252</f>
        <v>0.186005221358131</v>
      </c>
      <c r="O82" s="20" t="n">
        <f aca="false">STDEV($D$4:$D82)</f>
        <v>0.0291108367222683</v>
      </c>
      <c r="P82" s="20" t="n">
        <f aca="false">O82*SQRT(252)</f>
        <v>0.462120206544771</v>
      </c>
      <c r="Q82" s="0" t="n">
        <f aca="false">Treasuries!J80/100</f>
        <v>0.0512</v>
      </c>
      <c r="R82" s="20" t="n">
        <f aca="false">AJ82/AK82*SQRT(252)</f>
        <v>0.294100861088209</v>
      </c>
      <c r="S82" s="32" t="n">
        <f aca="false">IF(D82&lt;s_p!H82, D82-s_p!H82, 0)</f>
        <v>0</v>
      </c>
      <c r="T82" s="0" t="n">
        <f aca="false">S82^2</f>
        <v>0</v>
      </c>
      <c r="U82" s="0" t="n">
        <f aca="false">SQRT(AVERAGE(T$4:T82)) * SQRT(252)</f>
        <v>0.332854884292072</v>
      </c>
      <c r="V82" s="0" t="n">
        <f aca="false">AJ82/U82*252</f>
        <v>0.418653619907595</v>
      </c>
      <c r="W82" s="22" t="n">
        <f aca="false">(s_p!$J82)/COUNT(s_p!$J$4:$J82)</f>
        <v>0.000579222756477706</v>
      </c>
      <c r="X82" s="22" t="n">
        <f aca="false">W82 * 252</f>
        <v>0.145964134632382</v>
      </c>
      <c r="Y82" s="21" t="n">
        <f aca="false">STDEV(s_p!$H$4:$H82)</f>
        <v>0.00590568296082493</v>
      </c>
      <c r="Z82" s="21" t="n">
        <f aca="false">Y82*SQRT(252)</f>
        <v>0.0937498106180063</v>
      </c>
      <c r="AA82" s="0" t="n">
        <f aca="false">AJ82/AK82</f>
        <v>0.0185266128287943</v>
      </c>
      <c r="AB82" s="0" t="n">
        <f aca="false">_xlfn.COVARIANCE.S($D$4:$D82,s_p!$H$4:$H82)</f>
        <v>-4.28846012753822E-006</v>
      </c>
      <c r="AC82" s="0" t="n">
        <f aca="false">_xlfn.VAR.S(s_p!$H$4:$H82)</f>
        <v>3.4877091233778E-005</v>
      </c>
      <c r="AD82" s="0" t="n">
        <f aca="false">AB82/AC82</f>
        <v>-0.122959225549891</v>
      </c>
      <c r="AE82" s="0" t="n">
        <f aca="false">M82-(AD82*W82)</f>
        <v>0.000809336739327732</v>
      </c>
      <c r="AF82" s="33" t="n">
        <f aca="false">MAX($E$4:E82)</f>
        <v>0.208819804331584</v>
      </c>
      <c r="AG82" s="0" t="n">
        <f aca="false">1 - ((1 + E82) / (1 + AF82))</f>
        <v>0.12450875070743</v>
      </c>
      <c r="AH82" s="0" t="n">
        <f aca="false">MAX($AG$5:AG82)</f>
        <v>0.247763279347781</v>
      </c>
      <c r="AI82" s="19" t="n">
        <f aca="false">D82-s_p!H82</f>
        <v>0.0365806966060811</v>
      </c>
      <c r="AJ82" s="19" t="n">
        <f aca="false">AVERAGE(AI$4:AI82)</f>
        <v>0.000552979770685714</v>
      </c>
      <c r="AK82" s="0" t="n">
        <f aca="false">STDEV(AI$4:AI82)</f>
        <v>0.0298478613330908</v>
      </c>
    </row>
    <row r="83" customFormat="false" ht="13.8" hidden="false" customHeight="false" outlineLevel="0" collapsed="false">
      <c r="A83" s="6" t="n">
        <f aca="false">WORKDAY(A82,1,holiday!$B$2:$B$10)</f>
        <v>38834</v>
      </c>
      <c r="B83" s="24" t="n">
        <v>1098103.66030482</v>
      </c>
      <c r="C83" s="24" t="n">
        <f aca="false">B83-B82</f>
        <v>39792.4996409609</v>
      </c>
      <c r="D83" s="31" t="n">
        <f aca="false">C83/B82</f>
        <v>0.0375999999999999</v>
      </c>
      <c r="E83" s="31" t="n">
        <f aca="false" t="array" ref="E83:E83">PRODUCT(1+$D$4:D83)-1</f>
        <v>0.0981036603048193</v>
      </c>
      <c r="F83" s="0" t="n">
        <f aca="false">IF(ISBLANK(A84),MONTH(A83),IF(MONTH(A84)-MONTH(A83)=1,MONTH(A83),0))</f>
        <v>0</v>
      </c>
      <c r="G83" s="0" t="str">
        <f aca="false">IF(B84&gt;B83,IF(AND(B82&gt;B83,B84&gt;B83),"min",""),IF(AND(B82&gt;B83,B84&gt;B83),"",IF(AND(B82&lt;B83,B84&lt;B83),"max","")))</f>
        <v>max</v>
      </c>
      <c r="H83" s="0" t="n">
        <f aca="false">IF(G83="min",COUNTIF(G$4:G83,"min"),IF(G83="max",COUNTIF(G$4:G83,"max"),""))</f>
        <v>19</v>
      </c>
      <c r="I83" s="24" t="str">
        <f aca="false" t="array" ref="I83:I83">IF($G$3=0,IF(G83="min",INDEX($B$4:$B$254,(MATCH(1,($G$4:$G$254="max")*($H$4:$H$254=(H83-1)),0))),""),IF($G$3=1,IF(G83="min",INDEX($B$4:$B$254,(MATCH(1,($G$4:$G$254="max")*($H$4:$H$254=(H83)),0))),""),""))</f>
        <v/>
      </c>
      <c r="J83" s="29" t="str">
        <f aca="false">IF(AND(G81=0,G83="min",H83=1),B83-B82,IF(G83="min",B83-I83,""))</f>
        <v/>
      </c>
      <c r="K83" s="34" t="str">
        <f aca="false">IF(AND(G81=0,G83="min",H83=1),(B83-B82)/B82,IF(G83="min",(B83-I83)/I83,""))</f>
        <v/>
      </c>
      <c r="L83" s="5"/>
      <c r="M83" s="0" t="n">
        <f aca="false">E83/COUNT($E$4:E83)</f>
        <v>0.00122629575381024</v>
      </c>
      <c r="N83" s="19" t="n">
        <f aca="false">M83*252</f>
        <v>0.309026529960181</v>
      </c>
      <c r="O83" s="20" t="n">
        <f aca="false">STDEV($D$4:$D83)</f>
        <v>0.0292118702030441</v>
      </c>
      <c r="P83" s="20" t="n">
        <f aca="false">O83*SQRT(252)</f>
        <v>0.463724063330115</v>
      </c>
      <c r="Q83" s="0" t="n">
        <f aca="false">Treasuries!J81/100</f>
        <v>0.0509</v>
      </c>
      <c r="R83" s="20" t="n">
        <f aca="false">AJ83/AK83*SQRT(252)</f>
        <v>0.517584922879046</v>
      </c>
      <c r="S83" s="32" t="n">
        <f aca="false">IF(D83&lt;s_p!H83, D83-s_p!H83, 0)</f>
        <v>0</v>
      </c>
      <c r="T83" s="0" t="n">
        <f aca="false">S83^2</f>
        <v>0</v>
      </c>
      <c r="U83" s="0" t="n">
        <f aca="false">SQRT(AVERAGE(T$4:T83)) * SQRT(252)</f>
        <v>0.330767999241349</v>
      </c>
      <c r="V83" s="0" t="n">
        <f aca="false">AJ83/U83*252</f>
        <v>0.742662034152177</v>
      </c>
      <c r="W83" s="22" t="n">
        <f aca="false">(s_p!$J83)/COUNT(s_p!$J$4:$J83)</f>
        <v>0.000615141513590603</v>
      </c>
      <c r="X83" s="22" t="n">
        <f aca="false">W83 * 252</f>
        <v>0.155015661424832</v>
      </c>
      <c r="Y83" s="21" t="n">
        <f aca="false">STDEV(s_p!$H$4:$H83)</f>
        <v>0.00587604861974762</v>
      </c>
      <c r="Z83" s="21" t="n">
        <f aca="false">Y83*SQRT(252)</f>
        <v>0.0932793800374592</v>
      </c>
      <c r="AA83" s="0" t="n">
        <f aca="false">AJ83/AK83</f>
        <v>0.0326047854355835</v>
      </c>
      <c r="AB83" s="0" t="n">
        <f aca="false">_xlfn.COVARIANCE.S($D$4:$D83,s_p!$H$4:$H83)</f>
        <v>-2.99537397265137E-006</v>
      </c>
      <c r="AC83" s="0" t="n">
        <f aca="false">_xlfn.VAR.S(s_p!$H$4:$H83)</f>
        <v>3.45279473816379E-005</v>
      </c>
      <c r="AD83" s="0" t="n">
        <f aca="false">AB83/AC83</f>
        <v>-0.0867521587525448</v>
      </c>
      <c r="AE83" s="0" t="n">
        <f aca="false">M83-(AD83*W83)</f>
        <v>0.00127966060805253</v>
      </c>
      <c r="AF83" s="33" t="n">
        <f aca="false">MAX($E$4:E83)</f>
        <v>0.208819804331584</v>
      </c>
      <c r="AG83" s="0" t="n">
        <f aca="false">1 - ((1 + E83) / (1 + AF83))</f>
        <v>0.0915902797340298</v>
      </c>
      <c r="AH83" s="0" t="n">
        <f aca="false">MAX($AG$5:AG83)</f>
        <v>0.247763279347781</v>
      </c>
      <c r="AI83" s="19" t="n">
        <f aca="false">D83-s_p!H83</f>
        <v>0.0342983553059957</v>
      </c>
      <c r="AJ83" s="19" t="n">
        <f aca="false">AVERAGE(AI$4:AI83)</f>
        <v>0.000974796964877088</v>
      </c>
      <c r="AK83" s="0" t="n">
        <f aca="false">STDEV(AI$4:AI83)</f>
        <v>0.029897358680767</v>
      </c>
    </row>
    <row r="84" customFormat="false" ht="13.8" hidden="false" customHeight="false" outlineLevel="0" collapsed="false">
      <c r="A84" s="6" t="n">
        <f aca="false">WORKDAY(A83,1,holiday!$B$2:$B$10)</f>
        <v>38835</v>
      </c>
      <c r="B84" s="24" t="n">
        <v>1081961.53649834</v>
      </c>
      <c r="C84" s="24" t="n">
        <f aca="false">B84-B83</f>
        <v>-16142.1238064808</v>
      </c>
      <c r="D84" s="31" t="n">
        <f aca="false">C84/B83</f>
        <v>-0.0147</v>
      </c>
      <c r="E84" s="31" t="n">
        <f aca="false" t="array" ref="E84:E84">PRODUCT(1+$D$4:D84)-1</f>
        <v>0.0819615364983384</v>
      </c>
      <c r="F84" s="0" t="n">
        <f aca="false">IF(ISBLANK(A85),MONTH(A84),IF(MONTH(A85)-MONTH(A84)=1,MONTH(A84),0))</f>
        <v>4</v>
      </c>
      <c r="G84" s="0" t="str">
        <f aca="false">IF(B85&gt;B84,IF(AND(B83&gt;B84,B85&gt;B84),"min",""),IF(AND(B83&gt;B84,B85&gt;B84),"",IF(AND(B83&lt;B84,B85&lt;B84),"max","")))</f>
        <v/>
      </c>
      <c r="H84" s="0" t="str">
        <f aca="false">IF(G84="min",COUNTIF(G$4:G84,"min"),IF(G84="max",COUNTIF(G$4:G84,"max"),""))</f>
        <v/>
      </c>
      <c r="I84" s="24" t="str">
        <f aca="false" t="array" ref="I84:I84">IF($G$3=0,IF(G84="min",INDEX($B$4:$B$254,(MATCH(1,($G$4:$G$254="max")*($H$4:$H$254=(H84-1)),0))),""),IF($G$3=1,IF(G84="min",INDEX($B$4:$B$254,(MATCH(1,($G$4:$G$254="max")*($H$4:$H$254=(H84)),0))),""),""))</f>
        <v/>
      </c>
      <c r="J84" s="29" t="str">
        <f aca="false">IF(AND(G82=0,G84="min",H84=1),B84-B83,IF(G84="min",B84-I84,""))</f>
        <v/>
      </c>
      <c r="K84" s="34" t="str">
        <f aca="false">IF(AND(G82=0,G84="min",H84=1),(B84-B83)/B83,IF(G84="min",(B84-I84)/I84,""))</f>
        <v/>
      </c>
      <c r="L84" s="5"/>
      <c r="M84" s="0" t="n">
        <f aca="false">E84/COUNT($E$4:E84)</f>
        <v>0.00101187082096714</v>
      </c>
      <c r="N84" s="19" t="n">
        <f aca="false">M84*252</f>
        <v>0.254991446883719</v>
      </c>
      <c r="O84" s="20" t="n">
        <f aca="false">STDEV($D$4:$D84)</f>
        <v>0.0290851130199406</v>
      </c>
      <c r="P84" s="20" t="n">
        <f aca="false">O84*SQRT(252)</f>
        <v>0.461711855429817</v>
      </c>
      <c r="Q84" s="0" t="n">
        <f aca="false">Treasuries!J82/100</f>
        <v>0.0507</v>
      </c>
      <c r="R84" s="20" t="n">
        <f aca="false">AJ84/AK84*SQRT(252)</f>
        <v>0.41219876964814</v>
      </c>
      <c r="S84" s="32" t="n">
        <f aca="false">IF(D84&lt;s_p!H84, D84-s_p!H84, 0)</f>
        <v>-0.0153795345570045</v>
      </c>
      <c r="T84" s="0" t="n">
        <f aca="false">S84^2</f>
        <v>0.000236530083190097</v>
      </c>
      <c r="U84" s="0" t="n">
        <f aca="false">SQRT(AVERAGE(T$4:T84)) * SQRT(252)</f>
        <v>0.329837279873343</v>
      </c>
      <c r="V84" s="0" t="n">
        <f aca="false">AJ84/U84*252</f>
        <v>0.590499329582443</v>
      </c>
      <c r="W84" s="22" t="n">
        <f aca="false">(s_p!$J84)/COUNT(s_p!$J$4:$J84)</f>
        <v>0.000616349338734905</v>
      </c>
      <c r="X84" s="22" t="n">
        <f aca="false">W84 * 252</f>
        <v>0.155320033361196</v>
      </c>
      <c r="Y84" s="21" t="n">
        <f aca="false">STDEV(s_p!$H$4:$H84)</f>
        <v>0.0058392118679314</v>
      </c>
      <c r="Z84" s="21" t="n">
        <f aca="false">Y84*SQRT(252)</f>
        <v>0.0926946147309804</v>
      </c>
      <c r="AA84" s="0" t="n">
        <f aca="false">AJ84/AK84</f>
        <v>0.025966081790852</v>
      </c>
      <c r="AB84" s="0" t="n">
        <f aca="false">_xlfn.COVARIANCE.S($D$4:$D84,s_p!$H$4:$H84)</f>
        <v>-2.97036871244083E-006</v>
      </c>
      <c r="AC84" s="0" t="n">
        <f aca="false">_xlfn.VAR.S(s_p!$H$4:$H84)</f>
        <v>3.40963952385909E-005</v>
      </c>
      <c r="AD84" s="0" t="n">
        <f aca="false">AB84/AC84</f>
        <v>-0.0871167961203979</v>
      </c>
      <c r="AE84" s="0" t="n">
        <f aca="false">M84-(AD84*W84)</f>
        <v>0.00106556520064865</v>
      </c>
      <c r="AF84" s="33" t="n">
        <f aca="false">MAX($E$4:E84)</f>
        <v>0.208819804331584</v>
      </c>
      <c r="AG84" s="0" t="n">
        <f aca="false">1 - ((1 + E84) / (1 + AF84))</f>
        <v>0.10494390262194</v>
      </c>
      <c r="AH84" s="0" t="n">
        <f aca="false">MAX($AG$5:AG84)</f>
        <v>0.247763279347781</v>
      </c>
      <c r="AI84" s="19" t="n">
        <f aca="false">D84-s_p!H84</f>
        <v>-0.0153795345570045</v>
      </c>
      <c r="AJ84" s="19" t="n">
        <f aca="false">AVERAGE(AI$4:AI84)</f>
        <v>0.000772891637446451</v>
      </c>
      <c r="AK84" s="0" t="n">
        <f aca="false">STDEV(AI$4:AI84)</f>
        <v>0.0297654318303328</v>
      </c>
    </row>
    <row r="85" customFormat="false" ht="13.8" hidden="false" customHeight="false" outlineLevel="0" collapsed="false">
      <c r="A85" s="6" t="n">
        <f aca="false">WORKDAY(A84,1,holiday!$B$2:$B$10)</f>
        <v>38838</v>
      </c>
      <c r="B85" s="24" t="n">
        <v>1071358.31344065</v>
      </c>
      <c r="C85" s="24" t="n">
        <f aca="false">B85-B84</f>
        <v>-10603.2230576838</v>
      </c>
      <c r="D85" s="31" t="n">
        <f aca="false">C85/B84</f>
        <v>-0.00980000000000007</v>
      </c>
      <c r="E85" s="31" t="n">
        <f aca="false" t="array" ref="E85:E85">PRODUCT(1+$D$4:D85)-1</f>
        <v>0.0713583134406548</v>
      </c>
      <c r="F85" s="0" t="n">
        <f aca="false">IF(ISBLANK(A86),MONTH(A85),IF(MONTH(A86)-MONTH(A85)=1,MONTH(A85),0))</f>
        <v>0</v>
      </c>
      <c r="G85" s="0" t="str">
        <f aca="false">IF(B86&gt;B85,IF(AND(B84&gt;B85,B86&gt;B85),"min",""),IF(AND(B84&gt;B85,B86&gt;B85),"",IF(AND(B84&lt;B85,B86&lt;B85),"max","")))</f>
        <v>min</v>
      </c>
      <c r="H85" s="0" t="n">
        <f aca="false">IF(G85="min",COUNTIF(G$4:G85,"min"),IF(G85="max",COUNTIF(G$4:G85,"max"),""))</f>
        <v>20</v>
      </c>
      <c r="I85" s="24" t="n">
        <f aca="false" t="array" ref="I85:I85">IF($G$3=0,IF(G85="min",INDEX($B$4:$B$254,(MATCH(1,($G$4:$G$254="max")*($H$4:$H$254=(H85-1)),0))),""),IF($G$3=1,IF(G85="min",INDEX($B$4:$B$254,(MATCH(1,($G$4:$G$254="max")*($H$4:$H$254=(H85)),0))),""),""))</f>
        <v>1098103.66030482</v>
      </c>
      <c r="J85" s="29" t="n">
        <f aca="false">IF(AND(G83=0,G85="min",H85=1),B85-B84,IF(G85="min",B85-I85,""))</f>
        <v>-26745.3468641699</v>
      </c>
      <c r="K85" s="34" t="n">
        <f aca="false">IF(AND(G83=0,G85="min",H85=1),(B85-B84)/B84,IF(G85="min",(B85-I85)/I85,""))</f>
        <v>-0.0243559400000049</v>
      </c>
      <c r="L85" s="5"/>
      <c r="M85" s="0" t="n">
        <f aca="false">E85/COUNT($E$4:E85)</f>
        <v>0.000870223334642132</v>
      </c>
      <c r="N85" s="19" t="n">
        <f aca="false">M85*252</f>
        <v>0.219296280329817</v>
      </c>
      <c r="O85" s="20" t="n">
        <f aca="false">STDEV($D$4:$D85)</f>
        <v>0.028931426598885</v>
      </c>
      <c r="P85" s="20" t="n">
        <f aca="false">O85*SQRT(252)</f>
        <v>0.459272159129815</v>
      </c>
      <c r="Q85" s="0" t="n">
        <f aca="false">Treasuries!J83/100</f>
        <v>0.0514</v>
      </c>
      <c r="R85" s="20" t="n">
        <f aca="false">AJ85/AK85*SQRT(252)</f>
        <v>0.372530262480745</v>
      </c>
      <c r="S85" s="32" t="n">
        <f aca="false">IF(D85&lt;s_p!H85, D85-s_p!H85, 0)</f>
        <v>-0.00566452110086161</v>
      </c>
      <c r="T85" s="0" t="n">
        <f aca="false">S85^2</f>
        <v>3.20867993021064E-005</v>
      </c>
      <c r="U85" s="0" t="n">
        <f aca="false">SQRT(AVERAGE(T$4:T85)) * SQRT(252)</f>
        <v>0.327970273046091</v>
      </c>
      <c r="V85" s="0" t="n">
        <f aca="false">AJ85/U85*252</f>
        <v>0.53354050230225</v>
      </c>
      <c r="W85" s="22" t="n">
        <f aca="false">(s_p!$J85)/COUNT(s_p!$J$4:$J85)</f>
        <v>0.000555882398340452</v>
      </c>
      <c r="X85" s="22" t="n">
        <f aca="false">W85 * 252</f>
        <v>0.140082364381794</v>
      </c>
      <c r="Y85" s="21" t="n">
        <f aca="false">STDEV(s_p!$H$4:$H85)</f>
        <v>0.00582675396702174</v>
      </c>
      <c r="Z85" s="21" t="n">
        <f aca="false">Y85*SQRT(252)</f>
        <v>0.0924968516849914</v>
      </c>
      <c r="AA85" s="0" t="n">
        <f aca="false">AJ85/AK85</f>
        <v>0.0234672007230874</v>
      </c>
      <c r="AB85" s="0" t="n">
        <f aca="false">_xlfn.COVARIANCE.S($D$4:$D85,s_p!$H$4:$H85)</f>
        <v>-2.28487915560152E-006</v>
      </c>
      <c r="AC85" s="0" t="n">
        <f aca="false">_xlfn.VAR.S(s_p!$H$4:$H85)</f>
        <v>3.39510617922036E-005</v>
      </c>
      <c r="AD85" s="0" t="n">
        <f aca="false">AB85/AC85</f>
        <v>-0.0672991958126685</v>
      </c>
      <c r="AE85" s="0" t="n">
        <f aca="false">M85-(AD85*W85)</f>
        <v>0.000907633773016861</v>
      </c>
      <c r="AF85" s="33" t="n">
        <f aca="false">MAX($E$4:E85)</f>
        <v>0.208819804331584</v>
      </c>
      <c r="AG85" s="0" t="n">
        <f aca="false">1 - ((1 + E85) / (1 + AF85))</f>
        <v>0.113715452376245</v>
      </c>
      <c r="AH85" s="0" t="n">
        <f aca="false">MAX($AG$5:AG85)</f>
        <v>0.247763279347781</v>
      </c>
      <c r="AI85" s="19" t="n">
        <f aca="false">D85-s_p!H85</f>
        <v>-0.00566452110086162</v>
      </c>
      <c r="AJ85" s="19" t="n">
        <f aca="false">AVERAGE(AI$4:AI85)</f>
        <v>0.00069438660405245</v>
      </c>
      <c r="AK85" s="0" t="n">
        <f aca="false">STDEV(AI$4:AI85)</f>
        <v>0.0295896648367311</v>
      </c>
    </row>
    <row r="86" customFormat="false" ht="13.8" hidden="false" customHeight="false" outlineLevel="0" collapsed="false">
      <c r="A86" s="6" t="n">
        <f aca="false">WORKDAY(A85,1,holiday!$B$2:$B$10)</f>
        <v>38839</v>
      </c>
      <c r="B86" s="24" t="n">
        <v>1122140.69749774</v>
      </c>
      <c r="C86" s="24" t="n">
        <f aca="false">B86-B85</f>
        <v>50782.3840570871</v>
      </c>
      <c r="D86" s="31" t="n">
        <f aca="false">C86/B85</f>
        <v>0.0474000000000001</v>
      </c>
      <c r="E86" s="31" t="n">
        <f aca="false" t="array" ref="E86:E86">PRODUCT(1+$D$4:D86)-1</f>
        <v>0.122140697497742</v>
      </c>
      <c r="F86" s="0" t="n">
        <f aca="false">IF(ISBLANK(A87),MONTH(A86),IF(MONTH(A87)-MONTH(A86)=1,MONTH(A86),0))</f>
        <v>0</v>
      </c>
      <c r="G86" s="0" t="str">
        <f aca="false">IF(B87&gt;B86,IF(AND(B85&gt;B86,B87&gt;B86),"min",""),IF(AND(B85&gt;B86,B87&gt;B86),"",IF(AND(B85&lt;B86,B87&lt;B86),"max","")))</f>
        <v>max</v>
      </c>
      <c r="H86" s="0" t="n">
        <f aca="false">IF(G86="min",COUNTIF(G$4:G86,"min"),IF(G86="max",COUNTIF(G$4:G86,"max"),""))</f>
        <v>20</v>
      </c>
      <c r="I86" s="24" t="str">
        <f aca="false" t="array" ref="I86:I86">IF($G$3=0,IF(G86="min",INDEX($B$4:$B$254,(MATCH(1,($G$4:$G$254="max")*($H$4:$H$254=(H86-1)),0))),""),IF($G$3=1,IF(G86="min",INDEX($B$4:$B$254,(MATCH(1,($G$4:$G$254="max")*($H$4:$H$254=(H86)),0))),""),""))</f>
        <v/>
      </c>
      <c r="J86" s="29" t="str">
        <f aca="false">IF(AND(G84=0,G86="min",H86=1),B86-B85,IF(G86="min",B86-I86,""))</f>
        <v/>
      </c>
      <c r="K86" s="34" t="str">
        <f aca="false">IF(AND(G84=0,G86="min",H86=1),(B86-B85)/B85,IF(G86="min",(B86-I86)/I86,""))</f>
        <v/>
      </c>
      <c r="L86" s="5"/>
      <c r="M86" s="0" t="n">
        <f aca="false">E86/COUNT($E$4:E86)</f>
        <v>0.00147157466864749</v>
      </c>
      <c r="N86" s="19" t="n">
        <f aca="false">M86*252</f>
        <v>0.370836816499168</v>
      </c>
      <c r="O86" s="20" t="n">
        <f aca="false">STDEV($D$4:$D86)</f>
        <v>0.0291971724827485</v>
      </c>
      <c r="P86" s="20" t="n">
        <f aca="false">O86*SQRT(252)</f>
        <v>0.463490744253665</v>
      </c>
      <c r="Q86" s="0" t="n">
        <f aca="false">Treasuries!J84/100</f>
        <v>0.0512</v>
      </c>
      <c r="R86" s="20" t="n">
        <f aca="false">AJ86/AK86*SQRT(252)</f>
        <v>0.631415760172571</v>
      </c>
      <c r="S86" s="32" t="n">
        <f aca="false">IF(D86&lt;s_p!H86, D86-s_p!H86, 0)</f>
        <v>0</v>
      </c>
      <c r="T86" s="0" t="n">
        <f aca="false">S86^2</f>
        <v>0</v>
      </c>
      <c r="U86" s="0" t="n">
        <f aca="false">SQRT(AVERAGE(T$4:T86)) * SQRT(252)</f>
        <v>0.325988561410641</v>
      </c>
      <c r="V86" s="0" t="n">
        <f aca="false">AJ86/U86*252</f>
        <v>0.914554248589508</v>
      </c>
      <c r="W86" s="22" t="n">
        <f aca="false">(s_p!$J86)/COUNT(s_p!$J$4:$J86)</f>
        <v>0.000626592117776162</v>
      </c>
      <c r="X86" s="22" t="n">
        <f aca="false">W86 * 252</f>
        <v>0.157901213679593</v>
      </c>
      <c r="Y86" s="21" t="n">
        <f aca="false">STDEV(s_p!$H$4:$H86)</f>
        <v>0.00582346355590122</v>
      </c>
      <c r="Z86" s="21" t="n">
        <f aca="false">Y86*SQRT(252)</f>
        <v>0.0924446180277751</v>
      </c>
      <c r="AA86" s="0" t="n">
        <f aca="false">AJ86/AK86</f>
        <v>0.0397754541738912</v>
      </c>
      <c r="AB86" s="0" t="n">
        <f aca="false">_xlfn.COVARIANCE.S($D$4:$D86,s_p!$H$4:$H86)</f>
        <v>8.47611124061112E-007</v>
      </c>
      <c r="AC86" s="0" t="n">
        <f aca="false">_xlfn.VAR.S(s_p!$H$4:$H86)</f>
        <v>3.39127277869097E-005</v>
      </c>
      <c r="AD86" s="0" t="n">
        <f aca="false">AB86/AC86</f>
        <v>0.0249938940148686</v>
      </c>
      <c r="AE86" s="0" t="n">
        <f aca="false">M86-(AD86*W86)</f>
        <v>0.00145591369166524</v>
      </c>
      <c r="AF86" s="33" t="n">
        <f aca="false">MAX($E$4:E86)</f>
        <v>0.208819804331584</v>
      </c>
      <c r="AG86" s="0" t="n">
        <f aca="false">1 - ((1 + E86) / (1 + AF86))</f>
        <v>0.0717055648188785</v>
      </c>
      <c r="AH86" s="0" t="n">
        <f aca="false">MAX($AG$5:AG86)</f>
        <v>0.247763279347781</v>
      </c>
      <c r="AI86" s="19" t="n">
        <f aca="false">D86-s_p!H86</f>
        <v>0.041255300760809</v>
      </c>
      <c r="AJ86" s="19" t="n">
        <f aca="false">AVERAGE(AI$4:AI86)</f>
        <v>0.00118307231678446</v>
      </c>
      <c r="AK86" s="0" t="n">
        <f aca="false">STDEV(AI$4:AI86)</f>
        <v>0.0297437789550378</v>
      </c>
    </row>
    <row r="87" customFormat="false" ht="13.8" hidden="false" customHeight="false" outlineLevel="0" collapsed="false">
      <c r="A87" s="6" t="n">
        <f aca="false">WORKDAY(A86,1,holiday!$B$2:$B$10)</f>
        <v>38840</v>
      </c>
      <c r="B87" s="24" t="n">
        <v>1110694.86238326</v>
      </c>
      <c r="C87" s="24" t="n">
        <f aca="false">B87-B86</f>
        <v>-11445.835114477</v>
      </c>
      <c r="D87" s="31" t="n">
        <f aca="false">C87/B86</f>
        <v>-0.0102</v>
      </c>
      <c r="E87" s="31" t="n">
        <f aca="false" t="array" ref="E87:E87">PRODUCT(1+$D$4:D87)-1</f>
        <v>0.110694862383265</v>
      </c>
      <c r="F87" s="0" t="n">
        <f aca="false">IF(ISBLANK(A88),MONTH(A87),IF(MONTH(A88)-MONTH(A87)=1,MONTH(A87),0))</f>
        <v>0</v>
      </c>
      <c r="G87" s="0" t="str">
        <f aca="false">IF(B88&gt;B87,IF(AND(B86&gt;B87,B88&gt;B87),"min",""),IF(AND(B86&gt;B87,B88&gt;B87),"",IF(AND(B86&lt;B87,B88&lt;B87),"max","")))</f>
        <v>min</v>
      </c>
      <c r="H87" s="0" t="n">
        <f aca="false">IF(G87="min",COUNTIF(G$4:G87,"min"),IF(G87="max",COUNTIF(G$4:G87,"max"),""))</f>
        <v>21</v>
      </c>
      <c r="I87" s="24" t="n">
        <f aca="false" t="array" ref="I87:I87">IF($G$3=0,IF(G87="min",INDEX($B$4:$B$254,(MATCH(1,($G$4:$G$254="max")*($H$4:$H$254=(H87-1)),0))),""),IF($G$3=1,IF(G87="min",INDEX($B$4:$B$254,(MATCH(1,($G$4:$G$254="max")*($H$4:$H$254=(H87)),0))),""),""))</f>
        <v>1122140.69749774</v>
      </c>
      <c r="J87" s="29" t="n">
        <f aca="false">IF(AND(G85=0,G87="min",H87=1),B87-B86,IF(G87="min",B87-I87,""))</f>
        <v>-11445.83511448</v>
      </c>
      <c r="K87" s="34" t="n">
        <f aca="false">IF(AND(G85=0,G87="min",H87=1),(B87-B86)/B86,IF(G87="min",(B87-I87)/I87,""))</f>
        <v>-0.0102000000000027</v>
      </c>
      <c r="L87" s="5"/>
      <c r="M87" s="0" t="n">
        <f aca="false">E87/COUNT($E$4:E87)</f>
        <v>0.00131779598075316</v>
      </c>
      <c r="N87" s="19" t="n">
        <f aca="false">M87*252</f>
        <v>0.332084587149795</v>
      </c>
      <c r="O87" s="20" t="n">
        <f aca="false">STDEV($D$4:$D87)</f>
        <v>0.0290503267539191</v>
      </c>
      <c r="P87" s="20" t="n">
        <f aca="false">O87*SQRT(252)</f>
        <v>0.461159640576217</v>
      </c>
      <c r="Q87" s="0" t="n">
        <f aca="false">Treasuries!J85/100</f>
        <v>0.0515</v>
      </c>
      <c r="R87" s="20" t="n">
        <f aca="false">AJ87/AK87*SQRT(252)</f>
        <v>0.587041479411273</v>
      </c>
      <c r="S87" s="32" t="n">
        <f aca="false">IF(D87&lt;s_p!H87, D87-s_p!H87, 0)</f>
        <v>-0.00632400149252589</v>
      </c>
      <c r="T87" s="0" t="n">
        <f aca="false">S87^2</f>
        <v>3.99929948774697E-005</v>
      </c>
      <c r="U87" s="0" t="n">
        <f aca="false">SQRT(AVERAGE(T$4:T87)) * SQRT(252)</f>
        <v>0.324227419356699</v>
      </c>
      <c r="V87" s="0" t="n">
        <f aca="false">AJ87/U87*252</f>
        <v>0.850060747325434</v>
      </c>
      <c r="W87" s="22" t="n">
        <f aca="false">(s_p!$J87)/COUNT(s_p!$J$4:$J87)</f>
        <v>0.000570590091054093</v>
      </c>
      <c r="X87" s="22" t="n">
        <f aca="false">W87 * 252</f>
        <v>0.143788702945632</v>
      </c>
      <c r="Y87" s="21" t="n">
        <f aca="false">STDEV(s_p!$H$4:$H87)</f>
        <v>0.00580909770831495</v>
      </c>
      <c r="Z87" s="21" t="n">
        <f aca="false">Y87*SQRT(252)</f>
        <v>0.0922165672672595</v>
      </c>
      <c r="AA87" s="0" t="n">
        <f aca="false">AJ87/AK87</f>
        <v>0.0369801372333733</v>
      </c>
      <c r="AB87" s="0" t="n">
        <f aca="false">_xlfn.COVARIANCE.S($D$4:$D87,s_p!$H$4:$H87)</f>
        <v>1.48137597548302E-006</v>
      </c>
      <c r="AC87" s="0" t="n">
        <f aca="false">_xlfn.VAR.S(s_p!$H$4:$H87)</f>
        <v>3.374561618475E-005</v>
      </c>
      <c r="AD87" s="0" t="n">
        <f aca="false">AB87/AC87</f>
        <v>0.0438983234851249</v>
      </c>
      <c r="AE87" s="0" t="n">
        <f aca="false">M87-(AD87*W87)</f>
        <v>0.00129274803235866</v>
      </c>
      <c r="AF87" s="33" t="n">
        <f aca="false">MAX($E$4:E87)</f>
        <v>0.208819804331584</v>
      </c>
      <c r="AG87" s="0" t="n">
        <f aca="false">1 - ((1 + E87) / (1 + AF87))</f>
        <v>0.0811741680577258</v>
      </c>
      <c r="AH87" s="0" t="n">
        <f aca="false">MAX($AG$5:AG87)</f>
        <v>0.247763279347781</v>
      </c>
      <c r="AI87" s="19" t="n">
        <f aca="false">D87-s_p!H87</f>
        <v>-0.0063240014925259</v>
      </c>
      <c r="AJ87" s="19" t="n">
        <f aca="false">AVERAGE(AI$4:AI87)</f>
        <v>0.00109370239048314</v>
      </c>
      <c r="AK87" s="0" t="n">
        <f aca="false">STDEV(AI$4:AI87)</f>
        <v>0.0295754010749347</v>
      </c>
    </row>
    <row r="88" customFormat="false" ht="13.8" hidden="false" customHeight="false" outlineLevel="0" collapsed="false">
      <c r="A88" s="6" t="n">
        <f aca="false">WORKDAY(A87,1,holiday!$B$2:$B$10)</f>
        <v>38841</v>
      </c>
      <c r="B88" s="24" t="n">
        <v>1126022.45148415</v>
      </c>
      <c r="C88" s="24" t="n">
        <f aca="false">B88-B87</f>
        <v>15327.5891008892</v>
      </c>
      <c r="D88" s="31" t="n">
        <f aca="false">C88/B87</f>
        <v>0.0138000000000001</v>
      </c>
      <c r="E88" s="31" t="n">
        <f aca="false" t="array" ref="E88:E88">PRODUCT(1+$D$4:D88)-1</f>
        <v>0.126022451484154</v>
      </c>
      <c r="F88" s="0" t="n">
        <f aca="false">IF(ISBLANK(A89),MONTH(A88),IF(MONTH(A89)-MONTH(A88)=1,MONTH(A88),0))</f>
        <v>0</v>
      </c>
      <c r="G88" s="0" t="str">
        <f aca="false">IF(B89&gt;B88,IF(AND(B87&gt;B88,B89&gt;B88),"min",""),IF(AND(B87&gt;B88,B89&gt;B88),"",IF(AND(B87&lt;B88,B89&lt;B88),"max","")))</f>
        <v/>
      </c>
      <c r="H88" s="0" t="str">
        <f aca="false">IF(G88="min",COUNTIF(G$4:G88,"min"),IF(G88="max",COUNTIF(G$4:G88,"max"),""))</f>
        <v/>
      </c>
      <c r="I88" s="24" t="str">
        <f aca="false" t="array" ref="I88:I88">IF($G$3=0,IF(G88="min",INDEX($B$4:$B$254,(MATCH(1,($G$4:$G$254="max")*($H$4:$H$254=(H88-1)),0))),""),IF($G$3=1,IF(G88="min",INDEX($B$4:$B$254,(MATCH(1,($G$4:$G$254="max")*($H$4:$H$254=(H88)),0))),""),""))</f>
        <v/>
      </c>
      <c r="J88" s="29" t="str">
        <f aca="false">IF(AND(G86=0,G88="min",H88=1),B88-B87,IF(G88="min",B88-I88,""))</f>
        <v/>
      </c>
      <c r="K88" s="34" t="str">
        <f aca="false">IF(AND(G86=0,G88="min",H88=1),(B88-B87)/B87,IF(G88="min",(B88-I88)/I88,""))</f>
        <v/>
      </c>
      <c r="L88" s="5"/>
      <c r="M88" s="0" t="n">
        <f aca="false">E88/COUNT($E$4:E88)</f>
        <v>0.00148261707628417</v>
      </c>
      <c r="N88" s="19" t="n">
        <f aca="false">M88*252</f>
        <v>0.37361950322361</v>
      </c>
      <c r="O88" s="20" t="n">
        <f aca="false">STDEV($D$4:$D88)</f>
        <v>0.0289068579090442</v>
      </c>
      <c r="P88" s="20" t="n">
        <f aca="false">O88*SQRT(252)</f>
        <v>0.458882143269669</v>
      </c>
      <c r="Q88" s="0" t="n">
        <f aca="false">Treasuries!J86/100</f>
        <v>0.0516</v>
      </c>
      <c r="R88" s="20" t="n">
        <f aca="false">AJ88/AK88*SQRT(252)</f>
        <v>0.650825056355745</v>
      </c>
      <c r="S88" s="32" t="n">
        <f aca="false">IF(D88&lt;s_p!H88, D88-s_p!H88, 0)</f>
        <v>0</v>
      </c>
      <c r="T88" s="0" t="n">
        <f aca="false">S88^2</f>
        <v>0</v>
      </c>
      <c r="U88" s="0" t="n">
        <f aca="false">SQRT(AVERAGE(T$4:T88)) * SQRT(252)</f>
        <v>0.322314556530385</v>
      </c>
      <c r="V88" s="0" t="n">
        <f aca="false">AJ88/U88*252</f>
        <v>0.942939914081277</v>
      </c>
      <c r="W88" s="22" t="n">
        <f aca="false">(s_p!$J88)/COUNT(s_p!$J$4:$J88)</f>
        <v>0.000602801102496459</v>
      </c>
      <c r="X88" s="22" t="n">
        <f aca="false">W88 * 252</f>
        <v>0.151905877829108</v>
      </c>
      <c r="Y88" s="21" t="n">
        <f aca="false">STDEV(s_p!$H$4:$H88)</f>
        <v>0.00578120907637924</v>
      </c>
      <c r="Z88" s="21" t="n">
        <f aca="false">Y88*SQRT(252)</f>
        <v>0.0917738489602133</v>
      </c>
      <c r="AA88" s="0" t="n">
        <f aca="false">AJ88/AK88</f>
        <v>0.0409981249077835</v>
      </c>
      <c r="AB88" s="0" t="n">
        <f aca="false">_xlfn.COVARIANCE.S($D$4:$D88,s_p!$H$4:$H88)</f>
        <v>1.83242180302995E-006</v>
      </c>
      <c r="AC88" s="0" t="n">
        <f aca="false">_xlfn.VAR.S(s_p!$H$4:$H88)</f>
        <v>3.34223783848097E-005</v>
      </c>
      <c r="AD88" s="0" t="n">
        <f aca="false">AB88/AC88</f>
        <v>0.0548261940527481</v>
      </c>
      <c r="AE88" s="0" t="n">
        <f aca="false">M88-(AD88*W88)</f>
        <v>0.00144956778606349</v>
      </c>
      <c r="AF88" s="33" t="n">
        <f aca="false">MAX($E$4:E88)</f>
        <v>0.208819804331584</v>
      </c>
      <c r="AG88" s="0" t="n">
        <f aca="false">1 - ((1 + E88) / (1 + AF88))</f>
        <v>0.0684943715769224</v>
      </c>
      <c r="AH88" s="0" t="n">
        <f aca="false">MAX($AG$5:AG88)</f>
        <v>0.247763279347781</v>
      </c>
      <c r="AI88" s="19" t="n">
        <f aca="false">D88-s_p!H88</f>
        <v>0.0106427972968842</v>
      </c>
      <c r="AJ88" s="19" t="n">
        <f aca="false">AVERAGE(AI$4:AI88)</f>
        <v>0.00120604468349963</v>
      </c>
      <c r="AK88" s="0" t="n">
        <f aca="false">STDEV(AI$4:AI88)</f>
        <v>0.0294170693467657</v>
      </c>
    </row>
    <row r="89" customFormat="false" ht="13.8" hidden="false" customHeight="false" outlineLevel="0" collapsed="false">
      <c r="A89" s="6" t="n">
        <f aca="false">WORKDAY(A88,1,holiday!$B$2:$B$10)</f>
        <v>38842</v>
      </c>
      <c r="B89" s="24" t="n">
        <v>1158226.6935966</v>
      </c>
      <c r="C89" s="24" t="n">
        <f aca="false">B89-B88</f>
        <v>32204.2421124468</v>
      </c>
      <c r="D89" s="31" t="n">
        <f aca="false">C89/B88</f>
        <v>0.0286</v>
      </c>
      <c r="E89" s="31" t="n">
        <f aca="false" t="array" ref="E89:E89">PRODUCT(1+$D$4:D89)-1</f>
        <v>0.158226693596601</v>
      </c>
      <c r="F89" s="0" t="n">
        <f aca="false">IF(ISBLANK(A90),MONTH(A89),IF(MONTH(A90)-MONTH(A89)=1,MONTH(A89),0))</f>
        <v>0</v>
      </c>
      <c r="G89" s="0" t="str">
        <f aca="false">IF(B90&gt;B89,IF(AND(B88&gt;B89,B90&gt;B89),"min",""),IF(AND(B88&gt;B89,B90&gt;B89),"",IF(AND(B88&lt;B89,B90&lt;B89),"max","")))</f>
        <v/>
      </c>
      <c r="H89" s="0" t="str">
        <f aca="false">IF(G89="min",COUNTIF(G$4:G89,"min"),IF(G89="max",COUNTIF(G$4:G89,"max"),""))</f>
        <v/>
      </c>
      <c r="I89" s="24" t="str">
        <f aca="false" t="array" ref="I89:I89">IF($G$3=0,IF(G89="min",INDEX($B$4:$B$254,(MATCH(1,($G$4:$G$254="max")*($H$4:$H$254=(H89-1)),0))),""),IF($G$3=1,IF(G89="min",INDEX($B$4:$B$254,(MATCH(1,($G$4:$G$254="max")*($H$4:$H$254=(H89)),0))),""),""))</f>
        <v/>
      </c>
      <c r="J89" s="29" t="str">
        <f aca="false">IF(AND(G87=0,G89="min",H89=1),B89-B88,IF(G89="min",B89-I89,""))</f>
        <v/>
      </c>
      <c r="K89" s="34" t="str">
        <f aca="false">IF(AND(G87=0,G89="min",H89=1),(B89-B88)/B88,IF(G89="min",(B89-I89)/I89,""))</f>
        <v/>
      </c>
      <c r="L89" s="5"/>
      <c r="M89" s="0" t="n">
        <f aca="false">E89/COUNT($E$4:E89)</f>
        <v>0.00183984527437908</v>
      </c>
      <c r="N89" s="19" t="n">
        <f aca="false">M89*252</f>
        <v>0.463641009143529</v>
      </c>
      <c r="O89" s="20" t="n">
        <f aca="false">STDEV($D$4:$D89)</f>
        <v>0.0288811495663451</v>
      </c>
      <c r="P89" s="20" t="n">
        <f aca="false">O89*SQRT(252)</f>
        <v>0.458474035981261</v>
      </c>
      <c r="Q89" s="0" t="n">
        <f aca="false">Treasuries!J87/100</f>
        <v>0.0512</v>
      </c>
      <c r="R89" s="20" t="n">
        <f aca="false">AJ89/AK89*SQRT(252)</f>
        <v>0.761104307969513</v>
      </c>
      <c r="S89" s="32" t="n">
        <f aca="false">IF(D89&lt;s_p!H89, D89-s_p!H89, 0)</f>
        <v>0</v>
      </c>
      <c r="T89" s="0" t="n">
        <f aca="false">S89^2</f>
        <v>0</v>
      </c>
      <c r="U89" s="0" t="n">
        <f aca="false">SQRT(AVERAGE(T$4:T89)) * SQRT(252)</f>
        <v>0.320435155339618</v>
      </c>
      <c r="V89" s="0" t="n">
        <f aca="false">AJ89/U89*252</f>
        <v>1.10482981480419</v>
      </c>
      <c r="W89" s="22" t="n">
        <f aca="false">(s_p!$J89)/COUNT(s_p!$J$4:$J89)</f>
        <v>0.000721638364072758</v>
      </c>
      <c r="X89" s="22" t="n">
        <f aca="false">W89 * 252</f>
        <v>0.181852867746335</v>
      </c>
      <c r="Y89" s="21" t="n">
        <f aca="false">STDEV(s_p!$H$4:$H89)</f>
        <v>0.00584133188970695</v>
      </c>
      <c r="Z89" s="21" t="n">
        <f aca="false">Y89*SQRT(252)</f>
        <v>0.0927282690333333</v>
      </c>
      <c r="AA89" s="0" t="n">
        <f aca="false">AJ89/AK89</f>
        <v>0.0479450647777918</v>
      </c>
      <c r="AB89" s="0" t="n">
        <f aca="false">_xlfn.COVARIANCE.S($D$4:$D89,s_p!$H$4:$H89)</f>
        <v>4.82957916948875E-006</v>
      </c>
      <c r="AC89" s="0" t="n">
        <f aca="false">_xlfn.VAR.S(s_p!$H$4:$H89)</f>
        <v>3.41211582457073E-005</v>
      </c>
      <c r="AD89" s="0" t="n">
        <f aca="false">AB89/AC89</f>
        <v>0.141542064155936</v>
      </c>
      <c r="AE89" s="0" t="n">
        <f aca="false">M89-(AD89*W89)</f>
        <v>0.00173770309075411</v>
      </c>
      <c r="AF89" s="33" t="n">
        <f aca="false">MAX($E$4:E89)</f>
        <v>0.208819804331584</v>
      </c>
      <c r="AG89" s="0" t="n">
        <f aca="false">1 - ((1 + E89) / (1 + AF89))</f>
        <v>0.0418533106040223</v>
      </c>
      <c r="AH89" s="0" t="n">
        <f aca="false">MAX($AG$5:AG89)</f>
        <v>0.247763279347781</v>
      </c>
      <c r="AI89" s="19" t="n">
        <f aca="false">D89-s_p!H89</f>
        <v>0.0183047056582207</v>
      </c>
      <c r="AJ89" s="19" t="n">
        <f aca="false">AVERAGE(AI$4:AI89)</f>
        <v>0.00140486632274057</v>
      </c>
      <c r="AK89" s="0" t="n">
        <f aca="false">STDEV(AI$4:AI89)</f>
        <v>0.0293015835780309</v>
      </c>
    </row>
    <row r="90" customFormat="false" ht="13.8" hidden="false" customHeight="false" outlineLevel="0" collapsed="false">
      <c r="A90" s="6" t="n">
        <f aca="false">WORKDAY(A89,1,holiday!$B$2:$B$10)</f>
        <v>38845</v>
      </c>
      <c r="B90" s="24" t="n">
        <v>1198417.1598644</v>
      </c>
      <c r="C90" s="24" t="n">
        <f aca="false">B90-B89</f>
        <v>40190.4662678021</v>
      </c>
      <c r="D90" s="31" t="n">
        <f aca="false">C90/B89</f>
        <v>0.0347</v>
      </c>
      <c r="E90" s="31" t="n">
        <f aca="false" t="array" ref="E90:E90">PRODUCT(1+$D$4:D90)-1</f>
        <v>0.198417159864403</v>
      </c>
      <c r="F90" s="0" t="n">
        <f aca="false">IF(ISBLANK(A91),MONTH(A90),IF(MONTH(A91)-MONTH(A90)=1,MONTH(A90),0))</f>
        <v>0</v>
      </c>
      <c r="G90" s="0" t="str">
        <f aca="false">IF(B91&gt;B90,IF(AND(B89&gt;B90,B91&gt;B90),"min",""),IF(AND(B89&gt;B90,B91&gt;B90),"",IF(AND(B89&lt;B90,B91&lt;B90),"max","")))</f>
        <v/>
      </c>
      <c r="H90" s="0" t="str">
        <f aca="false">IF(G90="min",COUNTIF(G$4:G90,"min"),IF(G90="max",COUNTIF(G$4:G90,"max"),""))</f>
        <v/>
      </c>
      <c r="I90" s="24" t="str">
        <f aca="false" t="array" ref="I90:I90">IF($G$3=0,IF(G90="min",INDEX($B$4:$B$254,(MATCH(1,($G$4:$G$254="max")*($H$4:$H$254=(H90-1)),0))),""),IF($G$3=1,IF(G90="min",INDEX($B$4:$B$254,(MATCH(1,($G$4:$G$254="max")*($H$4:$H$254=(H90)),0))),""),""))</f>
        <v/>
      </c>
      <c r="J90" s="29" t="str">
        <f aca="false">IF(AND(G88=0,G90="min",H90=1),B90-B89,IF(G90="min",B90-I90,""))</f>
        <v/>
      </c>
      <c r="K90" s="34" t="str">
        <f aca="false">IF(AND(G88=0,G90="min",H90=1),(B90-B89)/B89,IF(G90="min",(B90-I90)/I90,""))</f>
        <v/>
      </c>
      <c r="L90" s="5"/>
      <c r="M90" s="0" t="n">
        <f aca="false">E90/COUNT($E$4:E90)</f>
        <v>0.00228065700993567</v>
      </c>
      <c r="N90" s="19" t="n">
        <f aca="false">M90*252</f>
        <v>0.574725566503788</v>
      </c>
      <c r="O90" s="20" t="n">
        <f aca="false">STDEV($D$4:$D90)</f>
        <v>0.0289243980391057</v>
      </c>
      <c r="P90" s="20" t="n">
        <f aca="false">O90*SQRT(252)</f>
        <v>0.459160584202308</v>
      </c>
      <c r="Q90" s="0" t="n">
        <f aca="false">Treasuries!J88/100</f>
        <v>0.0512</v>
      </c>
      <c r="R90" s="20" t="n">
        <f aca="false">AJ90/AK90*SQRT(252)</f>
        <v>0.971682200571573</v>
      </c>
      <c r="S90" s="32" t="n">
        <f aca="false">IF(D90&lt;s_p!H90, D90-s_p!H90, 0)</f>
        <v>0</v>
      </c>
      <c r="T90" s="0" t="n">
        <f aca="false">S90^2</f>
        <v>0</v>
      </c>
      <c r="U90" s="0" t="n">
        <f aca="false">SQRT(AVERAGE(T$4:T90)) * SQRT(252)</f>
        <v>0.318588251453174</v>
      </c>
      <c r="V90" s="0" t="n">
        <f aca="false">AJ90/U90*252</f>
        <v>1.42149214251759</v>
      </c>
      <c r="W90" s="22" t="n">
        <f aca="false">(s_p!$J90)/COUNT(s_p!$J$4:$J90)</f>
        <v>0.000703214871507448</v>
      </c>
      <c r="X90" s="22" t="n">
        <f aca="false">W90 * 252</f>
        <v>0.177210147619877</v>
      </c>
      <c r="Y90" s="21" t="n">
        <f aca="false">STDEV(s_p!$H$4:$H90)</f>
        <v>0.00580963911000323</v>
      </c>
      <c r="Z90" s="21" t="n">
        <f aca="false">Y90*SQRT(252)</f>
        <v>0.092225161752619</v>
      </c>
      <c r="AA90" s="0" t="n">
        <f aca="false">AJ90/AK90</f>
        <v>0.061210225145247</v>
      </c>
      <c r="AB90" s="0" t="n">
        <f aca="false">_xlfn.COVARIANCE.S($D$4:$D90,s_p!$H$4:$H90)</f>
        <v>4.19415632824896E-006</v>
      </c>
      <c r="AC90" s="0" t="n">
        <f aca="false">_xlfn.VAR.S(s_p!$H$4:$H90)</f>
        <v>3.37519065884792E-005</v>
      </c>
      <c r="AD90" s="0" t="n">
        <f aca="false">AB90/AC90</f>
        <v>0.124264278737978</v>
      </c>
      <c r="AE90" s="0" t="n">
        <f aca="false">M90-(AD90*W90)</f>
        <v>0.00219327252112997</v>
      </c>
      <c r="AF90" s="33" t="n">
        <f aca="false">MAX($E$4:E90)</f>
        <v>0.208819804331584</v>
      </c>
      <c r="AG90" s="0" t="n">
        <f aca="false">1 - ((1 + E90) / (1 + AF90))</f>
        <v>0.0086056204819821</v>
      </c>
      <c r="AH90" s="0" t="n">
        <f aca="false">MAX($AG$5:AG90)</f>
        <v>0.247763279347781</v>
      </c>
      <c r="AI90" s="19" t="n">
        <f aca="false">D90-s_p!H90</f>
        <v>0.0355297127685252</v>
      </c>
      <c r="AJ90" s="19" t="n">
        <f aca="false">AVERAGE(AI$4:AI90)</f>
        <v>0.00179710593705993</v>
      </c>
      <c r="AK90" s="0" t="n">
        <f aca="false">STDEV(AI$4:AI90)</f>
        <v>0.0293595707709871</v>
      </c>
    </row>
    <row r="91" customFormat="false" ht="13.8" hidden="false" customHeight="false" outlineLevel="0" collapsed="false">
      <c r="A91" s="6" t="n">
        <f aca="false">WORKDAY(A90,1,holiday!$B$2:$B$10)</f>
        <v>38846</v>
      </c>
      <c r="B91" s="24" t="n">
        <v>1231852.99862462</v>
      </c>
      <c r="C91" s="24" t="n">
        <f aca="false">B91-B90</f>
        <v>33435.8387602167</v>
      </c>
      <c r="D91" s="31" t="n">
        <f aca="false">C91/B90</f>
        <v>0.0278999999999999</v>
      </c>
      <c r="E91" s="31" t="n">
        <f aca="false" t="array" ref="E91:E91">PRODUCT(1+$D$4:D91)-1</f>
        <v>0.231852998624619</v>
      </c>
      <c r="F91" s="0" t="n">
        <f aca="false">IF(ISBLANK(A92),MONTH(A91),IF(MONTH(A92)-MONTH(A91)=1,MONTH(A91),0))</f>
        <v>0</v>
      </c>
      <c r="G91" s="0" t="str">
        <f aca="false">IF(B92&gt;B91,IF(AND(B90&gt;B91,B92&gt;B91),"min",""),IF(AND(B90&gt;B91,B92&gt;B91),"",IF(AND(B90&lt;B91,B92&lt;B91),"max","")))</f>
        <v>max</v>
      </c>
      <c r="H91" s="0" t="n">
        <f aca="false">IF(G91="min",COUNTIF(G$4:G91,"min"),IF(G91="max",COUNTIF(G$4:G91,"max"),""))</f>
        <v>21</v>
      </c>
      <c r="I91" s="24" t="str">
        <f aca="false" t="array" ref="I91:I91">IF($G$3=0,IF(G91="min",INDEX($B$4:$B$254,(MATCH(1,($G$4:$G$254="max")*($H$4:$H$254=(H91-1)),0))),""),IF($G$3=1,IF(G91="min",INDEX($B$4:$B$254,(MATCH(1,($G$4:$G$254="max")*($H$4:$H$254=(H91)),0))),""),""))</f>
        <v/>
      </c>
      <c r="J91" s="29" t="str">
        <f aca="false">IF(AND(G89=0,G91="min",H91=1),B91-B90,IF(G91="min",B91-I91,""))</f>
        <v/>
      </c>
      <c r="K91" s="34" t="str">
        <f aca="false">IF(AND(G89=0,G91="min",H91=1),(B91-B90)/B90,IF(G91="min",(B91-I91)/I91,""))</f>
        <v/>
      </c>
      <c r="L91" s="5"/>
      <c r="M91" s="0" t="n">
        <f aca="false">E91/COUNT($E$4:E91)</f>
        <v>0.00263469316618886</v>
      </c>
      <c r="N91" s="19" t="n">
        <f aca="false">M91*252</f>
        <v>0.663942677879592</v>
      </c>
      <c r="O91" s="20" t="n">
        <f aca="false">STDEV($D$4:$D91)</f>
        <v>0.028884906529797</v>
      </c>
      <c r="P91" s="20" t="n">
        <f aca="false">O91*SQRT(252)</f>
        <v>0.458533675927132</v>
      </c>
      <c r="Q91" s="0" t="n">
        <f aca="false">Treasuries!J89/100</f>
        <v>0.0513</v>
      </c>
      <c r="R91" s="20" t="n">
        <f aca="false">AJ91/AK91*SQRT(252)</f>
        <v>1.13140023636693</v>
      </c>
      <c r="S91" s="32" t="n">
        <f aca="false">IF(D91&lt;s_p!H91, D91-s_p!H91, 0)</f>
        <v>0</v>
      </c>
      <c r="T91" s="0" t="n">
        <f aca="false">S91^2</f>
        <v>0</v>
      </c>
      <c r="U91" s="0" t="n">
        <f aca="false">SQRT(AVERAGE(T$4:T91)) * SQRT(252)</f>
        <v>0.316772919004134</v>
      </c>
      <c r="V91" s="0" t="n">
        <f aca="false">AJ91/U91*252</f>
        <v>1.66233349544599</v>
      </c>
      <c r="W91" s="22" t="n">
        <f aca="false">(s_p!$J91)/COUNT(s_p!$J$4:$J91)</f>
        <v>0.000699593407417719</v>
      </c>
      <c r="X91" s="22" t="n">
        <f aca="false">W91 * 252</f>
        <v>0.176297538669265</v>
      </c>
      <c r="Y91" s="21" t="n">
        <f aca="false">STDEV(s_p!$H$4:$H91)</f>
        <v>0.00577626565136181</v>
      </c>
      <c r="Z91" s="21" t="n">
        <f aca="false">Y91*SQRT(252)</f>
        <v>0.0916953745208872</v>
      </c>
      <c r="AA91" s="0" t="n">
        <f aca="false">AJ91/AK91</f>
        <v>0.0712715156834906</v>
      </c>
      <c r="AB91" s="0" t="n">
        <f aca="false">_xlfn.COVARIANCE.S($D$4:$D91,s_p!$H$4:$H91)</f>
        <v>4.04863838272526E-006</v>
      </c>
      <c r="AC91" s="0" t="n">
        <f aca="false">_xlfn.VAR.S(s_p!$H$4:$H91)</f>
        <v>3.33652448751023E-005</v>
      </c>
      <c r="AD91" s="0" t="n">
        <f aca="false">AB91/AC91</f>
        <v>0.121342984230469</v>
      </c>
      <c r="AE91" s="0" t="n">
        <f aca="false">M91-(AD91*W91)</f>
        <v>0.00254980241438483</v>
      </c>
      <c r="AF91" s="33" t="n">
        <f aca="false">MAX($E$4:E91)</f>
        <v>0.231852998624619</v>
      </c>
      <c r="AG91" s="0" t="n">
        <f aca="false">1 - ((1 + E91) / (1 + AF91))</f>
        <v>0</v>
      </c>
      <c r="AH91" s="0" t="n">
        <f aca="false">MAX($AG$5:AG91)</f>
        <v>0.247763279347781</v>
      </c>
      <c r="AI91" s="19" t="n">
        <f aca="false">D91-s_p!H91</f>
        <v>0.0275376428668487</v>
      </c>
      <c r="AJ91" s="19" t="n">
        <f aca="false">AVERAGE(AI$4:AI91)</f>
        <v>0.00208961203853481</v>
      </c>
      <c r="AK91" s="0" t="n">
        <f aca="false">STDEV(AI$4:AI91)</f>
        <v>0.0293190346591555</v>
      </c>
    </row>
    <row r="92" customFormat="false" ht="13.8" hidden="false" customHeight="false" outlineLevel="0" collapsed="false">
      <c r="A92" s="6" t="n">
        <f aca="false">WORKDAY(A91,1,holiday!$B$2:$B$10)</f>
        <v>38847</v>
      </c>
      <c r="B92" s="24" t="n">
        <v>1223599.58353383</v>
      </c>
      <c r="C92" s="24" t="n">
        <f aca="false">B92-B91</f>
        <v>-8253.4150907849</v>
      </c>
      <c r="D92" s="31" t="n">
        <f aca="false">C92/B91</f>
        <v>-0.00669999999999996</v>
      </c>
      <c r="E92" s="31" t="n">
        <f aca="false" t="array" ref="E92:E92">PRODUCT(1+$D$4:D92)-1</f>
        <v>0.223599583533835</v>
      </c>
      <c r="F92" s="0" t="n">
        <f aca="false">IF(ISBLANK(A93),MONTH(A92),IF(MONTH(A93)-MONTH(A92)=1,MONTH(A92),0))</f>
        <v>0</v>
      </c>
      <c r="G92" s="0" t="str">
        <f aca="false">IF(B93&gt;B92,IF(AND(B91&gt;B92,B93&gt;B92),"min",""),IF(AND(B91&gt;B92,B93&gt;B92),"",IF(AND(B91&lt;B92,B93&lt;B92),"max","")))</f>
        <v>min</v>
      </c>
      <c r="H92" s="0" t="n">
        <f aca="false">IF(G92="min",COUNTIF(G$4:G92,"min"),IF(G92="max",COUNTIF(G$4:G92,"max"),""))</f>
        <v>22</v>
      </c>
      <c r="I92" s="24" t="n">
        <f aca="false" t="array" ref="I92:I92">IF($G$3=0,IF(G92="min",INDEX($B$4:$B$254,(MATCH(1,($G$4:$G$254="max")*($H$4:$H$254=(H92-1)),0))),""),IF($G$3=1,IF(G92="min",INDEX($B$4:$B$254,(MATCH(1,($G$4:$G$254="max")*($H$4:$H$254=(H92)),0))),""),""))</f>
        <v>1231852.99862462</v>
      </c>
      <c r="J92" s="29" t="n">
        <f aca="false">IF(AND(G90=0,G92="min",H92=1),B92-B91,IF(G92="min",B92-I92,""))</f>
        <v>-8253.41509079002</v>
      </c>
      <c r="K92" s="34" t="n">
        <f aca="false">IF(AND(G90=0,G92="min",H92=1),(B92-B91)/B91,IF(G92="min",(B92-I92)/I92,""))</f>
        <v>-0.00670000000000411</v>
      </c>
      <c r="L92" s="5"/>
      <c r="M92" s="0" t="n">
        <f aca="false">E92/COUNT($E$4:E92)</f>
        <v>0.00251235487116668</v>
      </c>
      <c r="N92" s="19" t="n">
        <f aca="false">M92*252</f>
        <v>0.633113427534004</v>
      </c>
      <c r="O92" s="20" t="n">
        <f aca="false">STDEV($D$4:$D92)</f>
        <v>0.0287379123676773</v>
      </c>
      <c r="P92" s="20" t="n">
        <f aca="false">O92*SQRT(252)</f>
        <v>0.456200215944249</v>
      </c>
      <c r="Q92" s="0" t="n">
        <f aca="false">Treasuries!J90/100</f>
        <v>0.0513</v>
      </c>
      <c r="R92" s="20" t="n">
        <f aca="false">AJ92/AK92*SQRT(252)</f>
        <v>1.09431781029303</v>
      </c>
      <c r="S92" s="32" t="n">
        <f aca="false">IF(D92&lt;s_p!H92, D92-s_p!H92, 0)</f>
        <v>-0.00497188070694402</v>
      </c>
      <c r="T92" s="0" t="n">
        <f aca="false">S92^2</f>
        <v>2.47195977640822E-005</v>
      </c>
      <c r="U92" s="0" t="n">
        <f aca="false">SQRT(AVERAGE(T$4:T92)) * SQRT(252)</f>
        <v>0.31509935250565</v>
      </c>
      <c r="V92" s="0" t="n">
        <f aca="false">AJ92/U92*252</f>
        <v>1.60770845980084</v>
      </c>
      <c r="W92" s="22" t="n">
        <f aca="false">(s_p!$J92)/COUNT(s_p!$J$4:$J92)</f>
        <v>0.000671120339815886</v>
      </c>
      <c r="X92" s="22" t="n">
        <f aca="false">W92 * 252</f>
        <v>0.169122325633603</v>
      </c>
      <c r="Y92" s="21" t="n">
        <f aca="false">STDEV(s_p!$H$4:$H92)</f>
        <v>0.00574909556888717</v>
      </c>
      <c r="Z92" s="21" t="n">
        <f aca="false">Y92*SQRT(252)</f>
        <v>0.0912640628329132</v>
      </c>
      <c r="AA92" s="0" t="n">
        <f aca="false">AJ92/AK92</f>
        <v>0.068935542412003</v>
      </c>
      <c r="AB92" s="0" t="n">
        <f aca="false">_xlfn.COVARIANCE.S($D$4:$D92,s_p!$H$4:$H92)</f>
        <v>4.26094205915933E-006</v>
      </c>
      <c r="AC92" s="0" t="n">
        <f aca="false">_xlfn.VAR.S(s_p!$H$4:$H92)</f>
        <v>3.30520998601981E-005</v>
      </c>
      <c r="AD92" s="0" t="n">
        <f aca="false">AB92/AC92</f>
        <v>0.128915925982979</v>
      </c>
      <c r="AE92" s="0" t="n">
        <f aca="false">M92-(AD92*W92)</f>
        <v>0.00242583677111331</v>
      </c>
      <c r="AF92" s="33" t="n">
        <f aca="false">MAX($E$4:E92)</f>
        <v>0.231852998624619</v>
      </c>
      <c r="AG92" s="0" t="n">
        <f aca="false">1 - ((1 + E92) / (1 + AF92))</f>
        <v>0.00669999999999982</v>
      </c>
      <c r="AH92" s="0" t="n">
        <f aca="false">MAX($AG$5:AG92)</f>
        <v>0.247763279347781</v>
      </c>
      <c r="AI92" s="19" t="n">
        <f aca="false">D92-s_p!H92</f>
        <v>-0.00497188070694402</v>
      </c>
      <c r="AJ92" s="19" t="n">
        <f aca="false">AVERAGE(AI$4:AI92)</f>
        <v>0.00201026942341707</v>
      </c>
      <c r="AK92" s="0" t="n">
        <f aca="false">STDEV(AI$4:AI92)</f>
        <v>0.0291615812841858</v>
      </c>
    </row>
    <row r="93" customFormat="false" ht="13.8" hidden="false" customHeight="false" outlineLevel="0" collapsed="false">
      <c r="A93" s="6" t="n">
        <f aca="false">WORKDAY(A92,1,holiday!$B$2:$B$10)</f>
        <v>38848</v>
      </c>
      <c r="B93" s="24" t="n">
        <v>1280129.8842931</v>
      </c>
      <c r="C93" s="24" t="n">
        <f aca="false">B93-B92</f>
        <v>56530.3007592631</v>
      </c>
      <c r="D93" s="31" t="n">
        <f aca="false">C93/B92</f>
        <v>0.0462</v>
      </c>
      <c r="E93" s="31" t="n">
        <f aca="false" t="array" ref="E93:E93">PRODUCT(1+$D$4:D93)-1</f>
        <v>0.280129884293098</v>
      </c>
      <c r="F93" s="0" t="n">
        <f aca="false">IF(ISBLANK(A94),MONTH(A93),IF(MONTH(A94)-MONTH(A93)=1,MONTH(A93),0))</f>
        <v>0</v>
      </c>
      <c r="G93" s="0" t="str">
        <f aca="false">IF(B94&gt;B93,IF(AND(B92&gt;B93,B94&gt;B93),"min",""),IF(AND(B92&gt;B93,B94&gt;B93),"",IF(AND(B92&lt;B93,B94&lt;B93),"max","")))</f>
        <v>max</v>
      </c>
      <c r="H93" s="0" t="n">
        <f aca="false">IF(G93="min",COUNTIF(G$4:G93,"min"),IF(G93="max",COUNTIF(G$4:G93,"max"),""))</f>
        <v>22</v>
      </c>
      <c r="I93" s="24" t="str">
        <f aca="false" t="array" ref="I93:I93">IF($G$3=0,IF(G93="min",INDEX($B$4:$B$254,(MATCH(1,($G$4:$G$254="max")*($H$4:$H$254=(H93-1)),0))),""),IF($G$3=1,IF(G93="min",INDEX($B$4:$B$254,(MATCH(1,($G$4:$G$254="max")*($H$4:$H$254=(H93)),0))),""),""))</f>
        <v/>
      </c>
      <c r="J93" s="29" t="str">
        <f aca="false">IF(AND(G91=0,G93="min",H93=1),B93-B92,IF(G93="min",B93-I93,""))</f>
        <v/>
      </c>
      <c r="K93" s="34" t="str">
        <f aca="false">IF(AND(G91=0,G93="min",H93=1),(B93-B92)/B92,IF(G93="min",(B93-I93)/I93,""))</f>
        <v/>
      </c>
      <c r="L93" s="5"/>
      <c r="M93" s="0" t="n">
        <f aca="false">E93/COUNT($E$4:E93)</f>
        <v>0.00311255426992331</v>
      </c>
      <c r="N93" s="19" t="n">
        <f aca="false">M93*252</f>
        <v>0.784363676020674</v>
      </c>
      <c r="O93" s="20" t="n">
        <f aca="false">STDEV($D$4:$D93)</f>
        <v>0.0289419045279137</v>
      </c>
      <c r="P93" s="20" t="n">
        <f aca="false">O93*SQRT(252)</f>
        <v>0.459438491096604</v>
      </c>
      <c r="Q93" s="0" t="n">
        <f aca="false">Treasuries!J91/100</f>
        <v>0.0514</v>
      </c>
      <c r="R93" s="20" t="n">
        <f aca="false">AJ93/AK93*SQRT(252)</f>
        <v>1.41707382446758</v>
      </c>
      <c r="S93" s="32" t="n">
        <f aca="false">IF(D93&lt;s_p!H93, D93-s_p!H93, 0)</f>
        <v>0</v>
      </c>
      <c r="T93" s="0" t="n">
        <f aca="false">S93^2</f>
        <v>0</v>
      </c>
      <c r="U93" s="0" t="n">
        <f aca="false">SQRT(AVERAGE(T$4:T93)) * SQRT(252)</f>
        <v>0.313343910699193</v>
      </c>
      <c r="V93" s="0" t="n">
        <f aca="false">AJ93/U93*252</f>
        <v>2.12595128961236</v>
      </c>
      <c r="W93" s="22" t="n">
        <f aca="false">(s_p!$J93)/COUNT(s_p!$J$4:$J93)</f>
        <v>0.000512968407448065</v>
      </c>
      <c r="X93" s="22" t="n">
        <f aca="false">W93 * 252</f>
        <v>0.129268038676913</v>
      </c>
      <c r="Y93" s="21" t="n">
        <f aca="false">STDEV(s_p!$H$4:$H93)</f>
        <v>0.00589030497275409</v>
      </c>
      <c r="Z93" s="21" t="n">
        <f aca="false">Y93*SQRT(252)</f>
        <v>0.0935056926254064</v>
      </c>
      <c r="AA93" s="0" t="n">
        <f aca="false">AJ93/AK93</f>
        <v>0.0892672602133434</v>
      </c>
      <c r="AB93" s="0" t="n">
        <f aca="false">_xlfn.COVARIANCE.S($D$4:$D93,s_p!$H$4:$H93)</f>
        <v>-2.2989399658578E-006</v>
      </c>
      <c r="AC93" s="0" t="n">
        <f aca="false">_xlfn.VAR.S(s_p!$H$4:$H93)</f>
        <v>3.46956926720516E-005</v>
      </c>
      <c r="AD93" s="0" t="n">
        <f aca="false">AB93/AC93</f>
        <v>-0.0662600971131401</v>
      </c>
      <c r="AE93" s="0" t="n">
        <f aca="false">M93-(AD93*W93)</f>
        <v>0.00314654360641679</v>
      </c>
      <c r="AF93" s="33" t="n">
        <f aca="false">MAX($E$4:E93)</f>
        <v>0.280129884293098</v>
      </c>
      <c r="AG93" s="0" t="n">
        <f aca="false">1 - ((1 + E93) / (1 + AF93))</f>
        <v>0</v>
      </c>
      <c r="AH93" s="0" t="n">
        <f aca="false">MAX($AG$5:AG93)</f>
        <v>0.247763279347781</v>
      </c>
      <c r="AI93" s="19" t="n">
        <f aca="false">D93-s_p!H93</f>
        <v>0.0589981252598554</v>
      </c>
      <c r="AJ93" s="19" t="n">
        <f aca="false">AVERAGE(AI$4:AI93)</f>
        <v>0.00264346782159971</v>
      </c>
      <c r="AK93" s="0" t="n">
        <f aca="false">STDEV(AI$4:AI93)</f>
        <v>0.0296129601746708</v>
      </c>
    </row>
    <row r="94" customFormat="false" ht="13.8" hidden="false" customHeight="false" outlineLevel="0" collapsed="false">
      <c r="A94" s="6" t="n">
        <f aca="false">WORKDAY(A93,1,holiday!$B$2:$B$10)</f>
        <v>38849</v>
      </c>
      <c r="B94" s="24" t="n">
        <v>1224828.27329164</v>
      </c>
      <c r="C94" s="24" t="n">
        <f aca="false">B94-B93</f>
        <v>-55301.6110014617</v>
      </c>
      <c r="D94" s="31" t="n">
        <f aca="false">C94/B93</f>
        <v>-0.0432</v>
      </c>
      <c r="E94" s="31" t="n">
        <f aca="false" t="array" ref="E94:E94">PRODUCT(1+$D$4:D94)-1</f>
        <v>0.224828273291636</v>
      </c>
      <c r="F94" s="0" t="n">
        <f aca="false">IF(ISBLANK(A95),MONTH(A94),IF(MONTH(A95)-MONTH(A94)=1,MONTH(A94),0))</f>
        <v>0</v>
      </c>
      <c r="G94" s="0" t="str">
        <f aca="false">IF(B95&gt;B94,IF(AND(B93&gt;B94,B95&gt;B94),"min",""),IF(AND(B93&gt;B94,B95&gt;B94),"",IF(AND(B93&lt;B94,B95&lt;B94),"max","")))</f>
        <v>min</v>
      </c>
      <c r="H94" s="0" t="n">
        <f aca="false">IF(G94="min",COUNTIF(G$4:G94,"min"),IF(G94="max",COUNTIF(G$4:G94,"max"),""))</f>
        <v>23</v>
      </c>
      <c r="I94" s="24" t="n">
        <f aca="false" t="array" ref="I94:I94">IF($G$3=0,IF(G94="min",INDEX($B$4:$B$254,(MATCH(1,($G$4:$G$254="max")*($H$4:$H$254=(H94-1)),0))),""),IF($G$3=1,IF(G94="min",INDEX($B$4:$B$254,(MATCH(1,($G$4:$G$254="max")*($H$4:$H$254=(H94)),0))),""),""))</f>
        <v>1280129.8842931</v>
      </c>
      <c r="J94" s="29" t="n">
        <f aca="false">IF(AND(G92=0,G94="min",H94=1),B94-B93,IF(G94="min",B94-I94,""))</f>
        <v>-55301.6110014601</v>
      </c>
      <c r="K94" s="34" t="n">
        <f aca="false">IF(AND(G92=0,G94="min",H94=1),(B94-B93)/B93,IF(G94="min",(B94-I94)/I94,""))</f>
        <v>-0.0431999999999986</v>
      </c>
      <c r="L94" s="5"/>
      <c r="M94" s="0" t="n">
        <f aca="false">E94/COUNT($E$4:E94)</f>
        <v>0.00247064036584216</v>
      </c>
      <c r="N94" s="19" t="n">
        <f aca="false">M94*252</f>
        <v>0.622601372192223</v>
      </c>
      <c r="O94" s="20" t="n">
        <f aca="false">STDEV($D$4:$D94)</f>
        <v>0.0291881343496495</v>
      </c>
      <c r="P94" s="20" t="n">
        <f aca="false">O94*SQRT(252)</f>
        <v>0.463347268338687</v>
      </c>
      <c r="Q94" s="0" t="n">
        <f aca="false">Treasuries!J92/100</f>
        <v>0.0519</v>
      </c>
      <c r="R94" s="20" t="n">
        <f aca="false">AJ94/AK94*SQRT(252)</f>
        <v>1.21088238757238</v>
      </c>
      <c r="S94" s="32" t="n">
        <f aca="false">IF(D94&lt;s_p!H94, D94-s_p!H94, 0)</f>
        <v>-0.0319588826268071</v>
      </c>
      <c r="T94" s="0" t="n">
        <f aca="false">S94^2</f>
        <v>0.00102137017875403</v>
      </c>
      <c r="U94" s="0" t="n">
        <f aca="false">SQRT(AVERAGE(T$4:T94)) * SQRT(252)</f>
        <v>0.316123182600501</v>
      </c>
      <c r="V94" s="0" t="n">
        <f aca="false">AJ94/U94*252</f>
        <v>1.80414480457274</v>
      </c>
      <c r="W94" s="22" t="n">
        <f aca="false">(s_p!$J94)/COUNT(s_p!$J$4:$J94)</f>
        <v>0.000378099657914452</v>
      </c>
      <c r="X94" s="22" t="n">
        <f aca="false">W94 * 252</f>
        <v>0.095281113794442</v>
      </c>
      <c r="Y94" s="21" t="n">
        <f aca="false">STDEV(s_p!$H$4:$H94)</f>
        <v>0.00598580869060255</v>
      </c>
      <c r="Z94" s="21" t="n">
        <f aca="false">Y94*SQRT(252)</f>
        <v>0.0950217671456611</v>
      </c>
      <c r="AA94" s="0" t="n">
        <f aca="false">AJ94/AK94</f>
        <v>0.0762784205824914</v>
      </c>
      <c r="AB94" s="0" t="n">
        <f aca="false">_xlfn.COVARIANCE.S($D$4:$D94,s_p!$H$4:$H94)</f>
        <v>3.71796412453479E-006</v>
      </c>
      <c r="AC94" s="0" t="n">
        <f aca="false">_xlfn.VAR.S(s_p!$H$4:$H94)</f>
        <v>3.5829905680493E-005</v>
      </c>
      <c r="AD94" s="0" t="n">
        <f aca="false">AB94/AC94</f>
        <v>0.103767064242063</v>
      </c>
      <c r="AE94" s="0" t="n">
        <f aca="false">M94-(AD94*W94)</f>
        <v>0.00243140607434945</v>
      </c>
      <c r="AF94" s="33" t="n">
        <f aca="false">MAX($E$4:E94)</f>
        <v>0.280129884293098</v>
      </c>
      <c r="AG94" s="0" t="n">
        <f aca="false">1 - ((1 + E94) / (1 + AF94))</f>
        <v>0.0431999999999999</v>
      </c>
      <c r="AH94" s="0" t="n">
        <f aca="false">MAX($AG$5:AG94)</f>
        <v>0.247763279347781</v>
      </c>
      <c r="AI94" s="19" t="n">
        <f aca="false">D94-s_p!H94</f>
        <v>-0.0319588826268071</v>
      </c>
      <c r="AJ94" s="19" t="n">
        <f aca="false">AVERAGE(AI$4:AI94)</f>
        <v>0.00226322221227656</v>
      </c>
      <c r="AK94" s="0" t="n">
        <f aca="false">STDEV(AI$4:AI94)</f>
        <v>0.0296705437133297</v>
      </c>
    </row>
    <row r="95" customFormat="false" ht="13.8" hidden="false" customHeight="false" outlineLevel="0" collapsed="false">
      <c r="A95" s="6" t="n">
        <f aca="false">WORKDAY(A94,1,holiday!$B$2:$B$10)</f>
        <v>38852</v>
      </c>
      <c r="B95" s="24" t="n">
        <v>1255081.53164194</v>
      </c>
      <c r="C95" s="24" t="n">
        <f aca="false">B95-B94</f>
        <v>30253.2583503034</v>
      </c>
      <c r="D95" s="31" t="n">
        <f aca="false">C95/B94</f>
        <v>0.0247</v>
      </c>
      <c r="E95" s="31" t="n">
        <f aca="false" t="array" ref="E95:E95">PRODUCT(1+$D$4:D95)-1</f>
        <v>0.255081531641939</v>
      </c>
      <c r="F95" s="0" t="n">
        <f aca="false">IF(ISBLANK(A96),MONTH(A95),IF(MONTH(A96)-MONTH(A95)=1,MONTH(A95),0))</f>
        <v>0</v>
      </c>
      <c r="G95" s="0" t="str">
        <f aca="false">IF(B96&gt;B95,IF(AND(B94&gt;B95,B96&gt;B95),"min",""),IF(AND(B94&gt;B95,B96&gt;B95),"",IF(AND(B94&lt;B95,B96&lt;B95),"max","")))</f>
        <v/>
      </c>
      <c r="H95" s="0" t="str">
        <f aca="false">IF(G95="min",COUNTIF(G$4:G95,"min"),IF(G95="max",COUNTIF(G$4:G95,"max"),""))</f>
        <v/>
      </c>
      <c r="I95" s="24" t="str">
        <f aca="false" t="array" ref="I95:I95">IF($G$3=0,IF(G95="min",INDEX($B$4:$B$254,(MATCH(1,($G$4:$G$254="max")*($H$4:$H$254=(H95-1)),0))),""),IF($G$3=1,IF(G95="min",INDEX($B$4:$B$254,(MATCH(1,($G$4:$G$254="max")*($H$4:$H$254=(H95)),0))),""),""))</f>
        <v/>
      </c>
      <c r="J95" s="29" t="str">
        <f aca="false">IF(AND(G93=0,G95="min",H95=1),B95-B94,IF(G95="min",B95-I95,""))</f>
        <v/>
      </c>
      <c r="K95" s="34" t="str">
        <f aca="false">IF(AND(G93=0,G95="min",H95=1),(B95-B94)/B94,IF(G95="min",(B95-I95)/I95,""))</f>
        <v/>
      </c>
      <c r="L95" s="5"/>
      <c r="M95" s="0" t="n">
        <f aca="false">E95/COUNT($E$4:E95)</f>
        <v>0.00277262534393412</v>
      </c>
      <c r="N95" s="19" t="n">
        <f aca="false">M95*252</f>
        <v>0.698701586671399</v>
      </c>
      <c r="O95" s="20" t="n">
        <f aca="false">STDEV($D$4:$D95)</f>
        <v>0.0291181837137939</v>
      </c>
      <c r="P95" s="20" t="n">
        <f aca="false">O95*SQRT(252)</f>
        <v>0.462236836419539</v>
      </c>
      <c r="Q95" s="0" t="n">
        <f aca="false">Treasuries!J93/100</f>
        <v>0.0515</v>
      </c>
      <c r="R95" s="20" t="n">
        <f aca="false">AJ95/AK95*SQRT(252)</f>
        <v>1.33074167678105</v>
      </c>
      <c r="S95" s="32" t="n">
        <f aca="false">IF(D95&lt;s_p!H95, D95-s_p!H95, 0)</f>
        <v>0</v>
      </c>
      <c r="T95" s="0" t="n">
        <f aca="false">S95^2</f>
        <v>0</v>
      </c>
      <c r="U95" s="0" t="n">
        <f aca="false">SQRT(AVERAGE(T$4:T95)) * SQRT(252)</f>
        <v>0.314400427635332</v>
      </c>
      <c r="V95" s="0" t="n">
        <f aca="false">AJ95/U95*252</f>
        <v>1.98750926315389</v>
      </c>
      <c r="W95" s="22" t="n">
        <f aca="false">(s_p!$J95)/COUNT(s_p!$J$4:$J95)</f>
        <v>0.000402376538060597</v>
      </c>
      <c r="X95" s="22" t="n">
        <f aca="false">W95 * 252</f>
        <v>0.101398887591271</v>
      </c>
      <c r="Y95" s="21" t="n">
        <f aca="false">STDEV(s_p!$H$4:$H95)</f>
        <v>0.00595698956914838</v>
      </c>
      <c r="Z95" s="21" t="n">
        <f aca="false">Y95*SQRT(252)</f>
        <v>0.0945642777754344</v>
      </c>
      <c r="AA95" s="0" t="n">
        <f aca="false">AJ95/AK95</f>
        <v>0.0838288460959945</v>
      </c>
      <c r="AB95" s="0" t="n">
        <f aca="false">_xlfn.COVARIANCE.S($D$4:$D95,s_p!$H$4:$H95)</f>
        <v>4.18879053668463E-006</v>
      </c>
      <c r="AC95" s="0" t="n">
        <f aca="false">_xlfn.VAR.S(s_p!$H$4:$H95)</f>
        <v>3.54857247269426E-005</v>
      </c>
      <c r="AD95" s="0" t="n">
        <f aca="false">AB95/AC95</f>
        <v>0.118041566543075</v>
      </c>
      <c r="AE95" s="0" t="n">
        <f aca="false">M95-(AD95*W95)</f>
        <v>0.00272512818704127</v>
      </c>
      <c r="AF95" s="33" t="n">
        <f aca="false">MAX($E$4:E95)</f>
        <v>0.280129884293098</v>
      </c>
      <c r="AG95" s="0" t="n">
        <f aca="false">1 - ((1 + E95) / (1 + AF95))</f>
        <v>0.01956704</v>
      </c>
      <c r="AH95" s="0" t="n">
        <f aca="false">MAX($AG$5:AG95)</f>
        <v>0.247763279347781</v>
      </c>
      <c r="AI95" s="19" t="n">
        <f aca="false">D95-s_p!H95</f>
        <v>0.0221752950652086</v>
      </c>
      <c r="AJ95" s="19" t="n">
        <f aca="false">AVERAGE(AI$4:AI95)</f>
        <v>0.00247965778676495</v>
      </c>
      <c r="AK95" s="0" t="n">
        <f aca="false">STDEV(AI$4:AI95)</f>
        <v>0.0295800061941141</v>
      </c>
    </row>
    <row r="96" customFormat="false" ht="13.8" hidden="false" customHeight="false" outlineLevel="0" collapsed="false">
      <c r="A96" s="6" t="n">
        <f aca="false">WORKDAY(A95,1,holiday!$B$2:$B$10)</f>
        <v>38853</v>
      </c>
      <c r="B96" s="24" t="n">
        <v>1276919.95029251</v>
      </c>
      <c r="C96" s="24" t="n">
        <f aca="false">B96-B95</f>
        <v>21838.4186505696</v>
      </c>
      <c r="D96" s="31" t="n">
        <f aca="false">C96/B95</f>
        <v>0.0173999999999999</v>
      </c>
      <c r="E96" s="31" t="n">
        <f aca="false" t="array" ref="E96:E96">PRODUCT(1+$D$4:D96)-1</f>
        <v>0.276919950292509</v>
      </c>
      <c r="F96" s="0" t="n">
        <f aca="false">IF(ISBLANK(A97),MONTH(A96),IF(MONTH(A97)-MONTH(A96)=1,MONTH(A96),0))</f>
        <v>0</v>
      </c>
      <c r="G96" s="0" t="str">
        <f aca="false">IF(B97&gt;B96,IF(AND(B95&gt;B96,B97&gt;B96),"min",""),IF(AND(B95&gt;B96,B97&gt;B96),"",IF(AND(B95&lt;B96,B97&lt;B96),"max","")))</f>
        <v>max</v>
      </c>
      <c r="H96" s="0" t="n">
        <f aca="false">IF(G96="min",COUNTIF(G$4:G96,"min"),IF(G96="max",COUNTIF(G$4:G96,"max"),""))</f>
        <v>23</v>
      </c>
      <c r="I96" s="24" t="str">
        <f aca="false" t="array" ref="I96:I96">IF($G$3=0,IF(G96="min",INDEX($B$4:$B$254,(MATCH(1,($G$4:$G$254="max")*($H$4:$H$254=(H96-1)),0))),""),IF($G$3=1,IF(G96="min",INDEX($B$4:$B$254,(MATCH(1,($G$4:$G$254="max")*($H$4:$H$254=(H96)),0))),""),""))</f>
        <v/>
      </c>
      <c r="J96" s="29" t="str">
        <f aca="false">IF(AND(G94=0,G96="min",H96=1),B96-B95,IF(G96="min",B96-I96,""))</f>
        <v/>
      </c>
      <c r="K96" s="34" t="str">
        <f aca="false">IF(AND(G94=0,G96="min",H96=1),(B96-B95)/B95,IF(G96="min",(B96-I96)/I96,""))</f>
        <v/>
      </c>
      <c r="L96" s="5"/>
      <c r="M96" s="0" t="n">
        <f aca="false">E96/COUNT($E$4:E96)</f>
        <v>0.002977633874113</v>
      </c>
      <c r="N96" s="19" t="n">
        <f aca="false">M96*252</f>
        <v>0.750363736276476</v>
      </c>
      <c r="O96" s="20" t="n">
        <f aca="false">STDEV($D$4:$D96)</f>
        <v>0.0289985479880242</v>
      </c>
      <c r="P96" s="20" t="n">
        <f aca="false">O96*SQRT(252)</f>
        <v>0.460337678149708</v>
      </c>
      <c r="Q96" s="0" t="n">
        <f aca="false">Treasuries!J94/100</f>
        <v>0.051</v>
      </c>
      <c r="R96" s="20" t="n">
        <f aca="false">AJ96/AK96*SQRT(252)</f>
        <v>1.43294396161937</v>
      </c>
      <c r="S96" s="32" t="n">
        <f aca="false">IF(D96&lt;s_p!H96, D96-s_p!H96, 0)</f>
        <v>0</v>
      </c>
      <c r="T96" s="0" t="n">
        <f aca="false">S96^2</f>
        <v>0</v>
      </c>
      <c r="U96" s="0" t="n">
        <f aca="false">SQRT(AVERAGE(T$4:T96)) * SQRT(252)</f>
        <v>0.31270553427658</v>
      </c>
      <c r="V96" s="0" t="n">
        <f aca="false">AJ96/U96*252</f>
        <v>2.14376978750784</v>
      </c>
      <c r="W96" s="22" t="n">
        <f aca="false">(s_p!$J96)/COUNT(s_p!$J$4:$J96)</f>
        <v>0.000377204187371341</v>
      </c>
      <c r="X96" s="22" t="n">
        <f aca="false">W96 * 252</f>
        <v>0.0950554552175779</v>
      </c>
      <c r="Y96" s="21" t="n">
        <f aca="false">STDEV(s_p!$H$4:$H96)</f>
        <v>0.00592925072005774</v>
      </c>
      <c r="Z96" s="21" t="n">
        <f aca="false">Y96*SQRT(252)</f>
        <v>0.0941239371973406</v>
      </c>
      <c r="AA96" s="0" t="n">
        <f aca="false">AJ96/AK96</f>
        <v>0.0902669848842037</v>
      </c>
      <c r="AB96" s="0" t="n">
        <f aca="false">_xlfn.COVARIANCE.S($D$4:$D96,s_p!$H$4:$H96)</f>
        <v>3.78724954300885E-006</v>
      </c>
      <c r="AC96" s="0" t="n">
        <f aca="false">_xlfn.VAR.S(s_p!$H$4:$H96)</f>
        <v>3.51560141013053E-005</v>
      </c>
      <c r="AD96" s="0" t="n">
        <f aca="false">AB96/AC96</f>
        <v>0.107726932071865</v>
      </c>
      <c r="AE96" s="0" t="n">
        <f aca="false">M96-(AD96*W96)</f>
        <v>0.00293699882424282</v>
      </c>
      <c r="AF96" s="33" t="n">
        <f aca="false">MAX($E$4:E96)</f>
        <v>0.280129884293098</v>
      </c>
      <c r="AG96" s="0" t="n">
        <f aca="false">1 - ((1 + E96) / (1 + AF96))</f>
        <v>0.00250750649600018</v>
      </c>
      <c r="AH96" s="0" t="n">
        <f aca="false">MAX($AG$5:AG96)</f>
        <v>0.247763279347781</v>
      </c>
      <c r="AI96" s="19" t="n">
        <f aca="false">D96-s_p!H96</f>
        <v>0.0192694476631904</v>
      </c>
      <c r="AJ96" s="19" t="n">
        <f aca="false">AVERAGE(AI$4:AI96)</f>
        <v>0.00266019316178028</v>
      </c>
      <c r="AK96" s="0" t="n">
        <f aca="false">STDEV(AI$4:AI96)</f>
        <v>0.0294702782550323</v>
      </c>
    </row>
    <row r="97" customFormat="false" ht="13.8" hidden="false" customHeight="false" outlineLevel="0" collapsed="false">
      <c r="A97" s="6" t="n">
        <f aca="false">WORKDAY(A96,1,holiday!$B$2:$B$10)</f>
        <v>38854</v>
      </c>
      <c r="B97" s="24" t="n">
        <v>1237973.89180859</v>
      </c>
      <c r="C97" s="24" t="n">
        <f aca="false">B97-B96</f>
        <v>-38946.0584839215</v>
      </c>
      <c r="D97" s="31" t="n">
        <f aca="false">C97/B96</f>
        <v>-0.0305</v>
      </c>
      <c r="E97" s="31" t="n">
        <f aca="false" t="array" ref="E97:E97">PRODUCT(1+$D$4:D97)-1</f>
        <v>0.237973891808587</v>
      </c>
      <c r="F97" s="0" t="n">
        <f aca="false">IF(ISBLANK(A98),MONTH(A97),IF(MONTH(A98)-MONTH(A97)=1,MONTH(A97),0))</f>
        <v>0</v>
      </c>
      <c r="G97" s="0" t="str">
        <f aca="false">IF(B98&gt;B97,IF(AND(B96&gt;B97,B98&gt;B97),"min",""),IF(AND(B96&gt;B97,B98&gt;B97),"",IF(AND(B96&lt;B97,B98&lt;B97),"max","")))</f>
        <v/>
      </c>
      <c r="H97" s="0" t="str">
        <f aca="false">IF(G97="min",COUNTIF(G$4:G97,"min"),IF(G97="max",COUNTIF(G$4:G97,"max"),""))</f>
        <v/>
      </c>
      <c r="I97" s="24" t="str">
        <f aca="false" t="array" ref="I97:I97">IF($G$3=0,IF(G97="min",INDEX($B$4:$B$254,(MATCH(1,($G$4:$G$254="max")*($H$4:$H$254=(H97-1)),0))),""),IF($G$3=1,IF(G97="min",INDEX($B$4:$B$254,(MATCH(1,($G$4:$G$254="max")*($H$4:$H$254=(H97)),0))),""),""))</f>
        <v/>
      </c>
      <c r="J97" s="29" t="str">
        <f aca="false">IF(AND(G95=0,G97="min",H97=1),B97-B96,IF(G97="min",B97-I97,""))</f>
        <v/>
      </c>
      <c r="K97" s="34" t="str">
        <f aca="false">IF(AND(G95=0,G97="min",H97=1),(B97-B96)/B96,IF(G97="min",(B97-I97)/I97,""))</f>
        <v/>
      </c>
      <c r="L97" s="5"/>
      <c r="M97" s="0" t="n">
        <f aca="false">E97/COUNT($E$4:E97)</f>
        <v>0.00253163714689987</v>
      </c>
      <c r="N97" s="19" t="n">
        <f aca="false">M97*252</f>
        <v>0.637972561018766</v>
      </c>
      <c r="O97" s="20" t="n">
        <f aca="false">STDEV($D$4:$D97)</f>
        <v>0.0290490451403209</v>
      </c>
      <c r="P97" s="20" t="n">
        <f aca="false">O97*SQRT(252)</f>
        <v>0.461139295591071</v>
      </c>
      <c r="Q97" s="0" t="n">
        <f aca="false">Treasuries!J95/100</f>
        <v>0.0516</v>
      </c>
      <c r="R97" s="20" t="n">
        <f aca="false">AJ97/AK97*SQRT(252)</f>
        <v>1.34447302670532</v>
      </c>
      <c r="S97" s="32" t="n">
        <f aca="false">IF(D97&lt;s_p!H97, D97-s_p!H97, 0)</f>
        <v>-0.0136589375270882</v>
      </c>
      <c r="T97" s="0" t="n">
        <f aca="false">S97^2</f>
        <v>0.000186566574368898</v>
      </c>
      <c r="U97" s="0" t="n">
        <f aca="false">SQRT(AVERAGE(T$4:T97)) * SQRT(252)</f>
        <v>0.311840736685065</v>
      </c>
      <c r="V97" s="0" t="n">
        <f aca="false">AJ97/U97*252</f>
        <v>2.00942161874585</v>
      </c>
      <c r="W97" s="22" t="n">
        <f aca="false">(s_p!$J97)/COUNT(s_p!$J$4:$J97)</f>
        <v>0.000187746198501685</v>
      </c>
      <c r="X97" s="22" t="n">
        <f aca="false">W97 * 252</f>
        <v>0.0473120420224246</v>
      </c>
      <c r="Y97" s="21" t="n">
        <f aca="false">STDEV(s_p!$H$4:$H97)</f>
        <v>0.00615921603720085</v>
      </c>
      <c r="Z97" s="21" t="n">
        <f aca="false">Y97*SQRT(252)</f>
        <v>0.0977745234333252</v>
      </c>
      <c r="AA97" s="0" t="n">
        <f aca="false">AJ97/AK97</f>
        <v>0.0846938398356328</v>
      </c>
      <c r="AB97" s="0" t="n">
        <f aca="false">_xlfn.COVARIANCE.S($D$4:$D97,s_p!$H$4:$H97)</f>
        <v>9.89560901860059E-006</v>
      </c>
      <c r="AC97" s="0" t="n">
        <f aca="false">_xlfn.VAR.S(s_p!$H$4:$H97)</f>
        <v>3.79359421929122E-005</v>
      </c>
      <c r="AD97" s="0" t="n">
        <f aca="false">AB97/AC97</f>
        <v>0.26085048760037</v>
      </c>
      <c r="AE97" s="0" t="n">
        <f aca="false">M97-(AD97*W97)</f>
        <v>0.00248266345947559</v>
      </c>
      <c r="AF97" s="33" t="n">
        <f aca="false">MAX($E$4:E97)</f>
        <v>0.280129884293098</v>
      </c>
      <c r="AG97" s="0" t="n">
        <f aca="false">1 - ((1 + E97) / (1 + AF97))</f>
        <v>0.0329310275478722</v>
      </c>
      <c r="AH97" s="0" t="n">
        <f aca="false">MAX($AG$5:AG97)</f>
        <v>0.247763279347781</v>
      </c>
      <c r="AI97" s="19" t="n">
        <f aca="false">D97-s_p!H97</f>
        <v>-0.0136589375270881</v>
      </c>
      <c r="AJ97" s="19" t="n">
        <f aca="false">AVERAGE(AI$4:AI97)</f>
        <v>0.00248658538849445</v>
      </c>
      <c r="AK97" s="0" t="n">
        <f aca="false">STDEV(AI$4:AI97)</f>
        <v>0.0293596959745859</v>
      </c>
    </row>
    <row r="98" customFormat="false" ht="13.8" hidden="false" customHeight="false" outlineLevel="0" collapsed="false">
      <c r="A98" s="6" t="n">
        <f aca="false">WORKDAY(A97,1,holiday!$B$2:$B$10)</f>
        <v>38855</v>
      </c>
      <c r="B98" s="24" t="n">
        <v>1198730.11943826</v>
      </c>
      <c r="C98" s="24" t="n">
        <f aca="false">B98-B97</f>
        <v>-39243.7723703322</v>
      </c>
      <c r="D98" s="31" t="n">
        <f aca="false">C98/B97</f>
        <v>-0.0316999999999999</v>
      </c>
      <c r="E98" s="31" t="n">
        <f aca="false" t="array" ref="E98:E98">PRODUCT(1+$D$4:D98)-1</f>
        <v>0.198730119438255</v>
      </c>
      <c r="F98" s="0" t="n">
        <f aca="false">IF(ISBLANK(A99),MONTH(A98),IF(MONTH(A99)-MONTH(A98)=1,MONTH(A98),0))</f>
        <v>0</v>
      </c>
      <c r="G98" s="0" t="str">
        <f aca="false">IF(B99&gt;B98,IF(AND(B97&gt;B98,B99&gt;B98),"min",""),IF(AND(B97&gt;B98,B99&gt;B98),"",IF(AND(B97&lt;B98,B99&lt;B98),"max","")))</f>
        <v/>
      </c>
      <c r="H98" s="0" t="str">
        <f aca="false">IF(G98="min",COUNTIF(G$4:G98,"min"),IF(G98="max",COUNTIF(G$4:G98,"max"),""))</f>
        <v/>
      </c>
      <c r="I98" s="24" t="str">
        <f aca="false" t="array" ref="I98:I98">IF($G$3=0,IF(G98="min",INDEX($B$4:$B$254,(MATCH(1,($G$4:$G$254="max")*($H$4:$H$254=(H98-1)),0))),""),IF($G$3=1,IF(G98="min",INDEX($B$4:$B$254,(MATCH(1,($G$4:$G$254="max")*($H$4:$H$254=(H98)),0))),""),""))</f>
        <v/>
      </c>
      <c r="J98" s="29" t="str">
        <f aca="false">IF(AND(G96=0,G98="min",H98=1),B98-B97,IF(G98="min",B98-I98,""))</f>
        <v/>
      </c>
      <c r="K98" s="34" t="str">
        <f aca="false">IF(AND(G96=0,G98="min",H98=1),(B98-B97)/B97,IF(G98="min",(B98-I98)/I98,""))</f>
        <v/>
      </c>
      <c r="L98" s="5"/>
      <c r="M98" s="0" t="n">
        <f aca="false">E98/COUNT($E$4:E98)</f>
        <v>0.0020918959940869</v>
      </c>
      <c r="N98" s="19" t="n">
        <f aca="false">M98*252</f>
        <v>0.527157790509898</v>
      </c>
      <c r="O98" s="20" t="n">
        <f aca="false">STDEV($D$4:$D98)</f>
        <v>0.0291087647606397</v>
      </c>
      <c r="P98" s="20" t="n">
        <f aca="false">O98*SQRT(252)</f>
        <v>0.462087315173599</v>
      </c>
      <c r="Q98" s="0" t="n">
        <f aca="false">Treasuries!J96/100</f>
        <v>0.0508</v>
      </c>
      <c r="R98" s="20" t="n">
        <f aca="false">AJ98/AK98*SQRT(252)</f>
        <v>1.18886802423686</v>
      </c>
      <c r="S98" s="32" t="n">
        <f aca="false">IF(D98&lt;s_p!H98, D98-s_p!H98, 0)</f>
        <v>-0.0250009005604886</v>
      </c>
      <c r="T98" s="0" t="n">
        <f aca="false">S98^2</f>
        <v>0.000625045028835439</v>
      </c>
      <c r="U98" s="0" t="n">
        <f aca="false">SQRT(AVERAGE(T$4:T98)) * SQRT(252)</f>
        <v>0.312856247173265</v>
      </c>
      <c r="V98" s="0" t="n">
        <f aca="false">AJ98/U98*252</f>
        <v>1.76983950184573</v>
      </c>
      <c r="W98" s="22" t="n">
        <f aca="false">(s_p!$J98)/COUNT(s_p!$J$4:$J98)</f>
        <v>0.000114008595337376</v>
      </c>
      <c r="X98" s="22" t="n">
        <f aca="false">W98 * 252</f>
        <v>0.0287301660250189</v>
      </c>
      <c r="Y98" s="21" t="n">
        <f aca="false">STDEV(s_p!$H$4:$H98)</f>
        <v>0.00616717990264719</v>
      </c>
      <c r="Z98" s="21" t="n">
        <f aca="false">Y98*SQRT(252)</f>
        <v>0.097900945878</v>
      </c>
      <c r="AA98" s="0" t="n">
        <f aca="false">AJ98/AK98</f>
        <v>0.0748916460430347</v>
      </c>
      <c r="AB98" s="0" t="n">
        <f aca="false">_xlfn.COVARIANCE.S($D$4:$D98,s_p!$H$4:$H98)</f>
        <v>1.22896940550923E-005</v>
      </c>
      <c r="AC98" s="0" t="n">
        <f aca="false">_xlfn.VAR.S(s_p!$H$4:$H98)</f>
        <v>3.80341079516154E-005</v>
      </c>
      <c r="AD98" s="0" t="n">
        <f aca="false">AB98/AC98</f>
        <v>0.323122973482813</v>
      </c>
      <c r="AE98" s="0" t="n">
        <f aca="false">M98-(AD98*W98)</f>
        <v>0.00205505719775888</v>
      </c>
      <c r="AF98" s="33" t="n">
        <f aca="false">MAX($E$4:E98)</f>
        <v>0.280129884293098</v>
      </c>
      <c r="AG98" s="0" t="n">
        <f aca="false">1 - ((1 + E98) / (1 + AF98))</f>
        <v>0.0635871139746047</v>
      </c>
      <c r="AH98" s="0" t="n">
        <f aca="false">MAX($AG$5:AG98)</f>
        <v>0.247763279347781</v>
      </c>
      <c r="AI98" s="19" t="n">
        <f aca="false">D98-s_p!H98</f>
        <v>-0.0250009005604886</v>
      </c>
      <c r="AJ98" s="19" t="n">
        <f aca="false">AVERAGE(AI$4:AI98)</f>
        <v>0.00219724343113673</v>
      </c>
      <c r="AK98" s="0" t="n">
        <f aca="false">STDEV(AI$4:AI98)</f>
        <v>0.0293389656554502</v>
      </c>
    </row>
    <row r="99" customFormat="false" ht="13.8" hidden="false" customHeight="false" outlineLevel="0" collapsed="false">
      <c r="A99" s="6" t="n">
        <f aca="false">WORKDAY(A98,1,holiday!$B$2:$B$10)</f>
        <v>38856</v>
      </c>
      <c r="B99" s="24" t="n">
        <v>1190578.75462607</v>
      </c>
      <c r="C99" s="24" t="n">
        <f aca="false">B99-B98</f>
        <v>-8151.36481218017</v>
      </c>
      <c r="D99" s="31" t="n">
        <f aca="false">C99/B98</f>
        <v>-0.00680000000000003</v>
      </c>
      <c r="E99" s="31" t="n">
        <f aca="false" t="array" ref="E99:E99">PRODUCT(1+$D$4:D99)-1</f>
        <v>0.190578754626075</v>
      </c>
      <c r="F99" s="0" t="n">
        <f aca="false">IF(ISBLANK(A100),MONTH(A99),IF(MONTH(A100)-MONTH(A99)=1,MONTH(A99),0))</f>
        <v>0</v>
      </c>
      <c r="G99" s="0" t="str">
        <f aca="false">IF(B100&gt;B99,IF(AND(B98&gt;B99,B100&gt;B99),"min",""),IF(AND(B98&gt;B99,B100&gt;B99),"",IF(AND(B98&lt;B99,B100&lt;B99),"max","")))</f>
        <v>min</v>
      </c>
      <c r="H99" s="0" t="n">
        <f aca="false">IF(G99="min",COUNTIF(G$4:G99,"min"),IF(G99="max",COUNTIF(G$4:G99,"max"),""))</f>
        <v>24</v>
      </c>
      <c r="I99" s="24" t="n">
        <f aca="false" t="array" ref="I99:I99">IF($G$3=0,IF(G99="min",INDEX($B$4:$B$254,(MATCH(1,($G$4:$G$254="max")*($H$4:$H$254=(H99-1)),0))),""),IF($G$3=1,IF(G99="min",INDEX($B$4:$B$254,(MATCH(1,($G$4:$G$254="max")*($H$4:$H$254=(H99)),0))),""),""))</f>
        <v>1276919.95029251</v>
      </c>
      <c r="J99" s="29" t="n">
        <f aca="false">IF(AND(G97=0,G99="min",H99=1),B99-B98,IF(G99="min",B99-I99,""))</f>
        <v>-86341.1956664401</v>
      </c>
      <c r="K99" s="34" t="n">
        <f aca="false">IF(AND(G97=0,G99="min",H99=1),(B99-B98)/B98,IF(G99="min",(B99-I99)/I99,""))</f>
        <v>-0.0676167645800048</v>
      </c>
      <c r="L99" s="5"/>
      <c r="M99" s="0" t="n">
        <f aca="false">E99/COUNT($E$4:E99)</f>
        <v>0.00198519536068828</v>
      </c>
      <c r="N99" s="19" t="n">
        <f aca="false">M99*252</f>
        <v>0.500269230893447</v>
      </c>
      <c r="O99" s="20" t="n">
        <f aca="false">STDEV($D$4:$D99)</f>
        <v>0.0289701437168283</v>
      </c>
      <c r="P99" s="20" t="n">
        <f aca="false">O99*SQRT(252)</f>
        <v>0.459886774323168</v>
      </c>
      <c r="Q99" s="0" t="n">
        <f aca="false">Treasuries!J97/100</f>
        <v>0.0505</v>
      </c>
      <c r="R99" s="20" t="n">
        <f aca="false">AJ99/AK99*SQRT(252)</f>
        <v>1.11957555936621</v>
      </c>
      <c r="S99" s="32" t="n">
        <f aca="false">IF(D99&lt;s_p!H99, D99-s_p!H99, 0)</f>
        <v>-0.0109369144324424</v>
      </c>
      <c r="T99" s="0" t="n">
        <f aca="false">S99^2</f>
        <v>0.000119616097302566</v>
      </c>
      <c r="U99" s="0" t="n">
        <f aca="false">SQRT(AVERAGE(T$4:T99)) * SQRT(252)</f>
        <v>0.311726563524922</v>
      </c>
      <c r="V99" s="0" t="n">
        <f aca="false">AJ99/U99*252</f>
        <v>1.66565266168935</v>
      </c>
      <c r="W99" s="22" t="n">
        <f aca="false">(s_p!$J99)/COUNT(s_p!$J$4:$J99)</f>
        <v>0.000156380595321072</v>
      </c>
      <c r="X99" s="22" t="n">
        <f aca="false">W99 * 252</f>
        <v>0.0394079100209103</v>
      </c>
      <c r="Y99" s="21" t="n">
        <f aca="false">STDEV(s_p!$H$4:$H99)</f>
        <v>0.00614823602052254</v>
      </c>
      <c r="Z99" s="21" t="n">
        <f aca="false">Y99*SQRT(252)</f>
        <v>0.0976002210721923</v>
      </c>
      <c r="AA99" s="0" t="n">
        <f aca="false">AJ99/AK99</f>
        <v>0.0705266310483101</v>
      </c>
      <c r="AB99" s="0" t="n">
        <f aca="false">_xlfn.COVARIANCE.S($D$4:$D99,s_p!$H$4:$H99)</f>
        <v>1.17794886583757E-005</v>
      </c>
      <c r="AC99" s="0" t="n">
        <f aca="false">_xlfn.VAR.S(s_p!$H$4:$H99)</f>
        <v>3.78008061640508E-005</v>
      </c>
      <c r="AD99" s="0" t="n">
        <f aca="false">AB99/AC99</f>
        <v>0.311620038135011</v>
      </c>
      <c r="AE99" s="0" t="n">
        <f aca="false">M99-(AD99*W99)</f>
        <v>0.00193646403361075</v>
      </c>
      <c r="AF99" s="33" t="n">
        <f aca="false">MAX($E$4:E99)</f>
        <v>0.280129884293098</v>
      </c>
      <c r="AG99" s="0" t="n">
        <f aca="false">1 - ((1 + E99) / (1 + AF99))</f>
        <v>0.0699547215995774</v>
      </c>
      <c r="AH99" s="0" t="n">
        <f aca="false">MAX($AG$5:AG99)</f>
        <v>0.247763279347781</v>
      </c>
      <c r="AI99" s="19" t="n">
        <f aca="false">D99-s_p!H99</f>
        <v>-0.0109369144324424</v>
      </c>
      <c r="AJ99" s="19" t="n">
        <f aca="false">AVERAGE(AI$4:AI99)</f>
        <v>0.00206042928672445</v>
      </c>
      <c r="AK99" s="0" t="n">
        <f aca="false">STDEV(AI$4:AI99)</f>
        <v>0.0292149115319726</v>
      </c>
    </row>
    <row r="100" customFormat="false" ht="13.8" hidden="false" customHeight="false" outlineLevel="0" collapsed="false">
      <c r="A100" s="6" t="n">
        <f aca="false">WORKDAY(A99,1,holiday!$B$2:$B$10)</f>
        <v>38859</v>
      </c>
      <c r="B100" s="24" t="n">
        <v>1222010.0337482</v>
      </c>
      <c r="C100" s="24" t="n">
        <f aca="false">B100-B99</f>
        <v>31431.2791221284</v>
      </c>
      <c r="D100" s="31" t="n">
        <f aca="false">C100/B99</f>
        <v>0.0264</v>
      </c>
      <c r="E100" s="31" t="n">
        <f aca="false" t="array" ref="E100:E100">PRODUCT(1+$D$4:D100)-1</f>
        <v>0.222010033748203</v>
      </c>
      <c r="F100" s="0" t="n">
        <f aca="false">IF(ISBLANK(A101),MONTH(A100),IF(MONTH(A101)-MONTH(A100)=1,MONTH(A100),0))</f>
        <v>0</v>
      </c>
      <c r="G100" s="0" t="str">
        <f aca="false">IF(B101&gt;B100,IF(AND(B99&gt;B100,B101&gt;B100),"min",""),IF(AND(B99&gt;B100,B101&gt;B100),"",IF(AND(B99&lt;B100,B101&lt;B100),"max","")))</f>
        <v>max</v>
      </c>
      <c r="H100" s="0" t="n">
        <f aca="false">IF(G100="min",COUNTIF(G$4:G100,"min"),IF(G100="max",COUNTIF(G$4:G100,"max"),""))</f>
        <v>24</v>
      </c>
      <c r="I100" s="24" t="str">
        <f aca="false" t="array" ref="I100:I100">IF($G$3=0,IF(G100="min",INDEX($B$4:$B$254,(MATCH(1,($G$4:$G$254="max")*($H$4:$H$254=(H100-1)),0))),""),IF($G$3=1,IF(G100="min",INDEX($B$4:$B$254,(MATCH(1,($G$4:$G$254="max")*($H$4:$H$254=(H100)),0))),""),""))</f>
        <v/>
      </c>
      <c r="J100" s="29" t="str">
        <f aca="false">IF(AND(G98=0,G100="min",H100=1),B100-B99,IF(G100="min",B100-I100,""))</f>
        <v/>
      </c>
      <c r="K100" s="34" t="str">
        <f aca="false">IF(AND(G98=0,G100="min",H100=1),(B100-B99)/B99,IF(G100="min",(B100-I100)/I100,""))</f>
        <v/>
      </c>
      <c r="L100" s="5"/>
      <c r="M100" s="0" t="n">
        <f aca="false">E100/COUNT($E$4:E100)</f>
        <v>0.00228876323451756</v>
      </c>
      <c r="N100" s="19" t="n">
        <f aca="false">M100*252</f>
        <v>0.576768335098425</v>
      </c>
      <c r="O100" s="20" t="n">
        <f aca="false">STDEV($D$4:$D100)</f>
        <v>0.0289231261292052</v>
      </c>
      <c r="P100" s="20" t="n">
        <f aca="false">O100*SQRT(252)</f>
        <v>0.459140393258587</v>
      </c>
      <c r="Q100" s="0" t="n">
        <f aca="false">Treasuries!J98/100</f>
        <v>0.0504</v>
      </c>
      <c r="R100" s="20" t="n">
        <f aca="false">AJ100/AK100*SQRT(252)</f>
        <v>1.27834378881856</v>
      </c>
      <c r="S100" s="32" t="n">
        <f aca="false">IF(D100&lt;s_p!H100, D100-s_p!H100, 0)</f>
        <v>0</v>
      </c>
      <c r="T100" s="0" t="n">
        <f aca="false">S100^2</f>
        <v>0</v>
      </c>
      <c r="U100" s="0" t="n">
        <f aca="false">SQRT(AVERAGE(T$4:T100)) * SQRT(252)</f>
        <v>0.310115562748035</v>
      </c>
      <c r="V100" s="0" t="n">
        <f aca="false">AJ100/U100*252</f>
        <v>1.911000324565</v>
      </c>
      <c r="W100" s="22" t="n">
        <f aca="false">(s_p!$J100)/COUNT(s_p!$J$4:$J100)</f>
        <v>0.000113805170008662</v>
      </c>
      <c r="X100" s="22" t="n">
        <f aca="false">W100 * 252</f>
        <v>0.0286789028421828</v>
      </c>
      <c r="Y100" s="21" t="n">
        <f aca="false">STDEV(s_p!$H$4:$H100)</f>
        <v>0.00613020272100204</v>
      </c>
      <c r="Z100" s="21" t="n">
        <f aca="false">Y100*SQRT(252)</f>
        <v>0.0973139513170973</v>
      </c>
      <c r="AA100" s="0" t="n">
        <f aca="false">AJ100/AK100</f>
        <v>0.0805280894109047</v>
      </c>
      <c r="AB100" s="0" t="n">
        <f aca="false">_xlfn.COVARIANCE.S($D$4:$D100,s_p!$H$4:$H100)</f>
        <v>1.06381890380163E-005</v>
      </c>
      <c r="AC100" s="0" t="n">
        <f aca="false">_xlfn.VAR.S(s_p!$H$4:$H100)</f>
        <v>3.75793854005809E-005</v>
      </c>
      <c r="AD100" s="0" t="n">
        <f aca="false">AB100/AC100</f>
        <v>0.283085764299165</v>
      </c>
      <c r="AE100" s="0" t="n">
        <f aca="false">M100-(AD100*W100)</f>
        <v>0.00225654661098446</v>
      </c>
      <c r="AF100" s="33" t="n">
        <f aca="false">MAX($E$4:E100)</f>
        <v>0.280129884293098</v>
      </c>
      <c r="AG100" s="0" t="n">
        <f aca="false">1 - ((1 + E100) / (1 + AF100))</f>
        <v>0.0454015262498063</v>
      </c>
      <c r="AH100" s="0" t="n">
        <f aca="false">MAX($AG$5:AG100)</f>
        <v>0.247763279347781</v>
      </c>
      <c r="AI100" s="19" t="n">
        <f aca="false">D100-s_p!H100</f>
        <v>0.0303146665824803</v>
      </c>
      <c r="AJ100" s="19" t="n">
        <f aca="false">AVERAGE(AI$4:AI100)</f>
        <v>0.00235171008358791</v>
      </c>
      <c r="AK100" s="0" t="n">
        <f aca="false">STDEV(AI$4:AI100)</f>
        <v>0.0292035996481677</v>
      </c>
    </row>
    <row r="101" customFormat="false" ht="13.8" hidden="false" customHeight="false" outlineLevel="0" collapsed="false">
      <c r="A101" s="6" t="n">
        <f aca="false">WORKDAY(A100,1,holiday!$B$2:$B$10)</f>
        <v>38860</v>
      </c>
      <c r="B101" s="24" t="n">
        <v>1190604.37588087</v>
      </c>
      <c r="C101" s="24" t="n">
        <f aca="false">B101-B100</f>
        <v>-31405.6578673287</v>
      </c>
      <c r="D101" s="31" t="n">
        <f aca="false">C101/B100</f>
        <v>-0.0256999999999999</v>
      </c>
      <c r="E101" s="31" t="n">
        <f aca="false" t="array" ref="E101:E101">PRODUCT(1+$D$4:D101)-1</f>
        <v>0.190604375880875</v>
      </c>
      <c r="F101" s="0" t="n">
        <f aca="false">IF(ISBLANK(A102),MONTH(A101),IF(MONTH(A102)-MONTH(A101)=1,MONTH(A101),0))</f>
        <v>0</v>
      </c>
      <c r="G101" s="0" t="str">
        <f aca="false">IF(B102&gt;B101,IF(AND(B100&gt;B101,B102&gt;B101),"min",""),IF(AND(B100&gt;B101,B102&gt;B101),"",IF(AND(B100&lt;B101,B102&lt;B101),"max","")))</f>
        <v/>
      </c>
      <c r="H101" s="0" t="str">
        <f aca="false">IF(G101="min",COUNTIF(G$4:G101,"min"),IF(G101="max",COUNTIF(G$4:G101,"max"),""))</f>
        <v/>
      </c>
      <c r="I101" s="24" t="str">
        <f aca="false" t="array" ref="I101:I101">IF($G$3=0,IF(G101="min",INDEX($B$4:$B$254,(MATCH(1,($G$4:$G$254="max")*($H$4:$H$254=(H101-1)),0))),""),IF($G$3=1,IF(G101="min",INDEX($B$4:$B$254,(MATCH(1,($G$4:$G$254="max")*($H$4:$H$254=(H101)),0))),""),""))</f>
        <v/>
      </c>
      <c r="J101" s="29" t="str">
        <f aca="false">IF(AND(G99=0,G101="min",H101=1),B101-B100,IF(G101="min",B101-I101,""))</f>
        <v/>
      </c>
      <c r="K101" s="34" t="str">
        <f aca="false">IF(AND(G99=0,G101="min",H101=1),(B101-B100)/B100,IF(G101="min",(B101-I101)/I101,""))</f>
        <v/>
      </c>
      <c r="L101" s="5"/>
      <c r="M101" s="0" t="n">
        <f aca="false">E101/COUNT($E$4:E101)</f>
        <v>0.00194494261102933</v>
      </c>
      <c r="N101" s="19" t="n">
        <f aca="false">M101*252</f>
        <v>0.490125537979392</v>
      </c>
      <c r="O101" s="20" t="n">
        <f aca="false">STDEV($D$4:$D101)</f>
        <v>0.0289141527731871</v>
      </c>
      <c r="P101" s="20" t="n">
        <f aca="false">O101*SQRT(252)</f>
        <v>0.458997945647891</v>
      </c>
      <c r="Q101" s="0" t="n">
        <f aca="false">Treasuries!J99/100</f>
        <v>0.0507</v>
      </c>
      <c r="R101" s="20" t="n">
        <f aca="false">AJ101/AK101*SQRT(252)</f>
        <v>1.14893951743493</v>
      </c>
      <c r="S101" s="32" t="n">
        <f aca="false">IF(D101&lt;s_p!H101, D101-s_p!H101, 0)</f>
        <v>-0.0213500035655708</v>
      </c>
      <c r="T101" s="0" t="n">
        <f aca="false">S101^2</f>
        <v>0.000455822652249885</v>
      </c>
      <c r="U101" s="0" t="n">
        <f aca="false">SQRT(AVERAGE(T$4:T101)) * SQRT(252)</f>
        <v>0.310422992314674</v>
      </c>
      <c r="V101" s="0" t="n">
        <f aca="false">AJ101/U101*252</f>
        <v>1.71277157478053</v>
      </c>
      <c r="W101" s="22" t="n">
        <f aca="false">(s_p!$J101)/COUNT(s_p!$J$4:$J101)</f>
        <v>6.77661735131288E-005</v>
      </c>
      <c r="X101" s="22" t="n">
        <f aca="false">W101 * 252</f>
        <v>0.0170770757253084</v>
      </c>
      <c r="Y101" s="21" t="n">
        <f aca="false">STDEV(s_p!$H$4:$H101)</f>
        <v>0.00611530317186169</v>
      </c>
      <c r="Z101" s="21" t="n">
        <f aca="false">Y101*SQRT(252)</f>
        <v>0.0970774283070631</v>
      </c>
      <c r="AA101" s="0" t="n">
        <f aca="false">AJ101/AK101</f>
        <v>0.0723763865377952</v>
      </c>
      <c r="AB101" s="0" t="n">
        <f aca="false">_xlfn.COVARIANCE.S($D$4:$D101,s_p!$H$4:$H101)</f>
        <v>1.18174210064528E-005</v>
      </c>
      <c r="AC101" s="0" t="n">
        <f aca="false">_xlfn.VAR.S(s_p!$H$4:$H101)</f>
        <v>3.73969328837817E-005</v>
      </c>
      <c r="AD101" s="0" t="n">
        <f aca="false">AB101/AC101</f>
        <v>0.315999738352279</v>
      </c>
      <c r="AE101" s="0" t="n">
        <f aca="false">M101-(AD101*W101)</f>
        <v>0.00192352851793005</v>
      </c>
      <c r="AF101" s="33" t="n">
        <f aca="false">MAX($E$4:E101)</f>
        <v>0.280129884293098</v>
      </c>
      <c r="AG101" s="0" t="n">
        <f aca="false">1 - ((1 + E101) / (1 + AF101))</f>
        <v>0.0699347070251862</v>
      </c>
      <c r="AH101" s="0" t="n">
        <f aca="false">MAX($AG$5:AG101)</f>
        <v>0.247763279347781</v>
      </c>
      <c r="AI101" s="19" t="n">
        <f aca="false">D101-s_p!H101</f>
        <v>-0.0213500035655708</v>
      </c>
      <c r="AJ101" s="19" t="n">
        <f aca="false">AVERAGE(AI$4:AI101)</f>
        <v>0.00210985586267813</v>
      </c>
      <c r="AK101" s="0" t="n">
        <f aca="false">STDEV(AI$4:AI101)</f>
        <v>0.0291511632951771</v>
      </c>
    </row>
    <row r="102" customFormat="false" ht="13.8" hidden="false" customHeight="false" outlineLevel="0" collapsed="false">
      <c r="A102" s="6" t="n">
        <f aca="false">WORKDAY(A101,1,holiday!$B$2:$B$10)</f>
        <v>38861</v>
      </c>
      <c r="B102" s="24" t="n">
        <v>1151552.55235198</v>
      </c>
      <c r="C102" s="24" t="n">
        <f aca="false">B102-B101</f>
        <v>-39051.8235288926</v>
      </c>
      <c r="D102" s="31" t="n">
        <f aca="false">C102/B101</f>
        <v>-0.0327999999999999</v>
      </c>
      <c r="E102" s="31" t="n">
        <f aca="false" t="array" ref="E102:E102">PRODUCT(1+$D$4:D102)-1</f>
        <v>0.151552552351982</v>
      </c>
      <c r="F102" s="0" t="n">
        <f aca="false">IF(ISBLANK(A103),MONTH(A102),IF(MONTH(A103)-MONTH(A102)=1,MONTH(A102),0))</f>
        <v>0</v>
      </c>
      <c r="G102" s="0" t="str">
        <f aca="false">IF(B103&gt;B102,IF(AND(B101&gt;B102,B103&gt;B102),"min",""),IF(AND(B101&gt;B102,B103&gt;B102),"",IF(AND(B101&lt;B102,B103&lt;B102),"max","")))</f>
        <v>min</v>
      </c>
      <c r="H102" s="0" t="n">
        <f aca="false">IF(G102="min",COUNTIF(G$4:G102,"min"),IF(G102="max",COUNTIF(G$4:G102,"max"),""))</f>
        <v>25</v>
      </c>
      <c r="I102" s="24" t="n">
        <f aca="false" t="array" ref="I102:I102">IF($G$3=0,IF(G102="min",INDEX($B$4:$B$254,(MATCH(1,($G$4:$G$254="max")*($H$4:$H$254=(H102-1)),0))),""),IF($G$3=1,IF(G102="min",INDEX($B$4:$B$254,(MATCH(1,($G$4:$G$254="max")*($H$4:$H$254=(H102)),0))),""),""))</f>
        <v>1222010.0337482</v>
      </c>
      <c r="J102" s="29" t="n">
        <f aca="false">IF(AND(G100=0,G102="min",H102=1),B102-B101,IF(G102="min",B102-I102,""))</f>
        <v>-70457.4813962199</v>
      </c>
      <c r="K102" s="34" t="n">
        <f aca="false">IF(AND(G100=0,G102="min",H102=1),(B102-B101)/B101,IF(G102="min",(B102-I102)/I102,""))</f>
        <v>-0.0576570399999989</v>
      </c>
      <c r="L102" s="5"/>
      <c r="M102" s="0" t="n">
        <f aca="false">E102/COUNT($E$4:E102)</f>
        <v>0.00153083386214123</v>
      </c>
      <c r="N102" s="19" t="n">
        <f aca="false">M102*252</f>
        <v>0.385770133259591</v>
      </c>
      <c r="O102" s="20" t="n">
        <f aca="false">STDEV($D$4:$D102)</f>
        <v>0.0289804793234719</v>
      </c>
      <c r="P102" s="20" t="n">
        <f aca="false">O102*SQRT(252)</f>
        <v>0.460050846992136</v>
      </c>
      <c r="Q102" s="0" t="n">
        <f aca="false">Treasuries!J100/100</f>
        <v>0.0503</v>
      </c>
      <c r="R102" s="20" t="n">
        <f aca="false">AJ102/AK102*SQRT(252)</f>
        <v>0.94554755233301</v>
      </c>
      <c r="S102" s="32" t="n">
        <f aca="false">IF(D102&lt;s_p!H102, D102-s_p!H102, 0)</f>
        <v>-0.0343836635948366</v>
      </c>
      <c r="T102" s="0" t="n">
        <f aca="false">S102^2</f>
        <v>0.00118223632220289</v>
      </c>
      <c r="U102" s="0" t="n">
        <f aca="false">SQRT(AVERAGE(T$4:T102)) * SQRT(252)</f>
        <v>0.313685200570517</v>
      </c>
      <c r="V102" s="0" t="n">
        <f aca="false">AJ102/U102*252</f>
        <v>1.39882621690175</v>
      </c>
      <c r="W102" s="22" t="n">
        <f aca="false">(s_p!$J102)/COUNT(s_p!$J$4:$J102)</f>
        <v>8.31845034714631E-005</v>
      </c>
      <c r="X102" s="22" t="n">
        <f aca="false">W102 * 252</f>
        <v>0.0209624948748087</v>
      </c>
      <c r="Y102" s="21" t="n">
        <f aca="false">STDEV(s_p!$H$4:$H102)</f>
        <v>0.00608588417277585</v>
      </c>
      <c r="Z102" s="21" t="n">
        <f aca="false">Y102*SQRT(252)</f>
        <v>0.0966104161746537</v>
      </c>
      <c r="AA102" s="0" t="n">
        <f aca="false">AJ102/AK102</f>
        <v>0.0595638970537853</v>
      </c>
      <c r="AB102" s="0" t="n">
        <f aca="false">_xlfn.COVARIANCE.S($D$4:$D102,s_p!$H$4:$H102)</f>
        <v>1.11674418909633E-005</v>
      </c>
      <c r="AC102" s="0" t="n">
        <f aca="false">_xlfn.VAR.S(s_p!$H$4:$H102)</f>
        <v>3.70379861644436E-005</v>
      </c>
      <c r="AD102" s="0" t="n">
        <f aca="false">AB102/AC102</f>
        <v>0.301513204345975</v>
      </c>
      <c r="AE102" s="0" t="n">
        <f aca="false">M102-(AD102*W102)</f>
        <v>0.00150575263594762</v>
      </c>
      <c r="AF102" s="33" t="n">
        <f aca="false">MAX($E$4:E102)</f>
        <v>0.280129884293098</v>
      </c>
      <c r="AG102" s="0" t="n">
        <f aca="false">1 - ((1 + E102) / (1 + AF102))</f>
        <v>0.10044084863476</v>
      </c>
      <c r="AH102" s="0" t="n">
        <f aca="false">MAX($AG$5:AG102)</f>
        <v>0.247763279347781</v>
      </c>
      <c r="AI102" s="19" t="n">
        <f aca="false">D102-s_p!H102</f>
        <v>-0.0343836635948367</v>
      </c>
      <c r="AJ102" s="19" t="n">
        <f aca="false">AVERAGE(AI$4:AI102)</f>
        <v>0.00174123445401636</v>
      </c>
      <c r="AK102" s="0" t="n">
        <f aca="false">STDEV(AI$4:AI102)</f>
        <v>0.0292330512297416</v>
      </c>
    </row>
    <row r="103" customFormat="false" ht="13.8" hidden="false" customHeight="false" outlineLevel="0" collapsed="false">
      <c r="A103" s="6" t="n">
        <f aca="false">WORKDAY(A102,1,holiday!$B$2:$B$10)</f>
        <v>38862</v>
      </c>
      <c r="B103" s="24" t="n">
        <v>1162146.83583362</v>
      </c>
      <c r="C103" s="24" t="n">
        <f aca="false">B103-B102</f>
        <v>10594.2834816382</v>
      </c>
      <c r="D103" s="31" t="n">
        <f aca="false">C103/B102</f>
        <v>0.00919999999999996</v>
      </c>
      <c r="E103" s="31" t="n">
        <f aca="false" t="array" ref="E103:E103">PRODUCT(1+$D$4:D103)-1</f>
        <v>0.16214683583362</v>
      </c>
      <c r="F103" s="0" t="n">
        <f aca="false">IF(ISBLANK(A104),MONTH(A103),IF(MONTH(A104)-MONTH(A103)=1,MONTH(A103),0))</f>
        <v>0</v>
      </c>
      <c r="G103" s="0" t="str">
        <f aca="false">IF(B104&gt;B103,IF(AND(B102&gt;B103,B104&gt;B103),"min",""),IF(AND(B102&gt;B103,B104&gt;B103),"",IF(AND(B102&lt;B103,B104&lt;B103),"max","")))</f>
        <v/>
      </c>
      <c r="H103" s="0" t="str">
        <f aca="false">IF(G103="min",COUNTIF(G$4:G103,"min"),IF(G103="max",COUNTIF(G$4:G103,"max"),""))</f>
        <v/>
      </c>
      <c r="I103" s="24" t="str">
        <f aca="false" t="array" ref="I103:I103">IF($G$3=0,IF(G103="min",INDEX($B$4:$B$254,(MATCH(1,($G$4:$G$254="max")*($H$4:$H$254=(H103-1)),0))),""),IF($G$3=1,IF(G103="min",INDEX($B$4:$B$254,(MATCH(1,($G$4:$G$254="max")*($H$4:$H$254=(H103)),0))),""),""))</f>
        <v/>
      </c>
      <c r="J103" s="29" t="str">
        <f aca="false">IF(AND(G101=0,G103="min",H103=1),B103-B102,IF(G103="min",B103-I103,""))</f>
        <v/>
      </c>
      <c r="K103" s="34" t="str">
        <f aca="false">IF(AND(G101=0,G103="min",H103=1),(B103-B102)/B102,IF(G103="min",(B103-I103)/I103,""))</f>
        <v/>
      </c>
      <c r="L103" s="5"/>
      <c r="M103" s="0" t="n">
        <f aca="false">E103/COUNT($E$4:E103)</f>
        <v>0.0016214683583362</v>
      </c>
      <c r="N103" s="19" t="n">
        <f aca="false">M103*252</f>
        <v>0.408610026300723</v>
      </c>
      <c r="O103" s="20" t="n">
        <f aca="false">STDEV($D$4:$D103)</f>
        <v>0.0288431275010253</v>
      </c>
      <c r="P103" s="20" t="n">
        <f aca="false">O103*SQRT(252)</f>
        <v>0.457870454406246</v>
      </c>
      <c r="Q103" s="0" t="n">
        <f aca="false">Treasuries!J101/100</f>
        <v>0.0507</v>
      </c>
      <c r="R103" s="20" t="n">
        <f aca="false">AJ103/AK103*SQRT(252)</f>
        <v>0.92892790561812</v>
      </c>
      <c r="S103" s="32" t="n">
        <f aca="false">IF(D103&lt;s_p!H103, D103-s_p!H103, 0)</f>
        <v>-0.00217004695805584</v>
      </c>
      <c r="T103" s="0" t="n">
        <f aca="false">S103^2</f>
        <v>4.7091038001674E-006</v>
      </c>
      <c r="U103" s="0" t="n">
        <f aca="false">SQRT(AVERAGE(T$4:T103)) * SQRT(252)</f>
        <v>0.312131843854439</v>
      </c>
      <c r="V103" s="0" t="n">
        <f aca="false">AJ103/U103*252</f>
        <v>1.37420984657282</v>
      </c>
      <c r="W103" s="22" t="n">
        <f aca="false">(s_p!$J103)/COUNT(s_p!$J$4:$J103)</f>
        <v>0.000196989481610854</v>
      </c>
      <c r="X103" s="22" t="n">
        <f aca="false">W103 * 252</f>
        <v>0.0496413493659353</v>
      </c>
      <c r="Y103" s="21" t="n">
        <f aca="false">STDEV(s_p!$H$4:$H103)</f>
        <v>0.00615903697920176</v>
      </c>
      <c r="Z103" s="21" t="n">
        <f aca="false">Y103*SQRT(252)</f>
        <v>0.0977716809757101</v>
      </c>
      <c r="AA103" s="0" t="n">
        <f aca="false">AJ103/AK103</f>
        <v>0.0585169577184198</v>
      </c>
      <c r="AB103" s="0" t="n">
        <f aca="false">_xlfn.COVARIANCE.S($D$4:$D103,s_p!$H$4:$H103)</f>
        <v>1.18837541508901E-005</v>
      </c>
      <c r="AC103" s="0" t="n">
        <f aca="false">_xlfn.VAR.S(s_p!$H$4:$H103)</f>
        <v>3.79337365111748E-005</v>
      </c>
      <c r="AD103" s="0" t="n">
        <f aca="false">AB103/AC103</f>
        <v>0.313276656713986</v>
      </c>
      <c r="AE103" s="0" t="n">
        <f aca="false">M103-(AD103*W103)</f>
        <v>0.00155975615212933</v>
      </c>
      <c r="AF103" s="33" t="n">
        <f aca="false">MAX($E$4:E103)</f>
        <v>0.280129884293098</v>
      </c>
      <c r="AG103" s="0" t="n">
        <f aca="false">1 - ((1 + E103) / (1 + AF103))</f>
        <v>0.0921649044421998</v>
      </c>
      <c r="AH103" s="0" t="n">
        <f aca="false">MAX($AG$5:AG103)</f>
        <v>0.247763279347781</v>
      </c>
      <c r="AI103" s="19" t="n">
        <f aca="false">D103-s_p!H103</f>
        <v>-0.00217004695805581</v>
      </c>
      <c r="AJ103" s="19" t="n">
        <f aca="false">AVERAGE(AI$4:AI103)</f>
        <v>0.00170212163989564</v>
      </c>
      <c r="AK103" s="0" t="n">
        <f aca="false">STDEV(AI$4:AI103)</f>
        <v>0.0290876646063206</v>
      </c>
    </row>
    <row r="104" customFormat="false" ht="13.8" hidden="false" customHeight="false" outlineLevel="0" collapsed="false">
      <c r="A104" s="6" t="n">
        <f aca="false">WORKDAY(A103,1,holiday!$B$2:$B$10)</f>
        <v>38863</v>
      </c>
      <c r="B104" s="24" t="n">
        <v>1195616.66470563</v>
      </c>
      <c r="C104" s="24" t="n">
        <f aca="false">B104-B103</f>
        <v>33469.8288720082</v>
      </c>
      <c r="D104" s="31" t="n">
        <f aca="false">C104/B103</f>
        <v>0.0288</v>
      </c>
      <c r="E104" s="31" t="n">
        <f aca="false" t="array" ref="E104:E104">PRODUCT(1+$D$4:D104)-1</f>
        <v>0.195616664705628</v>
      </c>
      <c r="F104" s="0" t="n">
        <f aca="false">IF(ISBLANK(A105),MONTH(A104),IF(MONTH(A105)-MONTH(A104)=1,MONTH(A104),0))</f>
        <v>0</v>
      </c>
      <c r="G104" s="0" t="str">
        <f aca="false">IF(B105&gt;B104,IF(AND(B103&gt;B104,B105&gt;B104),"min",""),IF(AND(B103&gt;B104,B105&gt;B104),"",IF(AND(B103&lt;B104,B105&lt;B104),"max","")))</f>
        <v>max</v>
      </c>
      <c r="H104" s="0" t="n">
        <f aca="false">IF(G104="min",COUNTIF(G$4:G104,"min"),IF(G104="max",COUNTIF(G$4:G104,"max"),""))</f>
        <v>25</v>
      </c>
      <c r="I104" s="24" t="str">
        <f aca="false" t="array" ref="I104:I104">IF($G$3=0,IF(G104="min",INDEX($B$4:$B$254,(MATCH(1,($G$4:$G$254="max")*($H$4:$H$254=(H104-1)),0))),""),IF($G$3=1,IF(G104="min",INDEX($B$4:$B$254,(MATCH(1,($G$4:$G$254="max")*($H$4:$H$254=(H104)),0))),""),""))</f>
        <v/>
      </c>
      <c r="J104" s="29" t="str">
        <f aca="false">IF(AND(G102=0,G104="min",H104=1),B104-B103,IF(G104="min",B104-I104,""))</f>
        <v/>
      </c>
      <c r="K104" s="34" t="str">
        <f aca="false">IF(AND(G102=0,G104="min",H104=1),(B104-B103)/B103,IF(G104="min",(B104-I104)/I104,""))</f>
        <v/>
      </c>
      <c r="L104" s="5"/>
      <c r="M104" s="0" t="n">
        <f aca="false">E104/COUNT($E$4:E104)</f>
        <v>0.00193679866045177</v>
      </c>
      <c r="N104" s="19" t="n">
        <f aca="false">M104*252</f>
        <v>0.488073262433845</v>
      </c>
      <c r="O104" s="20" t="n">
        <f aca="false">STDEV($D$4:$D104)</f>
        <v>0.0288229540333381</v>
      </c>
      <c r="P104" s="20" t="n">
        <f aca="false">O104*SQRT(252)</f>
        <v>0.457550210534752</v>
      </c>
      <c r="Q104" s="0" t="n">
        <f aca="false">Treasuries!J102/100</f>
        <v>0.0506</v>
      </c>
      <c r="R104" s="20" t="n">
        <f aca="false">AJ104/AK104*SQRT(252)</f>
        <v>1.04688333709968</v>
      </c>
      <c r="S104" s="32" t="n">
        <f aca="false">IF(D104&lt;s_p!H104, D104-s_p!H104, 0)</f>
        <v>0</v>
      </c>
      <c r="T104" s="0" t="n">
        <f aca="false">S104^2</f>
        <v>0</v>
      </c>
      <c r="U104" s="0" t="n">
        <f aca="false">SQRT(AVERAGE(T$4:T104)) * SQRT(252)</f>
        <v>0.310582792883985</v>
      </c>
      <c r="V104" s="0" t="n">
        <f aca="false">AJ104/U104*252</f>
        <v>1.55280730780734</v>
      </c>
      <c r="W104" s="22" t="n">
        <f aca="false">(s_p!$J104)/COUNT(s_p!$J$4:$J104)</f>
        <v>0.000252781448586032</v>
      </c>
      <c r="X104" s="22" t="n">
        <f aca="false">W104 * 252</f>
        <v>0.0637009250436801</v>
      </c>
      <c r="Y104" s="21" t="n">
        <f aca="false">STDEV(s_p!$H$4:$H104)</f>
        <v>0.00615260077973944</v>
      </c>
      <c r="Z104" s="21" t="n">
        <f aca="false">Y104*SQRT(252)</f>
        <v>0.0976695094767158</v>
      </c>
      <c r="AA104" s="0" t="n">
        <f aca="false">AJ104/AK104</f>
        <v>0.0659474514681706</v>
      </c>
      <c r="AB104" s="0" t="n">
        <f aca="false">_xlfn.COVARIANCE.S($D$4:$D104,s_p!$H$4:$H104)</f>
        <v>1.32303435717918E-005</v>
      </c>
      <c r="AC104" s="0" t="n">
        <f aca="false">_xlfn.VAR.S(s_p!$H$4:$H104)</f>
        <v>3.78544963548503E-005</v>
      </c>
      <c r="AD104" s="0" t="n">
        <f aca="false">AB104/AC104</f>
        <v>0.349505206667386</v>
      </c>
      <c r="AE104" s="0" t="n">
        <f aca="false">M104-(AD104*W104)</f>
        <v>0.00184845022802202</v>
      </c>
      <c r="AF104" s="33" t="n">
        <f aca="false">MAX($E$4:E104)</f>
        <v>0.280129884293098</v>
      </c>
      <c r="AG104" s="0" t="n">
        <f aca="false">1 - ((1 + E104) / (1 + AF104))</f>
        <v>0.0660192536901353</v>
      </c>
      <c r="AH104" s="0" t="n">
        <f aca="false">MAX($AG$5:AG104)</f>
        <v>0.247763279347781</v>
      </c>
      <c r="AI104" s="19" t="n">
        <f aca="false">D104-s_p!H104</f>
        <v>0.0230806863176419</v>
      </c>
      <c r="AJ104" s="19" t="n">
        <f aca="false">AVERAGE(AI$4:AI104)</f>
        <v>0.00191379059710105</v>
      </c>
      <c r="AK104" s="0" t="n">
        <f aca="false">STDEV(AI$4:AI104)</f>
        <v>0.0290199326053523</v>
      </c>
    </row>
    <row r="105" customFormat="false" ht="13.8" hidden="false" customHeight="false" outlineLevel="0" collapsed="false">
      <c r="A105" s="6" t="n">
        <f aca="false">WORKDAY(A104,1,holiday!$B$2:$B$10)</f>
        <v>38867</v>
      </c>
      <c r="B105" s="24" t="n">
        <v>1193225.43137622</v>
      </c>
      <c r="C105" s="24" t="n">
        <f aca="false">B105-B104</f>
        <v>-2391.23332941136</v>
      </c>
      <c r="D105" s="31" t="n">
        <f aca="false">C105/B104</f>
        <v>-0.00200000000000009</v>
      </c>
      <c r="E105" s="31" t="n">
        <f aca="false" t="array" ref="E105:E105">PRODUCT(1+$D$4:D105)-1</f>
        <v>0.193225431376217</v>
      </c>
      <c r="F105" s="0" t="n">
        <f aca="false">IF(ISBLANK(A106),MONTH(A105),IF(MONTH(A106)-MONTH(A105)=1,MONTH(A105),0))</f>
        <v>0</v>
      </c>
      <c r="G105" s="0" t="str">
        <f aca="false">IF(B106&gt;B105,IF(AND(B104&gt;B105,B106&gt;B105),"min",""),IF(AND(B104&gt;B105,B106&gt;B105),"",IF(AND(B104&lt;B105,B106&lt;B105),"max","")))</f>
        <v>min</v>
      </c>
      <c r="H105" s="0" t="n">
        <f aca="false">IF(G105="min",COUNTIF(G$4:G105,"min"),IF(G105="max",COUNTIF(G$4:G105,"max"),""))</f>
        <v>26</v>
      </c>
      <c r="I105" s="24" t="n">
        <f aca="false" t="array" ref="I105:I105">IF($G$3=0,IF(G105="min",INDEX($B$4:$B$254,(MATCH(1,($G$4:$G$254="max")*($H$4:$H$254=(H105-1)),0))),""),IF($G$3=1,IF(G105="min",INDEX($B$4:$B$254,(MATCH(1,($G$4:$G$254="max")*($H$4:$H$254=(H105)),0))),""),""))</f>
        <v>1195616.66470563</v>
      </c>
      <c r="J105" s="29" t="n">
        <f aca="false">IF(AND(G103=0,G105="min",H105=1),B105-B104,IF(G105="min",B105-I105,""))</f>
        <v>-2391.23332940997</v>
      </c>
      <c r="K105" s="34" t="n">
        <f aca="false">IF(AND(G103=0,G105="min",H105=1),(B105-B104)/B104,IF(G105="min",(B105-I105)/I105,""))</f>
        <v>-0.00199999999999892</v>
      </c>
      <c r="L105" s="5"/>
      <c r="M105" s="0" t="n">
        <f aca="false">E105/COUNT($E$4:E105)</f>
        <v>0.00189436697427664</v>
      </c>
      <c r="N105" s="19" t="n">
        <f aca="false">M105*252</f>
        <v>0.477380477517713</v>
      </c>
      <c r="O105" s="20" t="n">
        <f aca="false">STDEV($D$4:$D105)</f>
        <v>0.0286829005290718</v>
      </c>
      <c r="P105" s="20" t="n">
        <f aca="false">O105*SQRT(252)</f>
        <v>0.455326930079562</v>
      </c>
      <c r="Q105" s="0" t="n">
        <f aca="false">Treasuries!J103/100</f>
        <v>0.0509</v>
      </c>
      <c r="R105" s="20" t="n">
        <f aca="false">AJ105/AK105*SQRT(252)</f>
        <v>1.11550115768981</v>
      </c>
      <c r="S105" s="32" t="n">
        <f aca="false">IF(D105&lt;s_p!H105, D105-s_p!H105, 0)</f>
        <v>0</v>
      </c>
      <c r="T105" s="0" t="n">
        <f aca="false">S105^2</f>
        <v>0</v>
      </c>
      <c r="U105" s="0" t="n">
        <f aca="false">SQRT(AVERAGE(T$4:T105)) * SQRT(252)</f>
        <v>0.309056578277252</v>
      </c>
      <c r="V105" s="0" t="n">
        <f aca="false">AJ105/U105*252</f>
        <v>1.6558898613886</v>
      </c>
      <c r="W105" s="22" t="n">
        <f aca="false">(s_p!$J105)/COUNT(s_p!$J$4:$J105)</f>
        <v>9.09479462021768E-005</v>
      </c>
      <c r="X105" s="22" t="n">
        <f aca="false">W105 * 252</f>
        <v>0.0229188824429486</v>
      </c>
      <c r="Y105" s="21" t="n">
        <f aca="false">STDEV(s_p!$H$4:$H105)</f>
        <v>0.00632666180374222</v>
      </c>
      <c r="Z105" s="21" t="n">
        <f aca="false">Y105*SQRT(252)</f>
        <v>0.100432642571479</v>
      </c>
      <c r="AA105" s="0" t="n">
        <f aca="false">AJ105/AK105</f>
        <v>0.0702699678679023</v>
      </c>
      <c r="AB105" s="0" t="n">
        <f aca="false">_xlfn.COVARIANCE.S($D$4:$D105,s_p!$H$4:$H105)</f>
        <v>1.37602149587824E-005</v>
      </c>
      <c r="AC105" s="0" t="n">
        <f aca="false">_xlfn.VAR.S(s_p!$H$4:$H105)</f>
        <v>4.00266495789308E-005</v>
      </c>
      <c r="AD105" s="0" t="n">
        <f aca="false">AB105/AC105</f>
        <v>0.343776336604138</v>
      </c>
      <c r="AE105" s="0" t="n">
        <f aca="false">M105-(AD105*W105)</f>
        <v>0.00186310122250958</v>
      </c>
      <c r="AF105" s="33" t="n">
        <f aca="false">MAX($E$4:E105)</f>
        <v>0.280129884293098</v>
      </c>
      <c r="AG105" s="0" t="n">
        <f aca="false">1 - ((1 + E105) / (1 + AF105))</f>
        <v>0.067887215182755</v>
      </c>
      <c r="AH105" s="0" t="n">
        <f aca="false">MAX($AG$5:AG105)</f>
        <v>0.247763279347781</v>
      </c>
      <c r="AI105" s="19" t="n">
        <f aca="false">D105-s_p!H105</f>
        <v>0.0138495813023373</v>
      </c>
      <c r="AJ105" s="19" t="n">
        <f aca="false">AVERAGE(AI$4:AI105)</f>
        <v>0.00203080815303474</v>
      </c>
      <c r="AK105" s="0" t="n">
        <f aca="false">STDEV(AI$4:AI105)</f>
        <v>0.0289000865469637</v>
      </c>
    </row>
    <row r="106" customFormat="false" ht="13.8" hidden="false" customHeight="false" outlineLevel="0" collapsed="false">
      <c r="A106" s="6" t="n">
        <f aca="false">WORKDAY(A105,1,holiday!$B$2:$B$10)</f>
        <v>38868</v>
      </c>
      <c r="B106" s="24" t="n">
        <v>1227590.32379985</v>
      </c>
      <c r="C106" s="24" t="n">
        <f aca="false">B106-B105</f>
        <v>34364.8924236351</v>
      </c>
      <c r="D106" s="31" t="n">
        <f aca="false">C106/B105</f>
        <v>0.0288000000000001</v>
      </c>
      <c r="E106" s="31" t="n">
        <f aca="false" t="array" ref="E106:E106">PRODUCT(1+$D$4:D106)-1</f>
        <v>0.227590323799852</v>
      </c>
      <c r="F106" s="0" t="n">
        <f aca="false">IF(ISBLANK(A107),MONTH(A106),IF(MONTH(A107)-MONTH(A106)=1,MONTH(A106),0))</f>
        <v>5</v>
      </c>
      <c r="G106" s="0" t="str">
        <f aca="false">IF(B107&gt;B106,IF(AND(B105&gt;B106,B107&gt;B106),"min",""),IF(AND(B105&gt;B106,B107&gt;B106),"",IF(AND(B105&lt;B106,B107&lt;B106),"max","")))</f>
        <v/>
      </c>
      <c r="H106" s="0" t="str">
        <f aca="false">IF(G106="min",COUNTIF(G$4:G106,"min"),IF(G106="max",COUNTIF(G$4:G106,"max"),""))</f>
        <v/>
      </c>
      <c r="I106" s="24" t="str">
        <f aca="false" t="array" ref="I106:I106">IF($G$3=0,IF(G106="min",INDEX($B$4:$B$254,(MATCH(1,($G$4:$G$254="max")*($H$4:$H$254=(H106-1)),0))),""),IF($G$3=1,IF(G106="min",INDEX($B$4:$B$254,(MATCH(1,($G$4:$G$254="max")*($H$4:$H$254=(H106)),0))),""),""))</f>
        <v/>
      </c>
      <c r="J106" s="29" t="str">
        <f aca="false">IF(AND(G104=0,G106="min",H106=1),B106-B105,IF(G106="min",B106-I106,""))</f>
        <v/>
      </c>
      <c r="K106" s="34" t="str">
        <f aca="false">IF(AND(G104=0,G106="min",H106=1),(B106-B105)/B105,IF(G106="min",(B106-I106)/I106,""))</f>
        <v/>
      </c>
      <c r="L106" s="5"/>
      <c r="M106" s="0" t="n">
        <f aca="false">E106/COUNT($E$4:E106)</f>
        <v>0.00220961479417332</v>
      </c>
      <c r="N106" s="19" t="n">
        <f aca="false">M106*252</f>
        <v>0.556822928131678</v>
      </c>
      <c r="O106" s="20" t="n">
        <f aca="false">STDEV($D$4:$D106)</f>
        <v>0.0286625703867687</v>
      </c>
      <c r="P106" s="20" t="n">
        <f aca="false">O106*SQRT(252)</f>
        <v>0.455004199075647</v>
      </c>
      <c r="Q106" s="0" t="n">
        <f aca="false">Treasuries!J104/100</f>
        <v>0.0512</v>
      </c>
      <c r="R106" s="20" t="n">
        <f aca="false">AJ106/AK106*SQRT(252)</f>
        <v>1.2185113987103</v>
      </c>
      <c r="S106" s="32" t="n">
        <f aca="false">IF(D106&lt;s_p!H106, D106-s_p!H106, 0)</f>
        <v>0</v>
      </c>
      <c r="T106" s="0" t="n">
        <f aca="false">S106^2</f>
        <v>0</v>
      </c>
      <c r="U106" s="0" t="n">
        <f aca="false">SQRT(AVERAGE(T$4:T106)) * SQRT(252)</f>
        <v>0.307552644397185</v>
      </c>
      <c r="V106" s="0" t="n">
        <f aca="false">AJ106/U106*252</f>
        <v>1.81240679799296</v>
      </c>
      <c r="W106" s="22" t="n">
        <f aca="false">(s_p!$J106)/COUNT(s_p!$J$4:$J106)</f>
        <v>0.000169552335945097</v>
      </c>
      <c r="X106" s="22" t="n">
        <f aca="false">W106 * 252</f>
        <v>0.0427271886581644</v>
      </c>
      <c r="Y106" s="21" t="n">
        <f aca="false">STDEV(s_p!$H$4:$H106)</f>
        <v>0.00634474870187376</v>
      </c>
      <c r="Z106" s="21" t="n">
        <f aca="false">Y106*SQRT(252)</f>
        <v>0.100719763178147</v>
      </c>
      <c r="AA106" s="0" t="n">
        <f aca="false">AJ106/AK106</f>
        <v>0.0767590031115458</v>
      </c>
      <c r="AB106" s="0" t="n">
        <f aca="false">_xlfn.COVARIANCE.S($D$4:$D106,s_p!$H$4:$H106)</f>
        <v>1.56963079998855E-005</v>
      </c>
      <c r="AC106" s="0" t="n">
        <f aca="false">_xlfn.VAR.S(s_p!$H$4:$H106)</f>
        <v>4.02558360899288E-005</v>
      </c>
      <c r="AD106" s="0" t="n">
        <f aca="false">AB106/AC106</f>
        <v>0.389913849132856</v>
      </c>
      <c r="AE106" s="0" t="n">
        <f aca="false">M106-(AD106*W106)</f>
        <v>0.0021435039902355</v>
      </c>
      <c r="AF106" s="33" t="n">
        <f aca="false">MAX($E$4:E106)</f>
        <v>0.280129884293098</v>
      </c>
      <c r="AG106" s="0" t="n">
        <f aca="false">1 - ((1 + E106) / (1 + AF106))</f>
        <v>0.0410423669800182</v>
      </c>
      <c r="AH106" s="0" t="n">
        <f aca="false">MAX($AG$5:AG106)</f>
        <v>0.247763279347781</v>
      </c>
      <c r="AI106" s="19" t="n">
        <f aca="false">D106-s_p!H106</f>
        <v>0.020688051941867</v>
      </c>
      <c r="AJ106" s="19" t="n">
        <f aca="false">AVERAGE(AI$4:AI106)</f>
        <v>0.0022119464422467</v>
      </c>
      <c r="AK106" s="0" t="n">
        <f aca="false">STDEV(AI$4:AI106)</f>
        <v>0.0288167687513126</v>
      </c>
    </row>
    <row r="107" customFormat="false" ht="13.8" hidden="false" customHeight="false" outlineLevel="0" collapsed="false">
      <c r="A107" s="6" t="n">
        <f aca="false">WORKDAY(A106,1,holiday!$B$2:$B$10)</f>
        <v>38869</v>
      </c>
      <c r="B107" s="24" t="n">
        <v>1261962.85286625</v>
      </c>
      <c r="C107" s="24" t="n">
        <f aca="false">B107-B106</f>
        <v>34372.5290663959</v>
      </c>
      <c r="D107" s="31" t="n">
        <f aca="false">C107/B106</f>
        <v>0.0280000000000001</v>
      </c>
      <c r="E107" s="31" t="n">
        <f aca="false" t="array" ref="E107:E107">PRODUCT(1+$D$4:D107)-1</f>
        <v>0.261962852866248</v>
      </c>
      <c r="F107" s="0" t="n">
        <f aca="false">IF(ISBLANK(A108),MONTH(A107),IF(MONTH(A108)-MONTH(A107)=1,MONTH(A107),0))</f>
        <v>0</v>
      </c>
      <c r="G107" s="0" t="str">
        <f aca="false">IF(B108&gt;B107,IF(AND(B106&gt;B107,B108&gt;B107),"min",""),IF(AND(B106&gt;B107,B108&gt;B107),"",IF(AND(B106&lt;B107,B108&lt;B107),"max","")))</f>
        <v>max</v>
      </c>
      <c r="H107" s="0" t="n">
        <f aca="false">IF(G107="min",COUNTIF(G$4:G107,"min"),IF(G107="max",COUNTIF(G$4:G107,"max"),""))</f>
        <v>26</v>
      </c>
      <c r="I107" s="24" t="str">
        <f aca="false" t="array" ref="I107:I107">IF($G$3=0,IF(G107="min",INDEX($B$4:$B$254,(MATCH(1,($G$4:$G$254="max")*($H$4:$H$254=(H107-1)),0))),""),IF($G$3=1,IF(G107="min",INDEX($B$4:$B$254,(MATCH(1,($G$4:$G$254="max")*($H$4:$H$254=(H107)),0))),""),""))</f>
        <v/>
      </c>
      <c r="J107" s="29" t="str">
        <f aca="false">IF(AND(G105=0,G107="min",H107=1),B107-B106,IF(G107="min",B107-I107,""))</f>
        <v/>
      </c>
      <c r="K107" s="34" t="str">
        <f aca="false">IF(AND(G105=0,G107="min",H107=1),(B107-B106)/B106,IF(G107="min",(B107-I107)/I107,""))</f>
        <v/>
      </c>
      <c r="L107" s="5"/>
      <c r="M107" s="0" t="n">
        <f aca="false">E107/COUNT($E$4:E107)</f>
        <v>0.00251887358525239</v>
      </c>
      <c r="N107" s="19" t="n">
        <f aca="false">M107*252</f>
        <v>0.634756143483601</v>
      </c>
      <c r="O107" s="20" t="n">
        <f aca="false">STDEV($D$4:$D107)</f>
        <v>0.02863334305627</v>
      </c>
      <c r="P107" s="20" t="n">
        <f aca="false">O107*SQRT(252)</f>
        <v>0.454540229587731</v>
      </c>
      <c r="Q107" s="0" t="n">
        <f aca="false">Treasuries!J105/100</f>
        <v>0.0511</v>
      </c>
      <c r="R107" s="20" t="n">
        <f aca="false">AJ107/AK107*SQRT(252)</f>
        <v>1.29489610244484</v>
      </c>
      <c r="S107" s="32" t="n">
        <f aca="false">IF(D107&lt;s_p!H107, D107-s_p!H107, 0)</f>
        <v>0</v>
      </c>
      <c r="T107" s="0" t="n">
        <f aca="false">S107^2</f>
        <v>0</v>
      </c>
      <c r="U107" s="0" t="n">
        <f aca="false">SQRT(AVERAGE(T$4:T107)) * SQRT(252)</f>
        <v>0.306070454351439</v>
      </c>
      <c r="V107" s="0" t="n">
        <f aca="false">AJ107/U107*252</f>
        <v>1.92797803937954</v>
      </c>
      <c r="W107" s="22" t="n">
        <f aca="false">(s_p!$J107)/COUNT(s_p!$J$4:$J107)</f>
        <v>0.000288240466804752</v>
      </c>
      <c r="X107" s="22" t="n">
        <f aca="false">W107 * 252</f>
        <v>0.0726365976347976</v>
      </c>
      <c r="Y107" s="21" t="n">
        <f aca="false">STDEV(s_p!$H$4:$H107)</f>
        <v>0.00642457672008051</v>
      </c>
      <c r="Z107" s="21" t="n">
        <f aca="false">Y107*SQRT(252)</f>
        <v>0.101986993681128</v>
      </c>
      <c r="AA107" s="0" t="n">
        <f aca="false">AJ107/AK107</f>
        <v>0.0815707871603779</v>
      </c>
      <c r="AB107" s="0" t="n">
        <f aca="false">_xlfn.COVARIANCE.S($D$4:$D107,s_p!$H$4:$H107)</f>
        <v>1.85249105073894E-005</v>
      </c>
      <c r="AC107" s="0" t="n">
        <f aca="false">_xlfn.VAR.S(s_p!$H$4:$H107)</f>
        <v>4.12751860322005E-005</v>
      </c>
      <c r="AD107" s="0" t="n">
        <f aca="false">AB107/AC107</f>
        <v>0.448814706563342</v>
      </c>
      <c r="AE107" s="0" t="n">
        <f aca="false">M107-(AD107*W107)</f>
        <v>0.00238950702472373</v>
      </c>
      <c r="AF107" s="33" t="n">
        <f aca="false">MAX($E$4:E107)</f>
        <v>0.280129884293098</v>
      </c>
      <c r="AG107" s="0" t="n">
        <f aca="false">1 - ((1 + E107) / (1 + AF107))</f>
        <v>0.0141915532554588</v>
      </c>
      <c r="AH107" s="0" t="n">
        <f aca="false">MAX($AG$5:AG107)</f>
        <v>0.247763279347781</v>
      </c>
      <c r="AI107" s="19" t="n">
        <f aca="false">D107-s_p!H107</f>
        <v>0.0157016589375556</v>
      </c>
      <c r="AJ107" s="19" t="n">
        <f aca="false">AVERAGE(AI$4:AI107)</f>
        <v>0.00234165521624006</v>
      </c>
      <c r="AK107" s="0" t="n">
        <f aca="false">STDEV(AI$4:AI107)</f>
        <v>0.0287070322324594</v>
      </c>
    </row>
    <row r="108" customFormat="false" ht="13.8" hidden="false" customHeight="false" outlineLevel="0" collapsed="false">
      <c r="A108" s="6" t="n">
        <f aca="false">WORKDAY(A107,1,holiday!$B$2:$B$10)</f>
        <v>38870</v>
      </c>
      <c r="B108" s="24" t="n">
        <v>1250226.59833459</v>
      </c>
      <c r="C108" s="24" t="n">
        <f aca="false">B108-B107</f>
        <v>-11736.2545316562</v>
      </c>
      <c r="D108" s="31" t="n">
        <f aca="false">C108/B107</f>
        <v>-0.00930000000000004</v>
      </c>
      <c r="E108" s="31" t="n">
        <f aca="false" t="array" ref="E108:E108">PRODUCT(1+$D$4:D108)-1</f>
        <v>0.250226598334592</v>
      </c>
      <c r="F108" s="0" t="n">
        <f aca="false">IF(ISBLANK(A109),MONTH(A108),IF(MONTH(A109)-MONTH(A108)=1,MONTH(A108),0))</f>
        <v>0</v>
      </c>
      <c r="G108" s="0" t="str">
        <f aca="false">IF(B109&gt;B108,IF(AND(B107&gt;B108,B109&gt;B108),"min",""),IF(AND(B107&gt;B108,B109&gt;B108),"",IF(AND(B107&lt;B108,B109&lt;B108),"max","")))</f>
        <v>min</v>
      </c>
      <c r="H108" s="0" t="n">
        <f aca="false">IF(G108="min",COUNTIF(G$4:G108,"min"),IF(G108="max",COUNTIF(G$4:G108,"max"),""))</f>
        <v>27</v>
      </c>
      <c r="I108" s="24" t="n">
        <f aca="false" t="array" ref="I108:I108">IF($G$3=0,IF(G108="min",INDEX($B$4:$B$254,(MATCH(1,($G$4:$G$254="max")*($H$4:$H$254=(H108-1)),0))),""),IF($G$3=1,IF(G108="min",INDEX($B$4:$B$254,(MATCH(1,($G$4:$G$254="max")*($H$4:$H$254=(H108)),0))),""),""))</f>
        <v>1261962.85286625</v>
      </c>
      <c r="J108" s="29" t="n">
        <f aca="false">IF(AND(G106=0,G108="min",H108=1),B108-B107,IF(G108="min",B108-I108,""))</f>
        <v>-11736.2545316601</v>
      </c>
      <c r="K108" s="34" t="n">
        <f aca="false">IF(AND(G106=0,G108="min",H108=1),(B108-B107)/B107,IF(G108="min",(B108-I108)/I108,""))</f>
        <v>-0.00930000000000316</v>
      </c>
      <c r="L108" s="5"/>
      <c r="M108" s="0" t="n">
        <f aca="false">E108/COUNT($E$4:E108)</f>
        <v>0.00238311046032945</v>
      </c>
      <c r="N108" s="19" t="n">
        <f aca="false">M108*252</f>
        <v>0.600543836003021</v>
      </c>
      <c r="O108" s="20" t="n">
        <f aca="false">STDEV($D$4:$D108)</f>
        <v>0.0285191888681925</v>
      </c>
      <c r="P108" s="20" t="n">
        <f aca="false">O108*SQRT(252)</f>
        <v>0.452728088031114</v>
      </c>
      <c r="Q108" s="0" t="n">
        <f aca="false">Treasuries!J106/100</f>
        <v>0.05</v>
      </c>
      <c r="R108" s="20" t="n">
        <f aca="false">AJ108/AK108*SQRT(252)</f>
        <v>1.2279046627871</v>
      </c>
      <c r="S108" s="32" t="n">
        <f aca="false">IF(D108&lt;s_p!H108, D108-s_p!H108, 0)</f>
        <v>-0.0112522287296514</v>
      </c>
      <c r="T108" s="0" t="n">
        <f aca="false">S108^2</f>
        <v>0.000126612651384393</v>
      </c>
      <c r="U108" s="0" t="n">
        <f aca="false">SQRT(AVERAGE(T$4:T108)) * SQRT(252)</f>
        <v>0.305107868246876</v>
      </c>
      <c r="V108" s="0" t="n">
        <f aca="false">AJ108/U108*252</f>
        <v>1.8271301760441</v>
      </c>
      <c r="W108" s="22" t="n">
        <f aca="false">(s_p!$J108)/COUNT(s_p!$J$4:$J108)</f>
        <v>0.000304645326234872</v>
      </c>
      <c r="X108" s="22" t="n">
        <f aca="false">W108 * 252</f>
        <v>0.0767706222111878</v>
      </c>
      <c r="Y108" s="21" t="n">
        <f aca="false">STDEV(s_p!$H$4:$H108)</f>
        <v>0.00639563652220842</v>
      </c>
      <c r="Z108" s="21" t="n">
        <f aca="false">Y108*SQRT(252)</f>
        <v>0.101527582282353</v>
      </c>
      <c r="AA108" s="0" t="n">
        <f aca="false">AJ108/AK108</f>
        <v>0.0773507231293165</v>
      </c>
      <c r="AB108" s="0" t="n">
        <f aca="false">_xlfn.COVARIANCE.S($D$4:$D108,s_p!$H$4:$H108)</f>
        <v>1.81593193462914E-005</v>
      </c>
      <c r="AC108" s="0" t="n">
        <f aca="false">_xlfn.VAR.S(s_p!$H$4:$H108)</f>
        <v>4.09041665242063E-005</v>
      </c>
      <c r="AD108" s="0" t="n">
        <f aca="false">AB108/AC108</f>
        <v>0.443947912630003</v>
      </c>
      <c r="AE108" s="0" t="n">
        <f aca="false">M108-(AD108*W108)</f>
        <v>0.00224786380365499</v>
      </c>
      <c r="AF108" s="33" t="n">
        <f aca="false">MAX($E$4:E108)</f>
        <v>0.280129884293098</v>
      </c>
      <c r="AG108" s="0" t="n">
        <f aca="false">1 - ((1 + E108) / (1 + AF108))</f>
        <v>0.0233595718101829</v>
      </c>
      <c r="AH108" s="0" t="n">
        <f aca="false">MAX($AG$5:AG108)</f>
        <v>0.247763279347781</v>
      </c>
      <c r="AI108" s="19" t="n">
        <f aca="false">D108-s_p!H108</f>
        <v>-0.0112522287296514</v>
      </c>
      <c r="AJ108" s="19" t="n">
        <f aca="false">AVERAGE(AI$4:AI108)</f>
        <v>0.00221218965485061</v>
      </c>
      <c r="AK108" s="0" t="n">
        <f aca="false">STDEV(AI$4:AI108)</f>
        <v>0.0285994696022716</v>
      </c>
    </row>
    <row r="109" customFormat="false" ht="13.8" hidden="false" customHeight="false" outlineLevel="0" collapsed="false">
      <c r="A109" s="6" t="n">
        <f aca="false">WORKDAY(A108,1,holiday!$B$2:$B$10)</f>
        <v>38873</v>
      </c>
      <c r="B109" s="24" t="n">
        <v>1272480.63178495</v>
      </c>
      <c r="C109" s="24" t="n">
        <f aca="false">B109-B108</f>
        <v>22254.0334503558</v>
      </c>
      <c r="D109" s="31" t="n">
        <f aca="false">C109/B108</f>
        <v>0.0178</v>
      </c>
      <c r="E109" s="31" t="n">
        <f aca="false" t="array" ref="E109:E109">PRODUCT(1+$D$4:D109)-1</f>
        <v>0.272480631784948</v>
      </c>
      <c r="F109" s="0" t="n">
        <f aca="false">IF(ISBLANK(A110),MONTH(A109),IF(MONTH(A110)-MONTH(A109)=1,MONTH(A109),0))</f>
        <v>0</v>
      </c>
      <c r="G109" s="0" t="str">
        <f aca="false">IF(B110&gt;B109,IF(AND(B108&gt;B109,B110&gt;B109),"min",""),IF(AND(B108&gt;B109,B110&gt;B109),"",IF(AND(B108&lt;B109,B110&lt;B109),"max","")))</f>
        <v>max</v>
      </c>
      <c r="H109" s="0" t="n">
        <f aca="false">IF(G109="min",COUNTIF(G$4:G109,"min"),IF(G109="max",COUNTIF(G$4:G109,"max"),""))</f>
        <v>27</v>
      </c>
      <c r="I109" s="24" t="str">
        <f aca="false" t="array" ref="I109:I109">IF($G$3=0,IF(G109="min",INDEX($B$4:$B$254,(MATCH(1,($G$4:$G$254="max")*($H$4:$H$254=(H109-1)),0))),""),IF($G$3=1,IF(G109="min",INDEX($B$4:$B$254,(MATCH(1,($G$4:$G$254="max")*($H$4:$H$254=(H109)),0))),""),""))</f>
        <v/>
      </c>
      <c r="J109" s="29" t="str">
        <f aca="false">IF(AND(G107=0,G109="min",H109=1),B109-B108,IF(G109="min",B109-I109,""))</f>
        <v/>
      </c>
      <c r="K109" s="34" t="str">
        <f aca="false">IF(AND(G107=0,G109="min",H109=1),(B109-B108)/B108,IF(G109="min",(B109-I109)/I109,""))</f>
        <v/>
      </c>
      <c r="L109" s="5"/>
      <c r="M109" s="0" t="n">
        <f aca="false">E109/COUNT($E$4:E109)</f>
        <v>0.0025705719979712</v>
      </c>
      <c r="N109" s="19" t="n">
        <f aca="false">M109*252</f>
        <v>0.647784143488744</v>
      </c>
      <c r="O109" s="20" t="n">
        <f aca="false">STDEV($D$4:$D109)</f>
        <v>0.028421770836847</v>
      </c>
      <c r="P109" s="20" t="n">
        <f aca="false">O109*SQRT(252)</f>
        <v>0.451181624726192</v>
      </c>
      <c r="Q109" s="0" t="n">
        <f aca="false">Treasuries!J107/100</f>
        <v>0.0502</v>
      </c>
      <c r="R109" s="20" t="n">
        <f aca="false">AJ109/AK109*SQRT(252)</f>
        <v>1.4004046302622</v>
      </c>
      <c r="S109" s="32" t="n">
        <f aca="false">IF(D109&lt;s_p!H109, D109-s_p!H109, 0)</f>
        <v>0</v>
      </c>
      <c r="T109" s="0" t="n">
        <f aca="false">S109^2</f>
        <v>0</v>
      </c>
      <c r="U109" s="0" t="n">
        <f aca="false">SQRT(AVERAGE(T$4:T109)) * SQRT(252)</f>
        <v>0.303665269771716</v>
      </c>
      <c r="V109" s="0" t="n">
        <f aca="false">AJ109/U109*252</f>
        <v>2.09719736715759</v>
      </c>
      <c r="W109" s="22" t="n">
        <f aca="false">(s_p!$J109)/COUNT(s_p!$J$4:$J109)</f>
        <v>0.000128477644209742</v>
      </c>
      <c r="X109" s="22" t="n">
        <f aca="false">W109 * 252</f>
        <v>0.032376366340855</v>
      </c>
      <c r="Y109" s="21" t="n">
        <f aca="false">STDEV(s_p!$H$4:$H109)</f>
        <v>0.00660394419347375</v>
      </c>
      <c r="Z109" s="21" t="n">
        <f aca="false">Y109*SQRT(252)</f>
        <v>0.104834364048483</v>
      </c>
      <c r="AA109" s="0" t="n">
        <f aca="false">AJ109/AK109</f>
        <v>0.088217199679456</v>
      </c>
      <c r="AB109" s="0" t="n">
        <f aca="false">_xlfn.COVARIANCE.S($D$4:$D109,s_p!$H$4:$H109)</f>
        <v>1.53764825736226E-005</v>
      </c>
      <c r="AC109" s="0" t="n">
        <f aca="false">_xlfn.VAR.S(s_p!$H$4:$H109)</f>
        <v>4.36120789105157E-005</v>
      </c>
      <c r="AD109" s="0" t="n">
        <f aca="false">AB109/AC109</f>
        <v>0.352573941846993</v>
      </c>
      <c r="AE109" s="0" t="n">
        <f aca="false">M109-(AD109*W109)</f>
        <v>0.00252527412851296</v>
      </c>
      <c r="AF109" s="33" t="n">
        <f aca="false">MAX($E$4:E109)</f>
        <v>0.280129884293098</v>
      </c>
      <c r="AG109" s="0" t="n">
        <f aca="false">1 - ((1 + E109) / (1 + AF109))</f>
        <v>0.00597537218840427</v>
      </c>
      <c r="AH109" s="0" t="n">
        <f aca="false">MAX($AG$5:AG109)</f>
        <v>0.247763279347781</v>
      </c>
      <c r="AI109" s="19" t="n">
        <f aca="false">D109-s_p!H109</f>
        <v>0.0355997547002842</v>
      </c>
      <c r="AJ109" s="19" t="n">
        <f aca="false">AVERAGE(AI$4:AI109)</f>
        <v>0.00252716668358112</v>
      </c>
      <c r="AK109" s="0" t="n">
        <f aca="false">STDEV(AI$4:AI109)</f>
        <v>0.0286470970826979</v>
      </c>
    </row>
    <row r="110" customFormat="false" ht="13.8" hidden="false" customHeight="false" outlineLevel="0" collapsed="false">
      <c r="A110" s="6" t="n">
        <f aca="false">WORKDAY(A109,1,holiday!$B$2:$B$10)</f>
        <v>38874</v>
      </c>
      <c r="B110" s="24" t="n">
        <v>1226035.0887248</v>
      </c>
      <c r="C110" s="24" t="n">
        <f aca="false">B110-B109</f>
        <v>-46445.5430601507</v>
      </c>
      <c r="D110" s="31" t="n">
        <f aca="false">C110/B109</f>
        <v>-0.0365000000000001</v>
      </c>
      <c r="E110" s="31" t="n">
        <f aca="false" t="array" ref="E110:E110">PRODUCT(1+$D$4:D110)-1</f>
        <v>0.226035088724797</v>
      </c>
      <c r="F110" s="0" t="n">
        <f aca="false">IF(ISBLANK(A111),MONTH(A110),IF(MONTH(A111)-MONTH(A110)=1,MONTH(A110),0))</f>
        <v>0</v>
      </c>
      <c r="G110" s="0" t="str">
        <f aca="false">IF(B111&gt;B110,IF(AND(B109&gt;B110,B111&gt;B110),"min",""),IF(AND(B109&gt;B110,B111&gt;B110),"",IF(AND(B109&lt;B110,B111&lt;B110),"max","")))</f>
        <v/>
      </c>
      <c r="H110" s="0" t="str">
        <f aca="false">IF(G110="min",COUNTIF(G$4:G110,"min"),IF(G110="max",COUNTIF(G$4:G110,"max"),""))</f>
        <v/>
      </c>
      <c r="I110" s="24" t="str">
        <f aca="false" t="array" ref="I110:I110">IF($G$3=0,IF(G110="min",INDEX($B$4:$B$254,(MATCH(1,($G$4:$G$254="max")*($H$4:$H$254=(H110-1)),0))),""),IF($G$3=1,IF(G110="min",INDEX($B$4:$B$254,(MATCH(1,($G$4:$G$254="max")*($H$4:$H$254=(H110)),0))),""),""))</f>
        <v/>
      </c>
      <c r="J110" s="29" t="str">
        <f aca="false">IF(AND(G108=0,G110="min",H110=1),B110-B109,IF(G110="min",B110-I110,""))</f>
        <v/>
      </c>
      <c r="K110" s="34" t="str">
        <f aca="false">IF(AND(G108=0,G110="min",H110=1),(B110-B109)/B109,IF(G110="min",(B110-I110)/I110,""))</f>
        <v/>
      </c>
      <c r="L110" s="5"/>
      <c r="M110" s="0" t="n">
        <f aca="false">E110/COUNT($E$4:E110)</f>
        <v>0.00211247746471773</v>
      </c>
      <c r="N110" s="19" t="n">
        <f aca="false">M110*252</f>
        <v>0.532344321108868</v>
      </c>
      <c r="O110" s="20" t="n">
        <f aca="false">STDEV($D$4:$D110)</f>
        <v>0.0285397998650261</v>
      </c>
      <c r="P110" s="20" t="n">
        <f aca="false">O110*SQRT(252)</f>
        <v>0.453055277462483</v>
      </c>
      <c r="Q110" s="0" t="n">
        <f aca="false">Treasuries!J108/100</f>
        <v>0.0501</v>
      </c>
      <c r="R110" s="20" t="n">
        <f aca="false">AJ110/AK110*SQRT(252)</f>
        <v>1.20003974704637</v>
      </c>
      <c r="S110" s="32" t="n">
        <f aca="false">IF(D110&lt;s_p!H110, D110-s_p!H110, 0)</f>
        <v>-0.0353619209825417</v>
      </c>
      <c r="T110" s="0" t="n">
        <f aca="false">S110^2</f>
        <v>0.00125046545557552</v>
      </c>
      <c r="U110" s="0" t="n">
        <f aca="false">SQRT(AVERAGE(T$4:T110)) * SQRT(252)</f>
        <v>0.307076240613102</v>
      </c>
      <c r="V110" s="0" t="n">
        <f aca="false">AJ110/U110*252</f>
        <v>1.78330922041063</v>
      </c>
      <c r="W110" s="22" t="n">
        <f aca="false">(s_p!$J110)/COUNT(s_p!$J$4:$J110)</f>
        <v>0.000116495814872885</v>
      </c>
      <c r="X110" s="22" t="n">
        <f aca="false">W110 * 252</f>
        <v>0.0293569453479671</v>
      </c>
      <c r="Y110" s="21" t="n">
        <f aca="false">STDEV(s_p!$H$4:$H110)</f>
        <v>0.00657389779092773</v>
      </c>
      <c r="Z110" s="21" t="n">
        <f aca="false">Y110*SQRT(252)</f>
        <v>0.10435739219491</v>
      </c>
      <c r="AA110" s="0" t="n">
        <f aca="false">AJ110/AK110</f>
        <v>0.0755953984304182</v>
      </c>
      <c r="AB110" s="0" t="n">
        <f aca="false">_xlfn.COVARIANCE.S($D$4:$D110,s_p!$H$4:$H110)</f>
        <v>1.57027566854E-005</v>
      </c>
      <c r="AC110" s="0" t="n">
        <f aca="false">_xlfn.VAR.S(s_p!$H$4:$H110)</f>
        <v>4.32161321655645E-005</v>
      </c>
      <c r="AD110" s="0" t="n">
        <f aca="false">AB110/AC110</f>
        <v>0.363354050872518</v>
      </c>
      <c r="AE110" s="0" t="n">
        <f aca="false">M110-(AD110*W110)</f>
        <v>0.00207014823847397</v>
      </c>
      <c r="AF110" s="33" t="n">
        <f aca="false">MAX($E$4:E110)</f>
        <v>0.280129884293098</v>
      </c>
      <c r="AG110" s="0" t="n">
        <f aca="false">1 - ((1 + E110) / (1 + AF110))</f>
        <v>0.0422572711035276</v>
      </c>
      <c r="AH110" s="0" t="n">
        <f aca="false">MAX($AG$5:AG110)</f>
        <v>0.247763279347781</v>
      </c>
      <c r="AI110" s="19" t="n">
        <f aca="false">D110-s_p!H110</f>
        <v>-0.0353619209825416</v>
      </c>
      <c r="AJ110" s="19" t="n">
        <f aca="false">AVERAGE(AI$4:AI110)</f>
        <v>0.00217306306053324</v>
      </c>
      <c r="AK110" s="0" t="n">
        <f aca="false">STDEV(AI$4:AI110)</f>
        <v>0.0287459700676548</v>
      </c>
    </row>
    <row r="111" customFormat="false" ht="13.8" hidden="false" customHeight="false" outlineLevel="0" collapsed="false">
      <c r="A111" s="6" t="n">
        <f aca="false">WORKDAY(A110,1,holiday!$B$2:$B$10)</f>
        <v>38875</v>
      </c>
      <c r="B111" s="24" t="n">
        <v>1215491.18696176</v>
      </c>
      <c r="C111" s="24" t="n">
        <f aca="false">B111-B110</f>
        <v>-10543.9017630334</v>
      </c>
      <c r="D111" s="31" t="n">
        <f aca="false">C111/B110</f>
        <v>-0.00860000000000008</v>
      </c>
      <c r="E111" s="31" t="n">
        <f aca="false" t="array" ref="E111:E111">PRODUCT(1+$D$4:D111)-1</f>
        <v>0.215491186961764</v>
      </c>
      <c r="F111" s="0" t="n">
        <f aca="false">IF(ISBLANK(A112),MONTH(A111),IF(MONTH(A112)-MONTH(A111)=1,MONTH(A111),0))</f>
        <v>0</v>
      </c>
      <c r="G111" s="0" t="str">
        <f aca="false">IF(B112&gt;B111,IF(AND(B110&gt;B111,B112&gt;B111),"min",""),IF(AND(B110&gt;B111,B112&gt;B111),"",IF(AND(B110&lt;B111,B112&lt;B111),"max","")))</f>
        <v/>
      </c>
      <c r="H111" s="0" t="str">
        <f aca="false">IF(G111="min",COUNTIF(G$4:G111,"min"),IF(G111="max",COUNTIF(G$4:G111,"max"),""))</f>
        <v/>
      </c>
      <c r="I111" s="24" t="str">
        <f aca="false" t="array" ref="I111:I111">IF($G$3=0,IF(G111="min",INDEX($B$4:$B$254,(MATCH(1,($G$4:$G$254="max")*($H$4:$H$254=(H111-1)),0))),""),IF($G$3=1,IF(G111="min",INDEX($B$4:$B$254,(MATCH(1,($G$4:$G$254="max")*($H$4:$H$254=(H111)),0))),""),""))</f>
        <v/>
      </c>
      <c r="J111" s="29" t="str">
        <f aca="false">IF(AND(G109=0,G111="min",H111=1),B111-B110,IF(G111="min",B111-I111,""))</f>
        <v/>
      </c>
      <c r="K111" s="34" t="str">
        <f aca="false">IF(AND(G109=0,G111="min",H111=1),(B111-B110)/B110,IF(G111="min",(B111-I111)/I111,""))</f>
        <v/>
      </c>
      <c r="L111" s="5"/>
      <c r="M111" s="0" t="n">
        <f aca="false">E111/COUNT($E$4:E111)</f>
        <v>0.00199528876816448</v>
      </c>
      <c r="N111" s="19" t="n">
        <f aca="false">M111*252</f>
        <v>0.502812769577449</v>
      </c>
      <c r="O111" s="20" t="n">
        <f aca="false">STDEV($D$4:$D111)</f>
        <v>0.0284255168277168</v>
      </c>
      <c r="P111" s="20" t="n">
        <f aca="false">O111*SQRT(252)</f>
        <v>0.451241090487722</v>
      </c>
      <c r="Q111" s="0" t="n">
        <f aca="false">Treasuries!J109/100</f>
        <v>0.0502</v>
      </c>
      <c r="R111" s="20" t="n">
        <f aca="false">AJ111/AK111*SQRT(252)</f>
        <v>1.18149496787968</v>
      </c>
      <c r="S111" s="32" t="n">
        <f aca="false">IF(D111&lt;s_p!H111, D111-s_p!H111, 0)</f>
        <v>-0.00250750484630316</v>
      </c>
      <c r="T111" s="0" t="n">
        <f aca="false">S111^2</f>
        <v>6.28758055423383E-006</v>
      </c>
      <c r="U111" s="0" t="n">
        <f aca="false">SQRT(AVERAGE(T$4:T111)) * SQRT(252)</f>
        <v>0.305675283836653</v>
      </c>
      <c r="V111" s="0" t="n">
        <f aca="false">AJ111/U111*252</f>
        <v>1.75575388170809</v>
      </c>
      <c r="W111" s="22" t="n">
        <f aca="false">(s_p!$J111)/COUNT(s_p!$J$4:$J111)</f>
        <v>5.83019793299559E-005</v>
      </c>
      <c r="X111" s="22" t="n">
        <f aca="false">W111 * 252</f>
        <v>0.0146920987911489</v>
      </c>
      <c r="Y111" s="21" t="n">
        <f aca="false">STDEV(s_p!$H$4:$H111)</f>
        <v>0.00657050900703933</v>
      </c>
      <c r="Z111" s="21" t="n">
        <f aca="false">Y111*SQRT(252)</f>
        <v>0.104303596918416</v>
      </c>
      <c r="AA111" s="0" t="n">
        <f aca="false">AJ111/AK111</f>
        <v>0.0744271871496167</v>
      </c>
      <c r="AB111" s="0" t="n">
        <f aca="false">_xlfn.COVARIANCE.S($D$4:$D111,s_p!$H$4:$H111)</f>
        <v>1.61853344469046E-005</v>
      </c>
      <c r="AC111" s="0" t="n">
        <f aca="false">_xlfn.VAR.S(s_p!$H$4:$H111)</f>
        <v>4.3171588611585E-005</v>
      </c>
      <c r="AD111" s="0" t="n">
        <f aca="false">AB111/AC111</f>
        <v>0.374907085132404</v>
      </c>
      <c r="AE111" s="0" t="n">
        <f aca="false">M111-(AD111*W111)</f>
        <v>0.00197343094303644</v>
      </c>
      <c r="AF111" s="33" t="n">
        <f aca="false">MAX($E$4:E111)</f>
        <v>0.280129884293098</v>
      </c>
      <c r="AG111" s="0" t="n">
        <f aca="false">1 - ((1 + E111) / (1 + AF111))</f>
        <v>0.0504938585720374</v>
      </c>
      <c r="AH111" s="0" t="n">
        <f aca="false">MAX($AG$5:AG111)</f>
        <v>0.247763279347781</v>
      </c>
      <c r="AI111" s="19" t="n">
        <f aca="false">D111-s_p!H111</f>
        <v>-0.00250750484630316</v>
      </c>
      <c r="AJ111" s="19" t="n">
        <f aca="false">AVERAGE(AI$4:AI111)</f>
        <v>0.00212972446880328</v>
      </c>
      <c r="AK111" s="0" t="n">
        <f aca="false">STDEV(AI$4:AI111)</f>
        <v>0.0286148724729045</v>
      </c>
    </row>
    <row r="112" customFormat="false" ht="13.8" hidden="false" customHeight="false" outlineLevel="0" collapsed="false">
      <c r="A112" s="6" t="n">
        <f aca="false">WORKDAY(A111,1,holiday!$B$2:$B$10)</f>
        <v>38876</v>
      </c>
      <c r="B112" s="24" t="n">
        <v>1199325.15417517</v>
      </c>
      <c r="C112" s="24" t="n">
        <f aca="false">B112-B111</f>
        <v>-16166.0327865914</v>
      </c>
      <c r="D112" s="31" t="n">
        <f aca="false">C112/B111</f>
        <v>-0.0133</v>
      </c>
      <c r="E112" s="31" t="n">
        <f aca="false" t="array" ref="E112:E112">PRODUCT(1+$D$4:D112)-1</f>
        <v>0.199325154175172</v>
      </c>
      <c r="F112" s="0" t="n">
        <f aca="false">IF(ISBLANK(A113),MONTH(A112),IF(MONTH(A113)-MONTH(A112)=1,MONTH(A112),0))</f>
        <v>0</v>
      </c>
      <c r="G112" s="0" t="str">
        <f aca="false">IF(B113&gt;B112,IF(AND(B111&gt;B112,B113&gt;B112),"min",""),IF(AND(B111&gt;B112,B113&gt;B112),"",IF(AND(B111&lt;B112,B113&lt;B112),"max","")))</f>
        <v/>
      </c>
      <c r="H112" s="0" t="str">
        <f aca="false">IF(G112="min",COUNTIF(G$4:G112,"min"),IF(G112="max",COUNTIF(G$4:G112,"max"),""))</f>
        <v/>
      </c>
      <c r="I112" s="24" t="str">
        <f aca="false" t="array" ref="I112:I112">IF($G$3=0,IF(G112="min",INDEX($B$4:$B$254,(MATCH(1,($G$4:$G$254="max")*($H$4:$H$254=(H112-1)),0))),""),IF($G$3=1,IF(G112="min",INDEX($B$4:$B$254,(MATCH(1,($G$4:$G$254="max")*($H$4:$H$254=(H112)),0))),""),""))</f>
        <v/>
      </c>
      <c r="J112" s="29" t="str">
        <f aca="false">IF(AND(G110=0,G112="min",H112=1),B112-B111,IF(G112="min",B112-I112,""))</f>
        <v/>
      </c>
      <c r="K112" s="34" t="str">
        <f aca="false">IF(AND(G110=0,G112="min",H112=1),(B112-B111)/B111,IF(G112="min",(B112-I112)/I112,""))</f>
        <v/>
      </c>
      <c r="L112" s="5"/>
      <c r="M112" s="0" t="n">
        <f aca="false">E112/COUNT($E$4:E112)</f>
        <v>0.00182867113922177</v>
      </c>
      <c r="N112" s="19" t="n">
        <f aca="false">M112*252</f>
        <v>0.460825127083885</v>
      </c>
      <c r="O112" s="20" t="n">
        <f aca="false">STDEV($D$4:$D112)</f>
        <v>0.0283325818692696</v>
      </c>
      <c r="P112" s="20" t="n">
        <f aca="false">O112*SQRT(252)</f>
        <v>0.44976579375879</v>
      </c>
      <c r="Q112" s="0" t="n">
        <f aca="false">Treasuries!J110/100</f>
        <v>0.05</v>
      </c>
      <c r="R112" s="20" t="n">
        <f aca="false">AJ112/AK112*SQRT(252)</f>
        <v>1.09909803332359</v>
      </c>
      <c r="S112" s="32" t="n">
        <f aca="false">IF(D112&lt;s_p!H112, D112-s_p!H112, 0)</f>
        <v>-0.0147170282211519</v>
      </c>
      <c r="T112" s="0" t="n">
        <f aca="false">S112^2</f>
        <v>0.00021659091966218</v>
      </c>
      <c r="U112" s="0" t="n">
        <f aca="false">SQRT(AVERAGE(T$4:T112)) * SQRT(252)</f>
        <v>0.305091621970159</v>
      </c>
      <c r="V112" s="0" t="n">
        <f aca="false">AJ112/U112*252</f>
        <v>1.63145125770398</v>
      </c>
      <c r="W112" s="22" t="n">
        <f aca="false">(s_p!$J112)/COUNT(s_p!$J$4:$J112)</f>
        <v>7.08492153045278E-005</v>
      </c>
      <c r="X112" s="22" t="n">
        <f aca="false">W112 * 252</f>
        <v>0.017854002256741</v>
      </c>
      <c r="Y112" s="21" t="n">
        <f aca="false">STDEV(s_p!$H$4:$H112)</f>
        <v>0.00654127384404004</v>
      </c>
      <c r="Z112" s="21" t="n">
        <f aca="false">Y112*SQRT(252)</f>
        <v>0.103839503093409</v>
      </c>
      <c r="AA112" s="0" t="n">
        <f aca="false">AJ112/AK112</f>
        <v>0.0692366681584383</v>
      </c>
      <c r="AB112" s="0" t="n">
        <f aca="false">_xlfn.COVARIANCE.S($D$4:$D112,s_p!$H$4:$H112)</f>
        <v>1.58451626026022E-005</v>
      </c>
      <c r="AC112" s="0" t="n">
        <f aca="false">_xlfn.VAR.S(s_p!$H$4:$H112)</f>
        <v>4.27882635027224E-005</v>
      </c>
      <c r="AD112" s="0" t="n">
        <f aca="false">AB112/AC112</f>
        <v>0.370315626423915</v>
      </c>
      <c r="AE112" s="0" t="n">
        <f aca="false">M112-(AD112*W112)</f>
        <v>0.00180243456767463</v>
      </c>
      <c r="AF112" s="33" t="n">
        <f aca="false">MAX($E$4:E112)</f>
        <v>0.280129884293098</v>
      </c>
      <c r="AG112" s="0" t="n">
        <f aca="false">1 - ((1 + E112) / (1 + AF112))</f>
        <v>0.0631222902530292</v>
      </c>
      <c r="AH112" s="0" t="n">
        <f aca="false">MAX($AG$5:AG112)</f>
        <v>0.247763279347781</v>
      </c>
      <c r="AI112" s="19" t="n">
        <f aca="false">D112-s_p!H112</f>
        <v>-0.0147170282211519</v>
      </c>
      <c r="AJ112" s="19" t="n">
        <f aca="false">AVERAGE(AI$4:AI112)</f>
        <v>0.00197516710467525</v>
      </c>
      <c r="AK112" s="0" t="n">
        <f aca="false">STDEV(AI$4:AI112)</f>
        <v>0.0285277607546822</v>
      </c>
    </row>
    <row r="113" customFormat="false" ht="13.8" hidden="false" customHeight="false" outlineLevel="0" collapsed="false">
      <c r="A113" s="6" t="n">
        <f aca="false">WORKDAY(A112,1,holiday!$B$2:$B$10)</f>
        <v>38877</v>
      </c>
      <c r="B113" s="24" t="n">
        <v>1162266.00691116</v>
      </c>
      <c r="C113" s="24" t="n">
        <f aca="false">B113-B112</f>
        <v>-37059.1472640128</v>
      </c>
      <c r="D113" s="31" t="n">
        <f aca="false">C113/B112</f>
        <v>-0.0309</v>
      </c>
      <c r="E113" s="31" t="n">
        <f aca="false" t="array" ref="E113:E113">PRODUCT(1+$D$4:D113)-1</f>
        <v>0.162266006911159</v>
      </c>
      <c r="F113" s="0" t="n">
        <f aca="false">IF(ISBLANK(A114),MONTH(A113),IF(MONTH(A114)-MONTH(A113)=1,MONTH(A113),0))</f>
        <v>0</v>
      </c>
      <c r="G113" s="0" t="str">
        <f aca="false">IF(B114&gt;B113,IF(AND(B112&gt;B113,B114&gt;B113),"min",""),IF(AND(B112&gt;B113,B114&gt;B113),"",IF(AND(B112&lt;B113,B114&lt;B113),"max","")))</f>
        <v>min</v>
      </c>
      <c r="H113" s="0" t="n">
        <f aca="false">IF(G113="min",COUNTIF(G$4:G113,"min"),IF(G113="max",COUNTIF(G$4:G113,"max"),""))</f>
        <v>28</v>
      </c>
      <c r="I113" s="24" t="n">
        <f aca="false" t="array" ref="I113:I113">IF($G$3=0,IF(G113="min",INDEX($B$4:$B$254,(MATCH(1,($G$4:$G$254="max")*($H$4:$H$254=(H113-1)),0))),""),IF($G$3=1,IF(G113="min",INDEX($B$4:$B$254,(MATCH(1,($G$4:$G$254="max")*($H$4:$H$254=(H113)),0))),""),""))</f>
        <v>1272480.63178495</v>
      </c>
      <c r="J113" s="29" t="n">
        <f aca="false">IF(AND(G111=0,G113="min",H113=1),B113-B112,IF(G113="min",B113-I113,""))</f>
        <v>-110214.62487379</v>
      </c>
      <c r="K113" s="34" t="n">
        <f aca="false">IF(AND(G111=0,G113="min",H113=1),(B113-B112)/B112,IF(G113="min",(B113-I113)/I113,""))</f>
        <v>-0.0866139901235183</v>
      </c>
      <c r="L113" s="5"/>
      <c r="M113" s="0" t="n">
        <f aca="false">E113/COUNT($E$4:E113)</f>
        <v>0.00147514551737418</v>
      </c>
      <c r="N113" s="19" t="n">
        <f aca="false">M113*252</f>
        <v>0.371736670378292</v>
      </c>
      <c r="O113" s="20" t="n">
        <f aca="false">STDEV($D$4:$D113)</f>
        <v>0.0283769421485958</v>
      </c>
      <c r="P113" s="20" t="n">
        <f aca="false">O113*SQRT(252)</f>
        <v>0.450469991361909</v>
      </c>
      <c r="Q113" s="0" t="n">
        <f aca="false">Treasuries!J111/100</f>
        <v>0.0498</v>
      </c>
      <c r="R113" s="20" t="n">
        <f aca="false">AJ113/AK113*SQRT(252)</f>
        <v>0.955511651973777</v>
      </c>
      <c r="S113" s="32" t="n">
        <f aca="false">IF(D113&lt;s_p!H113, D113-s_p!H113, 0)</f>
        <v>-0.0264243932492268</v>
      </c>
      <c r="T113" s="0" t="n">
        <f aca="false">S113^2</f>
        <v>0.000698248558589783</v>
      </c>
      <c r="U113" s="0" t="n">
        <f aca="false">SQRT(AVERAGE(T$4:T113)) * SQRT(252)</f>
        <v>0.306323900123713</v>
      </c>
      <c r="V113" s="0" t="n">
        <f aca="false">AJ113/U113*252</f>
        <v>1.4124960514372</v>
      </c>
      <c r="W113" s="22" t="n">
        <f aca="false">(s_p!$J113)/COUNT(s_p!$J$4:$J113)</f>
        <v>2.92035868704834E-005</v>
      </c>
      <c r="X113" s="22" t="n">
        <f aca="false">W113 * 252</f>
        <v>0.00735930389136182</v>
      </c>
      <c r="Y113" s="21" t="n">
        <f aca="false">STDEV(s_p!$H$4:$H113)</f>
        <v>0.00652574581068456</v>
      </c>
      <c r="Z113" s="21" t="n">
        <f aca="false">Y113*SQRT(252)</f>
        <v>0.103593003205758</v>
      </c>
      <c r="AA113" s="0" t="n">
        <f aca="false">AJ113/AK113</f>
        <v>0.0601915763320743</v>
      </c>
      <c r="AB113" s="0" t="n">
        <f aca="false">_xlfn.COVARIANCE.S($D$4:$D113,s_p!$H$4:$H113)</f>
        <v>1.70686464088645E-005</v>
      </c>
      <c r="AC113" s="0" t="n">
        <f aca="false">_xlfn.VAR.S(s_p!$H$4:$H113)</f>
        <v>4.25853583856671E-005</v>
      </c>
      <c r="AD113" s="0" t="n">
        <f aca="false">AB113/AC113</f>
        <v>0.400810209327937</v>
      </c>
      <c r="AE113" s="0" t="n">
        <f aca="false">M113-(AD113*W113)</f>
        <v>0.00146344042160749</v>
      </c>
      <c r="AF113" s="33" t="n">
        <f aca="false">MAX($E$4:E113)</f>
        <v>0.280129884293098</v>
      </c>
      <c r="AG113" s="0" t="n">
        <f aca="false">1 - ((1 + E113) / (1 + AF113))</f>
        <v>0.0920718114842106</v>
      </c>
      <c r="AH113" s="0" t="n">
        <f aca="false">MAX($AG$5:AG113)</f>
        <v>0.247763279347781</v>
      </c>
      <c r="AI113" s="19" t="n">
        <f aca="false">D113-s_p!H113</f>
        <v>-0.0264243932492268</v>
      </c>
      <c r="AJ113" s="19" t="n">
        <f aca="false">AVERAGE(AI$4:AI113)</f>
        <v>0.00171698928327614</v>
      </c>
      <c r="AK113" s="0" t="n">
        <f aca="false">STDEV(AI$4:AI113)</f>
        <v>0.028525408170133</v>
      </c>
    </row>
    <row r="114" customFormat="false" ht="13.8" hidden="false" customHeight="false" outlineLevel="0" collapsed="false">
      <c r="A114" s="6" t="n">
        <f aca="false">WORKDAY(A113,1,holiday!$B$2:$B$10)</f>
        <v>38880</v>
      </c>
      <c r="B114" s="24" t="n">
        <v>1217241.18903806</v>
      </c>
      <c r="C114" s="24" t="n">
        <f aca="false">B114-B113</f>
        <v>54975.1821268979</v>
      </c>
      <c r="D114" s="31" t="n">
        <f aca="false">C114/B113</f>
        <v>0.0473</v>
      </c>
      <c r="E114" s="31" t="n">
        <f aca="false" t="array" ref="E114:E114">PRODUCT(1+$D$4:D114)-1</f>
        <v>0.217241189038057</v>
      </c>
      <c r="F114" s="0" t="n">
        <f aca="false">IF(ISBLANK(A115),MONTH(A114),IF(MONTH(A115)-MONTH(A114)=1,MONTH(A114),0))</f>
        <v>0</v>
      </c>
      <c r="G114" s="0" t="str">
        <f aca="false">IF(B115&gt;B114,IF(AND(B113&gt;B114,B115&gt;B114),"min",""),IF(AND(B113&gt;B114,B115&gt;B114),"",IF(AND(B113&lt;B114,B115&lt;B114),"max","")))</f>
        <v>max</v>
      </c>
      <c r="H114" s="0" t="n">
        <f aca="false">IF(G114="min",COUNTIF(G$4:G114,"min"),IF(G114="max",COUNTIF(G$4:G114,"max"),""))</f>
        <v>28</v>
      </c>
      <c r="I114" s="24" t="str">
        <f aca="false" t="array" ref="I114:I114">IF($G$3=0,IF(G114="min",INDEX($B$4:$B$254,(MATCH(1,($G$4:$G$254="max")*($H$4:$H$254=(H114-1)),0))),""),IF($G$3=1,IF(G114="min",INDEX($B$4:$B$254,(MATCH(1,($G$4:$G$254="max")*($H$4:$H$254=(H114)),0))),""),""))</f>
        <v/>
      </c>
      <c r="J114" s="29" t="str">
        <f aca="false">IF(AND(G112=0,G114="min",H114=1),B114-B113,IF(G114="min",B114-I114,""))</f>
        <v/>
      </c>
      <c r="K114" s="34" t="str">
        <f aca="false">IF(AND(G112=0,G114="min",H114=1),(B114-B113)/B113,IF(G114="min",(B114-I114)/I114,""))</f>
        <v/>
      </c>
      <c r="L114" s="5"/>
      <c r="M114" s="0" t="n">
        <f aca="false">E114/COUNT($E$4:E114)</f>
        <v>0.00195712782917169</v>
      </c>
      <c r="N114" s="19" t="n">
        <f aca="false">M114*252</f>
        <v>0.493196212951265</v>
      </c>
      <c r="O114" s="20" t="n">
        <f aca="false">STDEV($D$4:$D114)</f>
        <v>0.0285763560393575</v>
      </c>
      <c r="P114" s="20" t="n">
        <f aca="false">O114*SQRT(252)</f>
        <v>0.453635588739472</v>
      </c>
      <c r="Q114" s="0" t="n">
        <f aca="false">Treasuries!J112/100</f>
        <v>0.0499</v>
      </c>
      <c r="R114" s="20" t="n">
        <f aca="false">AJ114/AK114*SQRT(252)</f>
        <v>1.22681194015048</v>
      </c>
      <c r="S114" s="32" t="n">
        <f aca="false">IF(D114&lt;s_p!H114, D114-s_p!H114, 0)</f>
        <v>0</v>
      </c>
      <c r="T114" s="0" t="n">
        <f aca="false">S114^2</f>
        <v>0</v>
      </c>
      <c r="U114" s="0" t="n">
        <f aca="false">SQRT(AVERAGE(T$4:T114)) * SQRT(252)</f>
        <v>0.304940940915744</v>
      </c>
      <c r="V114" s="0" t="n">
        <f aca="false">AJ114/U114*252</f>
        <v>1.84660825215173</v>
      </c>
      <c r="W114" s="22" t="n">
        <f aca="false">(s_p!$J114)/COUNT(s_p!$J$4:$J114)</f>
        <v>-7.83053198757808E-005</v>
      </c>
      <c r="X114" s="22" t="n">
        <f aca="false">W114 * 252</f>
        <v>-0.0197329406086968</v>
      </c>
      <c r="Y114" s="21" t="n">
        <f aca="false">STDEV(s_p!$H$4:$H114)</f>
        <v>0.00659374810103471</v>
      </c>
      <c r="Z114" s="21" t="n">
        <f aca="false">Y114*SQRT(252)</f>
        <v>0.104672506098854</v>
      </c>
      <c r="AA114" s="0" t="n">
        <f aca="false">AJ114/AK114</f>
        <v>0.0772818880734006</v>
      </c>
      <c r="AB114" s="0" t="n">
        <f aca="false">_xlfn.COVARIANCE.S($D$4:$D114,s_p!$H$4:$H114)</f>
        <v>1.20252926243245E-005</v>
      </c>
      <c r="AC114" s="0" t="n">
        <f aca="false">_xlfn.VAR.S(s_p!$H$4:$H114)</f>
        <v>4.34775140198989E-005</v>
      </c>
      <c r="AD114" s="0" t="n">
        <f aca="false">AB114/AC114</f>
        <v>0.276586481435456</v>
      </c>
      <c r="AE114" s="0" t="n">
        <f aca="false">M114-(AD114*W114)</f>
        <v>0.00197878602207381</v>
      </c>
      <c r="AF114" s="33" t="n">
        <f aca="false">MAX($E$4:E114)</f>
        <v>0.280129884293098</v>
      </c>
      <c r="AG114" s="0" t="n">
        <f aca="false">1 - ((1 + E114) / (1 + AF114))</f>
        <v>0.0491268081674139</v>
      </c>
      <c r="AH114" s="0" t="n">
        <f aca="false">MAX($AG$5:AG114)</f>
        <v>0.247763279347781</v>
      </c>
      <c r="AI114" s="19" t="n">
        <f aca="false">D114-s_p!H114</f>
        <v>0.0591661662540924</v>
      </c>
      <c r="AJ114" s="19" t="n">
        <f aca="false">AVERAGE(AI$4:AI114)</f>
        <v>0.00223454943616637</v>
      </c>
      <c r="AK114" s="0" t="n">
        <f aca="false">STDEV(AI$4:AI114)</f>
        <v>0.0289142707544108</v>
      </c>
    </row>
    <row r="115" customFormat="false" ht="13.8" hidden="false" customHeight="false" outlineLevel="0" collapsed="false">
      <c r="A115" s="6" t="n">
        <f aca="false">WORKDAY(A114,1,holiday!$B$2:$B$10)</f>
        <v>38881</v>
      </c>
      <c r="B115" s="24" t="n">
        <v>1199104.29532139</v>
      </c>
      <c r="C115" s="24" t="n">
        <f aca="false">B115-B114</f>
        <v>-18136.8937166671</v>
      </c>
      <c r="D115" s="31" t="n">
        <f aca="false">C115/B114</f>
        <v>-0.0149</v>
      </c>
      <c r="E115" s="31" t="n">
        <f aca="false" t="array" ref="E115:E115">PRODUCT(1+$D$4:D115)-1</f>
        <v>0.19910429532139</v>
      </c>
      <c r="F115" s="0" t="n">
        <f aca="false">IF(ISBLANK(A116),MONTH(A115),IF(MONTH(A116)-MONTH(A115)=1,MONTH(A115),0))</f>
        <v>0</v>
      </c>
      <c r="G115" s="0" t="str">
        <f aca="false">IF(B116&gt;B115,IF(AND(B114&gt;B115,B116&gt;B115),"min",""),IF(AND(B114&gt;B115,B116&gt;B115),"",IF(AND(B114&lt;B115,B116&lt;B115),"max","")))</f>
        <v>min</v>
      </c>
      <c r="H115" s="0" t="n">
        <f aca="false">IF(G115="min",COUNTIF(G$4:G115,"min"),IF(G115="max",COUNTIF(G$4:G115,"max"),""))</f>
        <v>29</v>
      </c>
      <c r="I115" s="24" t="n">
        <f aca="false" t="array" ref="I115:I115">IF($G$3=0,IF(G115="min",INDEX($B$4:$B$254,(MATCH(1,($G$4:$G$254="max")*($H$4:$H$254=(H115-1)),0))),""),IF($G$3=1,IF(G115="min",INDEX($B$4:$B$254,(MATCH(1,($G$4:$G$254="max")*($H$4:$H$254=(H115)),0))),""),""))</f>
        <v>1217241.18903806</v>
      </c>
      <c r="J115" s="29" t="n">
        <f aca="false">IF(AND(G113=0,G115="min",H115=1),B115-B114,IF(G115="min",B115-I115,""))</f>
        <v>-18136.8937166699</v>
      </c>
      <c r="K115" s="34" t="n">
        <f aca="false">IF(AND(G113=0,G115="min",H115=1),(B115-B114)/B114,IF(G115="min",(B115-I115)/I115,""))</f>
        <v>-0.0149000000000023</v>
      </c>
      <c r="L115" s="5"/>
      <c r="M115" s="0" t="n">
        <f aca="false">E115/COUNT($E$4:E115)</f>
        <v>0.00177771692251241</v>
      </c>
      <c r="N115" s="19" t="n">
        <f aca="false">M115*252</f>
        <v>0.447984664473127</v>
      </c>
      <c r="O115" s="20" t="n">
        <f aca="false">STDEV($D$4:$D115)</f>
        <v>0.0284930732850148</v>
      </c>
      <c r="P115" s="20" t="n">
        <f aca="false">O115*SQRT(252)</f>
        <v>0.452313516000525</v>
      </c>
      <c r="Q115" s="0" t="n">
        <f aca="false">Treasuries!J113/100</f>
        <v>0.0497</v>
      </c>
      <c r="R115" s="20" t="n">
        <f aca="false">AJ115/AK115*SQRT(252)</f>
        <v>1.20248279559321</v>
      </c>
      <c r="S115" s="32" t="n">
        <f aca="false">IF(D115&lt;s_p!H115, D115-s_p!H115, 0)</f>
        <v>-0.0037883501422291</v>
      </c>
      <c r="T115" s="0" t="n">
        <f aca="false">S115^2</f>
        <v>1.43515968001273E-005</v>
      </c>
      <c r="U115" s="0" t="n">
        <f aca="false">SQRT(AVERAGE(T$4:T115)) * SQRT(252)</f>
        <v>0.303629724849491</v>
      </c>
      <c r="V115" s="0" t="n">
        <f aca="false">AJ115/U115*252</f>
        <v>1.8099510320834</v>
      </c>
      <c r="W115" s="22" t="n">
        <f aca="false">(s_p!$J115)/COUNT(s_p!$J$4:$J115)</f>
        <v>-0.000175954992143531</v>
      </c>
      <c r="X115" s="22" t="n">
        <f aca="false">W115 * 252</f>
        <v>-0.0443406580201698</v>
      </c>
      <c r="Y115" s="21" t="n">
        <f aca="false">STDEV(s_p!$H$4:$H115)</f>
        <v>0.00664657273351956</v>
      </c>
      <c r="Z115" s="21" t="n">
        <f aca="false">Y115*SQRT(252)</f>
        <v>0.105511071142773</v>
      </c>
      <c r="AA115" s="0" t="n">
        <f aca="false">AJ115/AK115</f>
        <v>0.0757492960231753</v>
      </c>
      <c r="AB115" s="0" t="n">
        <f aca="false">_xlfn.COVARIANCE.S($D$4:$D115,s_p!$H$4:$H115)</f>
        <v>1.36025308073663E-005</v>
      </c>
      <c r="AC115" s="0" t="n">
        <f aca="false">_xlfn.VAR.S(s_p!$H$4:$H115)</f>
        <v>4.41769291019657E-005</v>
      </c>
      <c r="AD115" s="0" t="n">
        <f aca="false">AB115/AC115</f>
        <v>0.307910284482881</v>
      </c>
      <c r="AE115" s="0" t="n">
        <f aca="false">M115-(AD115*W115)</f>
        <v>0.00183189527419951</v>
      </c>
      <c r="AF115" s="33" t="n">
        <f aca="false">MAX($E$4:E115)</f>
        <v>0.280129884293098</v>
      </c>
      <c r="AG115" s="0" t="n">
        <f aca="false">1 - ((1 + E115) / (1 + AF115))</f>
        <v>0.0632948187257195</v>
      </c>
      <c r="AH115" s="0" t="n">
        <f aca="false">MAX($AG$5:AG115)</f>
        <v>0.247763279347781</v>
      </c>
      <c r="AI115" s="19" t="n">
        <f aca="false">D115-s_p!H115</f>
        <v>-0.00378835014222911</v>
      </c>
      <c r="AJ115" s="19" t="n">
        <f aca="false">AVERAGE(AI$4:AI115)</f>
        <v>0.00218077354707356</v>
      </c>
      <c r="AK115" s="0" t="n">
        <f aca="false">STDEV(AI$4:AI115)</f>
        <v>0.0287893572820315</v>
      </c>
    </row>
    <row r="116" customFormat="false" ht="13.8" hidden="false" customHeight="false" outlineLevel="0" collapsed="false">
      <c r="A116" s="6" t="n">
        <f aca="false">WORKDAY(A115,1,holiday!$B$2:$B$10)</f>
        <v>38882</v>
      </c>
      <c r="B116" s="24" t="n">
        <v>1244430.43768454</v>
      </c>
      <c r="C116" s="24" t="n">
        <f aca="false">B116-B115</f>
        <v>45326.1423631485</v>
      </c>
      <c r="D116" s="31" t="n">
        <f aca="false">C116/B115</f>
        <v>0.0378</v>
      </c>
      <c r="E116" s="31" t="n">
        <f aca="false" t="array" ref="E116:E116">PRODUCT(1+$D$4:D116)-1</f>
        <v>0.244430437684539</v>
      </c>
      <c r="F116" s="0" t="n">
        <f aca="false">IF(ISBLANK(A117),MONTH(A116),IF(MONTH(A117)-MONTH(A116)=1,MONTH(A116),0))</f>
        <v>0</v>
      </c>
      <c r="G116" s="0" t="str">
        <f aca="false">IF(B117&gt;B116,IF(AND(B115&gt;B116,B117&gt;B116),"min",""),IF(AND(B115&gt;B116,B117&gt;B116),"",IF(AND(B115&lt;B116,B117&lt;B116),"max","")))</f>
        <v>max</v>
      </c>
      <c r="H116" s="0" t="n">
        <f aca="false">IF(G116="min",COUNTIF(G$4:G116,"min"),IF(G116="max",COUNTIF(G$4:G116,"max"),""))</f>
        <v>29</v>
      </c>
      <c r="I116" s="24" t="str">
        <f aca="false" t="array" ref="I116:I116">IF($G$3=0,IF(G116="min",INDEX($B$4:$B$254,(MATCH(1,($G$4:$G$254="max")*($H$4:$H$254=(H116-1)),0))),""),IF($G$3=1,IF(G116="min",INDEX($B$4:$B$254,(MATCH(1,($G$4:$G$254="max")*($H$4:$H$254=(H116)),0))),""),""))</f>
        <v/>
      </c>
      <c r="J116" s="29" t="str">
        <f aca="false">IF(AND(G114=0,G116="min",H116=1),B116-B115,IF(G116="min",B116-I116,""))</f>
        <v/>
      </c>
      <c r="K116" s="34" t="str">
        <f aca="false">IF(AND(G114=0,G116="min",H116=1),(B116-B115)/B115,IF(G116="min",(B116-I116)/I116,""))</f>
        <v/>
      </c>
      <c r="L116" s="5"/>
      <c r="M116" s="0" t="n">
        <f aca="false">E116/COUNT($E$4:E116)</f>
        <v>0.00216310121844724</v>
      </c>
      <c r="N116" s="19" t="n">
        <f aca="false">M116*252</f>
        <v>0.545101507048705</v>
      </c>
      <c r="O116" s="20" t="n">
        <f aca="false">STDEV($D$4:$D116)</f>
        <v>0.0285645344716627</v>
      </c>
      <c r="P116" s="20" t="n">
        <f aca="false">O116*SQRT(252)</f>
        <v>0.453447927170108</v>
      </c>
      <c r="Q116" s="0" t="n">
        <f aca="false">Treasuries!J114/100</f>
        <v>0.0505</v>
      </c>
      <c r="R116" s="20" t="n">
        <f aca="false">AJ116/AK116*SQRT(252)</f>
        <v>1.35032407322696</v>
      </c>
      <c r="S116" s="32" t="n">
        <f aca="false">IF(D116&lt;s_p!H116, D116-s_p!H116, 0)</f>
        <v>0</v>
      </c>
      <c r="T116" s="0" t="n">
        <f aca="false">S116^2</f>
        <v>0</v>
      </c>
      <c r="U116" s="0" t="n">
        <f aca="false">SQRT(AVERAGE(T$4:T116)) * SQRT(252)</f>
        <v>0.302283244933989</v>
      </c>
      <c r="V116" s="0" t="n">
        <f aca="false">AJ116/U116*252</f>
        <v>2.04250994841538</v>
      </c>
      <c r="W116" s="22" t="n">
        <f aca="false">(s_p!$J116)/COUNT(s_p!$J$4:$J116)</f>
        <v>-0.000129380532391314</v>
      </c>
      <c r="X116" s="22" t="n">
        <f aca="false">W116 * 252</f>
        <v>-0.0326038941626111</v>
      </c>
      <c r="Y116" s="21" t="n">
        <f aca="false">STDEV(s_p!$H$4:$H116)</f>
        <v>0.00663591102379908</v>
      </c>
      <c r="Z116" s="21" t="n">
        <f aca="false">Y116*SQRT(252)</f>
        <v>0.105341821747946</v>
      </c>
      <c r="AA116" s="0" t="n">
        <f aca="false">AJ116/AK116</f>
        <v>0.0850624211214837</v>
      </c>
      <c r="AB116" s="0" t="n">
        <f aca="false">_xlfn.COVARIANCE.S($D$4:$D116,s_p!$H$4:$H116)</f>
        <v>1.51732676297921E-005</v>
      </c>
      <c r="AC116" s="0" t="n">
        <f aca="false">_xlfn.VAR.S(s_p!$H$4:$H116)</f>
        <v>4.40353151157782E-005</v>
      </c>
      <c r="AD116" s="0" t="n">
        <f aca="false">AB116/AC116</f>
        <v>0.344570433750692</v>
      </c>
      <c r="AE116" s="0" t="n">
        <f aca="false">M116-(AD116*W116)</f>
        <v>0.00220768192461221</v>
      </c>
      <c r="AF116" s="33" t="n">
        <f aca="false">MAX($E$4:E116)</f>
        <v>0.280129884293098</v>
      </c>
      <c r="AG116" s="0" t="n">
        <f aca="false">1 - ((1 + E116) / (1 + AF116))</f>
        <v>0.0278873628735518</v>
      </c>
      <c r="AH116" s="0" t="n">
        <f aca="false">MAX($AG$5:AG116)</f>
        <v>0.247763279347781</v>
      </c>
      <c r="AI116" s="19" t="n">
        <f aca="false">D116-s_p!H116</f>
        <v>0.0326107772393335</v>
      </c>
      <c r="AJ116" s="19" t="n">
        <f aca="false">AVERAGE(AI$4:AI116)</f>
        <v>0.00245006561514665</v>
      </c>
      <c r="AK116" s="0" t="n">
        <f aca="false">STDEV(AI$4:AI116)</f>
        <v>0.0288031492972383</v>
      </c>
    </row>
    <row r="117" customFormat="false" ht="13.8" hidden="false" customHeight="false" outlineLevel="0" collapsed="false">
      <c r="A117" s="6" t="n">
        <f aca="false">WORKDAY(A116,1,holiday!$B$2:$B$10)</f>
        <v>38883</v>
      </c>
      <c r="B117" s="24" t="n">
        <v>1205106.43585371</v>
      </c>
      <c r="C117" s="24" t="n">
        <f aca="false">B117-B116</f>
        <v>-39324.0018308314</v>
      </c>
      <c r="D117" s="31" t="n">
        <f aca="false">C117/B116</f>
        <v>-0.0316</v>
      </c>
      <c r="E117" s="31" t="n">
        <f aca="false" t="array" ref="E117:E117">PRODUCT(1+$D$4:D117)-1</f>
        <v>0.205106435853707</v>
      </c>
      <c r="F117" s="0" t="n">
        <f aca="false">IF(ISBLANK(A118),MONTH(A117),IF(MONTH(A118)-MONTH(A117)=1,MONTH(A117),0))</f>
        <v>0</v>
      </c>
      <c r="G117" s="0" t="str">
        <f aca="false">IF(B118&gt;B117,IF(AND(B116&gt;B117,B118&gt;B117),"min",""),IF(AND(B116&gt;B117,B118&gt;B117),"",IF(AND(B116&lt;B117,B118&lt;B117),"max","")))</f>
        <v/>
      </c>
      <c r="H117" s="0" t="str">
        <f aca="false">IF(G117="min",COUNTIF(G$4:G117,"min"),IF(G117="max",COUNTIF(G$4:G117,"max"),""))</f>
        <v/>
      </c>
      <c r="I117" s="24" t="str">
        <f aca="false" t="array" ref="I117:I117">IF($G$3=0,IF(G117="min",INDEX($B$4:$B$254,(MATCH(1,($G$4:$G$254="max")*($H$4:$H$254=(H117-1)),0))),""),IF($G$3=1,IF(G117="min",INDEX($B$4:$B$254,(MATCH(1,($G$4:$G$254="max")*($H$4:$H$254=(H117)),0))),""),""))</f>
        <v/>
      </c>
      <c r="J117" s="29" t="str">
        <f aca="false">IF(AND(G115=0,G117="min",H117=1),B117-B116,IF(G117="min",B117-I117,""))</f>
        <v/>
      </c>
      <c r="K117" s="34" t="str">
        <f aca="false">IF(AND(G115=0,G117="min",H117=1),(B117-B116)/B116,IF(G117="min",(B117-I117)/I117,""))</f>
        <v/>
      </c>
      <c r="L117" s="5"/>
      <c r="M117" s="0" t="n">
        <f aca="false">E117/COUNT($E$4:E117)</f>
        <v>0.00179917926187462</v>
      </c>
      <c r="N117" s="19" t="n">
        <f aca="false">M117*252</f>
        <v>0.453393173992405</v>
      </c>
      <c r="O117" s="20" t="n">
        <f aca="false">STDEV($D$4:$D117)</f>
        <v>0.0286149878269083</v>
      </c>
      <c r="P117" s="20" t="n">
        <f aca="false">O117*SQRT(252)</f>
        <v>0.45424884935484</v>
      </c>
      <c r="Q117" s="0" t="n">
        <f aca="false">Treasuries!J115/100</f>
        <v>0.051</v>
      </c>
      <c r="R117" s="20" t="n">
        <f aca="false">AJ117/AK117*SQRT(252)</f>
        <v>1.07055682706532</v>
      </c>
      <c r="S117" s="32" t="n">
        <f aca="false">IF(D117&lt;s_p!H117, D117-s_p!H117, 0)</f>
        <v>-0.0528350817859583</v>
      </c>
      <c r="T117" s="0" t="n">
        <f aca="false">S117^2</f>
        <v>0.0027915458673289</v>
      </c>
      <c r="U117" s="0" t="n">
        <f aca="false">SQRT(AVERAGE(T$4:T117)) * SQRT(252)</f>
        <v>0.31103763321596</v>
      </c>
      <c r="V117" s="0" t="n">
        <f aca="false">AJ117/U117*252</f>
        <v>1.59211365098924</v>
      </c>
      <c r="W117" s="22" t="n">
        <f aca="false">(s_p!$J117)/COUNT(s_p!$J$4:$J117)</f>
        <v>5.53037256721663E-005</v>
      </c>
      <c r="X117" s="22" t="n">
        <f aca="false">W117 * 252</f>
        <v>0.0139365388693859</v>
      </c>
      <c r="Y117" s="21" t="n">
        <f aca="false">STDEV(s_p!$H$4:$H117)</f>
        <v>0.00690229318167545</v>
      </c>
      <c r="Z117" s="21" t="n">
        <f aca="false">Y117*SQRT(252)</f>
        <v>0.10957050740862</v>
      </c>
      <c r="AA117" s="0" t="n">
        <f aca="false">AJ117/AK117</f>
        <v>0.0674387411613626</v>
      </c>
      <c r="AB117" s="0" t="n">
        <f aca="false">_xlfn.COVARIANCE.S($D$4:$D117,s_p!$H$4:$H117)</f>
        <v>8.68430462984888E-006</v>
      </c>
      <c r="AC117" s="0" t="n">
        <f aca="false">_xlfn.VAR.S(s_p!$H$4:$H117)</f>
        <v>4.76416511658035E-005</v>
      </c>
      <c r="AD117" s="0" t="n">
        <f aca="false">AB117/AC117</f>
        <v>0.182283871724462</v>
      </c>
      <c r="AE117" s="0" t="n">
        <f aca="false">M117-(AD117*W117)</f>
        <v>0.00178909828463831</v>
      </c>
      <c r="AF117" s="33" t="n">
        <f aca="false">MAX($E$4:E117)</f>
        <v>0.280129884293098</v>
      </c>
      <c r="AG117" s="0" t="n">
        <f aca="false">1 - ((1 + E117) / (1 + AF117))</f>
        <v>0.0586061222067474</v>
      </c>
      <c r="AH117" s="0" t="n">
        <f aca="false">MAX($AG$5:AG117)</f>
        <v>0.247763279347781</v>
      </c>
      <c r="AI117" s="19" t="n">
        <f aca="false">D117-s_p!H117</f>
        <v>-0.0528350817859583</v>
      </c>
      <c r="AJ117" s="19" t="n">
        <f aca="false">AVERAGE(AI$4:AI117)</f>
        <v>0.00196510818180363</v>
      </c>
      <c r="AK117" s="0" t="n">
        <f aca="false">STDEV(AI$4:AI117)</f>
        <v>0.0291391587085182</v>
      </c>
    </row>
    <row r="118" customFormat="false" ht="13.8" hidden="false" customHeight="false" outlineLevel="0" collapsed="false">
      <c r="A118" s="6" t="n">
        <f aca="false">WORKDAY(A117,1,holiday!$B$2:$B$10)</f>
        <v>38884</v>
      </c>
      <c r="B118" s="24" t="n">
        <v>1169917.32792678</v>
      </c>
      <c r="C118" s="24" t="n">
        <f aca="false">B118-B117</f>
        <v>-35189.1079269282</v>
      </c>
      <c r="D118" s="31" t="n">
        <f aca="false">C118/B117</f>
        <v>-0.0292</v>
      </c>
      <c r="E118" s="31" t="n">
        <f aca="false" t="array" ref="E118:E118">PRODUCT(1+$D$4:D118)-1</f>
        <v>0.169917327926779</v>
      </c>
      <c r="F118" s="0" t="n">
        <f aca="false">IF(ISBLANK(A119),MONTH(A118),IF(MONTH(A119)-MONTH(A118)=1,MONTH(A118),0))</f>
        <v>0</v>
      </c>
      <c r="G118" s="0" t="str">
        <f aca="false">IF(B119&gt;B118,IF(AND(B117&gt;B118,B119&gt;B118),"min",""),IF(AND(B117&gt;B118,B119&gt;B118),"",IF(AND(B117&lt;B118,B119&lt;B118),"max","")))</f>
        <v/>
      </c>
      <c r="H118" s="0" t="str">
        <f aca="false">IF(G118="min",COUNTIF(G$4:G118,"min"),IF(G118="max",COUNTIF(G$4:G118,"max"),""))</f>
        <v/>
      </c>
      <c r="I118" s="24" t="str">
        <f aca="false" t="array" ref="I118:I118">IF($G$3=0,IF(G118="min",INDEX($B$4:$B$254,(MATCH(1,($G$4:$G$254="max")*($H$4:$H$254=(H118-1)),0))),""),IF($G$3=1,IF(G118="min",INDEX($B$4:$B$254,(MATCH(1,($G$4:$G$254="max")*($H$4:$H$254=(H118)),0))),""),""))</f>
        <v/>
      </c>
      <c r="J118" s="29" t="str">
        <f aca="false">IF(AND(G116=0,G118="min",H118=1),B118-B117,IF(G118="min",B118-I118,""))</f>
        <v/>
      </c>
      <c r="K118" s="34" t="str">
        <f aca="false">IF(AND(G116=0,G118="min",H118=1),(B118-B117)/B117,IF(G118="min",(B118-I118)/I118,""))</f>
        <v/>
      </c>
      <c r="L118" s="5"/>
      <c r="M118" s="0" t="n">
        <f aca="false">E118/COUNT($E$4:E118)</f>
        <v>0.00147754198197199</v>
      </c>
      <c r="N118" s="19" t="n">
        <f aca="false">M118*252</f>
        <v>0.372340579456942</v>
      </c>
      <c r="O118" s="20" t="n">
        <f aca="false">STDEV($D$4:$D118)</f>
        <v>0.0286377972170203</v>
      </c>
      <c r="P118" s="20" t="n">
        <f aca="false">O118*SQRT(252)</f>
        <v>0.4546109371976</v>
      </c>
      <c r="Q118" s="0" t="n">
        <f aca="false">Treasuries!J116/100</f>
        <v>0.0513</v>
      </c>
      <c r="R118" s="20" t="n">
        <f aca="false">AJ118/AK118*SQRT(252)</f>
        <v>0.940829855859789</v>
      </c>
      <c r="S118" s="32" t="n">
        <f aca="false">IF(D118&lt;s_p!H118, D118-s_p!H118, 0)</f>
        <v>-0.0255221245701184</v>
      </c>
      <c r="T118" s="0" t="n">
        <f aca="false">S118^2</f>
        <v>0.00065137884257264</v>
      </c>
      <c r="U118" s="0" t="n">
        <f aca="false">SQRT(AVERAGE(T$4:T118)) * SQRT(252)</f>
        <v>0.311978401229248</v>
      </c>
      <c r="V118" s="0" t="n">
        <f aca="false">AJ118/U118*252</f>
        <v>1.39424513832255</v>
      </c>
      <c r="W118" s="22" t="n">
        <f aca="false">(s_p!$J118)/COUNT(s_p!$J$4:$J118)</f>
        <v>2.26396667162481E-005</v>
      </c>
      <c r="X118" s="22" t="n">
        <f aca="false">W118 * 252</f>
        <v>0.00570519601249451</v>
      </c>
      <c r="Y118" s="21" t="n">
        <f aca="false">STDEV(s_p!$H$4:$H118)</f>
        <v>0.00688087618872557</v>
      </c>
      <c r="Z118" s="21" t="n">
        <f aca="false">Y118*SQRT(252)</f>
        <v>0.109230523185563</v>
      </c>
      <c r="AA118" s="0" t="n">
        <f aca="false">AJ118/AK118</f>
        <v>0.0592667101102322</v>
      </c>
      <c r="AB118" s="0" t="n">
        <f aca="false">_xlfn.COVARIANCE.S($D$4:$D118,s_p!$H$4:$H118)</f>
        <v>9.62874846280213E-006</v>
      </c>
      <c r="AC118" s="0" t="n">
        <f aca="false">_xlfn.VAR.S(s_p!$H$4:$H118)</f>
        <v>4.73464571245706E-005</v>
      </c>
      <c r="AD118" s="0" t="n">
        <f aca="false">AB118/AC118</f>
        <v>0.203367876871304</v>
      </c>
      <c r="AE118" s="0" t="n">
        <f aca="false">M118-(AD118*W118)</f>
        <v>0.00147293780101883</v>
      </c>
      <c r="AF118" s="33" t="n">
        <f aca="false">MAX($E$4:E118)</f>
        <v>0.280129884293098</v>
      </c>
      <c r="AG118" s="0" t="n">
        <f aca="false">1 - ((1 + E118) / (1 + AF118))</f>
        <v>0.0860948234383104</v>
      </c>
      <c r="AH118" s="0" t="n">
        <f aca="false">MAX($AG$5:AG118)</f>
        <v>0.247763279347781</v>
      </c>
      <c r="AI118" s="19" t="n">
        <f aca="false">D118-s_p!H118</f>
        <v>-0.0255221245701183</v>
      </c>
      <c r="AJ118" s="19" t="n">
        <f aca="false">AVERAGE(AI$4:AI118)</f>
        <v>0.00172608876656952</v>
      </c>
      <c r="AK118" s="0" t="n">
        <f aca="false">STDEV(AI$4:AI118)</f>
        <v>0.0291240860739378</v>
      </c>
    </row>
    <row r="119" customFormat="false" ht="13.8" hidden="false" customHeight="false" outlineLevel="0" collapsed="false">
      <c r="A119" s="6" t="n">
        <f aca="false">WORKDAY(A118,1,holiday!$B$2:$B$10)</f>
        <v>38887</v>
      </c>
      <c r="B119" s="24" t="n">
        <v>1116920.0729717</v>
      </c>
      <c r="C119" s="24" t="n">
        <f aca="false">B119-B118</f>
        <v>-52997.2549550831</v>
      </c>
      <c r="D119" s="31" t="n">
        <f aca="false">C119/B118</f>
        <v>-0.0453</v>
      </c>
      <c r="E119" s="31" t="n">
        <f aca="false" t="array" ref="E119:E119">PRODUCT(1+$D$4:D119)-1</f>
        <v>0.116920072971696</v>
      </c>
      <c r="F119" s="0" t="n">
        <f aca="false">IF(ISBLANK(A120),MONTH(A119),IF(MONTH(A120)-MONTH(A119)=1,MONTH(A119),0))</f>
        <v>0</v>
      </c>
      <c r="G119" s="0" t="str">
        <f aca="false">IF(B120&gt;B119,IF(AND(B118&gt;B119,B120&gt;B119),"min",""),IF(AND(B118&gt;B119,B120&gt;B119),"",IF(AND(B118&lt;B119,B120&lt;B119),"max","")))</f>
        <v/>
      </c>
      <c r="H119" s="0" t="str">
        <f aca="false">IF(G119="min",COUNTIF(G$4:G119,"min"),IF(G119="max",COUNTIF(G$4:G119,"max"),""))</f>
        <v/>
      </c>
      <c r="I119" s="24" t="str">
        <f aca="false" t="array" ref="I119:I119">IF($G$3=0,IF(G119="min",INDEX($B$4:$B$254,(MATCH(1,($G$4:$G$254="max")*($H$4:$H$254=(H119-1)),0))),""),IF($G$3=1,IF(G119="min",INDEX($B$4:$B$254,(MATCH(1,($G$4:$G$254="max")*($H$4:$H$254=(H119)),0))),""),""))</f>
        <v/>
      </c>
      <c r="J119" s="29" t="str">
        <f aca="false">IF(AND(G117=0,G119="min",H119=1),B119-B118,IF(G119="min",B119-I119,""))</f>
        <v/>
      </c>
      <c r="K119" s="34" t="str">
        <f aca="false">IF(AND(G117=0,G119="min",H119=1),(B119-B118)/B118,IF(G119="min",(B119-I119)/I119,""))</f>
        <v/>
      </c>
      <c r="L119" s="5"/>
      <c r="M119" s="0" t="n">
        <f aca="false">E119/COUNT($E$4:E119)</f>
        <v>0.0010079316635491</v>
      </c>
      <c r="N119" s="19" t="n">
        <f aca="false">M119*252</f>
        <v>0.253998779214374</v>
      </c>
      <c r="O119" s="20" t="n">
        <f aca="false">STDEV($D$4:$D119)</f>
        <v>0.0288460318843383</v>
      </c>
      <c r="P119" s="20" t="n">
        <f aca="false">O119*SQRT(252)</f>
        <v>0.457916560061995</v>
      </c>
      <c r="Q119" s="0" t="n">
        <f aca="false">Treasuries!J117/100</f>
        <v>0.0514</v>
      </c>
      <c r="R119" s="20" t="n">
        <f aca="false">AJ119/AK119*SQRT(252)</f>
        <v>0.760456357550215</v>
      </c>
      <c r="S119" s="32" t="n">
        <f aca="false">IF(D119&lt;s_p!H119, D119-s_p!H119, 0)</f>
        <v>-0.0361832318583506</v>
      </c>
      <c r="T119" s="0" t="n">
        <f aca="false">S119^2</f>
        <v>0.00130922626771516</v>
      </c>
      <c r="U119" s="0" t="n">
        <f aca="false">SQRT(AVERAGE(T$4:T119)) * SQRT(252)</f>
        <v>0.315175582500471</v>
      </c>
      <c r="V119" s="0" t="n">
        <f aca="false">AJ119/U119*252</f>
        <v>1.11880379617363</v>
      </c>
      <c r="W119" s="22" t="n">
        <f aca="false">(s_p!$J119)/COUNT(s_p!$J$4:$J119)</f>
        <v>-5.63529529085365E-005</v>
      </c>
      <c r="X119" s="22" t="n">
        <f aca="false">W119 * 252</f>
        <v>-0.0142009441329512</v>
      </c>
      <c r="Y119" s="21" t="n">
        <f aca="false">STDEV(s_p!$H$4:$H119)</f>
        <v>0.00690351530979743</v>
      </c>
      <c r="Z119" s="21" t="n">
        <f aca="false">Y119*SQRT(252)</f>
        <v>0.109589908091106</v>
      </c>
      <c r="AA119" s="0" t="n">
        <f aca="false">AJ119/AK119</f>
        <v>0.0479042477379974</v>
      </c>
      <c r="AB119" s="0" t="n">
        <f aca="false">_xlfn.COVARIANCE.S($D$4:$D119,s_p!$H$4:$H119)</f>
        <v>1.32632566249396E-005</v>
      </c>
      <c r="AC119" s="0" t="n">
        <f aca="false">_xlfn.VAR.S(s_p!$H$4:$H119)</f>
        <v>4.76585236326075E-005</v>
      </c>
      <c r="AD119" s="0" t="n">
        <f aca="false">AB119/AC119</f>
        <v>0.27829768137981</v>
      </c>
      <c r="AE119" s="0" t="n">
        <f aca="false">M119-(AD119*W119)</f>
        <v>0.00102361455968245</v>
      </c>
      <c r="AF119" s="33" t="n">
        <f aca="false">MAX($E$4:E119)</f>
        <v>0.280129884293098</v>
      </c>
      <c r="AG119" s="0" t="n">
        <f aca="false">1 - ((1 + E119) / (1 + AF119))</f>
        <v>0.127494727936555</v>
      </c>
      <c r="AH119" s="0" t="n">
        <f aca="false">MAX($AG$5:AG119)</f>
        <v>0.247763279347781</v>
      </c>
      <c r="AI119" s="19" t="n">
        <f aca="false">D119-s_p!H119</f>
        <v>-0.0361832318583506</v>
      </c>
      <c r="AJ119" s="19" t="n">
        <f aca="false">AVERAGE(AI$4:AI119)</f>
        <v>0.00139928427842366</v>
      </c>
      <c r="AK119" s="0" t="n">
        <f aca="false">STDEV(AI$4:AI119)</f>
        <v>0.0292100250916529</v>
      </c>
    </row>
    <row r="120" customFormat="false" ht="13.8" hidden="false" customHeight="false" outlineLevel="0" collapsed="false">
      <c r="A120" s="6" t="n">
        <f aca="false">WORKDAY(A119,1,holiday!$B$2:$B$10)</f>
        <v>38888</v>
      </c>
      <c r="B120" s="24" t="n">
        <v>1066546.97768067</v>
      </c>
      <c r="C120" s="24" t="n">
        <f aca="false">B120-B119</f>
        <v>-50373.0952910234</v>
      </c>
      <c r="D120" s="31" t="n">
        <f aca="false">C120/B119</f>
        <v>-0.0450999999999999</v>
      </c>
      <c r="E120" s="31" t="n">
        <f aca="false" t="array" ref="E120:E120">PRODUCT(1+$D$4:D120)-1</f>
        <v>0.0665469776806726</v>
      </c>
      <c r="F120" s="0" t="n">
        <f aca="false">IF(ISBLANK(A121),MONTH(A120),IF(MONTH(A121)-MONTH(A120)=1,MONTH(A120),0))</f>
        <v>0</v>
      </c>
      <c r="G120" s="0" t="str">
        <f aca="false">IF(B121&gt;B120,IF(AND(B119&gt;B120,B121&gt;B120),"min",""),IF(AND(B119&gt;B120,B121&gt;B120),"",IF(AND(B119&lt;B120,B121&lt;B120),"max","")))</f>
        <v>min</v>
      </c>
      <c r="H120" s="0" t="n">
        <f aca="false">IF(G120="min",COUNTIF(G$4:G120,"min"),IF(G120="max",COUNTIF(G$4:G120,"max"),""))</f>
        <v>30</v>
      </c>
      <c r="I120" s="24" t="n">
        <f aca="false" t="array" ref="I120:I120">IF($G$3=0,IF(G120="min",INDEX($B$4:$B$254,(MATCH(1,($G$4:$G$254="max")*($H$4:$H$254=(H120-1)),0))),""),IF($G$3=1,IF(G120="min",INDEX($B$4:$B$254,(MATCH(1,($G$4:$G$254="max")*($H$4:$H$254=(H120)),0))),""),""))</f>
        <v>1244430.43768454</v>
      </c>
      <c r="J120" s="29" t="n">
        <f aca="false">IF(AND(G118=0,G120="min",H120=1),B120-B119,IF(G120="min",B120-I120,""))</f>
        <v>-177883.46000387</v>
      </c>
      <c r="K120" s="34" t="n">
        <f aca="false">IF(AND(G118=0,G120="min",H120=1),(B120-B119)/B119,IF(G120="min",(B120-I120)/I120,""))</f>
        <v>-0.142943674967361</v>
      </c>
      <c r="L120" s="5"/>
      <c r="M120" s="0" t="n">
        <f aca="false">E120/COUNT($E$4:E120)</f>
        <v>0.000568777587014296</v>
      </c>
      <c r="N120" s="19" t="n">
        <f aca="false">M120*252</f>
        <v>0.143331951927603</v>
      </c>
      <c r="O120" s="20" t="n">
        <f aca="false">STDEV($D$4:$D120)</f>
        <v>0.0290409089031391</v>
      </c>
      <c r="P120" s="20" t="n">
        <f aca="false">O120*SQRT(252)</f>
        <v>0.461010136829926</v>
      </c>
      <c r="Q120" s="0" t="n">
        <f aca="false">Treasuries!J118/100</f>
        <v>0.0515</v>
      </c>
      <c r="R120" s="20" t="n">
        <f aca="false">AJ120/AK120*SQRT(252)</f>
        <v>0.540992813799424</v>
      </c>
      <c r="S120" s="32" t="n">
        <f aca="false">IF(D120&lt;s_p!H120, D120-s_p!H120, 0)</f>
        <v>-0.0450919363292555</v>
      </c>
      <c r="T120" s="0" t="n">
        <f aca="false">S120^2</f>
        <v>0.00203328272192164</v>
      </c>
      <c r="U120" s="0" t="n">
        <f aca="false">SQRT(AVERAGE(T$4:T120)) * SQRT(252)</f>
        <v>0.3207273037083</v>
      </c>
      <c r="V120" s="0" t="n">
        <f aca="false">AJ120/U120*252</f>
        <v>0.787225467086934</v>
      </c>
      <c r="W120" s="22" t="n">
        <f aca="false">(s_p!$J120)/COUNT(s_p!$J$4:$J120)</f>
        <v>-5.59397734733529E-005</v>
      </c>
      <c r="X120" s="22" t="n">
        <f aca="false">W120 * 252</f>
        <v>-0.0140968229152849</v>
      </c>
      <c r="Y120" s="21" t="n">
        <f aca="false">STDEV(s_p!$H$4:$H120)</f>
        <v>0.00687369475356747</v>
      </c>
      <c r="Z120" s="21" t="n">
        <f aca="false">Y120*SQRT(252)</f>
        <v>0.109116521436654</v>
      </c>
      <c r="AA120" s="0" t="n">
        <f aca="false">AJ120/AK120</f>
        <v>0.0340793439615799</v>
      </c>
      <c r="AB120" s="0" t="n">
        <f aca="false">_xlfn.COVARIANCE.S($D$4:$D120,s_p!$H$4:$H120)</f>
        <v>1.31390525207633E-005</v>
      </c>
      <c r="AC120" s="0" t="n">
        <f aca="false">_xlfn.VAR.S(s_p!$H$4:$H120)</f>
        <v>4.7247679565221E-005</v>
      </c>
      <c r="AD120" s="0" t="n">
        <f aca="false">AB120/AC120</f>
        <v>0.278088842492805</v>
      </c>
      <c r="AE120" s="0" t="n">
        <f aca="false">M120-(AD120*W120)</f>
        <v>0.000584333813868811</v>
      </c>
      <c r="AF120" s="33" t="n">
        <f aca="false">MAX($E$4:E120)</f>
        <v>0.280129884293098</v>
      </c>
      <c r="AG120" s="0" t="n">
        <f aca="false">1 - ((1 + E120) / (1 + AF120))</f>
        <v>0.166844715706616</v>
      </c>
      <c r="AH120" s="0" t="n">
        <f aca="false">MAX($AG$5:AG120)</f>
        <v>0.247763279347781</v>
      </c>
      <c r="AI120" s="19" t="n">
        <f aca="false">D120-s_p!H120</f>
        <v>-0.0450919363292556</v>
      </c>
      <c r="AJ120" s="19" t="n">
        <f aca="false">AVERAGE(AI$4:AI120)</f>
        <v>0.00100192341852897</v>
      </c>
      <c r="AK120" s="0" t="n">
        <f aca="false">STDEV(AI$4:AI120)</f>
        <v>0.0293997272851998</v>
      </c>
    </row>
    <row r="121" customFormat="false" ht="13.8" hidden="false" customHeight="false" outlineLevel="0" collapsed="false">
      <c r="A121" s="6" t="n">
        <f aca="false">WORKDAY(A120,1,holiday!$B$2:$B$10)</f>
        <v>38889</v>
      </c>
      <c r="B121" s="24" t="n">
        <v>1076465.8645731</v>
      </c>
      <c r="C121" s="24" t="n">
        <f aca="false">B121-B120</f>
        <v>9918.88689243025</v>
      </c>
      <c r="D121" s="31" t="n">
        <f aca="false">C121/B120</f>
        <v>0.0093</v>
      </c>
      <c r="E121" s="31" t="n">
        <f aca="false" t="array" ref="E121:E121">PRODUCT(1+$D$4:D121)-1</f>
        <v>0.0764658645731029</v>
      </c>
      <c r="F121" s="0" t="n">
        <f aca="false">IF(ISBLANK(A122),MONTH(A121),IF(MONTH(A122)-MONTH(A121)=1,MONTH(A121),0))</f>
        <v>0</v>
      </c>
      <c r="G121" s="0" t="str">
        <f aca="false">IF(B122&gt;B121,IF(AND(B120&gt;B121,B122&gt;B121),"min",""),IF(AND(B120&gt;B121,B122&gt;B121),"",IF(AND(B120&lt;B121,B122&lt;B121),"max","")))</f>
        <v/>
      </c>
      <c r="H121" s="0" t="str">
        <f aca="false">IF(G121="min",COUNTIF(G$4:G121,"min"),IF(G121="max",COUNTIF(G$4:G121,"max"),""))</f>
        <v/>
      </c>
      <c r="I121" s="24" t="str">
        <f aca="false" t="array" ref="I121:I121">IF($G$3=0,IF(G121="min",INDEX($B$4:$B$254,(MATCH(1,($G$4:$G$254="max")*($H$4:$H$254=(H121-1)),0))),""),IF($G$3=1,IF(G121="min",INDEX($B$4:$B$254,(MATCH(1,($G$4:$G$254="max")*($H$4:$H$254=(H121)),0))),""),""))</f>
        <v/>
      </c>
      <c r="J121" s="29" t="str">
        <f aca="false">IF(AND(G119=0,G121="min",H121=1),B121-B120,IF(G121="min",B121-I121,""))</f>
        <v/>
      </c>
      <c r="K121" s="34" t="str">
        <f aca="false">IF(AND(G119=0,G121="min",H121=1),(B121-B120)/B120,IF(G121="min",(B121-I121)/I121,""))</f>
        <v/>
      </c>
      <c r="L121" s="5"/>
      <c r="M121" s="0" t="n">
        <f aca="false">E121/COUNT($E$4:E121)</f>
        <v>0.000648015801466974</v>
      </c>
      <c r="N121" s="19" t="n">
        <f aca="false">M121*252</f>
        <v>0.163299981969677</v>
      </c>
      <c r="O121" s="20" t="n">
        <f aca="false">STDEV($D$4:$D121)</f>
        <v>0.0289267041319408</v>
      </c>
      <c r="P121" s="20" t="n">
        <f aca="false">O121*SQRT(252)</f>
        <v>0.459197192291159</v>
      </c>
      <c r="Q121" s="0" t="n">
        <f aca="false">Treasuries!J119/100</f>
        <v>0.0516</v>
      </c>
      <c r="R121" s="20" t="n">
        <f aca="false">AJ121/AK121*SQRT(252)</f>
        <v>0.53668313534932</v>
      </c>
      <c r="S121" s="32" t="n">
        <f aca="false">IF(D121&lt;s_p!H121, D121-s_p!H121, 0)</f>
        <v>-0.00044099280714791</v>
      </c>
      <c r="T121" s="0" t="n">
        <f aca="false">S121^2</f>
        <v>1.94474655956194E-007</v>
      </c>
      <c r="U121" s="0" t="n">
        <f aca="false">SQRT(AVERAGE(T$4:T121)) * SQRT(252)</f>
        <v>0.319366048401677</v>
      </c>
      <c r="V121" s="0" t="n">
        <f aca="false">AJ121/U121*252</f>
        <v>0.780932164231009</v>
      </c>
      <c r="W121" s="22" t="n">
        <f aca="false">(s_p!$J121)/COUNT(s_p!$J$4:$J121)</f>
        <v>2.65447878460523E-005</v>
      </c>
      <c r="X121" s="22" t="n">
        <f aca="false">W121 * 252</f>
        <v>0.00668928653720519</v>
      </c>
      <c r="Y121" s="21" t="n">
        <f aca="false">STDEV(s_p!$H$4:$H121)</f>
        <v>0.00690314323531061</v>
      </c>
      <c r="Z121" s="21" t="n">
        <f aca="false">Y121*SQRT(252)</f>
        <v>0.109584001591738</v>
      </c>
      <c r="AA121" s="0" t="n">
        <f aca="false">AJ121/AK121</f>
        <v>0.0338078597375411</v>
      </c>
      <c r="AB121" s="0" t="n">
        <f aca="false">_xlfn.COVARIANCE.S($D$4:$D121,s_p!$H$4:$H121)</f>
        <v>1.37167725712448E-005</v>
      </c>
      <c r="AC121" s="0" t="n">
        <f aca="false">_xlfn.VAR.S(s_p!$H$4:$H121)</f>
        <v>4.76533865272147E-005</v>
      </c>
      <c r="AD121" s="0" t="n">
        <f aca="false">AB121/AC121</f>
        <v>0.287844654301981</v>
      </c>
      <c r="AE121" s="0" t="n">
        <f aca="false">M121-(AD121*W121)</f>
        <v>0.000640375026185907</v>
      </c>
      <c r="AF121" s="33" t="n">
        <f aca="false">MAX($E$4:E121)</f>
        <v>0.280129884293098</v>
      </c>
      <c r="AG121" s="0" t="n">
        <f aca="false">1 - ((1 + E121) / (1 + AF121))</f>
        <v>0.159096371562688</v>
      </c>
      <c r="AH121" s="0" t="n">
        <f aca="false">MAX($AG$5:AG121)</f>
        <v>0.247763279347781</v>
      </c>
      <c r="AI121" s="19" t="n">
        <f aca="false">D121-s_p!H121</f>
        <v>-0.00044099280714791</v>
      </c>
      <c r="AJ121" s="19" t="n">
        <f aca="false">AVERAGE(AI$4:AI121)</f>
        <v>0.000989695314921536</v>
      </c>
      <c r="AK121" s="0" t="n">
        <f aca="false">STDEV(AI$4:AI121)</f>
        <v>0.0292741191724288</v>
      </c>
    </row>
    <row r="122" customFormat="false" ht="13.8" hidden="false" customHeight="false" outlineLevel="0" collapsed="false">
      <c r="A122" s="6" t="n">
        <f aca="false">WORKDAY(A121,1,holiday!$B$2:$B$10)</f>
        <v>38890</v>
      </c>
      <c r="B122" s="24" t="n">
        <v>1119201.55939665</v>
      </c>
      <c r="C122" s="24" t="n">
        <f aca="false">B122-B121</f>
        <v>42735.6948235522</v>
      </c>
      <c r="D122" s="31" t="n">
        <f aca="false">C122/B121</f>
        <v>0.0397</v>
      </c>
      <c r="E122" s="31" t="n">
        <f aca="false" t="array" ref="E122:E122">PRODUCT(1+$D$4:D122)-1</f>
        <v>0.119201559396655</v>
      </c>
      <c r="F122" s="0" t="n">
        <f aca="false">IF(ISBLANK(A123),MONTH(A122),IF(MONTH(A123)-MONTH(A122)=1,MONTH(A122),0))</f>
        <v>0</v>
      </c>
      <c r="G122" s="0" t="str">
        <f aca="false">IF(B123&gt;B122,IF(AND(B121&gt;B122,B123&gt;B122),"min",""),IF(AND(B121&gt;B122,B123&gt;B122),"",IF(AND(B121&lt;B122,B123&lt;B122),"max","")))</f>
        <v>max</v>
      </c>
      <c r="H122" s="0" t="n">
        <f aca="false">IF(G122="min",COUNTIF(G$4:G122,"min"),IF(G122="max",COUNTIF(G$4:G122,"max"),""))</f>
        <v>30</v>
      </c>
      <c r="I122" s="24" t="str">
        <f aca="false" t="array" ref="I122:I122">IF($G$3=0,IF(G122="min",INDEX($B$4:$B$254,(MATCH(1,($G$4:$G$254="max")*($H$4:$H$254=(H122-1)),0))),""),IF($G$3=1,IF(G122="min",INDEX($B$4:$B$254,(MATCH(1,($G$4:$G$254="max")*($H$4:$H$254=(H122)),0))),""),""))</f>
        <v/>
      </c>
      <c r="J122" s="29" t="str">
        <f aca="false">IF(AND(G120=0,G122="min",H122=1),B122-B121,IF(G122="min",B122-I122,""))</f>
        <v/>
      </c>
      <c r="K122" s="34" t="str">
        <f aca="false">IF(AND(G120=0,G122="min",H122=1),(B122-B121)/B121,IF(G122="min",(B122-I122)/I122,""))</f>
        <v/>
      </c>
      <c r="L122" s="5"/>
      <c r="M122" s="0" t="n">
        <f aca="false">E122/COUNT($E$4:E122)</f>
        <v>0.00100169377644248</v>
      </c>
      <c r="N122" s="19" t="n">
        <f aca="false">M122*252</f>
        <v>0.252426831663505</v>
      </c>
      <c r="O122" s="20" t="n">
        <f aca="false">STDEV($D$4:$D122)</f>
        <v>0.0290210752999489</v>
      </c>
      <c r="P122" s="20" t="n">
        <f aca="false">O122*SQRT(252)</f>
        <v>0.460695288140064</v>
      </c>
      <c r="Q122" s="0" t="n">
        <f aca="false">Treasuries!J120/100</f>
        <v>0.052</v>
      </c>
      <c r="R122" s="20" t="n">
        <f aca="false">AJ122/AK122*SQRT(252)</f>
        <v>0.733263176682974</v>
      </c>
      <c r="S122" s="32" t="n">
        <f aca="false">IF(D122&lt;s_p!H122, D122-s_p!H122, 0)</f>
        <v>0</v>
      </c>
      <c r="T122" s="0" t="n">
        <f aca="false">S122^2</f>
        <v>0</v>
      </c>
      <c r="U122" s="0" t="n">
        <f aca="false">SQRT(AVERAGE(T$4:T122)) * SQRT(252)</f>
        <v>0.318021343278</v>
      </c>
      <c r="V122" s="0" t="n">
        <f aca="false">AJ122/U122*252</f>
        <v>1.07709599257077</v>
      </c>
      <c r="W122" s="22" t="n">
        <f aca="false">(s_p!$J122)/COUNT(s_p!$J$4:$J122)</f>
        <v>-1.81088064606759E-005</v>
      </c>
      <c r="X122" s="22" t="n">
        <f aca="false">W122 * 252</f>
        <v>-0.00456341922809032</v>
      </c>
      <c r="Y122" s="21" t="n">
        <f aca="false">STDEV(s_p!$H$4:$H122)</f>
        <v>0.00689111430383414</v>
      </c>
      <c r="Z122" s="21" t="n">
        <f aca="false">Y122*SQRT(252)</f>
        <v>0.109393048224391</v>
      </c>
      <c r="AA122" s="0" t="n">
        <f aca="false">AJ122/AK122</f>
        <v>0.0461912383586755</v>
      </c>
      <c r="AB122" s="0" t="n">
        <f aca="false">_xlfn.COVARIANCE.S($D$4:$D122,s_p!$H$4:$H122)</f>
        <v>1.18719127698338E-005</v>
      </c>
      <c r="AC122" s="0" t="n">
        <f aca="false">_xlfn.VAR.S(s_p!$H$4:$H122)</f>
        <v>4.74874563485075E-005</v>
      </c>
      <c r="AD122" s="0" t="n">
        <f aca="false">AB122/AC122</f>
        <v>0.250001025169816</v>
      </c>
      <c r="AE122" s="0" t="n">
        <f aca="false">M122-(AD122*W122)</f>
        <v>0.00100622099662225</v>
      </c>
      <c r="AF122" s="33" t="n">
        <f aca="false">MAX($E$4:E122)</f>
        <v>0.280129884293098</v>
      </c>
      <c r="AG122" s="0" t="n">
        <f aca="false">1 - ((1 + E122) / (1 + AF122))</f>
        <v>0.125712497513726</v>
      </c>
      <c r="AH122" s="0" t="n">
        <f aca="false">MAX($AG$5:AG122)</f>
        <v>0.247763279347781</v>
      </c>
      <c r="AI122" s="19" t="n">
        <f aca="false">D122-s_p!H122</f>
        <v>0.0449707235265933</v>
      </c>
      <c r="AJ122" s="19" t="n">
        <f aca="false">AVERAGE(AI$4:AI122)</f>
        <v>0.00135928378728853</v>
      </c>
      <c r="AK122" s="0" t="n">
        <f aca="false">STDEV(AI$4:AI122)</f>
        <v>0.0294273077663272</v>
      </c>
    </row>
    <row r="123" customFormat="false" ht="13.8" hidden="false" customHeight="false" outlineLevel="0" collapsed="false">
      <c r="A123" s="6" t="n">
        <f aca="false">WORKDAY(A122,1,holiday!$B$2:$B$10)</f>
        <v>38891</v>
      </c>
      <c r="B123" s="24" t="n">
        <v>1078798.38310244</v>
      </c>
      <c r="C123" s="24" t="n">
        <f aca="false">B123-B122</f>
        <v>-40403.1762942192</v>
      </c>
      <c r="D123" s="31" t="n">
        <f aca="false">C123/B122</f>
        <v>-0.0361</v>
      </c>
      <c r="E123" s="31" t="n">
        <f aca="false" t="array" ref="E123:E123">PRODUCT(1+$D$4:D123)-1</f>
        <v>0.0787983831024361</v>
      </c>
      <c r="F123" s="0" t="n">
        <f aca="false">IF(ISBLANK(A124),MONTH(A123),IF(MONTH(A124)-MONTH(A123)=1,MONTH(A123),0))</f>
        <v>0</v>
      </c>
      <c r="G123" s="0" t="str">
        <f aca="false">IF(B124&gt;B123,IF(AND(B122&gt;B123,B124&gt;B123),"min",""),IF(AND(B122&gt;B123,B124&gt;B123),"",IF(AND(B122&lt;B123,B124&lt;B123),"max","")))</f>
        <v/>
      </c>
      <c r="H123" s="0" t="str">
        <f aca="false">IF(G123="min",COUNTIF(G$4:G123,"min"),IF(G123="max",COUNTIF(G$4:G123,"max"),""))</f>
        <v/>
      </c>
      <c r="I123" s="24" t="str">
        <f aca="false" t="array" ref="I123:I123">IF($G$3=0,IF(G123="min",INDEX($B$4:$B$254,(MATCH(1,($G$4:$G$254="max")*($H$4:$H$254=(H123-1)),0))),""),IF($G$3=1,IF(G123="min",INDEX($B$4:$B$254,(MATCH(1,($G$4:$G$254="max")*($H$4:$H$254=(H123)),0))),""),""))</f>
        <v/>
      </c>
      <c r="J123" s="29" t="str">
        <f aca="false">IF(AND(G121=0,G123="min",H123=1),B123-B122,IF(G123="min",B123-I123,""))</f>
        <v/>
      </c>
      <c r="K123" s="34" t="str">
        <f aca="false">IF(AND(G121=0,G123="min",H123=1),(B123-B122)/B122,IF(G123="min",(B123-I123)/I123,""))</f>
        <v/>
      </c>
      <c r="L123" s="5"/>
      <c r="M123" s="0" t="n">
        <f aca="false">E123/COUNT($E$4:E123)</f>
        <v>0.000656653192520301</v>
      </c>
      <c r="N123" s="19" t="n">
        <f aca="false">M123*252</f>
        <v>0.165476604515116</v>
      </c>
      <c r="O123" s="20" t="n">
        <f aca="false">STDEV($D$4:$D123)</f>
        <v>0.0291005500034656</v>
      </c>
      <c r="P123" s="20" t="n">
        <f aca="false">O123*SQRT(252)</f>
        <v>0.461956909946219</v>
      </c>
      <c r="Q123" s="0" t="n">
        <f aca="false">Treasuries!J121/100</f>
        <v>0.0523</v>
      </c>
      <c r="R123" s="20" t="n">
        <f aca="false">AJ123/AK123*SQRT(252)</f>
        <v>0.567571286362456</v>
      </c>
      <c r="S123" s="32" t="n">
        <f aca="false">IF(D123&lt;s_p!H123, D123-s_p!H123, 0)</f>
        <v>-0.035216891457932</v>
      </c>
      <c r="T123" s="0" t="n">
        <f aca="false">S123^2</f>
        <v>0.00124022944395977</v>
      </c>
      <c r="U123" s="0" t="n">
        <f aca="false">SQRT(AVERAGE(T$4:T123)) * SQRT(252)</f>
        <v>0.320779119472402</v>
      </c>
      <c r="V123" s="0" t="n">
        <f aca="false">AJ123/U123*252</f>
        <v>0.82838791632947</v>
      </c>
      <c r="W123" s="22" t="n">
        <f aca="false">(s_p!$J123)/COUNT(s_p!$J$4:$J123)</f>
        <v>-2.53012788160793E-005</v>
      </c>
      <c r="X123" s="22" t="n">
        <f aca="false">W123 * 252</f>
        <v>-0.00637592226165198</v>
      </c>
      <c r="Y123" s="21" t="n">
        <f aca="false">STDEV(s_p!$H$4:$H123)</f>
        <v>0.00686257831643865</v>
      </c>
      <c r="Z123" s="21" t="n">
        <f aca="false">Y123*SQRT(252)</f>
        <v>0.108940053468006</v>
      </c>
      <c r="AA123" s="0" t="n">
        <f aca="false">AJ123/AK123</f>
        <v>0.035753630357526</v>
      </c>
      <c r="AB123" s="0" t="n">
        <f aca="false">_xlfn.COVARIANCE.S($D$4:$D123,s_p!$H$4:$H123)</f>
        <v>1.20495532885416E-005</v>
      </c>
      <c r="AC123" s="0" t="n">
        <f aca="false">_xlfn.VAR.S(s_p!$H$4:$H123)</f>
        <v>4.7094981149254E-005</v>
      </c>
      <c r="AD123" s="0" t="n">
        <f aca="false">AB123/AC123</f>
        <v>0.255856420248985</v>
      </c>
      <c r="AE123" s="0" t="n">
        <f aca="false">M123-(AD123*W123)</f>
        <v>0.000663126687145905</v>
      </c>
      <c r="AF123" s="33" t="n">
        <f aca="false">MAX($E$4:E123)</f>
        <v>0.280129884293098</v>
      </c>
      <c r="AG123" s="0" t="n">
        <f aca="false">1 - ((1 + E123) / (1 + AF123))</f>
        <v>0.157274276353481</v>
      </c>
      <c r="AH123" s="0" t="n">
        <f aca="false">MAX($AG$5:AG123)</f>
        <v>0.247763279347781</v>
      </c>
      <c r="AI123" s="19" t="n">
        <f aca="false">D123-s_p!H123</f>
        <v>-0.035216891457932</v>
      </c>
      <c r="AJ123" s="19" t="n">
        <f aca="false">AVERAGE(AI$4:AI123)</f>
        <v>0.00105448232691169</v>
      </c>
      <c r="AK123" s="0" t="n">
        <f aca="false">STDEV(AI$4:AI123)</f>
        <v>0.0294930141741459</v>
      </c>
    </row>
    <row r="124" customFormat="false" ht="13.8" hidden="false" customHeight="false" outlineLevel="0" collapsed="false">
      <c r="A124" s="6" t="n">
        <f aca="false">WORKDAY(A123,1,holiday!$B$2:$B$10)</f>
        <v>38894</v>
      </c>
      <c r="B124" s="24" t="n">
        <v>1060674.57026631</v>
      </c>
      <c r="C124" s="24" t="n">
        <f aca="false">B124-B123</f>
        <v>-18123.8128361208</v>
      </c>
      <c r="D124" s="31" t="n">
        <f aca="false">C124/B123</f>
        <v>-0.0167999999999999</v>
      </c>
      <c r="E124" s="31" t="n">
        <f aca="false" t="array" ref="E124:E124">PRODUCT(1+$D$4:D124)-1</f>
        <v>0.0606745702663152</v>
      </c>
      <c r="F124" s="0" t="n">
        <f aca="false">IF(ISBLANK(A125),MONTH(A124),IF(MONTH(A125)-MONTH(A124)=1,MONTH(A124),0))</f>
        <v>0</v>
      </c>
      <c r="G124" s="0" t="str">
        <f aca="false">IF(B125&gt;B124,IF(AND(B123&gt;B124,B125&gt;B124),"min",""),IF(AND(B123&gt;B124,B125&gt;B124),"",IF(AND(B123&lt;B124,B125&lt;B124),"max","")))</f>
        <v/>
      </c>
      <c r="H124" s="0" t="str">
        <f aca="false">IF(G124="min",COUNTIF(G$4:G124,"min"),IF(G124="max",COUNTIF(G$4:G124,"max"),""))</f>
        <v/>
      </c>
      <c r="I124" s="24" t="str">
        <f aca="false" t="array" ref="I124:I124">IF($G$3=0,IF(G124="min",INDEX($B$4:$B$254,(MATCH(1,($G$4:$G$254="max")*($H$4:$H$254=(H124-1)),0))),""),IF($G$3=1,IF(G124="min",INDEX($B$4:$B$254,(MATCH(1,($G$4:$G$254="max")*($H$4:$H$254=(H124)),0))),""),""))</f>
        <v/>
      </c>
      <c r="J124" s="29" t="str">
        <f aca="false">IF(AND(G122=0,G124="min",H124=1),B124-B123,IF(G124="min",B124-I124,""))</f>
        <v/>
      </c>
      <c r="K124" s="34" t="str">
        <f aca="false">IF(AND(G122=0,G124="min",H124=1),(B124-B123)/B123,IF(G124="min",(B124-I124)/I124,""))</f>
        <v/>
      </c>
      <c r="L124" s="5"/>
      <c r="M124" s="0" t="n">
        <f aca="false">E124/COUNT($E$4:E124)</f>
        <v>0.000501442729473679</v>
      </c>
      <c r="N124" s="19" t="n">
        <f aca="false">M124*252</f>
        <v>0.126363567827367</v>
      </c>
      <c r="O124" s="20" t="n">
        <f aca="false">STDEV($D$4:$D124)</f>
        <v>0.0290244547788001</v>
      </c>
      <c r="P124" s="20" t="n">
        <f aca="false">O124*SQRT(252)</f>
        <v>0.460748935703672</v>
      </c>
      <c r="Q124" s="0" t="n">
        <f aca="false">Treasuries!J122/100</f>
        <v>0.0525</v>
      </c>
      <c r="R124" s="20" t="n">
        <f aca="false">AJ124/AK124*SQRT(252)</f>
        <v>0.467289564977522</v>
      </c>
      <c r="S124" s="32" t="n">
        <f aca="false">IF(D124&lt;s_p!H124, D124-s_p!H124, 0)</f>
        <v>-0.021669425472077</v>
      </c>
      <c r="T124" s="0" t="n">
        <f aca="false">S124^2</f>
        <v>0.000469564000289901</v>
      </c>
      <c r="U124" s="0" t="n">
        <f aca="false">SQRT(AVERAGE(T$4:T124)) * SQRT(252)</f>
        <v>0.320977836401915</v>
      </c>
      <c r="V124" s="0" t="n">
        <f aca="false">AJ124/U124*252</f>
        <v>0.680432407181175</v>
      </c>
      <c r="W124" s="22" t="n">
        <f aca="false">(s_p!$J124)/COUNT(s_p!$J$4:$J124)</f>
        <v>1.50288238939045E-005</v>
      </c>
      <c r="X124" s="22" t="n">
        <f aca="false">W124 * 252</f>
        <v>0.00378726362126393</v>
      </c>
      <c r="Y124" s="21" t="n">
        <f aca="false">STDEV(s_p!$H$4:$H124)</f>
        <v>0.00684825844645245</v>
      </c>
      <c r="Z124" s="21" t="n">
        <f aca="false">Y124*SQRT(252)</f>
        <v>0.108712732579264</v>
      </c>
      <c r="AA124" s="0" t="n">
        <f aca="false">AJ124/AK124</f>
        <v>0.0294364756949068</v>
      </c>
      <c r="AB124" s="0" t="n">
        <f aca="false">_xlfn.COVARIANCE.S($D$4:$D124,s_p!$H$4:$H124)</f>
        <v>1.12304063962766E-005</v>
      </c>
      <c r="AC124" s="0" t="n">
        <f aca="false">_xlfn.VAR.S(s_p!$H$4:$H124)</f>
        <v>4.68986437494073E-005</v>
      </c>
      <c r="AD124" s="0" t="n">
        <f aca="false">AB124/AC124</f>
        <v>0.23946121888479</v>
      </c>
      <c r="AE124" s="0" t="n">
        <f aca="false">M124-(AD124*W124)</f>
        <v>0.00049784390898564</v>
      </c>
      <c r="AF124" s="33" t="n">
        <f aca="false">MAX($E$4:E124)</f>
        <v>0.280129884293098</v>
      </c>
      <c r="AG124" s="0" t="n">
        <f aca="false">1 - ((1 + E124) / (1 + AF124))</f>
        <v>0.171432068510742</v>
      </c>
      <c r="AH124" s="0" t="n">
        <f aca="false">MAX($AG$5:AG124)</f>
        <v>0.247763279347781</v>
      </c>
      <c r="AI124" s="19" t="n">
        <f aca="false">D124-s_p!H124</f>
        <v>-0.0216694254720771</v>
      </c>
      <c r="AJ124" s="19" t="n">
        <f aca="false">AVERAGE(AI$4:AI124)</f>
        <v>0.000866681436010954</v>
      </c>
      <c r="AK124" s="0" t="n">
        <f aca="false">STDEV(AI$4:AI124)</f>
        <v>0.0294424320694379</v>
      </c>
    </row>
    <row r="125" customFormat="false" ht="13.8" hidden="false" customHeight="false" outlineLevel="0" collapsed="false">
      <c r="A125" s="6" t="n">
        <f aca="false">WORKDAY(A124,1,holiday!$B$2:$B$10)</f>
        <v>38895</v>
      </c>
      <c r="B125" s="24" t="n">
        <v>1008277.24649516</v>
      </c>
      <c r="C125" s="24" t="n">
        <f aca="false">B125-B124</f>
        <v>-52397.3237711559</v>
      </c>
      <c r="D125" s="31" t="n">
        <f aca="false">C125/B124</f>
        <v>-0.0494</v>
      </c>
      <c r="E125" s="31" t="n">
        <f aca="false" t="array" ref="E125:E125">PRODUCT(1+$D$4:D125)-1</f>
        <v>0.00827724649515926</v>
      </c>
      <c r="F125" s="0" t="n">
        <f aca="false">IF(ISBLANK(A126),MONTH(A125),IF(MONTH(A126)-MONTH(A125)=1,MONTH(A125),0))</f>
        <v>0</v>
      </c>
      <c r="G125" s="0" t="str">
        <f aca="false">IF(B126&gt;B125,IF(AND(B124&gt;B125,B126&gt;B125),"min",""),IF(AND(B124&gt;B125,B126&gt;B125),"",IF(AND(B124&lt;B125,B126&lt;B125),"max","")))</f>
        <v/>
      </c>
      <c r="H125" s="0" t="str">
        <f aca="false">IF(G125="min",COUNTIF(G$4:G125,"min"),IF(G125="max",COUNTIF(G$4:G125,"max"),""))</f>
        <v/>
      </c>
      <c r="I125" s="24" t="str">
        <f aca="false" t="array" ref="I125:I125">IF($G$3=0,IF(G125="min",INDEX($B$4:$B$254,(MATCH(1,($G$4:$G$254="max")*($H$4:$H$254=(H125-1)),0))),""),IF($G$3=1,IF(G125="min",INDEX($B$4:$B$254,(MATCH(1,($G$4:$G$254="max")*($H$4:$H$254=(H125)),0))),""),""))</f>
        <v/>
      </c>
      <c r="J125" s="29" t="str">
        <f aca="false">IF(AND(G123=0,G125="min",H125=1),B125-B124,IF(G125="min",B125-I125,""))</f>
        <v/>
      </c>
      <c r="K125" s="34" t="str">
        <f aca="false">IF(AND(G123=0,G125="min",H125=1),(B125-B124)/B124,IF(G125="min",(B125-I125)/I125,""))</f>
        <v/>
      </c>
      <c r="L125" s="5"/>
      <c r="M125" s="0" t="n">
        <f aca="false">E125/COUNT($E$4:E125)</f>
        <v>6.78462827472071E-005</v>
      </c>
      <c r="N125" s="19" t="n">
        <f aca="false">M125*252</f>
        <v>0.0170972632522962</v>
      </c>
      <c r="O125" s="20" t="n">
        <f aca="false">STDEV($D$4:$D125)</f>
        <v>0.0292608845836381</v>
      </c>
      <c r="P125" s="20" t="n">
        <f aca="false">O125*SQRT(252)</f>
        <v>0.464502142500421</v>
      </c>
      <c r="Q125" s="0" t="n">
        <f aca="false">Treasuries!J123/100</f>
        <v>0.0521</v>
      </c>
      <c r="R125" s="20" t="n">
        <f aca="false">AJ125/AK125*SQRT(252)</f>
        <v>0.284182795650391</v>
      </c>
      <c r="S125" s="32" t="n">
        <f aca="false">IF(D125&lt;s_p!H125, D125-s_p!H125, 0)</f>
        <v>-0.0403160696008189</v>
      </c>
      <c r="T125" s="0" t="n">
        <f aca="false">S125^2</f>
        <v>0.00162538546805807</v>
      </c>
      <c r="U125" s="0" t="n">
        <f aca="false">SQRT(AVERAGE(T$4:T125)) * SQRT(252)</f>
        <v>0.324868655486683</v>
      </c>
      <c r="V125" s="0" t="n">
        <f aca="false">AJ125/U125*252</f>
        <v>0.410435753909957</v>
      </c>
      <c r="W125" s="22" t="n">
        <f aca="false">(s_p!$J125)/COUNT(s_p!$J$4:$J125)</f>
        <v>-5.96882108494821E-005</v>
      </c>
      <c r="X125" s="22" t="n">
        <f aca="false">W125 * 252</f>
        <v>-0.0150414291340695</v>
      </c>
      <c r="Y125" s="21" t="n">
        <f aca="false">STDEV(s_p!$H$4:$H125)</f>
        <v>0.00686972627764058</v>
      </c>
      <c r="Z125" s="21" t="n">
        <f aca="false">Y125*SQRT(252)</f>
        <v>0.109053523834335</v>
      </c>
      <c r="AA125" s="0" t="n">
        <f aca="false">AJ125/AK125</f>
        <v>0.017901833432715</v>
      </c>
      <c r="AB125" s="0" t="n">
        <f aca="false">_xlfn.COVARIANCE.S($D$4:$D125,s_p!$H$4:$H125)</f>
        <v>1.48990052384918E-005</v>
      </c>
      <c r="AC125" s="0" t="n">
        <f aca="false">_xlfn.VAR.S(s_p!$H$4:$H125)</f>
        <v>4.71931391297056E-005</v>
      </c>
      <c r="AD125" s="0" t="n">
        <f aca="false">AB125/AC125</f>
        <v>0.315702780388128</v>
      </c>
      <c r="AE125" s="0" t="n">
        <f aca="false">M125-(AD125*W125)</f>
        <v>8.66900168687814E-005</v>
      </c>
      <c r="AF125" s="33" t="n">
        <f aca="false">MAX($E$4:E125)</f>
        <v>0.280129884293098</v>
      </c>
      <c r="AG125" s="0" t="n">
        <f aca="false">1 - ((1 + E125) / (1 + AF125))</f>
        <v>0.212363324326311</v>
      </c>
      <c r="AH125" s="0" t="n">
        <f aca="false">MAX($AG$5:AG125)</f>
        <v>0.247763279347781</v>
      </c>
      <c r="AI125" s="19" t="n">
        <f aca="false">D125-s_p!H125</f>
        <v>-0.0403160696008189</v>
      </c>
      <c r="AJ125" s="19" t="n">
        <f aca="false">AVERAGE(AI$4:AI125)</f>
        <v>0.000529117902922185</v>
      </c>
      <c r="AK125" s="0" t="n">
        <f aca="false">STDEV(AI$4:AI125)</f>
        <v>0.0295566320014597</v>
      </c>
    </row>
    <row r="126" customFormat="false" ht="13.8" hidden="false" customHeight="false" outlineLevel="0" collapsed="false">
      <c r="A126" s="6" t="n">
        <f aca="false">WORKDAY(A125,1,holiday!$B$2:$B$10)</f>
        <v>38896</v>
      </c>
      <c r="B126" s="24" t="n">
        <v>993858.881870278</v>
      </c>
      <c r="C126" s="24" t="n">
        <f aca="false">B126-B125</f>
        <v>-14418.3646248807</v>
      </c>
      <c r="D126" s="31" t="n">
        <f aca="false">C126/B125</f>
        <v>-0.0142999999999999</v>
      </c>
      <c r="E126" s="31" t="n">
        <f aca="false" t="array" ref="E126:E126">PRODUCT(1+$D$4:D126)-1</f>
        <v>-0.00614111812972151</v>
      </c>
      <c r="F126" s="0" t="n">
        <f aca="false">IF(ISBLANK(A127),MONTH(A126),IF(MONTH(A127)-MONTH(A126)=1,MONTH(A126),0))</f>
        <v>0</v>
      </c>
      <c r="G126" s="0" t="str">
        <f aca="false">IF(B127&gt;B126,IF(AND(B125&gt;B126,B127&gt;B126),"min",""),IF(AND(B125&gt;B126,B127&gt;B126),"",IF(AND(B125&lt;B126,B127&lt;B126),"max","")))</f>
        <v/>
      </c>
      <c r="H126" s="0" t="str">
        <f aca="false">IF(G126="min",COUNTIF(G$4:G126,"min"),IF(G126="max",COUNTIF(G$4:G126,"max"),""))</f>
        <v/>
      </c>
      <c r="I126" s="24" t="str">
        <f aca="false" t="array" ref="I126:I126">IF($G$3=0,IF(G126="min",INDEX($B$4:$B$254,(MATCH(1,($G$4:$G$254="max")*($H$4:$H$254=(H126-1)),0))),""),IF($G$3=1,IF(G126="min",INDEX($B$4:$B$254,(MATCH(1,($G$4:$G$254="max")*($H$4:$H$254=(H126)),0))),""),""))</f>
        <v/>
      </c>
      <c r="J126" s="29" t="str">
        <f aca="false">IF(AND(G124=0,G126="min",H126=1),B126-B125,IF(G126="min",B126-I126,""))</f>
        <v/>
      </c>
      <c r="K126" s="34" t="str">
        <f aca="false">IF(AND(G124=0,G126="min",H126=1),(B126-B125)/B125,IF(G126="min",(B126-I126)/I126,""))</f>
        <v/>
      </c>
      <c r="L126" s="5"/>
      <c r="M126" s="0" t="n">
        <f aca="false">E126/COUNT($E$4:E126)</f>
        <v>-4.99277896725326E-005</v>
      </c>
      <c r="N126" s="19" t="n">
        <f aca="false">M126*252</f>
        <v>-0.0125818029974782</v>
      </c>
      <c r="O126" s="20" t="n">
        <f aca="false">STDEV($D$4:$D126)</f>
        <v>0.0291712251573783</v>
      </c>
      <c r="P126" s="20" t="n">
        <f aca="false">O126*SQRT(252)</f>
        <v>0.463078843232964</v>
      </c>
      <c r="Q126" s="0" t="n">
        <f aca="false">Treasuries!J124/100</f>
        <v>0.0525</v>
      </c>
      <c r="R126" s="20" t="n">
        <f aca="false">AJ126/AK126*SQRT(252)</f>
        <v>0.195896358423346</v>
      </c>
      <c r="S126" s="32" t="n">
        <f aca="false">IF(D126&lt;s_p!H126, D126-s_p!H126, 0)</f>
        <v>-0.0197874112330535</v>
      </c>
      <c r="T126" s="0" t="n">
        <f aca="false">S126^2</f>
        <v>0.000391541643305973</v>
      </c>
      <c r="U126" s="0" t="n">
        <f aca="false">SQRT(AVERAGE(T$4:T126)) * SQRT(252)</f>
        <v>0.324782666280178</v>
      </c>
      <c r="V126" s="0" t="n">
        <f aca="false">AJ126/U126*252</f>
        <v>0.282384537675931</v>
      </c>
      <c r="W126" s="22" t="n">
        <f aca="false">(s_p!$J126)/COUNT(s_p!$J$4:$J126)</f>
        <v>-1.49147122694652E-005</v>
      </c>
      <c r="X126" s="22" t="n">
        <f aca="false">W126 * 252</f>
        <v>-0.00375850749190523</v>
      </c>
      <c r="Y126" s="21" t="n">
        <f aca="false">STDEV(s_p!$H$4:$H126)</f>
        <v>0.00685962008260669</v>
      </c>
      <c r="Z126" s="21" t="n">
        <f aca="false">Y126*SQRT(252)</f>
        <v>0.10889309296177</v>
      </c>
      <c r="AA126" s="0" t="n">
        <f aca="false">AJ126/AK126</f>
        <v>0.0123403106459846</v>
      </c>
      <c r="AB126" s="0" t="n">
        <f aca="false">_xlfn.COVARIANCE.S($D$4:$D126,s_p!$H$4:$H126)</f>
        <v>1.411254841211E-005</v>
      </c>
      <c r="AC126" s="0" t="n">
        <f aca="false">_xlfn.VAR.S(s_p!$H$4:$H126)</f>
        <v>4.7054387677701E-005</v>
      </c>
      <c r="AD126" s="0" t="n">
        <f aca="false">AB126/AC126</f>
        <v>0.299919924763954</v>
      </c>
      <c r="AE126" s="0" t="n">
        <f aca="false">M126-(AD126*W126)</f>
        <v>-4.54545702907986E-005</v>
      </c>
      <c r="AF126" s="33" t="n">
        <f aca="false">MAX($E$4:E126)</f>
        <v>0.280129884293098</v>
      </c>
      <c r="AG126" s="0" t="n">
        <f aca="false">1 - ((1 + E126) / (1 + AF126))</f>
        <v>0.223626528788445</v>
      </c>
      <c r="AH126" s="0" t="n">
        <f aca="false">MAX($AG$5:AG126)</f>
        <v>0.247763279347781</v>
      </c>
      <c r="AI126" s="19" t="n">
        <f aca="false">D126-s_p!H126</f>
        <v>-0.0197874112330536</v>
      </c>
      <c r="AJ126" s="19" t="n">
        <f aca="false">AVERAGE(AI$4:AI126)</f>
        <v>0.000363942869296365</v>
      </c>
      <c r="AK126" s="0" t="n">
        <f aca="false">STDEV(AI$4:AI126)</f>
        <v>0.0294921967312701</v>
      </c>
    </row>
    <row r="127" customFormat="false" ht="13.8" hidden="false" customHeight="false" outlineLevel="0" collapsed="false">
      <c r="A127" s="6" t="n">
        <f aca="false">WORKDAY(A126,1,holiday!$B$2:$B$10)</f>
        <v>38897</v>
      </c>
      <c r="B127" s="24" t="n">
        <v>953607.597154532</v>
      </c>
      <c r="C127" s="24" t="n">
        <f aca="false">B127-B126</f>
        <v>-40251.2847157463</v>
      </c>
      <c r="D127" s="31" t="n">
        <f aca="false">C127/B126</f>
        <v>-0.0405</v>
      </c>
      <c r="E127" s="31" t="n">
        <f aca="false" t="array" ref="E127:E127">PRODUCT(1+$D$4:D127)-1</f>
        <v>-0.0463924028454677</v>
      </c>
      <c r="F127" s="0" t="n">
        <f aca="false">IF(ISBLANK(A128),MONTH(A127),IF(MONTH(A128)-MONTH(A127)=1,MONTH(A127),0))</f>
        <v>0</v>
      </c>
      <c r="G127" s="0" t="str">
        <f aca="false">IF(B128&gt;B127,IF(AND(B126&gt;B127,B128&gt;B127),"min",""),IF(AND(B126&gt;B127,B128&gt;B127),"",IF(AND(B126&lt;B127,B128&lt;B127),"max","")))</f>
        <v/>
      </c>
      <c r="H127" s="0" t="str">
        <f aca="false">IF(G127="min",COUNTIF(G$4:G127,"min"),IF(G127="max",COUNTIF(G$4:G127,"max"),""))</f>
        <v/>
      </c>
      <c r="I127" s="24" t="str">
        <f aca="false" t="array" ref="I127:I127">IF($G$3=0,IF(G127="min",INDEX($B$4:$B$254,(MATCH(1,($G$4:$G$254="max")*($H$4:$H$254=(H127-1)),0))),""),IF($G$3=1,IF(G127="min",INDEX($B$4:$B$254,(MATCH(1,($G$4:$G$254="max")*($H$4:$H$254=(H127)),0))),""),""))</f>
        <v/>
      </c>
      <c r="J127" s="29" t="str">
        <f aca="false">IF(AND(G125=0,G127="min",H127=1),B127-B126,IF(G127="min",B127-I127,""))</f>
        <v/>
      </c>
      <c r="K127" s="34" t="str">
        <f aca="false">IF(AND(G125=0,G127="min",H127=1),(B127-B126)/B126,IF(G127="min",(B127-I127)/I127,""))</f>
        <v/>
      </c>
      <c r="L127" s="5"/>
      <c r="M127" s="0" t="n">
        <f aca="false">E127/COUNT($E$4:E127)</f>
        <v>-0.000374132281011837</v>
      </c>
      <c r="N127" s="19" t="n">
        <f aca="false">M127*252</f>
        <v>-0.0942813348149828</v>
      </c>
      <c r="O127" s="20" t="n">
        <f aca="false">STDEV($D$4:$D127)</f>
        <v>0.0292833429535374</v>
      </c>
      <c r="P127" s="20" t="n">
        <f aca="false">O127*SQRT(252)</f>
        <v>0.464858658070053</v>
      </c>
      <c r="Q127" s="0" t="n">
        <f aca="false">Treasuries!J125/100</f>
        <v>0.0522</v>
      </c>
      <c r="R127" s="20" t="n">
        <f aca="false">AJ127/AK127*SQRT(252)</f>
        <v>-0.0740663100586401</v>
      </c>
      <c r="S127" s="32" t="n">
        <f aca="false">IF(D127&lt;s_p!H127, D127-s_p!H127, 0)</f>
        <v>-0.0620650080256822</v>
      </c>
      <c r="T127" s="0" t="n">
        <f aca="false">S127^2</f>
        <v>0.003852065221228</v>
      </c>
      <c r="U127" s="0" t="n">
        <f aca="false">SQRT(AVERAGE(T$4:T127)) * SQRT(252)</f>
        <v>0.335352792263959</v>
      </c>
      <c r="V127" s="0" t="n">
        <f aca="false">AJ127/U127*252</f>
        <v>-0.104839251868356</v>
      </c>
      <c r="W127" s="22" t="n">
        <f aca="false">(s_p!$J127)/COUNT(s_p!$J$4:$J127)</f>
        <v>0.000158797880662046</v>
      </c>
      <c r="X127" s="22" t="n">
        <f aca="false">W127 * 252</f>
        <v>0.0400170659268356</v>
      </c>
      <c r="Y127" s="21" t="n">
        <f aca="false">STDEV(s_p!$H$4:$H127)</f>
        <v>0.00710065526140139</v>
      </c>
      <c r="Z127" s="21" t="n">
        <f aca="false">Y127*SQRT(252)</f>
        <v>0.112719407803623</v>
      </c>
      <c r="AA127" s="0" t="n">
        <f aca="false">AJ127/AK127</f>
        <v>-0.00466573897484185</v>
      </c>
      <c r="AB127" s="0" t="n">
        <f aca="false">_xlfn.COVARIANCE.S($D$4:$D127,s_p!$H$4:$H127)</f>
        <v>6.8924187993584E-006</v>
      </c>
      <c r="AC127" s="0" t="n">
        <f aca="false">_xlfn.VAR.S(s_p!$H$4:$H127)</f>
        <v>5.04193051412673E-005</v>
      </c>
      <c r="AD127" s="0" t="n">
        <f aca="false">AB127/AC127</f>
        <v>0.136701979133724</v>
      </c>
      <c r="AE127" s="0" t="n">
        <f aca="false">M127-(AD127*W127)</f>
        <v>-0.000395840265580579</v>
      </c>
      <c r="AF127" s="33" t="n">
        <f aca="false">MAX($E$4:E127)</f>
        <v>0.280129884293098</v>
      </c>
      <c r="AG127" s="0" t="n">
        <f aca="false">1 - ((1 + E127) / (1 + AF127))</f>
        <v>0.255069654372513</v>
      </c>
      <c r="AH127" s="0" t="n">
        <f aca="false">MAX($AG$5:AG127)</f>
        <v>0.255069654372513</v>
      </c>
      <c r="AI127" s="19" t="n">
        <f aca="false">D127-s_p!H127</f>
        <v>-0.0620650080256822</v>
      </c>
      <c r="AJ127" s="19" t="n">
        <f aca="false">AVERAGE(AI$4:AI127)</f>
        <v>-0.000139516412114752</v>
      </c>
      <c r="AK127" s="0" t="n">
        <f aca="false">STDEV(AI$4:AI127)</f>
        <v>0.029902318339504</v>
      </c>
    </row>
    <row r="128" customFormat="false" ht="13.8" hidden="false" customHeight="false" outlineLevel="0" collapsed="false">
      <c r="A128" s="6" t="n">
        <f aca="false">WORKDAY(A127,1,holiday!$B$2:$B$10)</f>
        <v>38898</v>
      </c>
      <c r="B128" s="24" t="n">
        <v>920326.692013839</v>
      </c>
      <c r="C128" s="24" t="n">
        <f aca="false">B128-B127</f>
        <v>-33280.9051406932</v>
      </c>
      <c r="D128" s="31" t="n">
        <f aca="false">C128/B127</f>
        <v>-0.0349</v>
      </c>
      <c r="E128" s="31" t="n">
        <f aca="false" t="array" ref="E128:E128">PRODUCT(1+$D$4:D128)-1</f>
        <v>-0.0796733079861609</v>
      </c>
      <c r="F128" s="0" t="n">
        <f aca="false">IF(ISBLANK(A129),MONTH(A128),IF(MONTH(A129)-MONTH(A128)=1,MONTH(A128),0))</f>
        <v>6</v>
      </c>
      <c r="G128" s="0" t="str">
        <f aca="false">IF(B129&gt;B128,IF(AND(B127&gt;B128,B129&gt;B128),"min",""),IF(AND(B127&gt;B128,B129&gt;B128),"",IF(AND(B127&lt;B128,B129&lt;B128),"max","")))</f>
        <v>min</v>
      </c>
      <c r="H128" s="0" t="n">
        <f aca="false">IF(G128="min",COUNTIF(G$4:G128,"min"),IF(G128="max",COUNTIF(G$4:G128,"max"),""))</f>
        <v>31</v>
      </c>
      <c r="I128" s="24" t="n">
        <f aca="false" t="array" ref="I128:I128">IF($G$3=0,IF(G128="min",INDEX($B$4:$B$254,(MATCH(1,($G$4:$G$254="max")*($H$4:$H$254=(H128-1)),0))),""),IF($G$3=1,IF(G128="min",INDEX($B$4:$B$254,(MATCH(1,($G$4:$G$254="max")*($H$4:$H$254=(H128)),0))),""),""))</f>
        <v>1119201.55939665</v>
      </c>
      <c r="J128" s="29" t="n">
        <f aca="false">IF(AND(G126=0,G128="min",H128=1),B128-B127,IF(G128="min",B128-I128,""))</f>
        <v>-198874.867382811</v>
      </c>
      <c r="K128" s="34" t="n">
        <f aca="false">IF(AND(G126=0,G128="min",H128=1),(B128-B127)/B127,IF(G128="min",(B128-I128)/I128,""))</f>
        <v>-0.177693522416125</v>
      </c>
      <c r="L128" s="5"/>
      <c r="M128" s="0" t="n">
        <f aca="false">E128/COUNT($E$4:E128)</f>
        <v>-0.000637386463889287</v>
      </c>
      <c r="N128" s="19" t="n">
        <f aca="false">M128*252</f>
        <v>-0.1606213889001</v>
      </c>
      <c r="O128" s="20" t="n">
        <f aca="false">STDEV($D$4:$D128)</f>
        <v>0.0293320081030065</v>
      </c>
      <c r="P128" s="20" t="n">
        <f aca="false">O128*SQRT(252)</f>
        <v>0.46563119336812</v>
      </c>
      <c r="Q128" s="0" t="n">
        <f aca="false">Treasuries!J126/100</f>
        <v>0.0515</v>
      </c>
      <c r="R128" s="20" t="n">
        <f aca="false">AJ128/AK128*SQRT(252)</f>
        <v>-0.21262911654646</v>
      </c>
      <c r="S128" s="32" t="n">
        <f aca="false">IF(D128&lt;s_p!H128, D128-s_p!H128, 0)</f>
        <v>-0.0328023780904571</v>
      </c>
      <c r="T128" s="0" t="n">
        <f aca="false">S128^2</f>
        <v>0.0010759960083893</v>
      </c>
      <c r="U128" s="0" t="n">
        <f aca="false">SQRT(AVERAGE(T$4:T128)) * SQRT(252)</f>
        <v>0.337240287139471</v>
      </c>
      <c r="V128" s="0" t="n">
        <f aca="false">AJ128/U128*252</f>
        <v>-0.299508892763701</v>
      </c>
      <c r="W128" s="22" t="n">
        <f aca="false">(s_p!$J128)/COUNT(s_p!$J$4:$J128)</f>
        <v>0.000140416089210051</v>
      </c>
      <c r="X128" s="22" t="n">
        <f aca="false">W128 * 252</f>
        <v>0.0353848544809328</v>
      </c>
      <c r="Y128" s="21" t="n">
        <f aca="false">STDEV(s_p!$H$4:$H128)</f>
        <v>0.00707490499396537</v>
      </c>
      <c r="Z128" s="21" t="n">
        <f aca="false">Y128*SQRT(252)</f>
        <v>0.112310634980648</v>
      </c>
      <c r="AA128" s="0" t="n">
        <f aca="false">AJ128/AK128</f>
        <v>-0.0133943753303166</v>
      </c>
      <c r="AB128" s="0" t="n">
        <f aca="false">_xlfn.COVARIANCE.S($D$4:$D128,s_p!$H$4:$H128)</f>
        <v>7.47415691653573E-006</v>
      </c>
      <c r="AC128" s="0" t="n">
        <f aca="false">_xlfn.VAR.S(s_p!$H$4:$H128)</f>
        <v>5.00542806736362E-005</v>
      </c>
      <c r="AD128" s="0" t="n">
        <f aca="false">AB128/AC128</f>
        <v>0.149321033405089</v>
      </c>
      <c r="AE128" s="0" t="n">
        <f aca="false">M128-(AD128*W128)</f>
        <v>-0.000658353539436833</v>
      </c>
      <c r="AF128" s="33" t="n">
        <f aca="false">MAX($E$4:E128)</f>
        <v>0.280129884293098</v>
      </c>
      <c r="AG128" s="0" t="n">
        <f aca="false">1 - ((1 + E128) / (1 + AF128))</f>
        <v>0.281067723434912</v>
      </c>
      <c r="AH128" s="0" t="n">
        <f aca="false">MAX($AG$5:AG128)</f>
        <v>0.281067723434912</v>
      </c>
      <c r="AI128" s="19" t="n">
        <f aca="false">D128-s_p!H128</f>
        <v>-0.0328023780904571</v>
      </c>
      <c r="AJ128" s="19" t="n">
        <f aca="false">AVERAGE(AI$4:AI128)</f>
        <v>-0.000400819305541491</v>
      </c>
      <c r="AK128" s="0" t="n">
        <f aca="false">STDEV(AI$4:AI128)</f>
        <v>0.0299244493047976</v>
      </c>
    </row>
    <row r="129" customFormat="false" ht="13.8" hidden="false" customHeight="false" outlineLevel="0" collapsed="false">
      <c r="A129" s="6" t="n">
        <f aca="false">WORKDAY(A128,1,holiday!$B$2:$B$10)</f>
        <v>38901</v>
      </c>
      <c r="B129" s="24" t="n">
        <v>926676.946188734</v>
      </c>
      <c r="C129" s="24" t="n">
        <f aca="false">B129-B128</f>
        <v>6350.25417489547</v>
      </c>
      <c r="D129" s="31" t="n">
        <f aca="false">C129/B128</f>
        <v>0.00689999999999998</v>
      </c>
      <c r="E129" s="31" t="n">
        <f aca="false" t="array" ref="E129:E129">PRODUCT(1+$D$4:D129)-1</f>
        <v>-0.0733230538112656</v>
      </c>
      <c r="F129" s="0" t="n">
        <f aca="false">IF(ISBLANK(A130),MONTH(A129),IF(MONTH(A130)-MONTH(A129)=1,MONTH(A129),0))</f>
        <v>0</v>
      </c>
      <c r="G129" s="0" t="str">
        <f aca="false">IF(B130&gt;B129,IF(AND(B128&gt;B129,B130&gt;B129),"min",""),IF(AND(B128&gt;B129,B130&gt;B129),"",IF(AND(B128&lt;B129,B130&lt;B129),"max","")))</f>
        <v/>
      </c>
      <c r="H129" s="0" t="str">
        <f aca="false">IF(G129="min",COUNTIF(G$4:G129,"min"),IF(G129="max",COUNTIF(G$4:G129,"max"),""))</f>
        <v/>
      </c>
      <c r="I129" s="24" t="str">
        <f aca="false" t="array" ref="I129:I129">IF($G$3=0,IF(G129="min",INDEX($B$4:$B$254,(MATCH(1,($G$4:$G$254="max")*($H$4:$H$254=(H129-1)),0))),""),IF($G$3=1,IF(G129="min",INDEX($B$4:$B$254,(MATCH(1,($G$4:$G$254="max")*($H$4:$H$254=(H129)),0))),""),""))</f>
        <v/>
      </c>
      <c r="J129" s="29" t="str">
        <f aca="false">IF(AND(G127=0,G129="min",H129=1),B129-B128,IF(G129="min",B129-I129,""))</f>
        <v/>
      </c>
      <c r="K129" s="34" t="str">
        <f aca="false">IF(AND(G127=0,G129="min",H129=1),(B129-B128)/B128,IF(G129="min",(B129-I129)/I129,""))</f>
        <v/>
      </c>
      <c r="L129" s="5"/>
      <c r="M129" s="0" t="n">
        <f aca="false">E129/COUNT($E$4:E129)</f>
        <v>-0.000581928998502108</v>
      </c>
      <c r="N129" s="19" t="n">
        <f aca="false">M129*252</f>
        <v>-0.146646107622531</v>
      </c>
      <c r="O129" s="20" t="n">
        <f aca="false">STDEV($D$4:$D129)</f>
        <v>0.0292213621033415</v>
      </c>
      <c r="P129" s="20" t="n">
        <f aca="false">O129*SQRT(252)</f>
        <v>0.463874742576054</v>
      </c>
      <c r="Q129" s="0" t="n">
        <f aca="false">Treasuries!J127/100</f>
        <v>0.0515</v>
      </c>
      <c r="R129" s="20" t="n">
        <f aca="false">AJ129/AK129*SQRT(252)</f>
        <v>-0.215868930964965</v>
      </c>
      <c r="S129" s="32" t="n">
        <f aca="false">IF(D129&lt;s_p!H129, D129-s_p!H129, 0)</f>
        <v>-0.00096490316485591</v>
      </c>
      <c r="T129" s="0" t="n">
        <f aca="false">S129^2</f>
        <v>9.31038117548951E-007</v>
      </c>
      <c r="U129" s="0" t="n">
        <f aca="false">SQRT(AVERAGE(T$4:T129)) * SQRT(252)</f>
        <v>0.335902137939872</v>
      </c>
      <c r="V129" s="0" t="n">
        <f aca="false">AJ129/U129*252</f>
        <v>-0.304060680713401</v>
      </c>
      <c r="W129" s="22" t="n">
        <f aca="false">(s_p!$J129)/COUNT(s_p!$J$4:$J129)</f>
        <v>0.000202817136382264</v>
      </c>
      <c r="X129" s="22" t="n">
        <f aca="false">W129 * 252</f>
        <v>0.0511099183683306</v>
      </c>
      <c r="Y129" s="21" t="n">
        <f aca="false">STDEV(s_p!$H$4:$H129)</f>
        <v>0.00707986652538395</v>
      </c>
      <c r="Z129" s="21" t="n">
        <f aca="false">Y129*SQRT(252)</f>
        <v>0.112389396850181</v>
      </c>
      <c r="AA129" s="0" t="n">
        <f aca="false">AJ129/AK129</f>
        <v>-0.0135984644552062</v>
      </c>
      <c r="AB129" s="0" t="n">
        <f aca="false">_xlfn.COVARIANCE.S($D$4:$D129,s_p!$H$4:$H129)</f>
        <v>7.85055150189514E-006</v>
      </c>
      <c r="AC129" s="0" t="n">
        <f aca="false">_xlfn.VAR.S(s_p!$H$4:$H129)</f>
        <v>5.01245100172523E-005</v>
      </c>
      <c r="AD129" s="0" t="n">
        <f aca="false">AB129/AC129</f>
        <v>0.156621012338935</v>
      </c>
      <c r="AE129" s="0" t="n">
        <f aca="false">M129-(AD129*W129)</f>
        <v>-0.000613694423721982</v>
      </c>
      <c r="AF129" s="33" t="n">
        <f aca="false">MAX($E$4:E129)</f>
        <v>0.280129884293098</v>
      </c>
      <c r="AG129" s="0" t="n">
        <f aca="false">1 - ((1 + E129) / (1 + AF129))</f>
        <v>0.276107090726613</v>
      </c>
      <c r="AH129" s="0" t="n">
        <f aca="false">MAX($AG$5:AG129)</f>
        <v>0.281067723434912</v>
      </c>
      <c r="AI129" s="19" t="n">
        <f aca="false">D129-s_p!H129</f>
        <v>-0.000964903164855905</v>
      </c>
      <c r="AJ129" s="19" t="n">
        <f aca="false">AVERAGE(AI$4:AI129)</f>
        <v>-0.000405296161567796</v>
      </c>
      <c r="AK129" s="0" t="n">
        <f aca="false">STDEV(AI$4:AI129)</f>
        <v>0.0298045535143217</v>
      </c>
    </row>
    <row r="130" customFormat="false" ht="13.8" hidden="false" customHeight="false" outlineLevel="0" collapsed="false">
      <c r="A130" s="6" t="n">
        <f aca="false">WORKDAY(A129,1,holiday!$B$2:$B$10)</f>
        <v>38903</v>
      </c>
      <c r="B130" s="24" t="n">
        <v>961705.334754668</v>
      </c>
      <c r="C130" s="24" t="n">
        <f aca="false">B130-B129</f>
        <v>35028.3885659341</v>
      </c>
      <c r="D130" s="31" t="n">
        <f aca="false">C130/B129</f>
        <v>0.0378</v>
      </c>
      <c r="E130" s="31" t="n">
        <f aca="false" t="array" ref="E130:E130">PRODUCT(1+$D$4:D130)-1</f>
        <v>-0.0382946652453314</v>
      </c>
      <c r="F130" s="0" t="n">
        <f aca="false">IF(ISBLANK(A131),MONTH(A130),IF(MONTH(A131)-MONTH(A130)=1,MONTH(A130),0))</f>
        <v>0</v>
      </c>
      <c r="G130" s="0" t="str">
        <f aca="false">IF(B131&gt;B130,IF(AND(B129&gt;B130,B131&gt;B130),"min",""),IF(AND(B129&gt;B130,B131&gt;B130),"",IF(AND(B129&lt;B130,B131&lt;B130),"max","")))</f>
        <v>max</v>
      </c>
      <c r="H130" s="0" t="n">
        <f aca="false">IF(G130="min",COUNTIF(G$4:G130,"min"),IF(G130="max",COUNTIF(G$4:G130,"max"),""))</f>
        <v>31</v>
      </c>
      <c r="I130" s="24" t="str">
        <f aca="false" t="array" ref="I130:I130">IF($G$3=0,IF(G130="min",INDEX($B$4:$B$254,(MATCH(1,($G$4:$G$254="max")*($H$4:$H$254=(H130-1)),0))),""),IF($G$3=1,IF(G130="min",INDEX($B$4:$B$254,(MATCH(1,($G$4:$G$254="max")*($H$4:$H$254=(H130)),0))),""),""))</f>
        <v/>
      </c>
      <c r="J130" s="29" t="str">
        <f aca="false">IF(AND(G128=0,G130="min",H130=1),B130-B129,IF(G130="min",B130-I130,""))</f>
        <v/>
      </c>
      <c r="K130" s="34" t="str">
        <f aca="false">IF(AND(G128=0,G130="min",H130=1),(B130-B129)/B129,IF(G130="min",(B130-I130)/I130,""))</f>
        <v/>
      </c>
      <c r="L130" s="5"/>
      <c r="M130" s="0" t="n">
        <f aca="false">E130/COUNT($E$4:E130)</f>
        <v>-0.000301532797207334</v>
      </c>
      <c r="N130" s="19" t="n">
        <f aca="false">M130*252</f>
        <v>-0.0759862648962482</v>
      </c>
      <c r="O130" s="20" t="n">
        <f aca="false">STDEV($D$4:$D130)</f>
        <v>0.0292996471409585</v>
      </c>
      <c r="P130" s="20" t="n">
        <f aca="false">O130*SQRT(252)</f>
        <v>0.465117479021525</v>
      </c>
      <c r="Q130" s="0" t="n">
        <f aca="false">Treasuries!J128/100</f>
        <v>0.0523</v>
      </c>
      <c r="R130" s="20" t="n">
        <f aca="false">AJ130/AK130*SQRT(252)</f>
        <v>-0.0251103421180645</v>
      </c>
      <c r="S130" s="32" t="n">
        <f aca="false">IF(D130&lt;s_p!H130, D130-s_p!H130, 0)</f>
        <v>0</v>
      </c>
      <c r="T130" s="0" t="n">
        <f aca="false">S130^2</f>
        <v>0</v>
      </c>
      <c r="U130" s="0" t="n">
        <f aca="false">SQRT(AVERAGE(T$4:T130)) * SQRT(252)</f>
        <v>0.334577075031408</v>
      </c>
      <c r="V130" s="0" t="n">
        <f aca="false">AJ130/U130*252</f>
        <v>-0.0356928426900702</v>
      </c>
      <c r="W130" s="22" t="n">
        <f aca="false">(s_p!$J130)/COUNT(s_p!$J$4:$J130)</f>
        <v>0.00014268337984001</v>
      </c>
      <c r="X130" s="22" t="n">
        <f aca="false">W130 * 252</f>
        <v>0.0359562117196826</v>
      </c>
      <c r="Y130" s="21" t="n">
        <f aca="false">STDEV(s_p!$H$4:$H130)</f>
        <v>0.00708283499153628</v>
      </c>
      <c r="Z130" s="21" t="n">
        <f aca="false">Y130*SQRT(252)</f>
        <v>0.112436519789468</v>
      </c>
      <c r="AA130" s="0" t="n">
        <f aca="false">AJ130/AK130</f>
        <v>-0.00158180287095579</v>
      </c>
      <c r="AB130" s="0" t="n">
        <f aca="false">_xlfn.COVARIANCE.S($D$4:$D130,s_p!$H$4:$H130)</f>
        <v>5.55307987568695E-006</v>
      </c>
      <c r="AC130" s="0" t="n">
        <f aca="false">_xlfn.VAR.S(s_p!$H$4:$H130)</f>
        <v>5.01665515173308E-005</v>
      </c>
      <c r="AD130" s="0" t="n">
        <f aca="false">AB130/AC130</f>
        <v>0.110692876184016</v>
      </c>
      <c r="AE130" s="0" t="n">
        <f aca="false">M130-(AD130*W130)</f>
        <v>-0.000317326830905481</v>
      </c>
      <c r="AF130" s="33" t="n">
        <f aca="false">MAX($E$4:E130)</f>
        <v>0.280129884293098</v>
      </c>
      <c r="AG130" s="0" t="n">
        <f aca="false">1 - ((1 + E130) / (1 + AF130))</f>
        <v>0.248743938756079</v>
      </c>
      <c r="AH130" s="0" t="n">
        <f aca="false">MAX($AG$5:AG130)</f>
        <v>0.281067723434912</v>
      </c>
      <c r="AI130" s="19" t="n">
        <f aca="false">D130-s_p!H130</f>
        <v>0.0450489239878455</v>
      </c>
      <c r="AJ130" s="19" t="n">
        <f aca="false">AVERAGE(AI$4:AI130)</f>
        <v>-4.73889162968249E-005</v>
      </c>
      <c r="AK130" s="0" t="n">
        <f aca="false">STDEV(AI$4:AI130)</f>
        <v>0.0299588002822315</v>
      </c>
    </row>
    <row r="131" customFormat="false" ht="13.8" hidden="false" customHeight="false" outlineLevel="0" collapsed="false">
      <c r="A131" s="6" t="n">
        <f aca="false">WORKDAY(A130,1,holiday!$B$2:$B$10)</f>
        <v>38904</v>
      </c>
      <c r="B131" s="24" t="n">
        <v>939297.600454884</v>
      </c>
      <c r="C131" s="24" t="n">
        <f aca="false">B131-B130</f>
        <v>-22407.7342997838</v>
      </c>
      <c r="D131" s="31" t="n">
        <f aca="false">C131/B130</f>
        <v>-0.0233000000000001</v>
      </c>
      <c r="E131" s="31" t="n">
        <f aca="false" t="array" ref="E131:E131">PRODUCT(1+$D$4:D131)-1</f>
        <v>-0.0607023995451153</v>
      </c>
      <c r="F131" s="0" t="n">
        <f aca="false">IF(ISBLANK(A132),MONTH(A131),IF(MONTH(A132)-MONTH(A131)=1,MONTH(A131),0))</f>
        <v>0</v>
      </c>
      <c r="G131" s="0" t="str">
        <f aca="false">IF(B132&gt;B131,IF(AND(B130&gt;B131,B132&gt;B131),"min",""),IF(AND(B130&gt;B131,B132&gt;B131),"",IF(AND(B130&lt;B131,B132&lt;B131),"max","")))</f>
        <v/>
      </c>
      <c r="H131" s="0" t="str">
        <f aca="false">IF(G131="min",COUNTIF(G$4:G131,"min"),IF(G131="max",COUNTIF(G$4:G131,"max"),""))</f>
        <v/>
      </c>
      <c r="I131" s="24" t="str">
        <f aca="false" t="array" ref="I131:I131">IF($G$3=0,IF(G131="min",INDEX($B$4:$B$254,(MATCH(1,($G$4:$G$254="max")*($H$4:$H$254=(H131-1)),0))),""),IF($G$3=1,IF(G131="min",INDEX($B$4:$B$254,(MATCH(1,($G$4:$G$254="max")*($H$4:$H$254=(H131)),0))),""),""))</f>
        <v/>
      </c>
      <c r="J131" s="29" t="str">
        <f aca="false">IF(AND(G129=0,G131="min",H131=1),B131-B130,IF(G131="min",B131-I131,""))</f>
        <v/>
      </c>
      <c r="K131" s="34" t="str">
        <f aca="false">IF(AND(G129=0,G131="min",H131=1),(B131-B130)/B130,IF(G131="min",(B131-I131)/I131,""))</f>
        <v/>
      </c>
      <c r="L131" s="5"/>
      <c r="M131" s="0" t="n">
        <f aca="false">E131/COUNT($E$4:E131)</f>
        <v>-0.000474237496446213</v>
      </c>
      <c r="N131" s="19" t="n">
        <f aca="false">M131*252</f>
        <v>-0.119507849104446</v>
      </c>
      <c r="O131" s="20" t="n">
        <f aca="false">STDEV($D$4:$D131)</f>
        <v>0.0292573827667184</v>
      </c>
      <c r="P131" s="20" t="n">
        <f aca="false">O131*SQRT(252)</f>
        <v>0.464446552880182</v>
      </c>
      <c r="Q131" s="0" t="n">
        <f aca="false">Treasuries!J129/100</f>
        <v>0.0519</v>
      </c>
      <c r="R131" s="20" t="n">
        <f aca="false">AJ131/AK131*SQRT(252)</f>
        <v>-0.131832745754132</v>
      </c>
      <c r="S131" s="32" t="n">
        <f aca="false">IF(D131&lt;s_p!H131, D131-s_p!H131, 0)</f>
        <v>-0.0257942757551675</v>
      </c>
      <c r="T131" s="0" t="n">
        <f aca="false">S131^2</f>
        <v>0.00066534466173362</v>
      </c>
      <c r="U131" s="0" t="n">
        <f aca="false">SQRT(AVERAGE(T$4:T131)) * SQRT(252)</f>
        <v>0.335227043923005</v>
      </c>
      <c r="V131" s="0" t="n">
        <f aca="false">AJ131/U131*252</f>
        <v>-0.186832153032413</v>
      </c>
      <c r="W131" s="22" t="n">
        <f aca="false">(s_p!$J131)/COUNT(s_p!$J$4:$J131)</f>
        <v>0.000161408306563388</v>
      </c>
      <c r="X131" s="22" t="n">
        <f aca="false">W131 * 252</f>
        <v>0.0406748932539737</v>
      </c>
      <c r="Y131" s="21" t="n">
        <f aca="false">STDEV(s_p!$H$4:$H131)</f>
        <v>0.00705789482833578</v>
      </c>
      <c r="Z131" s="21" t="n">
        <f aca="false">Y131*SQRT(252)</f>
        <v>0.112040606972552</v>
      </c>
      <c r="AA131" s="0" t="n">
        <f aca="false">AJ131/AK131</f>
        <v>-0.00830468237905316</v>
      </c>
      <c r="AB131" s="0" t="n">
        <f aca="false">_xlfn.COVARIANCE.S($D$4:$D131,s_p!$H$4:$H131)</f>
        <v>5.08342561228108E-006</v>
      </c>
      <c r="AC131" s="0" t="n">
        <f aca="false">_xlfn.VAR.S(s_p!$H$4:$H131)</f>
        <v>4.98138794078489E-005</v>
      </c>
      <c r="AD131" s="0" t="n">
        <f aca="false">AB131/AC131</f>
        <v>0.102048378337707</v>
      </c>
      <c r="AE131" s="0" t="n">
        <f aca="false">M131-(AD131*W131)</f>
        <v>-0.000490708952381242</v>
      </c>
      <c r="AF131" s="33" t="n">
        <f aca="false">MAX($E$4:E131)</f>
        <v>0.280129884293098</v>
      </c>
      <c r="AG131" s="0" t="n">
        <f aca="false">1 - ((1 + E131) / (1 + AF131))</f>
        <v>0.266248204983063</v>
      </c>
      <c r="AH131" s="0" t="n">
        <f aca="false">MAX($AG$5:AG131)</f>
        <v>0.281067723434912</v>
      </c>
      <c r="AI131" s="19" t="n">
        <f aca="false">D131-s_p!H131</f>
        <v>-0.0257942757551674</v>
      </c>
      <c r="AJ131" s="19" t="n">
        <f aca="false">AVERAGE(AI$4:AI131)</f>
        <v>-0.000248536469725501</v>
      </c>
      <c r="AK131" s="0" t="n">
        <f aca="false">STDEV(AI$4:AI131)</f>
        <v>0.0299272697475322</v>
      </c>
    </row>
    <row r="132" customFormat="false" ht="13.8" hidden="false" customHeight="false" outlineLevel="0" collapsed="false">
      <c r="A132" s="6" t="n">
        <f aca="false">WORKDAY(A131,1,holiday!$B$2:$B$10)</f>
        <v>38905</v>
      </c>
      <c r="B132" s="24" t="n">
        <v>893084.158512504</v>
      </c>
      <c r="C132" s="24" t="n">
        <f aca="false">B132-B131</f>
        <v>-46213.4419423803</v>
      </c>
      <c r="D132" s="31" t="n">
        <f aca="false">C132/B131</f>
        <v>-0.0492</v>
      </c>
      <c r="E132" s="31" t="n">
        <f aca="false" t="array" ref="E132:E132">PRODUCT(1+$D$4:D132)-1</f>
        <v>-0.106915841487496</v>
      </c>
      <c r="F132" s="0" t="n">
        <f aca="false">IF(ISBLANK(A133),MONTH(A132),IF(MONTH(A133)-MONTH(A132)=1,MONTH(A132),0))</f>
        <v>0</v>
      </c>
      <c r="G132" s="0" t="str">
        <f aca="false">IF(B133&gt;B132,IF(AND(B131&gt;B132,B133&gt;B132),"min",""),IF(AND(B131&gt;B132,B133&gt;B132),"",IF(AND(B131&lt;B132,B133&lt;B132),"max","")))</f>
        <v>min</v>
      </c>
      <c r="H132" s="0" t="n">
        <f aca="false">IF(G132="min",COUNTIF(G$4:G132,"min"),IF(G132="max",COUNTIF(G$4:G132,"max"),""))</f>
        <v>32</v>
      </c>
      <c r="I132" s="24" t="n">
        <f aca="false" t="array" ref="I132:I132">IF($G$3=0,IF(G132="min",INDEX($B$4:$B$254,(MATCH(1,($G$4:$G$254="max")*($H$4:$H$254=(H132-1)),0))),""),IF($G$3=1,IF(G132="min",INDEX($B$4:$B$254,(MATCH(1,($G$4:$G$254="max")*($H$4:$H$254=(H132)),0))),""),""))</f>
        <v>961705.334754668</v>
      </c>
      <c r="J132" s="29" t="n">
        <f aca="false">IF(AND(G130=0,G132="min",H132=1),B132-B131,IF(G132="min",B132-I132,""))</f>
        <v>-68621.176242164</v>
      </c>
      <c r="K132" s="34" t="n">
        <f aca="false">IF(AND(G130=0,G132="min",H132=1),(B132-B131)/B131,IF(G132="min",(B132-I132)/I132,""))</f>
        <v>-0.0713536399999999</v>
      </c>
      <c r="L132" s="5"/>
      <c r="M132" s="0" t="n">
        <f aca="false">E132/COUNT($E$4:E132)</f>
        <v>-0.000828804972771283</v>
      </c>
      <c r="N132" s="19" t="n">
        <f aca="false">M132*252</f>
        <v>-0.208858853138363</v>
      </c>
      <c r="O132" s="20" t="n">
        <f aca="false">STDEV($D$4:$D132)</f>
        <v>0.0294622267733415</v>
      </c>
      <c r="P132" s="20" t="n">
        <f aca="false">O132*SQRT(252)</f>
        <v>0.467698350674703</v>
      </c>
      <c r="Q132" s="0" t="n">
        <f aca="false">Treasuries!J130/100</f>
        <v>0.0514</v>
      </c>
      <c r="R132" s="20" t="n">
        <f aca="false">AJ132/AK132*SQRT(252)</f>
        <v>-0.304207324120274</v>
      </c>
      <c r="S132" s="32" t="n">
        <f aca="false">IF(D132&lt;s_p!H132, D132-s_p!H132, 0)</f>
        <v>-0.0424500313952029</v>
      </c>
      <c r="T132" s="0" t="n">
        <f aca="false">S132^2</f>
        <v>0.00180200516545371</v>
      </c>
      <c r="U132" s="0" t="n">
        <f aca="false">SQRT(AVERAGE(T$4:T132)) * SQRT(252)</f>
        <v>0.33915516545415</v>
      </c>
      <c r="V132" s="0" t="n">
        <f aca="false">AJ132/U132*252</f>
        <v>-0.427743212456839</v>
      </c>
      <c r="W132" s="22" t="n">
        <f aca="false">(s_p!$J132)/COUNT(s_p!$J$4:$J132)</f>
        <v>0.000106750686101385</v>
      </c>
      <c r="X132" s="22" t="n">
        <f aca="false">W132 * 252</f>
        <v>0.0269011728975491</v>
      </c>
      <c r="Y132" s="21" t="n">
        <f aca="false">STDEV(s_p!$H$4:$H132)</f>
        <v>0.00705673238779497</v>
      </c>
      <c r="Z132" s="21" t="n">
        <f aca="false">Y132*SQRT(252)</f>
        <v>0.112022153801043</v>
      </c>
      <c r="AA132" s="0" t="n">
        <f aca="false">AJ132/AK132</f>
        <v>-0.0191632601577776</v>
      </c>
      <c r="AB132" s="0" t="n">
        <f aca="false">_xlfn.COVARIANCE.S($D$4:$D132,s_p!$H$4:$H132)</f>
        <v>7.68503179107338E-006</v>
      </c>
      <c r="AC132" s="0" t="n">
        <f aca="false">_xlfn.VAR.S(s_p!$H$4:$H132)</f>
        <v>4.97974719929546E-005</v>
      </c>
      <c r="AD132" s="0" t="n">
        <f aca="false">AB132/AC132</f>
        <v>0.15432574151878</v>
      </c>
      <c r="AE132" s="0" t="n">
        <f aca="false">M132-(AD132*W132)</f>
        <v>-0.000845279351561518</v>
      </c>
      <c r="AF132" s="33" t="n">
        <f aca="false">MAX($E$4:E132)</f>
        <v>0.280129884293098</v>
      </c>
      <c r="AG132" s="0" t="n">
        <f aca="false">1 - ((1 + E132) / (1 + AF132))</f>
        <v>0.302348793297896</v>
      </c>
      <c r="AH132" s="0" t="n">
        <f aca="false">MAX($AG$5:AG132)</f>
        <v>0.302348793297896</v>
      </c>
      <c r="AI132" s="19" t="n">
        <f aca="false">D132-s_p!H132</f>
        <v>-0.0424500313952028</v>
      </c>
      <c r="AJ132" s="19" t="n">
        <f aca="false">AVERAGE(AI$4:AI132)</f>
        <v>-0.000575679841240829</v>
      </c>
      <c r="AK132" s="0" t="n">
        <f aca="false">STDEV(AI$4:AI132)</f>
        <v>0.0300408091577875</v>
      </c>
    </row>
    <row r="133" customFormat="false" ht="13.8" hidden="false" customHeight="false" outlineLevel="0" collapsed="false">
      <c r="A133" s="6" t="n">
        <f aca="false">WORKDAY(A132,1,holiday!$B$2:$B$10)</f>
        <v>38908</v>
      </c>
      <c r="B133" s="24" t="n">
        <v>909159.673365729</v>
      </c>
      <c r="C133" s="24" t="n">
        <f aca="false">B133-B132</f>
        <v>16075.5148532251</v>
      </c>
      <c r="D133" s="31" t="n">
        <f aca="false">C133/B132</f>
        <v>0.018</v>
      </c>
      <c r="E133" s="31" t="n">
        <f aca="false" t="array" ref="E133:E133">PRODUCT(1+$D$4:D133)-1</f>
        <v>-0.0908403266342704</v>
      </c>
      <c r="F133" s="0" t="n">
        <f aca="false">IF(ISBLANK(A134),MONTH(A133),IF(MONTH(A134)-MONTH(A133)=1,MONTH(A133),0))</f>
        <v>0</v>
      </c>
      <c r="G133" s="0" t="str">
        <f aca="false">IF(B134&gt;B133,IF(AND(B132&gt;B133,B134&gt;B133),"min",""),IF(AND(B132&gt;B133,B134&gt;B133),"",IF(AND(B132&lt;B133,B134&lt;B133),"max","")))</f>
        <v>max</v>
      </c>
      <c r="H133" s="0" t="n">
        <f aca="false">IF(G133="min",COUNTIF(G$4:G133,"min"),IF(G133="max",COUNTIF(G$4:G133,"max"),""))</f>
        <v>32</v>
      </c>
      <c r="I133" s="24" t="str">
        <f aca="false" t="array" ref="I133:I133">IF($G$3=0,IF(G133="min",INDEX($B$4:$B$254,(MATCH(1,($G$4:$G$254="max")*($H$4:$H$254=(H133-1)),0))),""),IF($G$3=1,IF(G133="min",INDEX($B$4:$B$254,(MATCH(1,($G$4:$G$254="max")*($H$4:$H$254=(H133)),0))),""),""))</f>
        <v/>
      </c>
      <c r="J133" s="29" t="str">
        <f aca="false">IF(AND(G131=0,G133="min",H133=1),B133-B132,IF(G133="min",B133-I133,""))</f>
        <v/>
      </c>
      <c r="K133" s="34" t="str">
        <f aca="false">IF(AND(G131=0,G133="min",H133=1),(B133-B132)/B132,IF(G133="min",(B133-I133)/I133,""))</f>
        <v/>
      </c>
      <c r="L133" s="5"/>
      <c r="M133" s="0" t="n">
        <f aca="false">E133/COUNT($E$4:E133)</f>
        <v>-0.000698771743340542</v>
      </c>
      <c r="N133" s="19" t="n">
        <f aca="false">M133*252</f>
        <v>-0.176090479321817</v>
      </c>
      <c r="O133" s="20" t="n">
        <f aca="false">STDEV($D$4:$D133)</f>
        <v>0.0293923629232338</v>
      </c>
      <c r="P133" s="20" t="n">
        <f aca="false">O133*SQRT(252)</f>
        <v>0.466589296436593</v>
      </c>
      <c r="Q133" s="0" t="n">
        <f aca="false">Treasuries!J131/100</f>
        <v>0.0513</v>
      </c>
      <c r="R133" s="20" t="n">
        <f aca="false">AJ133/AK133*SQRT(252)</f>
        <v>-0.235293733787258</v>
      </c>
      <c r="S133" s="32" t="n">
        <f aca="false">IF(D133&lt;s_p!H133, D133-s_p!H133, 0)</f>
        <v>0</v>
      </c>
      <c r="T133" s="0" t="n">
        <f aca="false">S133^2</f>
        <v>0</v>
      </c>
      <c r="U133" s="0" t="n">
        <f aca="false">SQRT(AVERAGE(T$4:T133)) * SQRT(252)</f>
        <v>0.337848204271089</v>
      </c>
      <c r="V133" s="0" t="n">
        <f aca="false">AJ133/U133*252</f>
        <v>-0.331250024681129</v>
      </c>
      <c r="W133" s="22" t="n">
        <f aca="false">(s_p!$J133)/COUNT(s_p!$J$4:$J133)</f>
        <v>0.000117391360612095</v>
      </c>
      <c r="X133" s="22" t="n">
        <f aca="false">W133 * 252</f>
        <v>0.0295826228742479</v>
      </c>
      <c r="Y133" s="21" t="n">
        <f aca="false">STDEV(s_p!$H$4:$H133)</f>
        <v>0.00703030855755199</v>
      </c>
      <c r="Z133" s="21" t="n">
        <f aca="false">Y133*SQRT(252)</f>
        <v>0.111602688499991</v>
      </c>
      <c r="AA133" s="0" t="n">
        <f aca="false">AJ133/AK133</f>
        <v>-0.0148221120155456</v>
      </c>
      <c r="AB133" s="0" t="n">
        <f aca="false">_xlfn.COVARIANCE.S($D$4:$D133,s_p!$H$4:$H133)</f>
        <v>7.81545227050073E-006</v>
      </c>
      <c r="AC133" s="0" t="n">
        <f aca="false">_xlfn.VAR.S(s_p!$H$4:$H133)</f>
        <v>4.94252384143887E-005</v>
      </c>
      <c r="AD133" s="0" t="n">
        <f aca="false">AB133/AC133</f>
        <v>0.158126749030016</v>
      </c>
      <c r="AE133" s="0" t="n">
        <f aca="false">M133-(AD133*W133)</f>
        <v>-0.000717334457558343</v>
      </c>
      <c r="AF133" s="33" t="n">
        <f aca="false">MAX($E$4:E133)</f>
        <v>0.280129884293098</v>
      </c>
      <c r="AG133" s="0" t="n">
        <f aca="false">1 - ((1 + E133) / (1 + AF133))</f>
        <v>0.289791071577258</v>
      </c>
      <c r="AH133" s="0" t="n">
        <f aca="false">MAX($AG$5:AG133)</f>
        <v>0.302348793297896</v>
      </c>
      <c r="AI133" s="19" t="n">
        <f aca="false">D133-s_p!H133</f>
        <v>0.0165302019786959</v>
      </c>
      <c r="AJ133" s="19" t="n">
        <f aca="false">AVERAGE(AI$4:AI133)</f>
        <v>-0.000444096134933624</v>
      </c>
      <c r="AK133" s="0" t="n">
        <f aca="false">STDEV(AI$4:AI133)</f>
        <v>0.0299617311262964</v>
      </c>
    </row>
    <row r="134" customFormat="false" ht="13.8" hidden="false" customHeight="false" outlineLevel="0" collapsed="false">
      <c r="A134" s="6" t="n">
        <f aca="false">WORKDAY(A133,1,holiday!$B$2:$B$10)</f>
        <v>38909</v>
      </c>
      <c r="B134" s="24" t="n">
        <v>874066.109973812</v>
      </c>
      <c r="C134" s="24" t="n">
        <f aca="false">B134-B133</f>
        <v>-35093.5633919171</v>
      </c>
      <c r="D134" s="31" t="n">
        <f aca="false">C134/B133</f>
        <v>-0.0386</v>
      </c>
      <c r="E134" s="31" t="n">
        <f aca="false" t="array" ref="E134:E134">PRODUCT(1+$D$4:D134)-1</f>
        <v>-0.125933890026188</v>
      </c>
      <c r="F134" s="0" t="n">
        <f aca="false">IF(ISBLANK(A135),MONTH(A134),IF(MONTH(A135)-MONTH(A134)=1,MONTH(A134),0))</f>
        <v>0</v>
      </c>
      <c r="G134" s="0" t="str">
        <f aca="false">IF(B135&gt;B134,IF(AND(B133&gt;B134,B135&gt;B134),"min",""),IF(AND(B133&gt;B134,B135&gt;B134),"",IF(AND(B133&lt;B134,B135&lt;B134),"max","")))</f>
        <v>min</v>
      </c>
      <c r="H134" s="0" t="n">
        <f aca="false">IF(G134="min",COUNTIF(G$4:G134,"min"),IF(G134="max",COUNTIF(G$4:G134,"max"),""))</f>
        <v>33</v>
      </c>
      <c r="I134" s="24" t="n">
        <f aca="false" t="array" ref="I134:I134">IF($G$3=0,IF(G134="min",INDEX($B$4:$B$254,(MATCH(1,($G$4:$G$254="max")*($H$4:$H$254=(H134-1)),0))),""),IF($G$3=1,IF(G134="min",INDEX($B$4:$B$254,(MATCH(1,($G$4:$G$254="max")*($H$4:$H$254=(H134)),0))),""),""))</f>
        <v>909159.673365729</v>
      </c>
      <c r="J134" s="29" t="n">
        <f aca="false">IF(AND(G132=0,G134="min",H134=1),B134-B133,IF(G134="min",B134-I134,""))</f>
        <v>-35093.563391917</v>
      </c>
      <c r="K134" s="34" t="n">
        <f aca="false">IF(AND(G132=0,G134="min",H134=1),(B134-B133)/B133,IF(G134="min",(B134-I134)/I134,""))</f>
        <v>-0.0385999999999999</v>
      </c>
      <c r="L134" s="5"/>
      <c r="M134" s="0" t="n">
        <f aca="false">E134/COUNT($E$4:E134)</f>
        <v>-0.000961327404780057</v>
      </c>
      <c r="N134" s="19" t="n">
        <f aca="false">M134*252</f>
        <v>-0.242254506004574</v>
      </c>
      <c r="O134" s="20" t="n">
        <f aca="false">STDEV($D$4:$D134)</f>
        <v>0.0294696685335315</v>
      </c>
      <c r="P134" s="20" t="n">
        <f aca="false">O134*SQRT(252)</f>
        <v>0.46781648495538</v>
      </c>
      <c r="Q134" s="0" t="n">
        <f aca="false">Treasuries!J132/100</f>
        <v>0.051</v>
      </c>
      <c r="R134" s="20" t="n">
        <f aca="false">AJ134/AK134*SQRT(252)</f>
        <v>-0.404358453126302</v>
      </c>
      <c r="S134" s="32" t="n">
        <f aca="false">IF(D134&lt;s_p!H134, D134-s_p!H134, 0)</f>
        <v>-0.0426162860795052</v>
      </c>
      <c r="T134" s="0" t="n">
        <f aca="false">S134^2</f>
        <v>0.00181614783921023</v>
      </c>
      <c r="U134" s="0" t="n">
        <f aca="false">SQRT(AVERAGE(T$4:T134)) * SQRT(252)</f>
        <v>0.341707124744788</v>
      </c>
      <c r="V134" s="0" t="n">
        <f aca="false">AJ134/U134*252</f>
        <v>-0.564920485330189</v>
      </c>
      <c r="W134" s="22" t="n">
        <f aca="false">(s_p!$J134)/COUNT(s_p!$J$4:$J134)</f>
        <v>0.000147621793942366</v>
      </c>
      <c r="X134" s="22" t="n">
        <f aca="false">W134 * 252</f>
        <v>0.0372006920734762</v>
      </c>
      <c r="Y134" s="21" t="n">
        <f aca="false">STDEV(s_p!$H$4:$H134)</f>
        <v>0.00701139666206797</v>
      </c>
      <c r="Z134" s="21" t="n">
        <f aca="false">Y134*SQRT(252)</f>
        <v>0.111302471466361</v>
      </c>
      <c r="AA134" s="0" t="n">
        <f aca="false">AJ134/AK134</f>
        <v>-0.0254721882737847</v>
      </c>
      <c r="AB134" s="0" t="n">
        <f aca="false">_xlfn.COVARIANCE.S($D$4:$D134,s_p!$H$4:$H134)</f>
        <v>6.62242655853888E-006</v>
      </c>
      <c r="AC134" s="0" t="n">
        <f aca="false">_xlfn.VAR.S(s_p!$H$4:$H134)</f>
        <v>4.91596831528578E-005</v>
      </c>
      <c r="AD134" s="0" t="n">
        <f aca="false">AB134/AC134</f>
        <v>0.134712555773539</v>
      </c>
      <c r="AE134" s="0" t="n">
        <f aca="false">M134-(AD134*W134)</f>
        <v>-0.000981213913929908</v>
      </c>
      <c r="AF134" s="33" t="n">
        <f aca="false">MAX($E$4:E134)</f>
        <v>0.280129884293098</v>
      </c>
      <c r="AG134" s="0" t="n">
        <f aca="false">1 - ((1 + E134) / (1 + AF134))</f>
        <v>0.317205136214376</v>
      </c>
      <c r="AH134" s="0" t="n">
        <f aca="false">MAX($AG$5:AG134)</f>
        <v>0.317205136214376</v>
      </c>
      <c r="AI134" s="19" t="n">
        <f aca="false">D134-s_p!H134</f>
        <v>-0.0426162860795052</v>
      </c>
      <c r="AJ134" s="19" t="n">
        <f aca="false">AVERAGE(AI$4:AI134)</f>
        <v>-0.000766021249014323</v>
      </c>
      <c r="AK134" s="0" t="n">
        <f aca="false">STDEV(AI$4:AI134)</f>
        <v>0.0300728481110785</v>
      </c>
    </row>
    <row r="135" customFormat="false" ht="13.8" hidden="false" customHeight="false" outlineLevel="0" collapsed="false">
      <c r="A135" s="6" t="n">
        <f aca="false">WORKDAY(A134,1,holiday!$B$2:$B$10)</f>
        <v>38910</v>
      </c>
      <c r="B135" s="24" t="n">
        <v>903696.951101924</v>
      </c>
      <c r="C135" s="24" t="n">
        <f aca="false">B135-B134</f>
        <v>29630.8411281123</v>
      </c>
      <c r="D135" s="31" t="n">
        <f aca="false">C135/B134</f>
        <v>0.0339000000000001</v>
      </c>
      <c r="E135" s="31" t="n">
        <f aca="false" t="array" ref="E135:E135">PRODUCT(1+$D$4:D135)-1</f>
        <v>-0.0963030488980753</v>
      </c>
      <c r="F135" s="0" t="n">
        <f aca="false">IF(ISBLANK(A136),MONTH(A135),IF(MONTH(A136)-MONTH(A135)=1,MONTH(A135),0))</f>
        <v>0</v>
      </c>
      <c r="G135" s="0" t="str">
        <f aca="false">IF(B136&gt;B135,IF(AND(B134&gt;B135,B136&gt;B135),"min",""),IF(AND(B134&gt;B135,B136&gt;B135),"",IF(AND(B134&lt;B135,B136&lt;B135),"max","")))</f>
        <v/>
      </c>
      <c r="H135" s="0" t="str">
        <f aca="false">IF(G135="min",COUNTIF(G$4:G135,"min"),IF(G135="max",COUNTIF(G$4:G135,"max"),""))</f>
        <v/>
      </c>
      <c r="I135" s="24" t="str">
        <f aca="false" t="array" ref="I135:I135">IF($G$3=0,IF(G135="min",INDEX($B$4:$B$254,(MATCH(1,($G$4:$G$254="max")*($H$4:$H$254=(H135-1)),0))),""),IF($G$3=1,IF(G135="min",INDEX($B$4:$B$254,(MATCH(1,($G$4:$G$254="max")*($H$4:$H$254=(H135)),0))),""),""))</f>
        <v/>
      </c>
      <c r="J135" s="29" t="str">
        <f aca="false">IF(AND(G133=0,G135="min",H135=1),B135-B134,IF(G135="min",B135-I135,""))</f>
        <v/>
      </c>
      <c r="K135" s="34" t="str">
        <f aca="false">IF(AND(G133=0,G135="min",H135=1),(B135-B134)/B134,IF(G135="min",(B135-I135)/I135,""))</f>
        <v/>
      </c>
      <c r="L135" s="5"/>
      <c r="M135" s="0" t="n">
        <f aca="false">E135/COUNT($E$4:E135)</f>
        <v>-0.000729568552258146</v>
      </c>
      <c r="N135" s="19" t="n">
        <f aca="false">M135*252</f>
        <v>-0.183851275169053</v>
      </c>
      <c r="O135" s="20" t="n">
        <f aca="false">STDEV($D$4:$D135)</f>
        <v>0.0295101090960691</v>
      </c>
      <c r="P135" s="20" t="n">
        <f aca="false">O135*SQRT(252)</f>
        <v>0.468458458983504</v>
      </c>
      <c r="Q135" s="0" t="n">
        <f aca="false">Treasuries!J133/100</f>
        <v>0.051</v>
      </c>
      <c r="R135" s="20" t="n">
        <f aca="false">AJ135/AK135*SQRT(252)</f>
        <v>-0.221189830521404</v>
      </c>
      <c r="S135" s="32" t="n">
        <f aca="false">IF(D135&lt;s_p!H135, D135-s_p!H135, 0)</f>
        <v>0</v>
      </c>
      <c r="T135" s="0" t="n">
        <f aca="false">S135^2</f>
        <v>0</v>
      </c>
      <c r="U135" s="0" t="n">
        <f aca="false">SQRT(AVERAGE(T$4:T135)) * SQRT(252)</f>
        <v>0.340410318834145</v>
      </c>
      <c r="V135" s="0" t="n">
        <f aca="false">AJ135/U135*252</f>
        <v>-0.311703013360046</v>
      </c>
      <c r="W135" s="22" t="n">
        <f aca="false">(s_p!$J135)/COUNT(s_p!$J$4:$J135)</f>
        <v>6.25704448534159E-005</v>
      </c>
      <c r="X135" s="22" t="n">
        <f aca="false">W135 * 252</f>
        <v>0.0157677521030608</v>
      </c>
      <c r="Y135" s="21" t="n">
        <f aca="false">STDEV(s_p!$H$4:$H135)</f>
        <v>0.00705036819601542</v>
      </c>
      <c r="Z135" s="21" t="n">
        <f aca="false">Y135*SQRT(252)</f>
        <v>0.111921125388575</v>
      </c>
      <c r="AA135" s="0" t="n">
        <f aca="false">AJ135/AK135</f>
        <v>-0.013933649621337</v>
      </c>
      <c r="AB135" s="0" t="n">
        <f aca="false">_xlfn.COVARIANCE.S($D$4:$D135,s_p!$H$4:$H135)</f>
        <v>3.68691492927517E-006</v>
      </c>
      <c r="AC135" s="0" t="n">
        <f aca="false">_xlfn.VAR.S(s_p!$H$4:$H135)</f>
        <v>4.97076916993857E-005</v>
      </c>
      <c r="AD135" s="0" t="n">
        <f aca="false">AB135/AC135</f>
        <v>0.0741719199429398</v>
      </c>
      <c r="AE135" s="0" t="n">
        <f aca="false">M135-(AD135*W135)</f>
        <v>-0.000734209522284608</v>
      </c>
      <c r="AF135" s="33" t="n">
        <f aca="false">MAX($E$4:E135)</f>
        <v>0.280129884293098</v>
      </c>
      <c r="AG135" s="0" t="n">
        <f aca="false">1 - ((1 + E135) / (1 + AF135))</f>
        <v>0.294058390332043</v>
      </c>
      <c r="AH135" s="0" t="n">
        <f aca="false">MAX($AG$5:AG135)</f>
        <v>0.317205136214376</v>
      </c>
      <c r="AI135" s="19" t="n">
        <f aca="false">D135-s_p!H135</f>
        <v>0.0447689672516368</v>
      </c>
      <c r="AJ135" s="19" t="n">
        <f aca="false">AVERAGE(AI$4:AI135)</f>
        <v>-0.000421059214918481</v>
      </c>
      <c r="AK135" s="0" t="n">
        <f aca="false">STDEV(AI$4:AI135)</f>
        <v>0.0302188749079567</v>
      </c>
    </row>
    <row r="136" customFormat="false" ht="13.8" hidden="false" customHeight="false" outlineLevel="0" collapsed="false">
      <c r="A136" s="6" t="n">
        <f aca="false">WORKDAY(A135,1,holiday!$B$2:$B$10)</f>
        <v>38911</v>
      </c>
      <c r="B136" s="24" t="n">
        <v>914450.944820037</v>
      </c>
      <c r="C136" s="24" t="n">
        <f aca="false">B136-B135</f>
        <v>10753.9937181129</v>
      </c>
      <c r="D136" s="31" t="n">
        <f aca="false">C136/B135</f>
        <v>0.0119</v>
      </c>
      <c r="E136" s="31" t="n">
        <f aca="false" t="array" ref="E136:E136">PRODUCT(1+$D$4:D136)-1</f>
        <v>-0.0855490551799624</v>
      </c>
      <c r="F136" s="0" t="n">
        <f aca="false">IF(ISBLANK(A137),MONTH(A136),IF(MONTH(A137)-MONTH(A136)=1,MONTH(A136),0))</f>
        <v>0</v>
      </c>
      <c r="G136" s="0" t="str">
        <f aca="false">IF(B137&gt;B136,IF(AND(B135&gt;B136,B137&gt;B136),"min",""),IF(AND(B135&gt;B136,B137&gt;B136),"",IF(AND(B135&lt;B136,B137&lt;B136),"max","")))</f>
        <v/>
      </c>
      <c r="H136" s="0" t="str">
        <f aca="false">IF(G136="min",COUNTIF(G$4:G136,"min"),IF(G136="max",COUNTIF(G$4:G136,"max"),""))</f>
        <v/>
      </c>
      <c r="I136" s="24" t="str">
        <f aca="false" t="array" ref="I136:I136">IF($G$3=0,IF(G136="min",INDEX($B$4:$B$254,(MATCH(1,($G$4:$G$254="max")*($H$4:$H$254=(H136-1)),0))),""),IF($G$3=1,IF(G136="min",INDEX($B$4:$B$254,(MATCH(1,($G$4:$G$254="max")*($H$4:$H$254=(H136)),0))),""),""))</f>
        <v/>
      </c>
      <c r="J136" s="29" t="str">
        <f aca="false">IF(AND(G134=0,G136="min",H136=1),B136-B135,IF(G136="min",B136-I136,""))</f>
        <v/>
      </c>
      <c r="K136" s="34" t="str">
        <f aca="false">IF(AND(G134=0,G136="min",H136=1),(B136-B135)/B135,IF(G136="min",(B136-I136)/I136,""))</f>
        <v/>
      </c>
      <c r="L136" s="5"/>
      <c r="M136" s="0" t="n">
        <f aca="false">E136/COUNT($E$4:E136)</f>
        <v>-0.000643225978796709</v>
      </c>
      <c r="N136" s="19" t="n">
        <f aca="false">M136*252</f>
        <v>-0.162092946656771</v>
      </c>
      <c r="O136" s="20" t="n">
        <f aca="false">STDEV($D$4:$D136)</f>
        <v>0.0294172496564936</v>
      </c>
      <c r="P136" s="20" t="n">
        <f aca="false">O136*SQRT(252)</f>
        <v>0.466984361079494</v>
      </c>
      <c r="Q136" s="0" t="n">
        <f aca="false">Treasuries!J134/100</f>
        <v>0.0508</v>
      </c>
      <c r="R136" s="20" t="n">
        <f aca="false">AJ136/AK136*SQRT(252)</f>
        <v>-0.121449374521061</v>
      </c>
      <c r="S136" s="32" t="n">
        <f aca="false">IF(D136&lt;s_p!H136, D136-s_p!H136, 0)</f>
        <v>0</v>
      </c>
      <c r="T136" s="0" t="n">
        <f aca="false">S136^2</f>
        <v>0</v>
      </c>
      <c r="U136" s="0" t="n">
        <f aca="false">SQRT(AVERAGE(T$4:T136)) * SQRT(252)</f>
        <v>0.339128166184742</v>
      </c>
      <c r="V136" s="0" t="n">
        <f aca="false">AJ136/U136*252</f>
        <v>-0.171596202404302</v>
      </c>
      <c r="W136" s="22" t="n">
        <f aca="false">(s_p!$J136)/COUNT(s_p!$J$4:$J136)</f>
        <v>-3.61998973994846E-005</v>
      </c>
      <c r="X136" s="22" t="n">
        <f aca="false">W136 * 252</f>
        <v>-0.00912237414467013</v>
      </c>
      <c r="Y136" s="21" t="n">
        <f aca="false">STDEV(s_p!$H$4:$H136)</f>
        <v>0.00711423400973245</v>
      </c>
      <c r="Z136" s="21" t="n">
        <f aca="false">Y136*SQRT(252)</f>
        <v>0.11293496375082</v>
      </c>
      <c r="AA136" s="0" t="n">
        <f aca="false">AJ136/AK136</f>
        <v>-0.00765059147302534</v>
      </c>
      <c r="AB136" s="0" t="n">
        <f aca="false">_xlfn.COVARIANCE.S($D$4:$D136,s_p!$H$4:$H136)</f>
        <v>2.45822550437783E-006</v>
      </c>
      <c r="AC136" s="0" t="n">
        <f aca="false">_xlfn.VAR.S(s_p!$H$4:$H136)</f>
        <v>5.06123255452339E-005</v>
      </c>
      <c r="AD136" s="0" t="n">
        <f aca="false">AB136/AC136</f>
        <v>0.0485697007180758</v>
      </c>
      <c r="AE136" s="0" t="n">
        <f aca="false">M136-(AD136*W136)</f>
        <v>-0.000641467760613991</v>
      </c>
      <c r="AF136" s="33" t="n">
        <f aca="false">MAX($E$4:E136)</f>
        <v>0.280129884293098</v>
      </c>
      <c r="AG136" s="0" t="n">
        <f aca="false">1 - ((1 + E136) / (1 + AF136))</f>
        <v>0.285657685176995</v>
      </c>
      <c r="AH136" s="0" t="n">
        <f aca="false">MAX($AG$5:AG136)</f>
        <v>0.317205136214376</v>
      </c>
      <c r="AI136" s="19" t="n">
        <f aca="false">D136-s_p!H136</f>
        <v>0.0248667884951534</v>
      </c>
      <c r="AJ136" s="19" t="n">
        <f aca="false">AVERAGE(AI$4:AI136)</f>
        <v>-0.00023092502160967</v>
      </c>
      <c r="AK136" s="0" t="n">
        <f aca="false">STDEV(AI$4:AI136)</f>
        <v>0.0301839436106177</v>
      </c>
    </row>
    <row r="137" customFormat="false" ht="13.8" hidden="false" customHeight="false" outlineLevel="0" collapsed="false">
      <c r="A137" s="6" t="n">
        <f aca="false">WORKDAY(A136,1,holiday!$B$2:$B$10)</f>
        <v>38912</v>
      </c>
      <c r="B137" s="24" t="n">
        <v>955967.017714867</v>
      </c>
      <c r="C137" s="24" t="n">
        <f aca="false">B137-B136</f>
        <v>41516.0728948297</v>
      </c>
      <c r="D137" s="31" t="n">
        <f aca="false">C137/B136</f>
        <v>0.0454</v>
      </c>
      <c r="E137" s="31" t="n">
        <f aca="false" t="array" ref="E137:E137">PRODUCT(1+$D$4:D137)-1</f>
        <v>-0.0440329822851325</v>
      </c>
      <c r="F137" s="0" t="n">
        <f aca="false">IF(ISBLANK(A138),MONTH(A137),IF(MONTH(A138)-MONTH(A137)=1,MONTH(A137),0))</f>
        <v>0</v>
      </c>
      <c r="G137" s="0" t="str">
        <f aca="false">IF(B138&gt;B137,IF(AND(B136&gt;B137,B138&gt;B137),"min",""),IF(AND(B136&gt;B137,B138&gt;B137),"",IF(AND(B136&lt;B137,B138&lt;B137),"max","")))</f>
        <v/>
      </c>
      <c r="H137" s="0" t="str">
        <f aca="false">IF(G137="min",COUNTIF(G$4:G137,"min"),IF(G137="max",COUNTIF(G$4:G137,"max"),""))</f>
        <v/>
      </c>
      <c r="I137" s="24" t="str">
        <f aca="false" t="array" ref="I137:I137">IF($G$3=0,IF(G137="min",INDEX($B$4:$B$254,(MATCH(1,($G$4:$G$254="max")*($H$4:$H$254=(H137-1)),0))),""),IF($G$3=1,IF(G137="min",INDEX($B$4:$B$254,(MATCH(1,($G$4:$G$254="max")*($H$4:$H$254=(H137)),0))),""),""))</f>
        <v/>
      </c>
      <c r="J137" s="29" t="str">
        <f aca="false">IF(AND(G135=0,G137="min",H137=1),B137-B136,IF(G137="min",B137-I137,""))</f>
        <v/>
      </c>
      <c r="K137" s="34" t="str">
        <f aca="false">IF(AND(G135=0,G137="min",H137=1),(B137-B136)/B136,IF(G137="min",(B137-I137)/I137,""))</f>
        <v/>
      </c>
      <c r="L137" s="5"/>
      <c r="M137" s="0" t="n">
        <f aca="false">E137/COUNT($E$4:E137)</f>
        <v>-0.000328604345411437</v>
      </c>
      <c r="N137" s="19" t="n">
        <f aca="false">M137*252</f>
        <v>-0.0828082950436821</v>
      </c>
      <c r="O137" s="20" t="n">
        <f aca="false">STDEV($D$4:$D137)</f>
        <v>0.0295704968417825</v>
      </c>
      <c r="P137" s="20" t="n">
        <f aca="false">O137*SQRT(252)</f>
        <v>0.469417084727864</v>
      </c>
      <c r="Q137" s="0" t="n">
        <f aca="false">Treasuries!J135/100</f>
        <v>0.0507</v>
      </c>
      <c r="R137" s="20" t="n">
        <f aca="false">AJ137/AK137*SQRT(252)</f>
        <v>0.0763431645813379</v>
      </c>
      <c r="S137" s="32" t="n">
        <f aca="false">IF(D137&lt;s_p!H137, D137-s_p!H137, 0)</f>
        <v>0</v>
      </c>
      <c r="T137" s="0" t="n">
        <f aca="false">S137^2</f>
        <v>0</v>
      </c>
      <c r="U137" s="0" t="n">
        <f aca="false">SQRT(AVERAGE(T$4:T137)) * SQRT(252)</f>
        <v>0.337860392901593</v>
      </c>
      <c r="V137" s="0" t="n">
        <f aca="false">AJ137/U137*252</f>
        <v>0.108992781982728</v>
      </c>
      <c r="W137" s="22" t="n">
        <f aca="false">(s_p!$J137)/COUNT(s_p!$J$4:$J137)</f>
        <v>-7.22779807552775E-005</v>
      </c>
      <c r="X137" s="22" t="n">
        <f aca="false">W137 * 252</f>
        <v>-0.0182140511503299</v>
      </c>
      <c r="Y137" s="21" t="n">
        <f aca="false">STDEV(s_p!$H$4:$H137)</f>
        <v>0.00709998050074249</v>
      </c>
      <c r="Z137" s="21" t="n">
        <f aca="false">Y137*SQRT(252)</f>
        <v>0.112708696310235</v>
      </c>
      <c r="AA137" s="0" t="n">
        <f aca="false">AJ137/AK137</f>
        <v>0.0048091673281405</v>
      </c>
      <c r="AB137" s="0" t="n">
        <f aca="false">_xlfn.COVARIANCE.S($D$4:$D137,s_p!$H$4:$H137)</f>
        <v>7.76514826096188E-007</v>
      </c>
      <c r="AC137" s="0" t="n">
        <f aca="false">_xlfn.VAR.S(s_p!$H$4:$H137)</f>
        <v>5.04097231109236E-005</v>
      </c>
      <c r="AD137" s="0" t="n">
        <f aca="false">AB137/AC137</f>
        <v>0.0154040684648776</v>
      </c>
      <c r="AE137" s="0" t="n">
        <f aca="false">M137-(AD137*W137)</f>
        <v>-0.000327490970447379</v>
      </c>
      <c r="AF137" s="33" t="n">
        <f aca="false">MAX($E$4:E137)</f>
        <v>0.280129884293098</v>
      </c>
      <c r="AG137" s="0" t="n">
        <f aca="false">1 - ((1 + E137) / (1 + AF137))</f>
        <v>0.25322654408403</v>
      </c>
      <c r="AH137" s="0" t="n">
        <f aca="false">MAX($AG$5:AG137)</f>
        <v>0.317205136214376</v>
      </c>
      <c r="AI137" s="19" t="n">
        <f aca="false">D137-s_p!H137</f>
        <v>0.0502942267443732</v>
      </c>
      <c r="AJ137" s="19" t="n">
        <f aca="false">AVERAGE(AI$4:AI137)</f>
        <v>0.000146128349778262</v>
      </c>
      <c r="AK137" s="0" t="n">
        <f aca="false">STDEV(AI$4:AI137)</f>
        <v>0.0303853743917793</v>
      </c>
    </row>
    <row r="138" customFormat="false" ht="13.8" hidden="false" customHeight="false" outlineLevel="0" collapsed="false">
      <c r="A138" s="6" t="n">
        <f aca="false">WORKDAY(A137,1,holiday!$B$2:$B$10)</f>
        <v>38915</v>
      </c>
      <c r="B138" s="24" t="n">
        <v>967247.428523902</v>
      </c>
      <c r="C138" s="24" t="n">
        <f aca="false">B138-B137</f>
        <v>11280.4108090354</v>
      </c>
      <c r="D138" s="31" t="n">
        <f aca="false">C138/B137</f>
        <v>0.0118</v>
      </c>
      <c r="E138" s="31" t="n">
        <f aca="false" t="array" ref="E138:E138">PRODUCT(1+$D$4:D138)-1</f>
        <v>-0.032752571476097</v>
      </c>
      <c r="F138" s="0" t="n">
        <f aca="false">IF(ISBLANK(A139),MONTH(A138),IF(MONTH(A139)-MONTH(A138)=1,MONTH(A138),0))</f>
        <v>0</v>
      </c>
      <c r="G138" s="0" t="str">
        <f aca="false">IF(B139&gt;B138,IF(AND(B137&gt;B138,B139&gt;B138),"min",""),IF(AND(B137&gt;B138,B139&gt;B138),"",IF(AND(B137&lt;B138,B139&lt;B138),"max","")))</f>
        <v>max</v>
      </c>
      <c r="H138" s="0" t="n">
        <f aca="false">IF(G138="min",COUNTIF(G$4:G138,"min"),IF(G138="max",COUNTIF(G$4:G138,"max"),""))</f>
        <v>33</v>
      </c>
      <c r="I138" s="24" t="str">
        <f aca="false" t="array" ref="I138:I138">IF($G$3=0,IF(G138="min",INDEX($B$4:$B$254,(MATCH(1,($G$4:$G$254="max")*($H$4:$H$254=(H138-1)),0))),""),IF($G$3=1,IF(G138="min",INDEX($B$4:$B$254,(MATCH(1,($G$4:$G$254="max")*($H$4:$H$254=(H138)),0))),""),""))</f>
        <v/>
      </c>
      <c r="J138" s="29" t="str">
        <f aca="false">IF(AND(G136=0,G138="min",H138=1),B138-B137,IF(G138="min",B138-I138,""))</f>
        <v/>
      </c>
      <c r="K138" s="34" t="str">
        <f aca="false">IF(AND(G136=0,G138="min",H138=1),(B138-B137)/B137,IF(G138="min",(B138-I138)/I138,""))</f>
        <v/>
      </c>
      <c r="L138" s="5"/>
      <c r="M138" s="0" t="n">
        <f aca="false">E138/COUNT($E$4:E138)</f>
        <v>-0.000242611640563681</v>
      </c>
      <c r="N138" s="19" t="n">
        <f aca="false">M138*252</f>
        <v>-0.0611381334220477</v>
      </c>
      <c r="O138" s="20" t="n">
        <f aca="false">STDEV($D$4:$D138)</f>
        <v>0.0294771617097958</v>
      </c>
      <c r="P138" s="20" t="n">
        <f aca="false">O138*SQRT(252)</f>
        <v>0.467935435440931</v>
      </c>
      <c r="Q138" s="0" t="n">
        <f aca="false">Treasuries!J136/100</f>
        <v>0.0507</v>
      </c>
      <c r="R138" s="20" t="n">
        <f aca="false">AJ138/AK138*SQRT(252)</f>
        <v>0.127184300156897</v>
      </c>
      <c r="S138" s="32" t="n">
        <f aca="false">IF(D138&lt;s_p!H138, D138-s_p!H138, 0)</f>
        <v>0</v>
      </c>
      <c r="T138" s="0" t="n">
        <f aca="false">S138^2</f>
        <v>0</v>
      </c>
      <c r="U138" s="0" t="n">
        <f aca="false">SQRT(AVERAGE(T$4:T138)) * SQRT(252)</f>
        <v>0.336606732203939</v>
      </c>
      <c r="V138" s="0" t="n">
        <f aca="false">AJ138/U138*252</f>
        <v>0.181696735374305</v>
      </c>
      <c r="W138" s="22" t="n">
        <f aca="false">(s_p!$J138)/COUNT(s_p!$J$4:$J138)</f>
        <v>-8.18898030283126E-005</v>
      </c>
      <c r="X138" s="22" t="n">
        <f aca="false">W138 * 252</f>
        <v>-0.0206362303631348</v>
      </c>
      <c r="Y138" s="21" t="n">
        <f aca="false">STDEV(s_p!$H$4:$H138)</f>
        <v>0.00707437245847536</v>
      </c>
      <c r="Z138" s="21" t="n">
        <f aca="false">Y138*SQRT(252)</f>
        <v>0.112302181241822</v>
      </c>
      <c r="AA138" s="0" t="n">
        <f aca="false">AJ138/AK138</f>
        <v>0.00801185783064165</v>
      </c>
      <c r="AB138" s="0" t="n">
        <f aca="false">_xlfn.COVARIANCE.S($D$4:$D138,s_p!$H$4:$H138)</f>
        <v>6.54948802161039E-007</v>
      </c>
      <c r="AC138" s="0" t="n">
        <f aca="false">_xlfn.VAR.S(s_p!$H$4:$H138)</f>
        <v>5.00467456812347E-005</v>
      </c>
      <c r="AD138" s="0" t="n">
        <f aca="false">AB138/AC138</f>
        <v>0.013086741070691</v>
      </c>
      <c r="AE138" s="0" t="n">
        <f aca="false">M138-(AD138*W138)</f>
        <v>-0.00024153996991512</v>
      </c>
      <c r="AF138" s="33" t="n">
        <f aca="false">MAX($E$4:E138)</f>
        <v>0.280129884293098</v>
      </c>
      <c r="AG138" s="0" t="n">
        <f aca="false">1 - ((1 + E138) / (1 + AF138))</f>
        <v>0.244414617304222</v>
      </c>
      <c r="AH138" s="0" t="n">
        <f aca="false">MAX($AG$5:AG138)</f>
        <v>0.317205136214376</v>
      </c>
      <c r="AI138" s="19" t="n">
        <f aca="false">D138-s_p!H138</f>
        <v>0.0131832713153211</v>
      </c>
      <c r="AJ138" s="19" t="n">
        <f aca="false">AVERAGE(AI$4:AI138)</f>
        <v>0.000242699779152654</v>
      </c>
      <c r="AK138" s="0" t="n">
        <f aca="false">STDEV(AI$4:AI138)</f>
        <v>0.0302925718707138</v>
      </c>
    </row>
    <row r="139" customFormat="false" ht="13.8" hidden="false" customHeight="false" outlineLevel="0" collapsed="false">
      <c r="A139" s="6" t="n">
        <f aca="false">WORKDAY(A138,1,holiday!$B$2:$B$10)</f>
        <v>38916</v>
      </c>
      <c r="B139" s="24" t="n">
        <v>956607.70681014</v>
      </c>
      <c r="C139" s="24" t="n">
        <f aca="false">B139-B138</f>
        <v>-10639.721713763</v>
      </c>
      <c r="D139" s="31" t="n">
        <f aca="false">C139/B138</f>
        <v>-0.011</v>
      </c>
      <c r="E139" s="31" t="n">
        <f aca="false" t="array" ref="E139:E139">PRODUCT(1+$D$4:D139)-1</f>
        <v>-0.0433922931898599</v>
      </c>
      <c r="F139" s="0" t="n">
        <f aca="false">IF(ISBLANK(A140),MONTH(A139),IF(MONTH(A140)-MONTH(A139)=1,MONTH(A139),0))</f>
        <v>0</v>
      </c>
      <c r="G139" s="0" t="str">
        <f aca="false">IF(B140&gt;B139,IF(AND(B138&gt;B139,B140&gt;B139),"min",""),IF(AND(B138&gt;B139,B140&gt;B139),"",IF(AND(B138&lt;B139,B140&lt;B139),"max","")))</f>
        <v/>
      </c>
      <c r="H139" s="0" t="str">
        <f aca="false">IF(G139="min",COUNTIF(G$4:G139,"min"),IF(G139="max",COUNTIF(G$4:G139,"max"),""))</f>
        <v/>
      </c>
      <c r="I139" s="24" t="str">
        <f aca="false" t="array" ref="I139:I139">IF($G$3=0,IF(G139="min",INDEX($B$4:$B$254,(MATCH(1,($G$4:$G$254="max")*($H$4:$H$254=(H139-1)),0))),""),IF($G$3=1,IF(G139="min",INDEX($B$4:$B$254,(MATCH(1,($G$4:$G$254="max")*($H$4:$H$254=(H139)),0))),""),""))</f>
        <v/>
      </c>
      <c r="J139" s="29" t="str">
        <f aca="false">IF(AND(G137=0,G139="min",H139=1),B139-B138,IF(G139="min",B139-I139,""))</f>
        <v/>
      </c>
      <c r="K139" s="34" t="str">
        <f aca="false">IF(AND(G137=0,G139="min",H139=1),(B139-B138)/B138,IF(G139="min",(B139-I139)/I139,""))</f>
        <v/>
      </c>
      <c r="L139" s="5"/>
      <c r="M139" s="0" t="n">
        <f aca="false">E139/COUNT($E$4:E139)</f>
        <v>-0.000319060979337205</v>
      </c>
      <c r="N139" s="19" t="n">
        <f aca="false">M139*252</f>
        <v>-0.0804033667929758</v>
      </c>
      <c r="O139" s="20" t="n">
        <f aca="false">STDEV($D$4:$D139)</f>
        <v>0.0293834419010447</v>
      </c>
      <c r="P139" s="20" t="n">
        <f aca="false">O139*SQRT(252)</f>
        <v>0.466447679599676</v>
      </c>
      <c r="Q139" s="0" t="n">
        <f aca="false">Treasuries!J137/100</f>
        <v>0.0513</v>
      </c>
      <c r="R139" s="20" t="n">
        <f aca="false">AJ139/AK139*SQRT(252)</f>
        <v>0.0766972215297078</v>
      </c>
      <c r="S139" s="32" t="n">
        <f aca="false">IF(D139&lt;s_p!H139, D139-s_p!H139, 0)</f>
        <v>-0.0129198211407139</v>
      </c>
      <c r="T139" s="0" t="n">
        <f aca="false">S139^2</f>
        <v>0.000166921778308037</v>
      </c>
      <c r="U139" s="0" t="n">
        <f aca="false">SQRT(AVERAGE(T$4:T139)) * SQRT(252)</f>
        <v>0.335827738694331</v>
      </c>
      <c r="V139" s="0" t="n">
        <f aca="false">AJ139/U139*252</f>
        <v>0.109493538237356</v>
      </c>
      <c r="W139" s="22" t="n">
        <f aca="false">(s_p!$J139)/COUNT(s_p!$J$4:$J139)</f>
        <v>-6.73273979981012E-005</v>
      </c>
      <c r="X139" s="22" t="n">
        <f aca="false">W139 * 252</f>
        <v>-0.0169665042955215</v>
      </c>
      <c r="Y139" s="21" t="n">
        <f aca="false">STDEV(s_p!$H$4:$H139)</f>
        <v>0.0070501615578796</v>
      </c>
      <c r="Z139" s="21" t="n">
        <f aca="false">Y139*SQRT(252)</f>
        <v>0.111917845109863</v>
      </c>
      <c r="AA139" s="0" t="n">
        <f aca="false">AJ139/AK139</f>
        <v>0.00483147081945815</v>
      </c>
      <c r="AB139" s="0" t="n">
        <f aca="false">_xlfn.COVARIANCE.S($D$4:$D139,s_p!$H$4:$H139)</f>
        <v>4.87473312157629E-007</v>
      </c>
      <c r="AC139" s="0" t="n">
        <f aca="false">_xlfn.VAR.S(s_p!$H$4:$H139)</f>
        <v>4.97047779922033E-005</v>
      </c>
      <c r="AD139" s="0" t="n">
        <f aca="false">AB139/AC139</f>
        <v>0.00980737329184115</v>
      </c>
      <c r="AE139" s="0" t="n">
        <f aca="false">M139-(AD139*W139)</f>
        <v>-0.00031840067441227</v>
      </c>
      <c r="AF139" s="33" t="n">
        <f aca="false">MAX($E$4:E139)</f>
        <v>0.280129884293098</v>
      </c>
      <c r="AG139" s="0" t="n">
        <f aca="false">1 - ((1 + E139) / (1 + AF139))</f>
        <v>0.252726056513875</v>
      </c>
      <c r="AH139" s="0" t="n">
        <f aca="false">MAX($AG$5:AG139)</f>
        <v>0.317205136214376</v>
      </c>
      <c r="AI139" s="19" t="n">
        <f aca="false">D139-s_p!H139</f>
        <v>-0.0129198211407139</v>
      </c>
      <c r="AJ139" s="19" t="n">
        <f aca="false">AVERAGE(AI$4:AI139)</f>
        <v>0.000145916537094811</v>
      </c>
      <c r="AK139" s="0" t="n">
        <f aca="false">STDEV(AI$4:AI139)</f>
        <v>0.030201266352919</v>
      </c>
    </row>
    <row r="140" customFormat="false" ht="13.8" hidden="false" customHeight="false" outlineLevel="0" collapsed="false">
      <c r="A140" s="6" t="n">
        <f aca="false">WORKDAY(A139,1,holiday!$B$2:$B$10)</f>
        <v>38917</v>
      </c>
      <c r="B140" s="24" t="n">
        <v>932309.871057162</v>
      </c>
      <c r="C140" s="24" t="n">
        <f aca="false">B140-B139</f>
        <v>-24297.8357529775</v>
      </c>
      <c r="D140" s="31" t="n">
        <f aca="false">C140/B139</f>
        <v>-0.0254</v>
      </c>
      <c r="E140" s="31" t="n">
        <f aca="false" t="array" ref="E140:E140">PRODUCT(1+$D$4:D140)-1</f>
        <v>-0.0676901289428375</v>
      </c>
      <c r="F140" s="0" t="n">
        <f aca="false">IF(ISBLANK(A141),MONTH(A140),IF(MONTH(A141)-MONTH(A140)=1,MONTH(A140),0))</f>
        <v>0</v>
      </c>
      <c r="G140" s="0" t="str">
        <f aca="false">IF(B141&gt;B140,IF(AND(B139&gt;B140,B141&gt;B140),"min",""),IF(AND(B139&gt;B140,B141&gt;B140),"",IF(AND(B139&lt;B140,B141&lt;B140),"max","")))</f>
        <v>min</v>
      </c>
      <c r="H140" s="0" t="n">
        <f aca="false">IF(G140="min",COUNTIF(G$4:G140,"min"),IF(G140="max",COUNTIF(G$4:G140,"max"),""))</f>
        <v>34</v>
      </c>
      <c r="I140" s="24" t="n">
        <f aca="false" t="array" ref="I140:I140">IF($G$3=0,IF(G140="min",INDEX($B$4:$B$254,(MATCH(1,($G$4:$G$254="max")*($H$4:$H$254=(H140-1)),0))),""),IF($G$3=1,IF(G140="min",INDEX($B$4:$B$254,(MATCH(1,($G$4:$G$254="max")*($H$4:$H$254=(H140)),0))),""),""))</f>
        <v>967247.428523902</v>
      </c>
      <c r="J140" s="29" t="n">
        <f aca="false">IF(AND(G138=0,G140="min",H140=1),B140-B139,IF(G140="min",B140-I140,""))</f>
        <v>-34937.55746674</v>
      </c>
      <c r="K140" s="34" t="n">
        <f aca="false">IF(AND(G138=0,G140="min",H140=1),(B140-B139)/B139,IF(G140="min",(B140-I140)/I140,""))</f>
        <v>-0.0361205999999996</v>
      </c>
      <c r="L140" s="5"/>
      <c r="M140" s="0" t="n">
        <f aca="false">E140/COUNT($E$4:E140)</f>
        <v>-0.000494088532429471</v>
      </c>
      <c r="N140" s="19" t="n">
        <f aca="false">M140*252</f>
        <v>-0.124510310172227</v>
      </c>
      <c r="O140" s="20" t="n">
        <f aca="false">STDEV($D$4:$D140)</f>
        <v>0.0293561862639243</v>
      </c>
      <c r="P140" s="20" t="n">
        <f aca="false">O140*SQRT(252)</f>
        <v>0.466015009773804</v>
      </c>
      <c r="Q140" s="0" t="n">
        <f aca="false">Treasuries!J138/100</f>
        <v>0.0506</v>
      </c>
      <c r="R140" s="20" t="n">
        <f aca="false">AJ140/AK140*SQRT(252)</f>
        <v>-0.0921262162902296</v>
      </c>
      <c r="S140" s="32" t="n">
        <f aca="false">IF(D140&lt;s_p!H140, D140-s_p!H140, 0)</f>
        <v>-0.0439550506928835</v>
      </c>
      <c r="T140" s="0" t="n">
        <f aca="false">S140^2</f>
        <v>0.00193204648141396</v>
      </c>
      <c r="U140" s="0" t="n">
        <f aca="false">SQRT(AVERAGE(T$4:T140)) * SQRT(252)</f>
        <v>0.339868936135433</v>
      </c>
      <c r="V140" s="0" t="n">
        <f aca="false">AJ140/U140*252</f>
        <v>-0.130488712707689</v>
      </c>
      <c r="W140" s="22" t="n">
        <f aca="false">(s_p!$J140)/COUNT(s_p!$J$4:$J140)</f>
        <v>6.73622245158454E-005</v>
      </c>
      <c r="X140" s="22" t="n">
        <f aca="false">W140 * 252</f>
        <v>0.016975280577993</v>
      </c>
      <c r="Y140" s="21" t="n">
        <f aca="false">STDEV(s_p!$H$4:$H140)</f>
        <v>0.00720166794534577</v>
      </c>
      <c r="Z140" s="21" t="n">
        <f aca="false">Y140*SQRT(252)</f>
        <v>0.114322934449502</v>
      </c>
      <c r="AA140" s="0" t="n">
        <f aca="false">AJ140/AK140</f>
        <v>-0.00580340613174496</v>
      </c>
      <c r="AB140" s="0" t="n">
        <f aca="false">_xlfn.COVARIANCE.S($D$4:$D140,s_p!$H$4:$H140)</f>
        <v>-2.97818670328632E-006</v>
      </c>
      <c r="AC140" s="0" t="n">
        <f aca="false">_xlfn.VAR.S(s_p!$H$4:$H140)</f>
        <v>5.18640211950207E-005</v>
      </c>
      <c r="AD140" s="0" t="n">
        <f aca="false">AB140/AC140</f>
        <v>-0.0574229809926934</v>
      </c>
      <c r="AE140" s="0" t="n">
        <f aca="false">M140-(AD140*W140)</f>
        <v>-0.000490220392691472</v>
      </c>
      <c r="AF140" s="33" t="n">
        <f aca="false">MAX($E$4:E140)</f>
        <v>0.280129884293098</v>
      </c>
      <c r="AG140" s="0" t="n">
        <f aca="false">1 - ((1 + E140) / (1 + AF140))</f>
        <v>0.271706814678423</v>
      </c>
      <c r="AH140" s="0" t="n">
        <f aca="false">MAX($AG$5:AG140)</f>
        <v>0.317205136214376</v>
      </c>
      <c r="AI140" s="19" t="n">
        <f aca="false">D140-s_p!H140</f>
        <v>-0.0439550506928835</v>
      </c>
      <c r="AJ140" s="19" t="n">
        <f aca="false">AVERAGE(AI$4:AI140)</f>
        <v>-0.000175988333197001</v>
      </c>
      <c r="AK140" s="0" t="n">
        <f aca="false">STDEV(AI$4:AI140)</f>
        <v>0.0303250072805236</v>
      </c>
    </row>
    <row r="141" customFormat="false" ht="13.8" hidden="false" customHeight="false" outlineLevel="0" collapsed="false">
      <c r="A141" s="6" t="n">
        <f aca="false">WORKDAY(A140,1,holiday!$B$2:$B$10)</f>
        <v>38918</v>
      </c>
      <c r="B141" s="24" t="n">
        <v>957109.313627283</v>
      </c>
      <c r="C141" s="24" t="n">
        <f aca="false">B141-B140</f>
        <v>24799.4425701206</v>
      </c>
      <c r="D141" s="31" t="n">
        <f aca="false">C141/B140</f>
        <v>0.0266000000000001</v>
      </c>
      <c r="E141" s="31" t="n">
        <f aca="false" t="array" ref="E141:E141">PRODUCT(1+$D$4:D141)-1</f>
        <v>-0.0428906863727169</v>
      </c>
      <c r="F141" s="0" t="n">
        <f aca="false">IF(ISBLANK(A142),MONTH(A141),IF(MONTH(A142)-MONTH(A141)=1,MONTH(A141),0))</f>
        <v>0</v>
      </c>
      <c r="G141" s="0" t="str">
        <f aca="false">IF(B142&gt;B141,IF(AND(B140&gt;B141,B142&gt;B141),"min",""),IF(AND(B140&gt;B141,B142&gt;B141),"",IF(AND(B140&lt;B141,B142&lt;B141),"max","")))</f>
        <v>max</v>
      </c>
      <c r="H141" s="0" t="n">
        <f aca="false">IF(G141="min",COUNTIF(G$4:G141,"min"),IF(G141="max",COUNTIF(G$4:G141,"max"),""))</f>
        <v>34</v>
      </c>
      <c r="I141" s="24" t="str">
        <f aca="false" t="array" ref="I141:I141">IF($G$3=0,IF(G141="min",INDEX($B$4:$B$254,(MATCH(1,($G$4:$G$254="max")*($H$4:$H$254=(H141-1)),0))),""),IF($G$3=1,IF(G141="min",INDEX($B$4:$B$254,(MATCH(1,($G$4:$G$254="max")*($H$4:$H$254=(H141)),0))),""),""))</f>
        <v/>
      </c>
      <c r="J141" s="29" t="str">
        <f aca="false">IF(AND(G139=0,G141="min",H141=1),B141-B140,IF(G141="min",B141-I141,""))</f>
        <v/>
      </c>
      <c r="K141" s="34" t="str">
        <f aca="false">IF(AND(G139=0,G141="min",H141=1),(B141-B140)/B140,IF(G141="min",(B141-I141)/I141,""))</f>
        <v/>
      </c>
      <c r="L141" s="5"/>
      <c r="M141" s="0" t="n">
        <f aca="false">E141/COUNT($E$4:E141)</f>
        <v>-0.000310802075164615</v>
      </c>
      <c r="N141" s="19" t="n">
        <f aca="false">M141*252</f>
        <v>-0.078322122941483</v>
      </c>
      <c r="O141" s="20" t="n">
        <f aca="false">STDEV($D$4:$D141)</f>
        <v>0.029336916007903</v>
      </c>
      <c r="P141" s="20" t="n">
        <f aca="false">O141*SQRT(252)</f>
        <v>0.465709103943007</v>
      </c>
      <c r="Q141" s="0" t="n">
        <f aca="false">Treasuries!J139/100</f>
        <v>0.0503</v>
      </c>
      <c r="R141" s="20" t="n">
        <f aca="false">AJ141/AK141*SQRT(252)</f>
        <v>0.0415498928678273</v>
      </c>
      <c r="S141" s="32" t="n">
        <f aca="false">IF(D141&lt;s_p!H141, D141-s_p!H141, 0)</f>
        <v>0</v>
      </c>
      <c r="T141" s="0" t="n">
        <f aca="false">S141^2</f>
        <v>0</v>
      </c>
      <c r="U141" s="0" t="n">
        <f aca="false">SQRT(AVERAGE(T$4:T141)) * SQRT(252)</f>
        <v>0.338635288013337</v>
      </c>
      <c r="V141" s="0" t="n">
        <f aca="false">AJ141/U141*252</f>
        <v>0.0591397855790944</v>
      </c>
      <c r="W141" s="22" t="n">
        <f aca="false">(s_p!$J141)/COUNT(s_p!$J$4:$J141)</f>
        <v>4.87623590812061E-006</v>
      </c>
      <c r="X141" s="22" t="n">
        <f aca="false">W141 * 252</f>
        <v>0.00122881144884639</v>
      </c>
      <c r="Y141" s="21" t="n">
        <f aca="false">STDEV(s_p!$H$4:$H141)</f>
        <v>0.00721232913885523</v>
      </c>
      <c r="Z141" s="21" t="n">
        <f aca="false">Y141*SQRT(252)</f>
        <v>0.114492175649733</v>
      </c>
      <c r="AA141" s="0" t="n">
        <f aca="false">AJ141/AK141</f>
        <v>0.00261739722689653</v>
      </c>
      <c r="AB141" s="0" t="n">
        <f aca="false">_xlfn.COVARIANCE.S($D$4:$D141,s_p!$H$4:$H141)</f>
        <v>-4.61356169577995E-006</v>
      </c>
      <c r="AC141" s="0" t="n">
        <f aca="false">_xlfn.VAR.S(s_p!$H$4:$H141)</f>
        <v>5.20176916071803E-005</v>
      </c>
      <c r="AD141" s="0" t="n">
        <f aca="false">AB141/AC141</f>
        <v>-0.0886921651698807</v>
      </c>
      <c r="AE141" s="0" t="n">
        <f aca="false">M141-(AD141*W141)</f>
        <v>-0.000310369591244045</v>
      </c>
      <c r="AF141" s="33" t="n">
        <f aca="false">MAX($E$4:E141)</f>
        <v>0.280129884293098</v>
      </c>
      <c r="AG141" s="0" t="n">
        <f aca="false">1 - ((1 + E141) / (1 + AF141))</f>
        <v>0.252334215948869</v>
      </c>
      <c r="AH141" s="0" t="n">
        <f aca="false">MAX($AG$5:AG141)</f>
        <v>0.317205136214376</v>
      </c>
      <c r="AI141" s="19" t="n">
        <f aca="false">D141-s_p!H141</f>
        <v>0.035077468824664</v>
      </c>
      <c r="AJ141" s="19" t="n">
        <f aca="false">AVERAGE(AI$4:AI141)</f>
        <v>7.94715012802525E-005</v>
      </c>
      <c r="AK141" s="0" t="n">
        <f aca="false">STDEV(AI$4:AI141)</f>
        <v>0.0303627972336788</v>
      </c>
    </row>
    <row r="142" customFormat="false" ht="13.8" hidden="false" customHeight="false" outlineLevel="0" collapsed="false">
      <c r="A142" s="6" t="n">
        <f aca="false">WORKDAY(A141,1,holiday!$B$2:$B$10)</f>
        <v>38919</v>
      </c>
      <c r="B142" s="24" t="n">
        <v>922079.112748524</v>
      </c>
      <c r="C142" s="24" t="n">
        <f aca="false">B142-B141</f>
        <v>-35030.2008787586</v>
      </c>
      <c r="D142" s="31" t="n">
        <f aca="false">C142/B141</f>
        <v>-0.0366</v>
      </c>
      <c r="E142" s="31" t="n">
        <f aca="false" t="array" ref="E142:E142">PRODUCT(1+$D$4:D142)-1</f>
        <v>-0.0779208872514754</v>
      </c>
      <c r="F142" s="0" t="n">
        <f aca="false">IF(ISBLANK(A143),MONTH(A142),IF(MONTH(A143)-MONTH(A142)=1,MONTH(A142),0))</f>
        <v>0</v>
      </c>
      <c r="G142" s="0" t="str">
        <f aca="false">IF(B143&gt;B142,IF(AND(B141&gt;B142,B143&gt;B142),"min",""),IF(AND(B141&gt;B142,B143&gt;B142),"",IF(AND(B141&lt;B142,B143&lt;B142),"max","")))</f>
        <v/>
      </c>
      <c r="H142" s="0" t="str">
        <f aca="false">IF(G142="min",COUNTIF(G$4:G142,"min"),IF(G142="max",COUNTIF(G$4:G142,"max"),""))</f>
        <v/>
      </c>
      <c r="I142" s="24" t="str">
        <f aca="false" t="array" ref="I142:I142">IF($G$3=0,IF(G142="min",INDEX($B$4:$B$254,(MATCH(1,($G$4:$G$254="max")*($H$4:$H$254=(H142-1)),0))),""),IF($G$3=1,IF(G142="min",INDEX($B$4:$B$254,(MATCH(1,($G$4:$G$254="max")*($H$4:$H$254=(H142)),0))),""),""))</f>
        <v/>
      </c>
      <c r="J142" s="29" t="str">
        <f aca="false">IF(AND(G140=0,G142="min",H142=1),B142-B141,IF(G142="min",B142-I142,""))</f>
        <v/>
      </c>
      <c r="K142" s="34" t="str">
        <f aca="false">IF(AND(G140=0,G142="min",H142=1),(B142-B141)/B141,IF(G142="min",(B142-I142)/I142,""))</f>
        <v/>
      </c>
      <c r="L142" s="5"/>
      <c r="M142" s="0" t="n">
        <f aca="false">E142/COUNT($E$4:E142)</f>
        <v>-0.000560581922672485</v>
      </c>
      <c r="N142" s="19" t="n">
        <f aca="false">M142*252</f>
        <v>-0.141266644513466</v>
      </c>
      <c r="O142" s="20" t="n">
        <f aca="false">STDEV($D$4:$D142)</f>
        <v>0.0293958028804051</v>
      </c>
      <c r="P142" s="20" t="n">
        <f aca="false">O142*SQRT(252)</f>
        <v>0.466643904063768</v>
      </c>
      <c r="Q142" s="0" t="n">
        <f aca="false">Treasuries!J140/100</f>
        <v>0.0505</v>
      </c>
      <c r="R142" s="20" t="n">
        <f aca="false">AJ142/AK142*SQRT(252)</f>
        <v>-0.0698098679028635</v>
      </c>
      <c r="S142" s="32" t="n">
        <f aca="false">IF(D142&lt;s_p!H142, D142-s_p!H142, 0)</f>
        <v>-0.029523074459824</v>
      </c>
      <c r="T142" s="0" t="n">
        <f aca="false">S142^2</f>
        <v>0.00087161192556031</v>
      </c>
      <c r="U142" s="0" t="n">
        <f aca="false">SQRT(AVERAGE(T$4:T142)) * SQRT(252)</f>
        <v>0.339748517330903</v>
      </c>
      <c r="V142" s="0" t="n">
        <f aca="false">AJ142/U142*252</f>
        <v>-0.0990176704624062</v>
      </c>
      <c r="W142" s="22" t="n">
        <f aca="false">(s_p!$J142)/COUNT(s_p!$J$4:$J142)</f>
        <v>-4.61062388023007E-005</v>
      </c>
      <c r="X142" s="22" t="n">
        <f aca="false">W142 * 252</f>
        <v>-0.0116187721781798</v>
      </c>
      <c r="Y142" s="21" t="n">
        <f aca="false">STDEV(s_p!$H$4:$H142)</f>
        <v>0.00721139309677025</v>
      </c>
      <c r="Z142" s="21" t="n">
        <f aca="false">Y142*SQRT(252)</f>
        <v>0.114477316442292</v>
      </c>
      <c r="AA142" s="0" t="n">
        <f aca="false">AJ142/AK142</f>
        <v>-0.00439760832212477</v>
      </c>
      <c r="AB142" s="0" t="n">
        <f aca="false">_xlfn.COVARIANCE.S($D$4:$D142,s_p!$H$4:$H142)</f>
        <v>-2.70300067817709E-006</v>
      </c>
      <c r="AC142" s="0" t="n">
        <f aca="false">_xlfn.VAR.S(s_p!$H$4:$H142)</f>
        <v>5.20041903961457E-005</v>
      </c>
      <c r="AD142" s="0" t="n">
        <f aca="false">AB142/AC142</f>
        <v>-0.0519765937626716</v>
      </c>
      <c r="AE142" s="0" t="n">
        <f aca="false">M142-(AD142*W142)</f>
        <v>-0.000562978367916637</v>
      </c>
      <c r="AF142" s="33" t="n">
        <f aca="false">MAX($E$4:E142)</f>
        <v>0.280129884293098</v>
      </c>
      <c r="AG142" s="0" t="n">
        <f aca="false">1 - ((1 + E142) / (1 + AF142))</f>
        <v>0.27969878364514</v>
      </c>
      <c r="AH142" s="0" t="n">
        <f aca="false">MAX($AG$5:AG142)</f>
        <v>0.317205136214376</v>
      </c>
      <c r="AI142" s="19" t="n">
        <f aca="false">D142-s_p!H142</f>
        <v>-0.029523074459824</v>
      </c>
      <c r="AJ142" s="19" t="n">
        <f aca="false">AVERAGE(AI$4:AI142)</f>
        <v>-0.000133496455274454</v>
      </c>
      <c r="AK142" s="0" t="n">
        <f aca="false">STDEV(AI$4:AI142)</f>
        <v>0.0303566042029758</v>
      </c>
    </row>
    <row r="143" customFormat="false" ht="13.8" hidden="false" customHeight="false" outlineLevel="0" collapsed="false">
      <c r="A143" s="6" t="n">
        <f aca="false">WORKDAY(A142,1,holiday!$B$2:$B$10)</f>
        <v>38922</v>
      </c>
      <c r="B143" s="24" t="n">
        <v>902623.24346953</v>
      </c>
      <c r="C143" s="24" t="n">
        <f aca="false">B143-B142</f>
        <v>-19455.8692789938</v>
      </c>
      <c r="D143" s="31" t="n">
        <f aca="false">C143/B142</f>
        <v>-0.0210999999999999</v>
      </c>
      <c r="E143" s="31" t="n">
        <f aca="false" t="array" ref="E143:E143">PRODUCT(1+$D$4:D143)-1</f>
        <v>-0.0973767565304692</v>
      </c>
      <c r="F143" s="0" t="n">
        <f aca="false">IF(ISBLANK(A144),MONTH(A143),IF(MONTH(A144)-MONTH(A143)=1,MONTH(A143),0))</f>
        <v>0</v>
      </c>
      <c r="G143" s="0" t="str">
        <f aca="false">IF(B144&gt;B143,IF(AND(B142&gt;B143,B144&gt;B143),"min",""),IF(AND(B142&gt;B143,B144&gt;B143),"",IF(AND(B142&lt;B143,B144&lt;B143),"max","")))</f>
        <v>min</v>
      </c>
      <c r="H143" s="0" t="n">
        <f aca="false">IF(G143="min",COUNTIF(G$4:G143,"min"),IF(G143="max",COUNTIF(G$4:G143,"max"),""))</f>
        <v>35</v>
      </c>
      <c r="I143" s="24" t="n">
        <f aca="false" t="array" ref="I143:I143">IF($G$3=0,IF(G143="min",INDEX($B$4:$B$254,(MATCH(1,($G$4:$G$254="max")*($H$4:$H$254=(H143-1)),0))),""),IF($G$3=1,IF(G143="min",INDEX($B$4:$B$254,(MATCH(1,($G$4:$G$254="max")*($H$4:$H$254=(H143)),0))),""),""))</f>
        <v>957109.313627283</v>
      </c>
      <c r="J143" s="29" t="n">
        <f aca="false">IF(AND(G141=0,G143="min",H143=1),B143-B142,IF(G143="min",B143-I143,""))</f>
        <v>-54486.070157753</v>
      </c>
      <c r="K143" s="34" t="n">
        <f aca="false">IF(AND(G141=0,G143="min",H143=1),(B143-B142)/B142,IF(G143="min",(B143-I143)/I143,""))</f>
        <v>-0.0569277400000006</v>
      </c>
      <c r="L143" s="5"/>
      <c r="M143" s="0" t="n">
        <f aca="false">E143/COUNT($E$4:E143)</f>
        <v>-0.000695548260931923</v>
      </c>
      <c r="N143" s="19" t="n">
        <f aca="false">M143*252</f>
        <v>-0.175278161754845</v>
      </c>
      <c r="O143" s="20" t="n">
        <f aca="false">STDEV($D$4:$D143)</f>
        <v>0.0293433198327628</v>
      </c>
      <c r="P143" s="20" t="n">
        <f aca="false">O143*SQRT(252)</f>
        <v>0.465810761511119</v>
      </c>
      <c r="Q143" s="0" t="n">
        <f aca="false">Treasuries!J141/100</f>
        <v>0.0505</v>
      </c>
      <c r="R143" s="20" t="n">
        <f aca="false">AJ143/AK143*SQRT(252)</f>
        <v>-0.209829846950984</v>
      </c>
      <c r="S143" s="32" t="n">
        <f aca="false">IF(D143&lt;s_p!H143, D143-s_p!H143, 0)</f>
        <v>-0.0377251441195203</v>
      </c>
      <c r="T143" s="0" t="n">
        <f aca="false">S143^2</f>
        <v>0.00142318649883858</v>
      </c>
      <c r="U143" s="0" t="n">
        <f aca="false">SQRT(AVERAGE(T$4:T143)) * SQRT(252)</f>
        <v>0.342295628771757</v>
      </c>
      <c r="V143" s="0" t="n">
        <f aca="false">AJ143/U143*252</f>
        <v>-0.295960754416634</v>
      </c>
      <c r="W143" s="22" t="n">
        <f aca="false">(s_p!$J143)/COUNT(s_p!$J$4:$J143)</f>
        <v>7.22130731984286E-005</v>
      </c>
      <c r="X143" s="22" t="n">
        <f aca="false">W143 * 252</f>
        <v>0.018197694446004</v>
      </c>
      <c r="Y143" s="21" t="n">
        <f aca="false">STDEV(s_p!$H$4:$H143)</f>
        <v>0.00732182865689393</v>
      </c>
      <c r="Z143" s="21" t="n">
        <f aca="false">Y143*SQRT(252)</f>
        <v>0.116230426610204</v>
      </c>
      <c r="AA143" s="0" t="n">
        <f aca="false">AJ143/AK143</f>
        <v>-0.0132180379207391</v>
      </c>
      <c r="AB143" s="0" t="n">
        <f aca="false">_xlfn.COVARIANCE.S($D$4:$D143,s_p!$H$4:$H143)</f>
        <v>-5.17397998975202E-006</v>
      </c>
      <c r="AC143" s="0" t="n">
        <f aca="false">_xlfn.VAR.S(s_p!$H$4:$H143)</f>
        <v>5.36091748809131E-005</v>
      </c>
      <c r="AD143" s="0" t="n">
        <f aca="false">AB143/AC143</f>
        <v>-0.0965129569937504</v>
      </c>
      <c r="AE143" s="0" t="n">
        <f aca="false">M143-(AD143*W143)</f>
        <v>-0.000688578763703936</v>
      </c>
      <c r="AF143" s="33" t="n">
        <f aca="false">MAX($E$4:E143)</f>
        <v>0.280129884293098</v>
      </c>
      <c r="AG143" s="0" t="n">
        <f aca="false">1 - ((1 + E143) / (1 + AF143))</f>
        <v>0.294897139310228</v>
      </c>
      <c r="AH143" s="0" t="n">
        <f aca="false">MAX($AG$5:AG143)</f>
        <v>0.317205136214376</v>
      </c>
      <c r="AI143" s="19" t="n">
        <f aca="false">D143-s_p!H143</f>
        <v>-0.0377251441195204</v>
      </c>
      <c r="AJ143" s="19" t="n">
        <f aca="false">AVERAGE(AI$4:AI143)</f>
        <v>-0.000402008224304783</v>
      </c>
      <c r="AK143" s="0" t="n">
        <f aca="false">STDEV(AI$4:AI143)</f>
        <v>0.0304136080343689</v>
      </c>
    </row>
    <row r="144" customFormat="false" ht="13.8" hidden="false" customHeight="false" outlineLevel="0" collapsed="false">
      <c r="A144" s="6" t="n">
        <f aca="false">WORKDAY(A143,1,holiday!$B$2:$B$10)</f>
        <v>38923</v>
      </c>
      <c r="B144" s="24" t="n">
        <v>938637.910883964</v>
      </c>
      <c r="C144" s="24" t="n">
        <f aca="false">B144-B143</f>
        <v>36014.6674144343</v>
      </c>
      <c r="D144" s="31" t="n">
        <f aca="false">C144/B143</f>
        <v>0.0399</v>
      </c>
      <c r="E144" s="31" t="n">
        <f aca="false" t="array" ref="E144:E144">PRODUCT(1+$D$4:D144)-1</f>
        <v>-0.0613620891160349</v>
      </c>
      <c r="F144" s="0" t="n">
        <f aca="false">IF(ISBLANK(A145),MONTH(A144),IF(MONTH(A145)-MONTH(A144)=1,MONTH(A144),0))</f>
        <v>0</v>
      </c>
      <c r="G144" s="0" t="str">
        <f aca="false">IF(B145&gt;B144,IF(AND(B143&gt;B144,B145&gt;B144),"min",""),IF(AND(B143&gt;B144,B145&gt;B144),"",IF(AND(B143&lt;B144,B145&lt;B144),"max","")))</f>
        <v/>
      </c>
      <c r="H144" s="0" t="str">
        <f aca="false">IF(G144="min",COUNTIF(G$4:G144,"min"),IF(G144="max",COUNTIF(G$4:G144,"max"),""))</f>
        <v/>
      </c>
      <c r="I144" s="24" t="str">
        <f aca="false" t="array" ref="I144:I144">IF($G$3=0,IF(G144="min",INDEX($B$4:$B$254,(MATCH(1,($G$4:$G$254="max")*($H$4:$H$254=(H144-1)),0))),""),IF($G$3=1,IF(G144="min",INDEX($B$4:$B$254,(MATCH(1,($G$4:$G$254="max")*($H$4:$H$254=(H144)),0))),""),""))</f>
        <v/>
      </c>
      <c r="J144" s="29" t="str">
        <f aca="false">IF(AND(G142=0,G144="min",H144=1),B144-B143,IF(G144="min",B144-I144,""))</f>
        <v/>
      </c>
      <c r="K144" s="34" t="str">
        <f aca="false">IF(AND(G142=0,G144="min",H144=1),(B144-B143)/B143,IF(G144="min",(B144-I144)/I144,""))</f>
        <v/>
      </c>
      <c r="L144" s="5"/>
      <c r="M144" s="0" t="n">
        <f aca="false">E144/COUNT($E$4:E144)</f>
        <v>-0.000435192121390319</v>
      </c>
      <c r="N144" s="19" t="n">
        <f aca="false">M144*252</f>
        <v>-0.10966841459036</v>
      </c>
      <c r="O144" s="20" t="n">
        <f aca="false">STDEV($D$4:$D144)</f>
        <v>0.0294337139126374</v>
      </c>
      <c r="P144" s="20" t="n">
        <f aca="false">O144*SQRT(252)</f>
        <v>0.467245723043163</v>
      </c>
      <c r="Q144" s="0" t="n">
        <f aca="false">Treasuries!J142/100</f>
        <v>0.0507</v>
      </c>
      <c r="R144" s="20" t="n">
        <f aca="false">AJ144/AK144*SQRT(252)</f>
        <v>-0.0839664586061981</v>
      </c>
      <c r="S144" s="32" t="n">
        <f aca="false">IF(D144&lt;s_p!H144, D144-s_p!H144, 0)</f>
        <v>0</v>
      </c>
      <c r="T144" s="0" t="n">
        <f aca="false">S144^2</f>
        <v>0</v>
      </c>
      <c r="U144" s="0" t="n">
        <f aca="false">SQRT(AVERAGE(T$4:T144)) * SQRT(252)</f>
        <v>0.341079654666597</v>
      </c>
      <c r="V144" s="0" t="n">
        <f aca="false">AJ144/U144*252</f>
        <v>-0.118956837861216</v>
      </c>
      <c r="W144" s="22" t="n">
        <f aca="false">(s_p!$J144)/COUNT(s_p!$J$4:$J144)</f>
        <v>0.000116982727406559</v>
      </c>
      <c r="X144" s="22" t="n">
        <f aca="false">W144 * 252</f>
        <v>0.0294796473064529</v>
      </c>
      <c r="Y144" s="21" t="n">
        <f aca="false">STDEV(s_p!$H$4:$H144)</f>
        <v>0.00731442748010077</v>
      </c>
      <c r="Z144" s="21" t="n">
        <f aca="false">Y144*SQRT(252)</f>
        <v>0.116112936570981</v>
      </c>
      <c r="AA144" s="0" t="n">
        <f aca="false">AJ144/AK144</f>
        <v>-0.00528938971292364</v>
      </c>
      <c r="AB144" s="0" t="n">
        <f aca="false">_xlfn.COVARIANCE.S($D$4:$D144,s_p!$H$4:$H144)</f>
        <v>-3.3628208535438E-006</v>
      </c>
      <c r="AC144" s="0" t="n">
        <f aca="false">_xlfn.VAR.S(s_p!$H$4:$H144)</f>
        <v>5.35008493616533E-005</v>
      </c>
      <c r="AD144" s="0" t="n">
        <f aca="false">AB144/AC144</f>
        <v>-0.0628554666639387</v>
      </c>
      <c r="AE144" s="0" t="n">
        <f aca="false">M144-(AD144*W144)</f>
        <v>-0.000427839117467559</v>
      </c>
      <c r="AF144" s="33" t="n">
        <f aca="false">MAX($E$4:E144)</f>
        <v>0.280129884293098</v>
      </c>
      <c r="AG144" s="0" t="n">
        <f aca="false">1 - ((1 + E144) / (1 + AF144))</f>
        <v>0.266763535168706</v>
      </c>
      <c r="AH144" s="0" t="n">
        <f aca="false">MAX($AG$5:AG144)</f>
        <v>0.317205136214376</v>
      </c>
      <c r="AI144" s="19" t="n">
        <f aca="false">D144-s_p!H144</f>
        <v>0.0335791682197779</v>
      </c>
      <c r="AJ144" s="19" t="n">
        <f aca="false">AVERAGE(AI$4:AI144)</f>
        <v>-0.00016100697292831</v>
      </c>
      <c r="AK144" s="0" t="n">
        <f aca="false">STDEV(AI$4:AI144)</f>
        <v>0.0304396124443089</v>
      </c>
    </row>
    <row r="145" customFormat="false" ht="13.8" hidden="false" customHeight="false" outlineLevel="0" collapsed="false">
      <c r="A145" s="6" t="n">
        <f aca="false">WORKDAY(A144,1,holiday!$B$2:$B$10)</f>
        <v>38924</v>
      </c>
      <c r="B145" s="24" t="n">
        <v>967454.094748102</v>
      </c>
      <c r="C145" s="24" t="n">
        <f aca="false">B145-B144</f>
        <v>28816.1838641377</v>
      </c>
      <c r="D145" s="31" t="n">
        <f aca="false">C145/B144</f>
        <v>0.0307</v>
      </c>
      <c r="E145" s="31" t="n">
        <f aca="false" t="array" ref="E145:E145">PRODUCT(1+$D$4:D145)-1</f>
        <v>-0.0325459052518972</v>
      </c>
      <c r="F145" s="0" t="n">
        <f aca="false">IF(ISBLANK(A146),MONTH(A145),IF(MONTH(A146)-MONTH(A145)=1,MONTH(A145),0))</f>
        <v>0</v>
      </c>
      <c r="G145" s="0" t="str">
        <f aca="false">IF(B146&gt;B145,IF(AND(B144&gt;B145,B146&gt;B145),"min",""),IF(AND(B144&gt;B145,B146&gt;B145),"",IF(AND(B144&lt;B145,B146&lt;B145),"max","")))</f>
        <v/>
      </c>
      <c r="H145" s="0" t="str">
        <f aca="false">IF(G145="min",COUNTIF(G$4:G145,"min"),IF(G145="max",COUNTIF(G$4:G145,"max"),""))</f>
        <v/>
      </c>
      <c r="I145" s="24" t="str">
        <f aca="false" t="array" ref="I145:I145">IF($G$3=0,IF(G145="min",INDEX($B$4:$B$254,(MATCH(1,($G$4:$G$254="max")*($H$4:$H$254=(H145-1)),0))),""),IF($G$3=1,IF(G145="min",INDEX($B$4:$B$254,(MATCH(1,($G$4:$G$254="max")*($H$4:$H$254=(H145)),0))),""),""))</f>
        <v/>
      </c>
      <c r="J145" s="29" t="str">
        <f aca="false">IF(AND(G143=0,G145="min",H145=1),B145-B144,IF(G145="min",B145-I145,""))</f>
        <v/>
      </c>
      <c r="K145" s="34" t="str">
        <f aca="false">IF(AND(G143=0,G145="min",H145=1),(B145-B144)/B144,IF(G145="min",(B145-I145)/I145,""))</f>
        <v/>
      </c>
      <c r="L145" s="5"/>
      <c r="M145" s="0" t="n">
        <f aca="false">E145/COUNT($E$4:E145)</f>
        <v>-0.000229196515858431</v>
      </c>
      <c r="N145" s="19" t="n">
        <f aca="false">M145*252</f>
        <v>-0.0577575219963245</v>
      </c>
      <c r="O145" s="20" t="n">
        <f aca="false">STDEV($D$4:$D145)</f>
        <v>0.0294422224634971</v>
      </c>
      <c r="P145" s="20" t="n">
        <f aca="false">O145*SQRT(252)</f>
        <v>0.467380792100716</v>
      </c>
      <c r="Q145" s="0" t="n">
        <f aca="false">Treasuries!J143/100</f>
        <v>0.0504</v>
      </c>
      <c r="R145" s="20" t="n">
        <f aca="false">AJ145/AK145*SQRT(252)</f>
        <v>0.0307577561347162</v>
      </c>
      <c r="S145" s="32" t="n">
        <f aca="false">IF(D145&lt;s_p!H145, D145-s_p!H145, 0)</f>
        <v>0</v>
      </c>
      <c r="T145" s="0" t="n">
        <f aca="false">S145^2</f>
        <v>0</v>
      </c>
      <c r="U145" s="0" t="n">
        <f aca="false">SQRT(AVERAGE(T$4:T145)) * SQRT(252)</f>
        <v>0.339876548079348</v>
      </c>
      <c r="V145" s="0" t="n">
        <f aca="false">AJ145/U145*252</f>
        <v>0.0437364355551158</v>
      </c>
      <c r="W145" s="22" t="n">
        <f aca="false">(s_p!$J145)/COUNT(s_p!$J$4:$J145)</f>
        <v>0.000113450975582491</v>
      </c>
      <c r="X145" s="22" t="n">
        <f aca="false">W145 * 252</f>
        <v>0.0285896458467878</v>
      </c>
      <c r="Y145" s="21" t="n">
        <f aca="false">STDEV(s_p!$H$4:$H145)</f>
        <v>0.00728857470264538</v>
      </c>
      <c r="Z145" s="21" t="n">
        <f aca="false">Y145*SQRT(252)</f>
        <v>0.115702536451897</v>
      </c>
      <c r="AA145" s="0" t="n">
        <f aca="false">AJ145/AK145</f>
        <v>0.00193755651473421</v>
      </c>
      <c r="AB145" s="0" t="n">
        <f aca="false">_xlfn.COVARIANCE.S($D$4:$D145,s_p!$H$4:$H145)</f>
        <v>-3.451645782146E-006</v>
      </c>
      <c r="AC145" s="0" t="n">
        <f aca="false">_xlfn.VAR.S(s_p!$H$4:$H145)</f>
        <v>5.31233211960422E-005</v>
      </c>
      <c r="AD145" s="0" t="n">
        <f aca="false">AB145/AC145</f>
        <v>-0.0649742091502207</v>
      </c>
      <c r="AE145" s="0" t="n">
        <f aca="false">M145-(AD145*W145)</f>
        <v>-0.000221825128442637</v>
      </c>
      <c r="AF145" s="33" t="n">
        <f aca="false">MAX($E$4:E145)</f>
        <v>0.280129884293098</v>
      </c>
      <c r="AG145" s="0" t="n">
        <f aca="false">1 - ((1 + E145) / (1 + AF145))</f>
        <v>0.244253175698385</v>
      </c>
      <c r="AH145" s="0" t="n">
        <f aca="false">MAX($AG$5:AG145)</f>
        <v>0.317205136214376</v>
      </c>
      <c r="AI145" s="19" t="n">
        <f aca="false">D145-s_p!H145</f>
        <v>0.0310782863627766</v>
      </c>
      <c r="AJ145" s="19" t="n">
        <f aca="false">AVERAGE(AI$4:AI145)</f>
        <v>5.898805056257E-005</v>
      </c>
      <c r="AK145" s="0" t="n">
        <f aca="false">STDEV(AI$4:AI145)</f>
        <v>0.0304445574175481</v>
      </c>
    </row>
    <row r="146" customFormat="false" ht="13.8" hidden="false" customHeight="false" outlineLevel="0" collapsed="false">
      <c r="A146" s="6" t="n">
        <f aca="false">WORKDAY(A145,1,holiday!$B$2:$B$10)</f>
        <v>38925</v>
      </c>
      <c r="B146" s="24" t="n">
        <v>1001314.98806429</v>
      </c>
      <c r="C146" s="24" t="n">
        <f aca="false">B146-B145</f>
        <v>33860.8933161836</v>
      </c>
      <c r="D146" s="31" t="n">
        <f aca="false">C146/B145</f>
        <v>0.035</v>
      </c>
      <c r="E146" s="31" t="n">
        <f aca="false" t="array" ref="E146:E146">PRODUCT(1+$D$4:D146)-1</f>
        <v>0.0013149880642862</v>
      </c>
      <c r="F146" s="0" t="n">
        <f aca="false">IF(ISBLANK(A147),MONTH(A146),IF(MONTH(A147)-MONTH(A146)=1,MONTH(A146),0))</f>
        <v>0</v>
      </c>
      <c r="G146" s="0" t="str">
        <f aca="false">IF(B147&gt;B146,IF(AND(B145&gt;B146,B147&gt;B146),"min",""),IF(AND(B145&gt;B146,B147&gt;B146),"",IF(AND(B145&lt;B146,B147&lt;B146),"max","")))</f>
        <v>max</v>
      </c>
      <c r="H146" s="0" t="n">
        <f aca="false">IF(G146="min",COUNTIF(G$4:G146,"min"),IF(G146="max",COUNTIF(G$4:G146,"max"),""))</f>
        <v>35</v>
      </c>
      <c r="I146" s="24" t="str">
        <f aca="false" t="array" ref="I146:I146">IF($G$3=0,IF(G146="min",INDEX($B$4:$B$254,(MATCH(1,($G$4:$G$254="max")*($H$4:$H$254=(H146-1)),0))),""),IF($G$3=1,IF(G146="min",INDEX($B$4:$B$254,(MATCH(1,($G$4:$G$254="max")*($H$4:$H$254=(H146)),0))),""),""))</f>
        <v/>
      </c>
      <c r="J146" s="29" t="str">
        <f aca="false">IF(AND(G144=0,G146="min",H146=1),B146-B145,IF(G146="min",B146-I146,""))</f>
        <v/>
      </c>
      <c r="K146" s="34" t="str">
        <f aca="false">IF(AND(G144=0,G146="min",H146=1),(B146-B145)/B145,IF(G146="min",(B146-I146)/I146,""))</f>
        <v/>
      </c>
      <c r="L146" s="5"/>
      <c r="M146" s="0" t="n">
        <f aca="false">E146/COUNT($E$4:E146)</f>
        <v>9.19572072927416E-006</v>
      </c>
      <c r="N146" s="19" t="n">
        <f aca="false">M146*252</f>
        <v>0.00231732162377709</v>
      </c>
      <c r="O146" s="20" t="n">
        <f aca="false">STDEV($D$4:$D146)</f>
        <v>0.0294823636196557</v>
      </c>
      <c r="P146" s="20" t="n">
        <f aca="false">O146*SQRT(252)</f>
        <v>0.468018013199922</v>
      </c>
      <c r="Q146" s="0" t="n">
        <f aca="false">Treasuries!J144/100</f>
        <v>0.0507</v>
      </c>
      <c r="R146" s="20" t="n">
        <f aca="false">AJ146/AK146*SQRT(252)</f>
        <v>0.172727926907346</v>
      </c>
      <c r="S146" s="32" t="n">
        <f aca="false">IF(D146&lt;s_p!H146, D146-s_p!H146, 0)</f>
        <v>0</v>
      </c>
      <c r="T146" s="0" t="n">
        <f aca="false">S146^2</f>
        <v>0</v>
      </c>
      <c r="U146" s="0" t="n">
        <f aca="false">SQRT(AVERAGE(T$4:T146)) * SQRT(252)</f>
        <v>0.338686083657809</v>
      </c>
      <c r="V146" s="0" t="n">
        <f aca="false">AJ146/U146*252</f>
        <v>0.247024979775524</v>
      </c>
      <c r="W146" s="22" t="n">
        <f aca="false">(s_p!$J146)/COUNT(s_p!$J$4:$J146)</f>
        <v>8.35268521463287E-005</v>
      </c>
      <c r="X146" s="22" t="n">
        <f aca="false">W146 * 252</f>
        <v>0.0210487667408748</v>
      </c>
      <c r="Y146" s="21" t="n">
        <f aca="false">STDEV(s_p!$H$4:$H146)</f>
        <v>0.00727150912483569</v>
      </c>
      <c r="Z146" s="21" t="n">
        <f aca="false">Y146*SQRT(252)</f>
        <v>0.115431628802713</v>
      </c>
      <c r="AA146" s="0" t="n">
        <f aca="false">AJ146/AK146</f>
        <v>0.0108808366445854</v>
      </c>
      <c r="AB146" s="0" t="n">
        <f aca="false">_xlfn.COVARIANCE.S($D$4:$D146,s_p!$H$4:$H146)</f>
        <v>-4.45888091748427E-006</v>
      </c>
      <c r="AC146" s="0" t="n">
        <f aca="false">_xlfn.VAR.S(s_p!$H$4:$H146)</f>
        <v>5.28748449525688E-005</v>
      </c>
      <c r="AD146" s="0" t="n">
        <f aca="false">AB146/AC146</f>
        <v>-0.0843289643966634</v>
      </c>
      <c r="AE146" s="0" t="n">
        <f aca="false">M146-(AD146*W146)</f>
        <v>1.62394536700873E-005</v>
      </c>
      <c r="AF146" s="33" t="n">
        <f aca="false">MAX($E$4:E146)</f>
        <v>0.280129884293098</v>
      </c>
      <c r="AG146" s="0" t="n">
        <f aca="false">1 - ((1 + E146) / (1 + AF146))</f>
        <v>0.217802036847828</v>
      </c>
      <c r="AH146" s="0" t="n">
        <f aca="false">MAX($AG$5:AG146)</f>
        <v>0.317205136214376</v>
      </c>
      <c r="AI146" s="19" t="n">
        <f aca="false">D146-s_p!H146</f>
        <v>0.0390996531062757</v>
      </c>
      <c r="AJ146" s="19" t="n">
        <f aca="false">AVERAGE(AI$4:AI146)</f>
        <v>0.000331999694308816</v>
      </c>
      <c r="AK146" s="0" t="n">
        <f aca="false">STDEV(AI$4:AI146)</f>
        <v>0.0305123314643298</v>
      </c>
    </row>
    <row r="147" customFormat="false" ht="13.8" hidden="false" customHeight="false" outlineLevel="0" collapsed="false">
      <c r="A147" s="6" t="n">
        <f aca="false">WORKDAY(A146,1,holiday!$B$2:$B$10)</f>
        <v>38926</v>
      </c>
      <c r="B147" s="24" t="n">
        <v>961062.125544101</v>
      </c>
      <c r="C147" s="24" t="n">
        <f aca="false">B147-B146</f>
        <v>-40252.8625201843</v>
      </c>
      <c r="D147" s="31" t="n">
        <f aca="false">C147/B146</f>
        <v>-0.0402</v>
      </c>
      <c r="E147" s="31" t="n">
        <f aca="false" t="array" ref="E147:E147">PRODUCT(1+$D$4:D147)-1</f>
        <v>-0.038937874455898</v>
      </c>
      <c r="F147" s="0" t="n">
        <f aca="false">IF(ISBLANK(A148),MONTH(A147),IF(MONTH(A148)-MONTH(A147)=1,MONTH(A147),0))</f>
        <v>0</v>
      </c>
      <c r="G147" s="0" t="str">
        <f aca="false">IF(B148&gt;B147,IF(AND(B146&gt;B147,B148&gt;B147),"min",""),IF(AND(B146&gt;B147,B148&gt;B147),"",IF(AND(B146&lt;B147,B148&lt;B147),"max","")))</f>
        <v>min</v>
      </c>
      <c r="H147" s="0" t="n">
        <f aca="false">IF(G147="min",COUNTIF(G$4:G147,"min"),IF(G147="max",COUNTIF(G$4:G147,"max"),""))</f>
        <v>36</v>
      </c>
      <c r="I147" s="24" t="n">
        <f aca="false" t="array" ref="I147:I147">IF($G$3=0,IF(G147="min",INDEX($B$4:$B$254,(MATCH(1,($G$4:$G$254="max")*($H$4:$H$254=(H147-1)),0))),""),IF($G$3=1,IF(G147="min",INDEX($B$4:$B$254,(MATCH(1,($G$4:$G$254="max")*($H$4:$H$254=(H147)),0))),""),""))</f>
        <v>1001314.98806429</v>
      </c>
      <c r="J147" s="29" t="n">
        <f aca="false">IF(AND(G145=0,G147="min",H147=1),B147-B146,IF(G147="min",B147-I147,""))</f>
        <v>-40252.862520189</v>
      </c>
      <c r="K147" s="34" t="n">
        <f aca="false">IF(AND(G145=0,G147="min",H147=1),(B147-B146)/B146,IF(G147="min",(B147-I147)/I147,""))</f>
        <v>-0.0402000000000046</v>
      </c>
      <c r="L147" s="5"/>
      <c r="M147" s="0" t="n">
        <f aca="false">E147/COUNT($E$4:E147)</f>
        <v>-0.000270401905943736</v>
      </c>
      <c r="N147" s="19" t="n">
        <f aca="false">M147*252</f>
        <v>-0.0681412802978215</v>
      </c>
      <c r="O147" s="20" t="n">
        <f aca="false">STDEV($D$4:$D147)</f>
        <v>0.0295736638962941</v>
      </c>
      <c r="P147" s="20" t="n">
        <f aca="false">O147*SQRT(252)</f>
        <v>0.469467360159623</v>
      </c>
      <c r="Q147" s="0" t="n">
        <f aca="false">Treasuries!J145/100</f>
        <v>0.05</v>
      </c>
      <c r="R147" s="20" t="n">
        <f aca="false">AJ147/AK147*SQRT(252)</f>
        <v>-0.0174962267361498</v>
      </c>
      <c r="S147" s="32" t="n">
        <f aca="false">IF(D147&lt;s_p!H147, D147-s_p!H147, 0)</f>
        <v>-0.0523516782773907</v>
      </c>
      <c r="T147" s="0" t="n">
        <f aca="false">S147^2</f>
        <v>0.00274069821845942</v>
      </c>
      <c r="U147" s="0" t="n">
        <f aca="false">SQRT(AVERAGE(T$4:T147)) * SQRT(252)</f>
        <v>0.344540128264062</v>
      </c>
      <c r="V147" s="0" t="n">
        <f aca="false">AJ147/U147*252</f>
        <v>-0.0247649338486144</v>
      </c>
      <c r="W147" s="22" t="n">
        <f aca="false">(s_p!$J147)/COUNT(s_p!$J$4:$J147)</f>
        <v>0.000168341402149256</v>
      </c>
      <c r="X147" s="22" t="n">
        <f aca="false">W147 * 252</f>
        <v>0.0424220333416125</v>
      </c>
      <c r="Y147" s="21" t="n">
        <f aca="false">STDEV(s_p!$H$4:$H147)</f>
        <v>0.00731520151189105</v>
      </c>
      <c r="Z147" s="21" t="n">
        <f aca="false">Y147*SQRT(252)</f>
        <v>0.116125223944724</v>
      </c>
      <c r="AA147" s="0" t="n">
        <f aca="false">AJ147/AK147</f>
        <v>-0.00110215868632966</v>
      </c>
      <c r="AB147" s="0" t="n">
        <f aca="false">_xlfn.COVARIANCE.S($D$4:$D147,s_p!$H$4:$H147)</f>
        <v>-7.8264435140963E-006</v>
      </c>
      <c r="AC147" s="0" t="n">
        <f aca="false">_xlfn.VAR.S(s_p!$H$4:$H147)</f>
        <v>5.3512173159573E-005</v>
      </c>
      <c r="AD147" s="0" t="n">
        <f aca="false">AB147/AC147</f>
        <v>-0.146255385494397</v>
      </c>
      <c r="AE147" s="0" t="n">
        <f aca="false">M147-(AD147*W147)</f>
        <v>-0.000245781069277729</v>
      </c>
      <c r="AF147" s="33" t="n">
        <f aca="false">MAX($E$4:E147)</f>
        <v>0.280129884293098</v>
      </c>
      <c r="AG147" s="0" t="n">
        <f aca="false">1 - ((1 + E147) / (1 + AF147))</f>
        <v>0.249246394966546</v>
      </c>
      <c r="AH147" s="0" t="n">
        <f aca="false">MAX($AG$5:AG147)</f>
        <v>0.317205136214376</v>
      </c>
      <c r="AI147" s="19" t="n">
        <f aca="false">D147-s_p!H147</f>
        <v>-0.0523516782773907</v>
      </c>
      <c r="AJ147" s="19" t="n">
        <f aca="false">AVERAGE(AI$4:AI147)</f>
        <v>-3.38591804946532E-005</v>
      </c>
      <c r="AK147" s="0" t="n">
        <f aca="false">STDEV(AI$4:AI147)</f>
        <v>0.0307207854137673</v>
      </c>
    </row>
    <row r="148" customFormat="false" ht="13.8" hidden="false" customHeight="false" outlineLevel="0" collapsed="false">
      <c r="A148" s="6" t="n">
        <f aca="false">WORKDAY(A147,1,holiday!$B$2:$B$10)</f>
        <v>38929</v>
      </c>
      <c r="B148" s="24" t="n">
        <v>990278.414160642</v>
      </c>
      <c r="C148" s="24" t="n">
        <f aca="false">B148-B147</f>
        <v>29216.2886165407</v>
      </c>
      <c r="D148" s="31" t="n">
        <f aca="false">C148/B147</f>
        <v>0.0304</v>
      </c>
      <c r="E148" s="31" t="n">
        <f aca="false" t="array" ref="E148:E148">PRODUCT(1+$D$4:D148)-1</f>
        <v>-0.00972158583935734</v>
      </c>
      <c r="F148" s="0" t="n">
        <f aca="false">IF(ISBLANK(A149),MONTH(A148),IF(MONTH(A149)-MONTH(A148)=1,MONTH(A148),0))</f>
        <v>7</v>
      </c>
      <c r="G148" s="0" t="str">
        <f aca="false">IF(B149&gt;B148,IF(AND(B147&gt;B148,B149&gt;B148),"min",""),IF(AND(B147&gt;B148,B149&gt;B148),"",IF(AND(B147&lt;B148,B149&lt;B148),"max","")))</f>
        <v>max</v>
      </c>
      <c r="H148" s="0" t="n">
        <f aca="false">IF(G148="min",COUNTIF(G$4:G148,"min"),IF(G148="max",COUNTIF(G$4:G148,"max"),""))</f>
        <v>36</v>
      </c>
      <c r="I148" s="24" t="str">
        <f aca="false" t="array" ref="I148:I148">IF($G$3=0,IF(G148="min",INDEX($B$4:$B$254,(MATCH(1,($G$4:$G$254="max")*($H$4:$H$254=(H148-1)),0))),""),IF($G$3=1,IF(G148="min",INDEX($B$4:$B$254,(MATCH(1,($G$4:$G$254="max")*($H$4:$H$254=(H148)),0))),""),""))</f>
        <v/>
      </c>
      <c r="J148" s="29" t="str">
        <f aca="false">IF(AND(G146=0,G148="min",H148=1),B148-B147,IF(G148="min",B148-I148,""))</f>
        <v/>
      </c>
      <c r="K148" s="34" t="str">
        <f aca="false">IF(AND(G146=0,G148="min",H148=1),(B148-B147)/B147,IF(G148="min",(B148-I148)/I148,""))</f>
        <v/>
      </c>
      <c r="L148" s="5"/>
      <c r="M148" s="0" t="n">
        <f aca="false">E148/COUNT($E$4:E148)</f>
        <v>-6.70454195817748E-005</v>
      </c>
      <c r="N148" s="19" t="n">
        <f aca="false">M148*252</f>
        <v>-0.0168954457346072</v>
      </c>
      <c r="O148" s="20" t="n">
        <f aca="false">STDEV($D$4:$D148)</f>
        <v>0.0295776094996955</v>
      </c>
      <c r="P148" s="20" t="n">
        <f aca="false">O148*SQRT(252)</f>
        <v>0.469529994671855</v>
      </c>
      <c r="Q148" s="0" t="n">
        <f aca="false">Treasuries!J146/100</f>
        <v>0.0499</v>
      </c>
      <c r="R148" s="20" t="n">
        <f aca="false">AJ148/AK148*SQRT(252)</f>
        <v>0.0962046796759582</v>
      </c>
      <c r="S148" s="32" t="n">
        <f aca="false">IF(D148&lt;s_p!H148, D148-s_p!H148, 0)</f>
        <v>0</v>
      </c>
      <c r="T148" s="0" t="n">
        <f aca="false">S148^2</f>
        <v>0</v>
      </c>
      <c r="U148" s="0" t="n">
        <f aca="false">SQRT(AVERAGE(T$4:T148)) * SQRT(252)</f>
        <v>0.343350003366698</v>
      </c>
      <c r="V148" s="0" t="n">
        <f aca="false">AJ148/U148*252</f>
        <v>0.136678341332105</v>
      </c>
      <c r="W148" s="22" t="n">
        <f aca="false">(s_p!$J148)/COUNT(s_p!$J$4:$J148)</f>
        <v>0.000156738556276025</v>
      </c>
      <c r="X148" s="22" t="n">
        <f aca="false">W148 * 252</f>
        <v>0.0394981161815583</v>
      </c>
      <c r="Y148" s="21" t="n">
        <f aca="false">STDEV(s_p!$H$4:$H148)</f>
        <v>0.00729107814654912</v>
      </c>
      <c r="Z148" s="21" t="n">
        <f aca="false">Y148*SQRT(252)</f>
        <v>0.11574227739184</v>
      </c>
      <c r="AA148" s="0" t="n">
        <f aca="false">AJ148/AK148</f>
        <v>0.00606032517579098</v>
      </c>
      <c r="AB148" s="0" t="n">
        <f aca="false">_xlfn.COVARIANCE.S($D$4:$D148,s_p!$H$4:$H148)</f>
        <v>-8.12062021316018E-006</v>
      </c>
      <c r="AC148" s="0" t="n">
        <f aca="false">_xlfn.VAR.S(s_p!$H$4:$H148)</f>
        <v>5.31598205390861E-005</v>
      </c>
      <c r="AD148" s="0" t="n">
        <f aca="false">AB148/AC148</f>
        <v>-0.152758608490588</v>
      </c>
      <c r="AE148" s="0" t="n">
        <f aca="false">M148-(AD148*W148)</f>
        <v>-4.31022558282254E-005</v>
      </c>
      <c r="AF148" s="33" t="n">
        <f aca="false">MAX($E$4:E148)</f>
        <v>0.280129884293098</v>
      </c>
      <c r="AG148" s="0" t="n">
        <f aca="false">1 - ((1 + E148) / (1 + AF148))</f>
        <v>0.226423485373529</v>
      </c>
      <c r="AH148" s="0" t="n">
        <f aca="false">MAX($AG$5:AG148)</f>
        <v>0.317205136214376</v>
      </c>
      <c r="AI148" s="19" t="n">
        <f aca="false">D148-s_p!H148</f>
        <v>0.0318782370654256</v>
      </c>
      <c r="AJ148" s="19" t="n">
        <f aca="false">AVERAGE(AI$4:AI148)</f>
        <v>0.000186224241891004</v>
      </c>
      <c r="AK148" s="0" t="n">
        <f aca="false">STDEV(AI$4:AI148)</f>
        <v>0.0307284240513874</v>
      </c>
    </row>
    <row r="149" customFormat="false" ht="13.8" hidden="false" customHeight="false" outlineLevel="0" collapsed="false">
      <c r="A149" s="6" t="n">
        <f aca="false">WORKDAY(A148,1,holiday!$B$2:$B$10)</f>
        <v>38930</v>
      </c>
      <c r="B149" s="24" t="n">
        <v>987208.551076744</v>
      </c>
      <c r="C149" s="24" t="n">
        <f aca="false">B149-B148</f>
        <v>-3069.86308389797</v>
      </c>
      <c r="D149" s="31" t="n">
        <f aca="false">C149/B148</f>
        <v>-0.00309999999999998</v>
      </c>
      <c r="E149" s="31" t="n">
        <f aca="false" t="array" ref="E149:E149">PRODUCT(1+$D$4:D149)-1</f>
        <v>-0.0127914489232553</v>
      </c>
      <c r="F149" s="0" t="n">
        <f aca="false">IF(ISBLANK(A150),MONTH(A149),IF(MONTH(A150)-MONTH(A149)=1,MONTH(A149),0))</f>
        <v>0</v>
      </c>
      <c r="G149" s="0" t="str">
        <f aca="false">IF(B150&gt;B149,IF(AND(B148&gt;B149,B150&gt;B149),"min",""),IF(AND(B148&gt;B149,B150&gt;B149),"",IF(AND(B148&lt;B149,B150&lt;B149),"max","")))</f>
        <v>min</v>
      </c>
      <c r="H149" s="0" t="n">
        <f aca="false">IF(G149="min",COUNTIF(G$4:G149,"min"),IF(G149="max",COUNTIF(G$4:G149,"max"),""))</f>
        <v>37</v>
      </c>
      <c r="I149" s="24" t="n">
        <f aca="false" t="array" ref="I149:I149">IF($G$3=0,IF(G149="min",INDEX($B$4:$B$254,(MATCH(1,($G$4:$G$254="max")*($H$4:$H$254=(H149-1)),0))),""),IF($G$3=1,IF(G149="min",INDEX($B$4:$B$254,(MATCH(1,($G$4:$G$254="max")*($H$4:$H$254=(H149)),0))),""),""))</f>
        <v>990278.414160642</v>
      </c>
      <c r="J149" s="29" t="n">
        <f aca="false">IF(AND(G147=0,G149="min",H149=1),B149-B148,IF(G149="min",B149-I149,""))</f>
        <v>-3069.86308389797</v>
      </c>
      <c r="K149" s="34" t="n">
        <f aca="false">IF(AND(G147=0,G149="min",H149=1),(B149-B148)/B148,IF(G149="min",(B149-I149)/I149,""))</f>
        <v>-0.00309999999999998</v>
      </c>
      <c r="L149" s="5"/>
      <c r="M149" s="0" t="n">
        <f aca="false">E149/COUNT($E$4:E149)</f>
        <v>-8.76126638579133E-005</v>
      </c>
      <c r="N149" s="19" t="n">
        <f aca="false">M149*252</f>
        <v>-0.0220783912921942</v>
      </c>
      <c r="O149" s="20" t="n">
        <f aca="false">STDEV($D$4:$D149)</f>
        <v>0.0294768383009621</v>
      </c>
      <c r="P149" s="20" t="n">
        <f aca="false">O149*SQRT(252)</f>
        <v>0.467930301484857</v>
      </c>
      <c r="Q149" s="0" t="n">
        <f aca="false">Treasuries!J147/100</f>
        <v>0.0499</v>
      </c>
      <c r="R149" s="20" t="n">
        <f aca="false">AJ149/AK149*SQRT(252)</f>
        <v>0.100833496993744</v>
      </c>
      <c r="S149" s="32" t="n">
        <f aca="false">IF(D149&lt;s_p!H149, D149-s_p!H149, 0)</f>
        <v>0</v>
      </c>
      <c r="T149" s="0" t="n">
        <f aca="false">S149^2</f>
        <v>0</v>
      </c>
      <c r="U149" s="0" t="n">
        <f aca="false">SQRT(AVERAGE(T$4:T149)) * SQRT(252)</f>
        <v>0.342172126813383</v>
      </c>
      <c r="V149" s="0" t="n">
        <f aca="false">AJ149/U149*252</f>
        <v>0.143251878086997</v>
      </c>
      <c r="W149" s="22" t="n">
        <f aca="false">(s_p!$J149)/COUNT(s_p!$J$4:$J149)</f>
        <v>0.00012416986437447</v>
      </c>
      <c r="X149" s="22" t="n">
        <f aca="false">W149 * 252</f>
        <v>0.0312908058223664</v>
      </c>
      <c r="Y149" s="21" t="n">
        <f aca="false">STDEV(s_p!$H$4:$H149)</f>
        <v>0.00727619786066796</v>
      </c>
      <c r="Z149" s="21" t="n">
        <f aca="false">Y149*SQRT(252)</f>
        <v>0.115506060176566</v>
      </c>
      <c r="AA149" s="0" t="n">
        <f aca="false">AJ149/AK149</f>
        <v>0.00635191325881978</v>
      </c>
      <c r="AB149" s="0" t="n">
        <f aca="false">_xlfn.COVARIANCE.S($D$4:$D149,s_p!$H$4:$H149)</f>
        <v>-7.95352328536387E-006</v>
      </c>
      <c r="AC149" s="0" t="n">
        <f aca="false">_xlfn.VAR.S(s_p!$H$4:$H149)</f>
        <v>5.2943055307589E-005</v>
      </c>
      <c r="AD149" s="0" t="n">
        <f aca="false">AB149/AC149</f>
        <v>-0.150227886153442</v>
      </c>
      <c r="AE149" s="0" t="n">
        <f aca="false">M149-(AD149*W149)</f>
        <v>-6.89588876089771E-005</v>
      </c>
      <c r="AF149" s="33" t="n">
        <f aca="false">MAX($E$4:E149)</f>
        <v>0.280129884293098</v>
      </c>
      <c r="AG149" s="0" t="n">
        <f aca="false">1 - ((1 + E149) / (1 + AF149))</f>
        <v>0.228821572568871</v>
      </c>
      <c r="AH149" s="0" t="n">
        <f aca="false">MAX($AG$5:AG149)</f>
        <v>0.317205136214376</v>
      </c>
      <c r="AI149" s="19" t="n">
        <f aca="false">D149-s_p!H149</f>
        <v>0.00139610702927951</v>
      </c>
      <c r="AJ149" s="19" t="n">
        <f aca="false">AVERAGE(AI$4:AI149)</f>
        <v>0.000194511110297774</v>
      </c>
      <c r="AK149" s="0" t="n">
        <f aca="false">STDEV(AI$4:AI149)</f>
        <v>0.0306224443521314</v>
      </c>
    </row>
    <row r="150" customFormat="false" ht="13.8" hidden="false" customHeight="false" outlineLevel="0" collapsed="false">
      <c r="A150" s="6" t="n">
        <f aca="false">WORKDAY(A149,1,holiday!$B$2:$B$10)</f>
        <v>38931</v>
      </c>
      <c r="B150" s="24" t="n">
        <v>1012481.08998431</v>
      </c>
      <c r="C150" s="24" t="n">
        <f aca="false">B150-B149</f>
        <v>25272.5389075647</v>
      </c>
      <c r="D150" s="31" t="n">
        <f aca="false">C150/B149</f>
        <v>0.0256000000000001</v>
      </c>
      <c r="E150" s="31" t="n">
        <f aca="false" t="array" ref="E150:E150">PRODUCT(1+$D$4:D150)-1</f>
        <v>0.0124810899843095</v>
      </c>
      <c r="F150" s="0" t="n">
        <f aca="false">IF(ISBLANK(A151),MONTH(A150),IF(MONTH(A151)-MONTH(A150)=1,MONTH(A150),0))</f>
        <v>0</v>
      </c>
      <c r="G150" s="0" t="str">
        <f aca="false">IF(B151&gt;B150,IF(AND(B149&gt;B150,B151&gt;B150),"min",""),IF(AND(B149&gt;B150,B151&gt;B150),"",IF(AND(B149&lt;B150,B151&lt;B150),"max","")))</f>
        <v/>
      </c>
      <c r="H150" s="0" t="str">
        <f aca="false">IF(G150="min",COUNTIF(G$4:G150,"min"),IF(G150="max",COUNTIF(G$4:G150,"max"),""))</f>
        <v/>
      </c>
      <c r="I150" s="24" t="str">
        <f aca="false" t="array" ref="I150:I150">IF($G$3=0,IF(G150="min",INDEX($B$4:$B$254,(MATCH(1,($G$4:$G$254="max")*($H$4:$H$254=(H150-1)),0))),""),IF($G$3=1,IF(G150="min",INDEX($B$4:$B$254,(MATCH(1,($G$4:$G$254="max")*($H$4:$H$254=(H150)),0))),""),""))</f>
        <v/>
      </c>
      <c r="J150" s="29" t="str">
        <f aca="false">IF(AND(G148=0,G150="min",H150=1),B150-B149,IF(G150="min",B150-I150,""))</f>
        <v/>
      </c>
      <c r="K150" s="34" t="str">
        <f aca="false">IF(AND(G148=0,G150="min",H150=1),(B150-B149)/B149,IF(G150="min",(B150-I150)/I150,""))</f>
        <v/>
      </c>
      <c r="L150" s="5"/>
      <c r="M150" s="0" t="n">
        <f aca="false">E150/COUNT($E$4:E150)</f>
        <v>8.49053740429219E-005</v>
      </c>
      <c r="N150" s="19" t="n">
        <f aca="false">M150*252</f>
        <v>0.0213961542588163</v>
      </c>
      <c r="O150" s="20" t="n">
        <f aca="false">STDEV($D$4:$D150)</f>
        <v>0.0294494824027829</v>
      </c>
      <c r="P150" s="20" t="n">
        <f aca="false">O150*SQRT(252)</f>
        <v>0.467496040064018</v>
      </c>
      <c r="Q150" s="0" t="n">
        <f aca="false">Treasuries!J148/100</f>
        <v>0.0496</v>
      </c>
      <c r="R150" s="20" t="n">
        <f aca="false">AJ150/AK150*SQRT(252)</f>
        <v>0.172751363190657</v>
      </c>
      <c r="S150" s="32" t="n">
        <f aca="false">IF(D150&lt;s_p!H150, D150-s_p!H150, 0)</f>
        <v>0</v>
      </c>
      <c r="T150" s="0" t="n">
        <f aca="false">S150^2</f>
        <v>0</v>
      </c>
      <c r="U150" s="0" t="n">
        <f aca="false">SQRT(AVERAGE(T$4:T150)) * SQRT(252)</f>
        <v>0.341006289942659</v>
      </c>
      <c r="V150" s="0" t="n">
        <f aca="false">AJ150/U150*252</f>
        <v>0.245787264082641</v>
      </c>
      <c r="W150" s="22" t="n">
        <f aca="false">(s_p!$J150)/COUNT(s_p!$J$4:$J150)</f>
        <v>0.000158693282887186</v>
      </c>
      <c r="X150" s="22" t="n">
        <f aca="false">W150 * 252</f>
        <v>0.0399907072875709</v>
      </c>
      <c r="Y150" s="21" t="n">
        <f aca="false">STDEV(s_p!$H$4:$H150)</f>
        <v>0.00726275439538018</v>
      </c>
      <c r="Z150" s="21" t="n">
        <f aca="false">Y150*SQRT(252)</f>
        <v>0.115292651781103</v>
      </c>
      <c r="AA150" s="0" t="n">
        <f aca="false">AJ150/AK150</f>
        <v>0.0108823129916639</v>
      </c>
      <c r="AB150" s="0" t="n">
        <f aca="false">_xlfn.COVARIANCE.S($D$4:$D150,s_p!$H$4:$H150)</f>
        <v>-7.04734523760111E-006</v>
      </c>
      <c r="AC150" s="0" t="n">
        <f aca="false">_xlfn.VAR.S(s_p!$H$4:$H150)</f>
        <v>5.2747601407614E-005</v>
      </c>
      <c r="AD150" s="0" t="n">
        <f aca="false">AB150/AC150</f>
        <v>-0.133605036997641</v>
      </c>
      <c r="AE150" s="0" t="n">
        <f aca="false">M150-(AD150*W150)</f>
        <v>0.000106107595974342</v>
      </c>
      <c r="AF150" s="33" t="n">
        <f aca="false">MAX($E$4:E150)</f>
        <v>0.280129884293098</v>
      </c>
      <c r="AG150" s="0" t="n">
        <f aca="false">1 - ((1 + E150) / (1 + AF150))</f>
        <v>0.209079404826634</v>
      </c>
      <c r="AH150" s="0" t="n">
        <f aca="false">MAX($AG$5:AG150)</f>
        <v>0.317205136214376</v>
      </c>
      <c r="AI150" s="19" t="n">
        <f aca="false">D150-s_p!H150</f>
        <v>0.0204934630031788</v>
      </c>
      <c r="AJ150" s="19" t="n">
        <f aca="false">AVERAGE(AI$4:AI150)</f>
        <v>0.000332599218412611</v>
      </c>
      <c r="AK150" s="0" t="n">
        <f aca="false">STDEV(AI$4:AI150)</f>
        <v>0.0305632836206229</v>
      </c>
    </row>
    <row r="151" customFormat="false" ht="13.8" hidden="false" customHeight="false" outlineLevel="0" collapsed="false">
      <c r="A151" s="6" t="n">
        <f aca="false">WORKDAY(A150,1,holiday!$B$2:$B$10)</f>
        <v>38932</v>
      </c>
      <c r="B151" s="24" t="n">
        <v>1026048.3365901</v>
      </c>
      <c r="C151" s="24" t="n">
        <f aca="false">B151-B150</f>
        <v>13567.2466057898</v>
      </c>
      <c r="D151" s="31" t="n">
        <f aca="false">C151/B150</f>
        <v>0.0134</v>
      </c>
      <c r="E151" s="31" t="n">
        <f aca="false" t="array" ref="E151:E151">PRODUCT(1+$D$4:D151)-1</f>
        <v>0.0260483365900992</v>
      </c>
      <c r="F151" s="0" t="n">
        <f aca="false">IF(ISBLANK(A152),MONTH(A151),IF(MONTH(A152)-MONTH(A151)=1,MONTH(A151),0))</f>
        <v>0</v>
      </c>
      <c r="G151" s="0" t="str">
        <f aca="false">IF(B152&gt;B151,IF(AND(B150&gt;B151,B152&gt;B151),"min",""),IF(AND(B150&gt;B151,B152&gt;B151),"",IF(AND(B150&lt;B151,B152&lt;B151),"max","")))</f>
        <v>max</v>
      </c>
      <c r="H151" s="0" t="n">
        <f aca="false">IF(G151="min",COUNTIF(G$4:G151,"min"),IF(G151="max",COUNTIF(G$4:G151,"max"),""))</f>
        <v>37</v>
      </c>
      <c r="I151" s="24" t="str">
        <f aca="false" t="array" ref="I151:I151">IF($G$3=0,IF(G151="min",INDEX($B$4:$B$254,(MATCH(1,($G$4:$G$254="max")*($H$4:$H$254=(H151-1)),0))),""),IF($G$3=1,IF(G151="min",INDEX($B$4:$B$254,(MATCH(1,($G$4:$G$254="max")*($H$4:$H$254=(H151)),0))),""),""))</f>
        <v/>
      </c>
      <c r="J151" s="29" t="str">
        <f aca="false">IF(AND(G149=0,G151="min",H151=1),B151-B150,IF(G151="min",B151-I151,""))</f>
        <v/>
      </c>
      <c r="K151" s="34" t="str">
        <f aca="false">IF(AND(G149=0,G151="min",H151=1),(B151-B150)/B150,IF(G151="min",(B151-I151)/I151,""))</f>
        <v/>
      </c>
      <c r="L151" s="5"/>
      <c r="M151" s="0" t="n">
        <f aca="false">E151/COUNT($E$4:E151)</f>
        <v>0.000176002274257427</v>
      </c>
      <c r="N151" s="19" t="n">
        <f aca="false">M151*252</f>
        <v>0.0443525731128716</v>
      </c>
      <c r="O151" s="20" t="n">
        <f aca="false">STDEV($D$4:$D151)</f>
        <v>0.02936824595029</v>
      </c>
      <c r="P151" s="20" t="n">
        <f aca="false">O151*SQRT(252)</f>
        <v>0.466206451359884</v>
      </c>
      <c r="Q151" s="0" t="n">
        <f aca="false">Treasuries!J149/100</f>
        <v>0.0496</v>
      </c>
      <c r="R151" s="20" t="n">
        <f aca="false">AJ151/AK151*SQRT(252)</f>
        <v>0.211383670410924</v>
      </c>
      <c r="S151" s="32" t="n">
        <f aca="false">IF(D151&lt;s_p!H151, D151-s_p!H151, 0)</f>
        <v>0</v>
      </c>
      <c r="T151" s="0" t="n">
        <f aca="false">S151^2</f>
        <v>0</v>
      </c>
      <c r="U151" s="0" t="n">
        <f aca="false">SQRT(AVERAGE(T$4:T151)) * SQRT(252)</f>
        <v>0.339852289036018</v>
      </c>
      <c r="V151" s="0" t="n">
        <f aca="false">AJ151/U151*252</f>
        <v>0.300873982277441</v>
      </c>
      <c r="W151" s="22" t="n">
        <f aca="false">(s_p!$J151)/COUNT(s_p!$J$4:$J151)</f>
        <v>0.000173101667946621</v>
      </c>
      <c r="X151" s="22" t="n">
        <f aca="false">W151 * 252</f>
        <v>0.0436216203225486</v>
      </c>
      <c r="Y151" s="21" t="n">
        <f aca="false">STDEV(s_p!$H$4:$H151)</f>
        <v>0.00723998149020592</v>
      </c>
      <c r="Z151" s="21" t="n">
        <f aca="false">Y151*SQRT(252)</f>
        <v>0.114931143118774</v>
      </c>
      <c r="AA151" s="0" t="n">
        <f aca="false">AJ151/AK151</f>
        <v>0.0133159195982703</v>
      </c>
      <c r="AB151" s="0" t="n">
        <f aca="false">_xlfn.COVARIANCE.S($D$4:$D151,s_p!$H$4:$H151)</f>
        <v>-6.82042840496381E-006</v>
      </c>
      <c r="AC151" s="0" t="n">
        <f aca="false">_xlfn.VAR.S(s_p!$H$4:$H151)</f>
        <v>5.24173319785244E-005</v>
      </c>
      <c r="AD151" s="0" t="n">
        <f aca="false">AB151/AC151</f>
        <v>-0.130117809272669</v>
      </c>
      <c r="AE151" s="0" t="n">
        <f aca="false">M151-(AD151*W151)</f>
        <v>0.000198525884072086</v>
      </c>
      <c r="AF151" s="33" t="n">
        <f aca="false">MAX($E$4:E151)</f>
        <v>0.280129884293098</v>
      </c>
      <c r="AG151" s="0" t="n">
        <f aca="false">1 - ((1 + E151) / (1 + AF151))</f>
        <v>0.198481068851311</v>
      </c>
      <c r="AH151" s="0" t="n">
        <f aca="false">MAX($AG$5:AG151)</f>
        <v>0.317205136214376</v>
      </c>
      <c r="AI151" s="19" t="n">
        <f aca="false">D151-s_p!H151</f>
        <v>0.0111610947150877</v>
      </c>
      <c r="AJ151" s="19" t="n">
        <f aca="false">AVERAGE(AI$4:AI151)</f>
        <v>0.000405764728525281</v>
      </c>
      <c r="AK151" s="0" t="n">
        <f aca="false">STDEV(AI$4:AI151)</f>
        <v>0.0304721521882715</v>
      </c>
    </row>
    <row r="152" customFormat="false" ht="13.8" hidden="false" customHeight="false" outlineLevel="0" collapsed="false">
      <c r="A152" s="6" t="n">
        <f aca="false">WORKDAY(A151,1,holiday!$B$2:$B$10)</f>
        <v>38933</v>
      </c>
      <c r="B152" s="24" t="n">
        <v>1024098.84475058</v>
      </c>
      <c r="C152" s="24" t="n">
        <f aca="false">B152-B151</f>
        <v>-1949.49183952122</v>
      </c>
      <c r="D152" s="31" t="n">
        <f aca="false">C152/B151</f>
        <v>-0.00190000000000003</v>
      </c>
      <c r="E152" s="31" t="n">
        <f aca="false" t="array" ref="E152:E152">PRODUCT(1+$D$4:D152)-1</f>
        <v>0.0240988447505779</v>
      </c>
      <c r="F152" s="0" t="n">
        <f aca="false">IF(ISBLANK(A153),MONTH(A152),IF(MONTH(A153)-MONTH(A152)=1,MONTH(A152),0))</f>
        <v>0</v>
      </c>
      <c r="G152" s="0" t="str">
        <f aca="false">IF(B153&gt;B152,IF(AND(B151&gt;B152,B153&gt;B152),"min",""),IF(AND(B151&gt;B152,B153&gt;B152),"",IF(AND(B151&lt;B152,B153&lt;B152),"max","")))</f>
        <v/>
      </c>
      <c r="H152" s="0" t="str">
        <f aca="false">IF(G152="min",COUNTIF(G$4:G152,"min"),IF(G152="max",COUNTIF(G$4:G152,"max"),""))</f>
        <v/>
      </c>
      <c r="I152" s="24" t="str">
        <f aca="false" t="array" ref="I152:I152">IF($G$3=0,IF(G152="min",INDEX($B$4:$B$254,(MATCH(1,($G$4:$G$254="max")*($H$4:$H$254=(H152-1)),0))),""),IF($G$3=1,IF(G152="min",INDEX($B$4:$B$254,(MATCH(1,($G$4:$G$254="max")*($H$4:$H$254=(H152)),0))),""),""))</f>
        <v/>
      </c>
      <c r="J152" s="29" t="str">
        <f aca="false">IF(AND(G150=0,G152="min",H152=1),B152-B151,IF(G152="min",B152-I152,""))</f>
        <v/>
      </c>
      <c r="K152" s="34" t="str">
        <f aca="false">IF(AND(G150=0,G152="min",H152=1),(B152-B151)/B151,IF(G152="min",(B152-I152)/I152,""))</f>
        <v/>
      </c>
      <c r="L152" s="5"/>
      <c r="M152" s="0" t="n">
        <f aca="false">E152/COUNT($E$4:E152)</f>
        <v>0.000161737213091127</v>
      </c>
      <c r="N152" s="19" t="n">
        <f aca="false">M152*252</f>
        <v>0.0407577776989639</v>
      </c>
      <c r="O152" s="20" t="n">
        <f aca="false">STDEV($D$4:$D152)</f>
        <v>0.0292695788484236</v>
      </c>
      <c r="P152" s="20" t="n">
        <f aca="false">O152*SQRT(252)</f>
        <v>0.464640159675151</v>
      </c>
      <c r="Q152" s="0" t="n">
        <f aca="false">Treasuries!J150/100</f>
        <v>0.0491</v>
      </c>
      <c r="R152" s="20" t="n">
        <f aca="false">AJ152/AK152*SQRT(252)</f>
        <v>0.206504050053155</v>
      </c>
      <c r="S152" s="32" t="n">
        <f aca="false">IF(D152&lt;s_p!H152, D152-s_p!H152, 0)</f>
        <v>-0.00118921243175265</v>
      </c>
      <c r="T152" s="0" t="n">
        <f aca="false">S152^2</f>
        <v>1.41422620783504E-006</v>
      </c>
      <c r="U152" s="0" t="n">
        <f aca="false">SQRT(AVERAGE(T$4:T152)) * SQRT(252)</f>
        <v>0.338713455967181</v>
      </c>
      <c r="V152" s="0" t="n">
        <f aca="false">AJ152/U152*252</f>
        <v>0.293921497862353</v>
      </c>
      <c r="W152" s="22" t="n">
        <f aca="false">(s_p!$J152)/COUNT(s_p!$J$4:$J152)</f>
        <v>0.000167047312670047</v>
      </c>
      <c r="X152" s="22" t="n">
        <f aca="false">W152 * 252</f>
        <v>0.0420959227928519</v>
      </c>
      <c r="Y152" s="21" t="n">
        <f aca="false">STDEV(s_p!$H$4:$H152)</f>
        <v>0.00721586382821782</v>
      </c>
      <c r="Z152" s="21" t="n">
        <f aca="false">Y152*SQRT(252)</f>
        <v>0.114548287103825</v>
      </c>
      <c r="AA152" s="0" t="n">
        <f aca="false">AJ152/AK152</f>
        <v>0.0130085324087688</v>
      </c>
      <c r="AB152" s="0" t="n">
        <f aca="false">_xlfn.COVARIANCE.S($D$4:$D152,s_p!$H$4:$H152)</f>
        <v>-6.75909766973554E-006</v>
      </c>
      <c r="AC152" s="0" t="n">
        <f aca="false">_xlfn.VAR.S(s_p!$H$4:$H152)</f>
        <v>5.20686907873823E-005</v>
      </c>
      <c r="AD152" s="0" t="n">
        <f aca="false">AB152/AC152</f>
        <v>-0.129811169966529</v>
      </c>
      <c r="AE152" s="0" t="n">
        <f aca="false">M152-(AD152*W152)</f>
        <v>0.00018342182018859</v>
      </c>
      <c r="AF152" s="33" t="n">
        <f aca="false">MAX($E$4:E152)</f>
        <v>0.280129884293098</v>
      </c>
      <c r="AG152" s="0" t="n">
        <f aca="false">1 - ((1 + E152) / (1 + AF152))</f>
        <v>0.200003954820493</v>
      </c>
      <c r="AH152" s="0" t="n">
        <f aca="false">MAX($AG$5:AG152)</f>
        <v>0.317205136214376</v>
      </c>
      <c r="AI152" s="19" t="n">
        <f aca="false">D152-s_p!H152</f>
        <v>-0.00118921243175264</v>
      </c>
      <c r="AJ152" s="19" t="n">
        <f aca="false">AVERAGE(AI$4:AI152)</f>
        <v>0.000395060183825429</v>
      </c>
      <c r="AK152" s="0" t="n">
        <f aca="false">STDEV(AI$4:AI152)</f>
        <v>0.0303693123414235</v>
      </c>
    </row>
    <row r="153" customFormat="false" ht="13.8" hidden="false" customHeight="false" outlineLevel="0" collapsed="false">
      <c r="A153" s="6" t="n">
        <f aca="false">WORKDAY(A152,1,holiday!$B$2:$B$10)</f>
        <v>38936</v>
      </c>
      <c r="B153" s="24" t="n">
        <v>1000032.52189894</v>
      </c>
      <c r="C153" s="24" t="n">
        <f aca="false">B153-B152</f>
        <v>-24066.3228516385</v>
      </c>
      <c r="D153" s="31" t="n">
        <f aca="false">C153/B152</f>
        <v>-0.0235</v>
      </c>
      <c r="E153" s="31" t="n">
        <f aca="false" t="array" ref="E153:E153">PRODUCT(1+$D$4:D153)-1</f>
        <v>3.25218989394305E-005</v>
      </c>
      <c r="F153" s="0" t="n">
        <f aca="false">IF(ISBLANK(A154),MONTH(A153),IF(MONTH(A154)-MONTH(A153)=1,MONTH(A153),0))</f>
        <v>0</v>
      </c>
      <c r="G153" s="0" t="str">
        <f aca="false">IF(B154&gt;B153,IF(AND(B152&gt;B153,B154&gt;B153),"min",""),IF(AND(B152&gt;B153,B154&gt;B153),"",IF(AND(B152&lt;B153,B154&lt;B153),"max","")))</f>
        <v/>
      </c>
      <c r="H153" s="0" t="str">
        <f aca="false">IF(G153="min",COUNTIF(G$4:G153,"min"),IF(G153="max",COUNTIF(G$4:G153,"max"),""))</f>
        <v/>
      </c>
      <c r="I153" s="24" t="str">
        <f aca="false" t="array" ref="I153:I153">IF($G$3=0,IF(G153="min",INDEX($B$4:$B$254,(MATCH(1,($G$4:$G$254="max")*($H$4:$H$254=(H153-1)),0))),""),IF($G$3=1,IF(G153="min",INDEX($B$4:$B$254,(MATCH(1,($G$4:$G$254="max")*($H$4:$H$254=(H153)),0))),""),""))</f>
        <v/>
      </c>
      <c r="J153" s="29" t="str">
        <f aca="false">IF(AND(G151=0,G153="min",H153=1),B153-B152,IF(G153="min",B153-I153,""))</f>
        <v/>
      </c>
      <c r="K153" s="34" t="str">
        <f aca="false">IF(AND(G151=0,G153="min",H153=1),(B153-B152)/B152,IF(G153="min",(B153-I153)/I153,""))</f>
        <v/>
      </c>
      <c r="L153" s="5"/>
      <c r="M153" s="0" t="n">
        <f aca="false">E153/COUNT($E$4:E153)</f>
        <v>2.16812659596203E-007</v>
      </c>
      <c r="N153" s="19" t="n">
        <f aca="false">M153*252</f>
        <v>5.46367902182432E-005</v>
      </c>
      <c r="O153" s="20" t="n">
        <f aca="false">STDEV($D$4:$D153)</f>
        <v>0.0292374086629507</v>
      </c>
      <c r="P153" s="20" t="n">
        <f aca="false">O153*SQRT(252)</f>
        <v>0.464129473812798</v>
      </c>
      <c r="Q153" s="0" t="n">
        <f aca="false">Treasuries!J151/100</f>
        <v>0.0493</v>
      </c>
      <c r="R153" s="20" t="n">
        <f aca="false">AJ153/AK153*SQRT(252)</f>
        <v>0.133247015081897</v>
      </c>
      <c r="S153" s="32" t="n">
        <f aca="false">IF(D153&lt;s_p!H153, D153-s_p!H153, 0)</f>
        <v>-0.0206939094547274</v>
      </c>
      <c r="T153" s="0" t="n">
        <f aca="false">S153^2</f>
        <v>0.000428237888520456</v>
      </c>
      <c r="U153" s="0" t="n">
        <f aca="false">SQRT(AVERAGE(T$4:T153)) * SQRT(252)</f>
        <v>0.338646422596771</v>
      </c>
      <c r="V153" s="0" t="n">
        <f aca="false">AJ153/U153*252</f>
        <v>0.189358850566079</v>
      </c>
      <c r="W153" s="22" t="n">
        <f aca="false">(s_p!$J153)/COUNT(s_p!$J$4:$J153)</f>
        <v>0.000146760768731631</v>
      </c>
      <c r="X153" s="22" t="n">
        <f aca="false">W153 * 252</f>
        <v>0.036983713720371</v>
      </c>
      <c r="Y153" s="21" t="n">
        <f aca="false">STDEV(s_p!$H$4:$H153)</f>
        <v>0.00719577056370166</v>
      </c>
      <c r="Z153" s="21" t="n">
        <f aca="false">Y153*SQRT(252)</f>
        <v>0.114229316418202</v>
      </c>
      <c r="AA153" s="0" t="n">
        <f aca="false">AJ153/AK153</f>
        <v>0.00839377297258046</v>
      </c>
      <c r="AB153" s="0" t="n">
        <f aca="false">_xlfn.COVARIANCE.S($D$4:$D153,s_p!$H$4:$H153)</f>
        <v>-6.23250840759069E-006</v>
      </c>
      <c r="AC153" s="0" t="n">
        <f aca="false">_xlfn.VAR.S(s_p!$H$4:$H153)</f>
        <v>5.17791140054354E-005</v>
      </c>
      <c r="AD153" s="0" t="n">
        <f aca="false">AB153/AC153</f>
        <v>-0.120367227738513</v>
      </c>
      <c r="AE153" s="0" t="n">
        <f aca="false">M153-(AD153*W153)</f>
        <v>1.78819995325957E-005</v>
      </c>
      <c r="AF153" s="33" t="n">
        <f aca="false">MAX($E$4:E153)</f>
        <v>0.280129884293098</v>
      </c>
      <c r="AG153" s="0" t="n">
        <f aca="false">1 - ((1 + E153) / (1 + AF153))</f>
        <v>0.218803861882212</v>
      </c>
      <c r="AH153" s="0" t="n">
        <f aca="false">MAX($AG$5:AG153)</f>
        <v>0.317205136214376</v>
      </c>
      <c r="AI153" s="19" t="n">
        <f aca="false">D153-s_p!H153</f>
        <v>-0.0206939094547274</v>
      </c>
      <c r="AJ153" s="19" t="n">
        <f aca="false">AVERAGE(AI$4:AI153)</f>
        <v>0.000254467052901743</v>
      </c>
      <c r="AK153" s="0" t="n">
        <f aca="false">STDEV(AI$4:AI153)</f>
        <v>0.030316170538922</v>
      </c>
    </row>
    <row r="154" customFormat="false" ht="13.8" hidden="false" customHeight="false" outlineLevel="0" collapsed="false">
      <c r="A154" s="6" t="n">
        <f aca="false">WORKDAY(A153,1,holiday!$B$2:$B$10)</f>
        <v>38937</v>
      </c>
      <c r="B154" s="24" t="n">
        <v>994232.333271925</v>
      </c>
      <c r="C154" s="24" t="n">
        <f aca="false">B154-B153</f>
        <v>-5800.18862701382</v>
      </c>
      <c r="D154" s="31" t="n">
        <f aca="false">C154/B153</f>
        <v>-0.00579999999999997</v>
      </c>
      <c r="E154" s="31" t="n">
        <f aca="false" t="array" ref="E154:E154">PRODUCT(1+$D$4:D154)-1</f>
        <v>-0.00576766672807427</v>
      </c>
      <c r="F154" s="0" t="n">
        <f aca="false">IF(ISBLANK(A155),MONTH(A154),IF(MONTH(A155)-MONTH(A154)=1,MONTH(A154),0))</f>
        <v>0</v>
      </c>
      <c r="G154" s="0" t="str">
        <f aca="false">IF(B155&gt;B154,IF(AND(B153&gt;B154,B155&gt;B154),"min",""),IF(AND(B153&gt;B154,B155&gt;B154),"",IF(AND(B153&lt;B154,B155&lt;B154),"max","")))</f>
        <v/>
      </c>
      <c r="H154" s="0" t="str">
        <f aca="false">IF(G154="min",COUNTIF(G$4:G154,"min"),IF(G154="max",COUNTIF(G$4:G154,"max"),""))</f>
        <v/>
      </c>
      <c r="I154" s="24" t="str">
        <f aca="false" t="array" ref="I154:I154">IF($G$3=0,IF(G154="min",INDEX($B$4:$B$254,(MATCH(1,($G$4:$G$254="max")*($H$4:$H$254=(H154-1)),0))),""),IF($G$3=1,IF(G154="min",INDEX($B$4:$B$254,(MATCH(1,($G$4:$G$254="max")*($H$4:$H$254=(H154)),0))),""),""))</f>
        <v/>
      </c>
      <c r="J154" s="29" t="str">
        <f aca="false">IF(AND(G152=0,G154="min",H154=1),B154-B153,IF(G154="min",B154-I154,""))</f>
        <v/>
      </c>
      <c r="K154" s="34" t="str">
        <f aca="false">IF(AND(G152=0,G154="min",H154=1),(B154-B153)/B153,IF(G154="min",(B154-I154)/I154,""))</f>
        <v/>
      </c>
      <c r="L154" s="5"/>
      <c r="M154" s="0" t="n">
        <f aca="false">E154/COUNT($E$4:E154)</f>
        <v>-3.81964683978429E-005</v>
      </c>
      <c r="N154" s="19" t="n">
        <f aca="false">M154*252</f>
        <v>-0.0096255100362564</v>
      </c>
      <c r="O154" s="20" t="n">
        <f aca="false">STDEV($D$4:$D154)</f>
        <v>0.02914419117129</v>
      </c>
      <c r="P154" s="20" t="n">
        <f aca="false">O154*SQRT(252)</f>
        <v>0.462649692008146</v>
      </c>
      <c r="Q154" s="0" t="n">
        <f aca="false">Treasuries!J152/100</f>
        <v>0.0493</v>
      </c>
      <c r="R154" s="20" t="n">
        <f aca="false">AJ154/AK154*SQRT(252)</f>
        <v>0.124324378939158</v>
      </c>
      <c r="S154" s="32" t="n">
        <f aca="false">IF(D154&lt;s_p!H154, D154-s_p!H154, 0)</f>
        <v>-0.00243732490966236</v>
      </c>
      <c r="T154" s="0" t="n">
        <f aca="false">S154^2</f>
        <v>5.94055271526063E-006</v>
      </c>
      <c r="U154" s="0" t="n">
        <f aca="false">SQRT(AVERAGE(T$4:T154)) * SQRT(252)</f>
        <v>0.337537900250401</v>
      </c>
      <c r="V154" s="0" t="n">
        <f aca="false">AJ154/U154*252</f>
        <v>0.176671820271978</v>
      </c>
      <c r="W154" s="22" t="n">
        <f aca="false">(s_p!$J154)/COUNT(s_p!$J$4:$J154)</f>
        <v>0.000123029231140525</v>
      </c>
      <c r="X154" s="22" t="n">
        <f aca="false">W154 * 252</f>
        <v>0.0310033662474122</v>
      </c>
      <c r="Y154" s="21" t="n">
        <f aca="false">STDEV(s_p!$H$4:$H154)</f>
        <v>0.00717750709427376</v>
      </c>
      <c r="Z154" s="21" t="n">
        <f aca="false">Y154*SQRT(252)</f>
        <v>0.113939392829101</v>
      </c>
      <c r="AA154" s="0" t="n">
        <f aca="false">AJ154/AK154</f>
        <v>0.00783169972798988</v>
      </c>
      <c r="AB154" s="0" t="n">
        <f aca="false">_xlfn.COVARIANCE.S($D$4:$D154,s_p!$H$4:$H154)</f>
        <v>-6.04527972319465E-006</v>
      </c>
      <c r="AC154" s="0" t="n">
        <f aca="false">_xlfn.VAR.S(s_p!$H$4:$H154)</f>
        <v>5.15166080883501E-005</v>
      </c>
      <c r="AD154" s="0" t="n">
        <f aca="false">AB154/AC154</f>
        <v>-0.117346229643596</v>
      </c>
      <c r="AE154" s="0" t="n">
        <f aca="false">M154-(AD154*W154)</f>
        <v>-2.37594519875518E-005</v>
      </c>
      <c r="AF154" s="33" t="n">
        <f aca="false">MAX($E$4:E154)</f>
        <v>0.280129884293098</v>
      </c>
      <c r="AG154" s="0" t="n">
        <f aca="false">1 - ((1 + E154) / (1 + AF154))</f>
        <v>0.223334799483295</v>
      </c>
      <c r="AH154" s="0" t="n">
        <f aca="false">MAX($AG$5:AG154)</f>
        <v>0.317205136214376</v>
      </c>
      <c r="AI154" s="19" t="n">
        <f aca="false">D154-s_p!H154</f>
        <v>-0.00243732490966237</v>
      </c>
      <c r="AJ154" s="19" t="n">
        <f aca="false">AVERAGE(AI$4:AI154)</f>
        <v>0.00023664061606357</v>
      </c>
      <c r="AK154" s="0" t="n">
        <f aca="false">STDEV(AI$4:AI154)</f>
        <v>0.0302157417013622</v>
      </c>
    </row>
    <row r="155" customFormat="false" ht="13.8" hidden="false" customHeight="false" outlineLevel="0" collapsed="false">
      <c r="A155" s="6" t="n">
        <f aca="false">WORKDAY(A154,1,holiday!$B$2:$B$10)</f>
        <v>38938</v>
      </c>
      <c r="B155" s="24" t="n">
        <v>982599.814972644</v>
      </c>
      <c r="C155" s="24" t="n">
        <f aca="false">B155-B154</f>
        <v>-11632.5182992815</v>
      </c>
      <c r="D155" s="31" t="n">
        <f aca="false">C155/B154</f>
        <v>-0.0117</v>
      </c>
      <c r="E155" s="31" t="n">
        <f aca="false" t="array" ref="E155:E155">PRODUCT(1+$D$4:D155)-1</f>
        <v>-0.0174001850273559</v>
      </c>
      <c r="F155" s="0" t="n">
        <f aca="false">IF(ISBLANK(A156),MONTH(A155),IF(MONTH(A156)-MONTH(A155)=1,MONTH(A155),0))</f>
        <v>0</v>
      </c>
      <c r="G155" s="0" t="str">
        <f aca="false">IF(B156&gt;B155,IF(AND(B154&gt;B155,B156&gt;B155),"min",""),IF(AND(B154&gt;B155,B156&gt;B155),"",IF(AND(B154&lt;B155,B156&lt;B155),"max","")))</f>
        <v>min</v>
      </c>
      <c r="H155" s="0" t="n">
        <f aca="false">IF(G155="min",COUNTIF(G$4:G155,"min"),IF(G155="max",COUNTIF(G$4:G155,"max"),""))</f>
        <v>38</v>
      </c>
      <c r="I155" s="24" t="n">
        <f aca="false" t="array" ref="I155:I155">IF($G$3=0,IF(G155="min",INDEX($B$4:$B$254,(MATCH(1,($G$4:$G$254="max")*($H$4:$H$254=(H155-1)),0))),""),IF($G$3=1,IF(G155="min",INDEX($B$4:$B$254,(MATCH(1,($G$4:$G$254="max")*($H$4:$H$254=(H155)),0))),""),""))</f>
        <v>1026048.3365901</v>
      </c>
      <c r="J155" s="29" t="n">
        <f aca="false">IF(AND(G153=0,G155="min",H155=1),B155-B154,IF(G155="min",B155-I155,""))</f>
        <v>-43448.521617456</v>
      </c>
      <c r="K155" s="34" t="n">
        <f aca="false">IF(AND(G153=0,G155="min",H155=1),(B155-B154)/B154,IF(G155="min",(B155-I155)/I155,""))</f>
        <v>-0.0423454919890518</v>
      </c>
      <c r="L155" s="5"/>
      <c r="M155" s="0" t="n">
        <f aca="false">E155/COUNT($E$4:E155)</f>
        <v>-0.000114474901495762</v>
      </c>
      <c r="N155" s="19" t="n">
        <f aca="false">M155*252</f>
        <v>-0.0288476751769321</v>
      </c>
      <c r="O155" s="20" t="n">
        <f aca="false">STDEV($D$4:$D155)</f>
        <v>0.0290640588196993</v>
      </c>
      <c r="P155" s="20" t="n">
        <f aca="false">O155*SQRT(252)</f>
        <v>0.461377630362467</v>
      </c>
      <c r="Q155" s="0" t="n">
        <f aca="false">Treasuries!J153/100</f>
        <v>0.0492</v>
      </c>
      <c r="R155" s="20" t="n">
        <f aca="false">AJ155/AK155*SQRT(252)</f>
        <v>0.098405309059728</v>
      </c>
      <c r="S155" s="32" t="n">
        <f aca="false">IF(D155&lt;s_p!H155, D155-s_p!H155, 0)</f>
        <v>-0.00735073772296853</v>
      </c>
      <c r="T155" s="0" t="n">
        <f aca="false">S155^2</f>
        <v>5.40333450718726E-005</v>
      </c>
      <c r="U155" s="0" t="n">
        <f aca="false">SQRT(AVERAGE(T$4:T155)) * SQRT(252)</f>
        <v>0.3365588569087</v>
      </c>
      <c r="V155" s="0" t="n">
        <f aca="false">AJ155/U155*252</f>
        <v>0.139810198624704</v>
      </c>
      <c r="W155" s="22" t="n">
        <f aca="false">(s_p!$J155)/COUNT(s_p!$J$4:$J155)</f>
        <v>9.3074694603277E-005</v>
      </c>
      <c r="X155" s="22" t="n">
        <f aca="false">W155 * 252</f>
        <v>0.0234548230400258</v>
      </c>
      <c r="Y155" s="21" t="n">
        <f aca="false">STDEV(s_p!$H$4:$H155)</f>
        <v>0.00716299298434341</v>
      </c>
      <c r="Z155" s="21" t="n">
        <f aca="false">Y155*SQRT(252)</f>
        <v>0.113708988476838</v>
      </c>
      <c r="AA155" s="0" t="n">
        <f aca="false">AJ155/AK155</f>
        <v>0.00619895179667851</v>
      </c>
      <c r="AB155" s="0" t="n">
        <f aca="false">_xlfn.COVARIANCE.S($D$4:$D155,s_p!$H$4:$H155)</f>
        <v>-5.64775177755204E-006</v>
      </c>
      <c r="AC155" s="0" t="n">
        <f aca="false">_xlfn.VAR.S(s_p!$H$4:$H155)</f>
        <v>5.13084684937529E-005</v>
      </c>
      <c r="AD155" s="0" t="n">
        <f aca="false">AB155/AC155</f>
        <v>-0.110074456388027</v>
      </c>
      <c r="AE155" s="0" t="n">
        <f aca="false">M155-(AD155*W155)</f>
        <v>-0.000104229755083825</v>
      </c>
      <c r="AF155" s="33" t="n">
        <f aca="false">MAX($E$4:E155)</f>
        <v>0.280129884293098</v>
      </c>
      <c r="AG155" s="0" t="n">
        <f aca="false">1 - ((1 + E155) / (1 + AF155))</f>
        <v>0.23242178232934</v>
      </c>
      <c r="AH155" s="0" t="n">
        <f aca="false">MAX($AG$5:AG155)</f>
        <v>0.317205136214376</v>
      </c>
      <c r="AI155" s="19" t="n">
        <f aca="false">D155-s_p!H155</f>
        <v>-0.00735073772296848</v>
      </c>
      <c r="AJ155" s="19" t="n">
        <f aca="false">AVERAGE(AI$4:AI155)</f>
        <v>0.000186723653306781</v>
      </c>
      <c r="AK155" s="0" t="n">
        <f aca="false">STDEV(AI$4:AI155)</f>
        <v>0.0301218108207956</v>
      </c>
    </row>
    <row r="156" customFormat="false" ht="13.8" hidden="false" customHeight="false" outlineLevel="0" collapsed="false">
      <c r="A156" s="6" t="n">
        <f aca="false">WORKDAY(A155,1,holiday!$B$2:$B$10)</f>
        <v>38939</v>
      </c>
      <c r="B156" s="24" t="n">
        <v>987611.074029004</v>
      </c>
      <c r="C156" s="24" t="n">
        <f aca="false">B156-B155</f>
        <v>5011.25905636046</v>
      </c>
      <c r="D156" s="31" t="n">
        <f aca="false">C156/B155</f>
        <v>0.00509999999999998</v>
      </c>
      <c r="E156" s="31" t="n">
        <f aca="false" t="array" ref="E156:E156">PRODUCT(1+$D$4:D156)-1</f>
        <v>-0.0123889259709955</v>
      </c>
      <c r="F156" s="0" t="n">
        <f aca="false">IF(ISBLANK(A157),MONTH(A156),IF(MONTH(A157)-MONTH(A156)=1,MONTH(A156),0))</f>
        <v>0</v>
      </c>
      <c r="G156" s="0" t="str">
        <f aca="false">IF(B157&gt;B156,IF(AND(B155&gt;B156,B157&gt;B156),"min",""),IF(AND(B155&gt;B156,B157&gt;B156),"",IF(AND(B155&lt;B156,B157&lt;B156),"max","")))</f>
        <v>max</v>
      </c>
      <c r="H156" s="0" t="n">
        <f aca="false">IF(G156="min",COUNTIF(G$4:G156,"min"),IF(G156="max",COUNTIF(G$4:G156,"max"),""))</f>
        <v>38</v>
      </c>
      <c r="I156" s="24" t="str">
        <f aca="false" t="array" ref="I156:I156">IF($G$3=0,IF(G156="min",INDEX($B$4:$B$254,(MATCH(1,($G$4:$G$254="max")*($H$4:$H$254=(H156-1)),0))),""),IF($G$3=1,IF(G156="min",INDEX($B$4:$B$254,(MATCH(1,($G$4:$G$254="max")*($H$4:$H$254=(H156)),0))),""),""))</f>
        <v/>
      </c>
      <c r="J156" s="29" t="str">
        <f aca="false">IF(AND(G154=0,G156="min",H156=1),B156-B155,IF(G156="min",B156-I156,""))</f>
        <v/>
      </c>
      <c r="K156" s="34" t="str">
        <f aca="false">IF(AND(G154=0,G156="min",H156=1),(B156-B155)/B155,IF(G156="min",(B156-I156)/I156,""))</f>
        <v/>
      </c>
      <c r="L156" s="5"/>
      <c r="M156" s="0" t="n">
        <f aca="false">E156/COUNT($E$4:E156)</f>
        <v>-8.09733723594477E-005</v>
      </c>
      <c r="N156" s="19" t="n">
        <f aca="false">M156*252</f>
        <v>-0.0204052898345808</v>
      </c>
      <c r="O156" s="20" t="n">
        <f aca="false">STDEV($D$4:$D156)</f>
        <v>0.0289708896870705</v>
      </c>
      <c r="P156" s="20" t="n">
        <f aca="false">O156*SQRT(252)</f>
        <v>0.459898616233646</v>
      </c>
      <c r="Q156" s="0" t="n">
        <f aca="false">Treasuries!J154/100</f>
        <v>0.0493</v>
      </c>
      <c r="R156" s="20" t="n">
        <f aca="false">AJ156/AK156*SQRT(252)</f>
        <v>0.0997132433133781</v>
      </c>
      <c r="S156" s="32" t="n">
        <f aca="false">IF(D156&lt;s_p!H156, D156-s_p!H156, 0)</f>
        <v>0</v>
      </c>
      <c r="T156" s="0" t="n">
        <f aca="false">S156^2</f>
        <v>0</v>
      </c>
      <c r="U156" s="0" t="n">
        <f aca="false">SQRT(AVERAGE(T$4:T156)) * SQRT(252)</f>
        <v>0.33545718830013</v>
      </c>
      <c r="V156" s="0" t="n">
        <f aca="false">AJ156/U156*252</f>
        <v>0.141665433197563</v>
      </c>
      <c r="W156" s="22" t="n">
        <f aca="false">(s_p!$J156)/COUNT(s_p!$J$4:$J156)</f>
        <v>0.000123148859797071</v>
      </c>
      <c r="X156" s="22" t="n">
        <f aca="false">W156 * 252</f>
        <v>0.0310335126688618</v>
      </c>
      <c r="Y156" s="21" t="n">
        <f aca="false">STDEV(s_p!$H$4:$H156)</f>
        <v>0.00714870035089304</v>
      </c>
      <c r="Z156" s="21" t="n">
        <f aca="false">Y156*SQRT(252)</f>
        <v>0.113482099954699</v>
      </c>
      <c r="AA156" s="0" t="n">
        <f aca="false">AJ156/AK156</f>
        <v>0.00628134391016377</v>
      </c>
      <c r="AB156" s="0" t="n">
        <f aca="false">_xlfn.COVARIANCE.S($D$4:$D156,s_p!$H$4:$H156)</f>
        <v>-5.46920806038345E-006</v>
      </c>
      <c r="AC156" s="0" t="n">
        <f aca="false">_xlfn.VAR.S(s_p!$H$4:$H156)</f>
        <v>5.11039167068583E-005</v>
      </c>
      <c r="AD156" s="0" t="n">
        <f aca="false">AB156/AC156</f>
        <v>-0.107021308988034</v>
      </c>
      <c r="AE156" s="0" t="n">
        <f aca="false">M156-(AD156*W156)</f>
        <v>-6.77938201835813E-005</v>
      </c>
      <c r="AF156" s="33" t="n">
        <f aca="false">MAX($E$4:E156)</f>
        <v>0.280129884293098</v>
      </c>
      <c r="AG156" s="0" t="n">
        <f aca="false">1 - ((1 + E156) / (1 + AF156))</f>
        <v>0.22850713341922</v>
      </c>
      <c r="AH156" s="0" t="n">
        <f aca="false">MAX($AG$5:AG156)</f>
        <v>0.317205136214376</v>
      </c>
      <c r="AI156" s="19" t="n">
        <f aca="false">D156-s_p!H156</f>
        <v>0.000471065207946582</v>
      </c>
      <c r="AJ156" s="19" t="n">
        <f aca="false">AVERAGE(AI$4:AI156)</f>
        <v>0.000188582094840374</v>
      </c>
      <c r="AK156" s="0" t="n">
        <f aca="false">STDEV(AI$4:AI156)</f>
        <v>0.0300225712104748</v>
      </c>
    </row>
    <row r="157" customFormat="false" ht="13.8" hidden="false" customHeight="false" outlineLevel="0" collapsed="false">
      <c r="A157" s="6" t="n">
        <f aca="false">WORKDAY(A156,1,holiday!$B$2:$B$10)</f>
        <v>38940</v>
      </c>
      <c r="B157" s="24" t="n">
        <v>943069.814590296</v>
      </c>
      <c r="C157" s="24" t="n">
        <f aca="false">B157-B156</f>
        <v>-44541.2594387081</v>
      </c>
      <c r="D157" s="31" t="n">
        <f aca="false">C157/B156</f>
        <v>-0.0451</v>
      </c>
      <c r="E157" s="31" t="n">
        <f aca="false" t="array" ref="E157:E157">PRODUCT(1+$D$4:D157)-1</f>
        <v>-0.0569301854097036</v>
      </c>
      <c r="F157" s="0" t="n">
        <f aca="false">IF(ISBLANK(A158),MONTH(A157),IF(MONTH(A158)-MONTH(A157)=1,MONTH(A157),0))</f>
        <v>0</v>
      </c>
      <c r="G157" s="0" t="str">
        <f aca="false">IF(B158&gt;B157,IF(AND(B156&gt;B157,B158&gt;B157),"min",""),IF(AND(B156&gt;B157,B158&gt;B157),"",IF(AND(B156&lt;B157,B158&lt;B157),"max","")))</f>
        <v/>
      </c>
      <c r="H157" s="0" t="str">
        <f aca="false">IF(G157="min",COUNTIF(G$4:G157,"min"),IF(G157="max",COUNTIF(G$4:G157,"max"),""))</f>
        <v/>
      </c>
      <c r="I157" s="24" t="str">
        <f aca="false" t="array" ref="I157:I157">IF($G$3=0,IF(G157="min",INDEX($B$4:$B$254,(MATCH(1,($G$4:$G$254="max")*($H$4:$H$254=(H157-1)),0))),""),IF($G$3=1,IF(G157="min",INDEX($B$4:$B$254,(MATCH(1,($G$4:$G$254="max")*($H$4:$H$254=(H157)),0))),""),""))</f>
        <v/>
      </c>
      <c r="J157" s="29" t="str">
        <f aca="false">IF(AND(G155=0,G157="min",H157=1),B157-B156,IF(G157="min",B157-I157,""))</f>
        <v/>
      </c>
      <c r="K157" s="34" t="str">
        <f aca="false">IF(AND(G155=0,G157="min",H157=1),(B157-B156)/B156,IF(G157="min",(B157-I157)/I157,""))</f>
        <v/>
      </c>
      <c r="L157" s="5"/>
      <c r="M157" s="0" t="n">
        <f aca="false">E157/COUNT($E$4:E157)</f>
        <v>-0.000369676528634439</v>
      </c>
      <c r="N157" s="19" t="n">
        <f aca="false">M157*252</f>
        <v>-0.0931584852158787</v>
      </c>
      <c r="O157" s="20" t="n">
        <f aca="false">STDEV($D$4:$D157)</f>
        <v>0.0291072517829783</v>
      </c>
      <c r="P157" s="20" t="n">
        <f aca="false">O157*SQRT(252)</f>
        <v>0.462063297397812</v>
      </c>
      <c r="Q157" s="0" t="n">
        <f aca="false">Treasuries!J155/100</f>
        <v>0.0497</v>
      </c>
      <c r="R157" s="20" t="n">
        <f aca="false">AJ157/AK157*SQRT(252)</f>
        <v>-0.0419753104111899</v>
      </c>
      <c r="S157" s="32" t="n">
        <f aca="false">IF(D157&lt;s_p!H157, D157-s_p!H157, 0)</f>
        <v>-0.0411135554839167</v>
      </c>
      <c r="T157" s="0" t="n">
        <f aca="false">S157^2</f>
        <v>0.0016903244445291</v>
      </c>
      <c r="U157" s="0" t="n">
        <f aca="false">SQRT(AVERAGE(T$4:T157)) * SQRT(252)</f>
        <v>0.338477157940411</v>
      </c>
      <c r="V157" s="0" t="n">
        <f aca="false">AJ157/U157*252</f>
        <v>-0.0592732114044868</v>
      </c>
      <c r="W157" s="22" t="n">
        <f aca="false">(s_p!$J157)/COUNT(s_p!$J$4:$J157)</f>
        <v>9.59754502601192E-005</v>
      </c>
      <c r="X157" s="22" t="n">
        <f aca="false">W157 * 252</f>
        <v>0.02418581346555</v>
      </c>
      <c r="Y157" s="21" t="n">
        <f aca="false">STDEV(s_p!$H$4:$H157)</f>
        <v>0.00713308262438149</v>
      </c>
      <c r="Z157" s="21" t="n">
        <f aca="false">Y157*SQRT(252)</f>
        <v>0.113234176232336</v>
      </c>
      <c r="AA157" s="0" t="n">
        <f aca="false">AJ157/AK157</f>
        <v>-0.00264419601316056</v>
      </c>
      <c r="AB157" s="0" t="n">
        <f aca="false">_xlfn.COVARIANCE.S($D$4:$D157,s_p!$H$4:$H157)</f>
        <v>-4.21382795905623E-006</v>
      </c>
      <c r="AC157" s="0" t="n">
        <f aca="false">_xlfn.VAR.S(s_p!$H$4:$H157)</f>
        <v>5.08808677262531E-005</v>
      </c>
      <c r="AD157" s="0" t="n">
        <f aca="false">AB157/AC157</f>
        <v>-0.0828175333354625</v>
      </c>
      <c r="AE157" s="0" t="n">
        <f aca="false">M157-(AD157*W157)</f>
        <v>-0.000361728078583136</v>
      </c>
      <c r="AF157" s="33" t="n">
        <f aca="false">MAX($E$4:E157)</f>
        <v>0.280129884293098</v>
      </c>
      <c r="AG157" s="0" t="n">
        <f aca="false">1 - ((1 + E157) / (1 + AF157))</f>
        <v>0.263301461702013</v>
      </c>
      <c r="AH157" s="0" t="n">
        <f aca="false">MAX($AG$5:AG157)</f>
        <v>0.317205136214376</v>
      </c>
      <c r="AI157" s="19" t="n">
        <f aca="false">D157-s_p!H157</f>
        <v>-0.0411135554839167</v>
      </c>
      <c r="AJ157" s="19" t="n">
        <f aca="false">AVERAGE(AI$4:AI157)</f>
        <v>-7.96136037229835E-005</v>
      </c>
      <c r="AK157" s="0" t="n">
        <f aca="false">STDEV(AI$4:AI157)</f>
        <v>0.0301088131616319</v>
      </c>
    </row>
    <row r="158" customFormat="false" ht="13.8" hidden="false" customHeight="false" outlineLevel="0" collapsed="false">
      <c r="A158" s="6" t="n">
        <f aca="false">WORKDAY(A157,1,holiday!$B$2:$B$10)</f>
        <v>38943</v>
      </c>
      <c r="B158" s="24" t="n">
        <v>899122.761230388</v>
      </c>
      <c r="C158" s="24" t="n">
        <f aca="false">B158-B157</f>
        <v>-43947.0533599078</v>
      </c>
      <c r="D158" s="31" t="n">
        <f aca="false">C158/B157</f>
        <v>-0.0466</v>
      </c>
      <c r="E158" s="31" t="n">
        <f aca="false" t="array" ref="E158:E158">PRODUCT(1+$D$4:D158)-1</f>
        <v>-0.100877238769611</v>
      </c>
      <c r="F158" s="0" t="n">
        <f aca="false">IF(ISBLANK(A159),MONTH(A158),IF(MONTH(A159)-MONTH(A158)=1,MONTH(A158),0))</f>
        <v>0</v>
      </c>
      <c r="G158" s="0" t="str">
        <f aca="false">IF(B159&gt;B158,IF(AND(B157&gt;B158,B159&gt;B158),"min",""),IF(AND(B157&gt;B158,B159&gt;B158),"",IF(AND(B157&lt;B158,B159&lt;B158),"max","")))</f>
        <v/>
      </c>
      <c r="H158" s="0" t="str">
        <f aca="false">IF(G158="min",COUNTIF(G$4:G158,"min"),IF(G158="max",COUNTIF(G$4:G158,"max"),""))</f>
        <v/>
      </c>
      <c r="I158" s="24" t="str">
        <f aca="false" t="array" ref="I158:I158">IF($G$3=0,IF(G158="min",INDEX($B$4:$B$254,(MATCH(1,($G$4:$G$254="max")*($H$4:$H$254=(H158-1)),0))),""),IF($G$3=1,IF(G158="min",INDEX($B$4:$B$254,(MATCH(1,($G$4:$G$254="max")*($H$4:$H$254=(H158)),0))),""),""))</f>
        <v/>
      </c>
      <c r="J158" s="29" t="str">
        <f aca="false">IF(AND(G156=0,G158="min",H158=1),B158-B157,IF(G158="min",B158-I158,""))</f>
        <v/>
      </c>
      <c r="K158" s="34" t="str">
        <f aca="false">IF(AND(G156=0,G158="min",H158=1),(B158-B157)/B157,IF(G158="min",(B158-I158)/I158,""))</f>
        <v/>
      </c>
      <c r="L158" s="5"/>
      <c r="M158" s="0" t="n">
        <f aca="false">E158/COUNT($E$4:E158)</f>
        <v>-0.000650820895287816</v>
      </c>
      <c r="N158" s="19" t="n">
        <f aca="false">M158*252</f>
        <v>-0.16400686561253</v>
      </c>
      <c r="O158" s="20" t="n">
        <f aca="false">STDEV($D$4:$D158)</f>
        <v>0.0292534659951137</v>
      </c>
      <c r="P158" s="20" t="n">
        <f aca="false">O158*SQRT(252)</f>
        <v>0.464384376058533</v>
      </c>
      <c r="Q158" s="0" t="n">
        <f aca="false">Treasuries!J156/100</f>
        <v>0.05</v>
      </c>
      <c r="R158" s="20" t="n">
        <f aca="false">AJ158/AK158*SQRT(252)</f>
        <v>-0.203181720615333</v>
      </c>
      <c r="S158" s="32" t="n">
        <f aca="false">IF(D158&lt;s_p!H158, D158-s_p!H158, 0)</f>
        <v>-0.0477604591313135</v>
      </c>
      <c r="T158" s="0" t="n">
        <f aca="false">S158^2</f>
        <v>0.00228106145643386</v>
      </c>
      <c r="U158" s="0" t="n">
        <f aca="false">SQRT(AVERAGE(T$4:T158)) * SQRT(252)</f>
        <v>0.342835544134631</v>
      </c>
      <c r="V158" s="0" t="n">
        <f aca="false">AJ158/U158*252</f>
        <v>-0.284633422889741</v>
      </c>
      <c r="W158" s="22" t="n">
        <f aca="false">(s_p!$J158)/COUNT(s_p!$J$4:$J158)</f>
        <v>0.000102953743947534</v>
      </c>
      <c r="X158" s="22" t="n">
        <f aca="false">W158 * 252</f>
        <v>0.0259443434747785</v>
      </c>
      <c r="Y158" s="21" t="n">
        <f aca="false">STDEV(s_p!$H$4:$H158)</f>
        <v>0.00711037619910796</v>
      </c>
      <c r="Z158" s="21" t="n">
        <f aca="false">Y158*SQRT(252)</f>
        <v>0.112873722905714</v>
      </c>
      <c r="AA158" s="0" t="n">
        <f aca="false">AJ158/AK158</f>
        <v>-0.0127992453262469</v>
      </c>
      <c r="AB158" s="0" t="n">
        <f aca="false">_xlfn.COVARIANCE.S($D$4:$D158,s_p!$H$4:$H158)</f>
        <v>-4.49939176760661E-006</v>
      </c>
      <c r="AC158" s="0" t="n">
        <f aca="false">_xlfn.VAR.S(s_p!$H$4:$H158)</f>
        <v>5.05574496928409E-005</v>
      </c>
      <c r="AD158" s="0" t="n">
        <f aca="false">AB158/AC158</f>
        <v>-0.088995623690325</v>
      </c>
      <c r="AE158" s="0" t="n">
        <f aca="false">M158-(AD158*W158)</f>
        <v>-0.000641658462633951</v>
      </c>
      <c r="AF158" s="33" t="n">
        <f aca="false">MAX($E$4:E158)</f>
        <v>0.280129884293098</v>
      </c>
      <c r="AG158" s="0" t="n">
        <f aca="false">1 - ((1 + E158) / (1 + AF158))</f>
        <v>0.297631613586699</v>
      </c>
      <c r="AH158" s="0" t="n">
        <f aca="false">MAX($AG$5:AG158)</f>
        <v>0.317205136214376</v>
      </c>
      <c r="AI158" s="19" t="n">
        <f aca="false">D158-s_p!H158</f>
        <v>-0.0477604591313135</v>
      </c>
      <c r="AJ158" s="19" t="n">
        <f aca="false">AVERAGE(AI$4:AI158)</f>
        <v>-0.000387231961965503</v>
      </c>
      <c r="AK158" s="0" t="n">
        <f aca="false">STDEV(AI$4:AI158)</f>
        <v>0.0302542807872758</v>
      </c>
    </row>
    <row r="159" customFormat="false" ht="13.8" hidden="false" customHeight="false" outlineLevel="0" collapsed="false">
      <c r="A159" s="6" t="n">
        <f aca="false">WORKDAY(A158,1,holiday!$B$2:$B$10)</f>
        <v>38944</v>
      </c>
      <c r="B159" s="24" t="n">
        <v>887973.638991131</v>
      </c>
      <c r="C159" s="24" t="n">
        <f aca="false">B159-B158</f>
        <v>-11149.1222392569</v>
      </c>
      <c r="D159" s="31" t="n">
        <f aca="false">C159/B158</f>
        <v>-0.0124000000000001</v>
      </c>
      <c r="E159" s="31" t="n">
        <f aca="false" t="array" ref="E159:E159">PRODUCT(1+$D$4:D159)-1</f>
        <v>-0.112026361008868</v>
      </c>
      <c r="F159" s="0" t="n">
        <f aca="false">IF(ISBLANK(A160),MONTH(A159),IF(MONTH(A160)-MONTH(A159)=1,MONTH(A159),0))</f>
        <v>0</v>
      </c>
      <c r="G159" s="0" t="str">
        <f aca="false">IF(B160&gt;B159,IF(AND(B158&gt;B159,B160&gt;B159),"min",""),IF(AND(B158&gt;B159,B160&gt;B159),"",IF(AND(B158&lt;B159,B160&lt;B159),"max","")))</f>
        <v>min</v>
      </c>
      <c r="H159" s="0" t="n">
        <f aca="false">IF(G159="min",COUNTIF(G$4:G159,"min"),IF(G159="max",COUNTIF(G$4:G159,"max"),""))</f>
        <v>39</v>
      </c>
      <c r="I159" s="24" t="n">
        <f aca="false" t="array" ref="I159:I159">IF($G$3=0,IF(G159="min",INDEX($B$4:$B$254,(MATCH(1,($G$4:$G$254="max")*($H$4:$H$254=(H159-1)),0))),""),IF($G$3=1,IF(G159="min",INDEX($B$4:$B$254,(MATCH(1,($G$4:$G$254="max")*($H$4:$H$254=(H159)),0))),""),""))</f>
        <v>987611.074029004</v>
      </c>
      <c r="J159" s="29" t="n">
        <f aca="false">IF(AND(G157=0,G159="min",H159=1),B159-B158,IF(G159="min",B159-I159,""))</f>
        <v>-99637.435037873</v>
      </c>
      <c r="K159" s="34" t="n">
        <f aca="false">IF(AND(G157=0,G159="min",H159=1),(B159-B158)/B158,IF(G159="min",(B159-I159)/I159,""))</f>
        <v>-0.100887320584</v>
      </c>
      <c r="L159" s="5"/>
      <c r="M159" s="0" t="n">
        <f aca="false">E159/COUNT($E$4:E159)</f>
        <v>-0.000718117698774798</v>
      </c>
      <c r="N159" s="19" t="n">
        <f aca="false">M159*252</f>
        <v>-0.180965660091249</v>
      </c>
      <c r="O159" s="20" t="n">
        <f aca="false">STDEV($D$4:$D159)</f>
        <v>0.0291751426299385</v>
      </c>
      <c r="P159" s="20" t="n">
        <f aca="false">O159*SQRT(252)</f>
        <v>0.463141031181937</v>
      </c>
      <c r="Q159" s="0" t="n">
        <f aca="false">Treasuries!J157/100</f>
        <v>0.0493</v>
      </c>
      <c r="R159" s="20" t="n">
        <f aca="false">AJ159/AK159*SQRT(252)</f>
        <v>-0.28991856187934</v>
      </c>
      <c r="S159" s="32" t="n">
        <f aca="false">IF(D159&lt;s_p!H159, D159-s_p!H159, 0)</f>
        <v>-0.0260964698275522</v>
      </c>
      <c r="T159" s="0" t="n">
        <f aca="false">S159^2</f>
        <v>0.000681025737460342</v>
      </c>
      <c r="U159" s="0" t="n">
        <f aca="false">SQRT(AVERAGE(T$4:T159)) * SQRT(252)</f>
        <v>0.343340780530668</v>
      </c>
      <c r="V159" s="0" t="n">
        <f aca="false">AJ159/U159*252</f>
        <v>-0.405174012599454</v>
      </c>
      <c r="W159" s="22" t="n">
        <f aca="false">(s_p!$J159)/COUNT(s_p!$J$4:$J159)</f>
        <v>0.000191492731287177</v>
      </c>
      <c r="X159" s="22" t="n">
        <f aca="false">W159 * 252</f>
        <v>0.0482561682843687</v>
      </c>
      <c r="Y159" s="21" t="n">
        <f aca="false">STDEV(s_p!$H$4:$H159)</f>
        <v>0.00717018521626651</v>
      </c>
      <c r="Z159" s="21" t="n">
        <f aca="false">Y159*SQRT(252)</f>
        <v>0.113823161619078</v>
      </c>
      <c r="AA159" s="0" t="n">
        <f aca="false">AJ159/AK159</f>
        <v>-0.0182631527427195</v>
      </c>
      <c r="AB159" s="0" t="n">
        <f aca="false">_xlfn.COVARIANCE.S($D$4:$D159,s_p!$H$4:$H159)</f>
        <v>-5.52632848290552E-006</v>
      </c>
      <c r="AC159" s="0" t="n">
        <f aca="false">_xlfn.VAR.S(s_p!$H$4:$H159)</f>
        <v>5.14115560355668E-005</v>
      </c>
      <c r="AD159" s="0" t="n">
        <f aca="false">AB159/AC159</f>
        <v>-0.107491951402567</v>
      </c>
      <c r="AE159" s="0" t="n">
        <f aca="false">M159-(AD159*W159)</f>
        <v>-0.000697533771409331</v>
      </c>
      <c r="AF159" s="33" t="n">
        <f aca="false">MAX($E$4:E159)</f>
        <v>0.280129884293098</v>
      </c>
      <c r="AG159" s="0" t="n">
        <f aca="false">1 - ((1 + E159) / (1 + AF159))</f>
        <v>0.306340981578224</v>
      </c>
      <c r="AH159" s="0" t="n">
        <f aca="false">MAX($AG$5:AG159)</f>
        <v>0.317205136214376</v>
      </c>
      <c r="AI159" s="19" t="n">
        <f aca="false">D159-s_p!H159</f>
        <v>-0.0260964698275522</v>
      </c>
      <c r="AJ159" s="19" t="n">
        <f aca="false">AVERAGE(AI$4:AI159)</f>
        <v>-0.000552034768796187</v>
      </c>
      <c r="AK159" s="0" t="n">
        <f aca="false">STDEV(AI$4:AI159)</f>
        <v>0.0302266961555283</v>
      </c>
    </row>
    <row r="160" customFormat="false" ht="13.8" hidden="false" customHeight="false" outlineLevel="0" collapsed="false">
      <c r="A160" s="6" t="n">
        <f aca="false">WORKDAY(A159,1,holiday!$B$2:$B$10)</f>
        <v>38945</v>
      </c>
      <c r="B160" s="24" t="n">
        <v>913103.29297458</v>
      </c>
      <c r="C160" s="24" t="n">
        <f aca="false">B160-B159</f>
        <v>25129.653983449</v>
      </c>
      <c r="D160" s="31" t="n">
        <f aca="false">C160/B159</f>
        <v>0.0283</v>
      </c>
      <c r="E160" s="31" t="n">
        <f aca="false" t="array" ref="E160:E160">PRODUCT(1+$D$4:D160)-1</f>
        <v>-0.0868967070254194</v>
      </c>
      <c r="F160" s="0" t="n">
        <f aca="false">IF(ISBLANK(A161),MONTH(A160),IF(MONTH(A161)-MONTH(A160)=1,MONTH(A160),0))</f>
        <v>0</v>
      </c>
      <c r="G160" s="0" t="str">
        <f aca="false">IF(B161&gt;B160,IF(AND(B159&gt;B160,B161&gt;B160),"min",""),IF(AND(B159&gt;B160,B161&gt;B160),"",IF(AND(B159&lt;B160,B161&lt;B160),"max","")))</f>
        <v>max</v>
      </c>
      <c r="H160" s="0" t="n">
        <f aca="false">IF(G160="min",COUNTIF(G$4:G160,"min"),IF(G160="max",COUNTIF(G$4:G160,"max"),""))</f>
        <v>39</v>
      </c>
      <c r="I160" s="24" t="str">
        <f aca="false" t="array" ref="I160:I160">IF($G$3=0,IF(G160="min",INDEX($B$4:$B$254,(MATCH(1,($G$4:$G$254="max")*($H$4:$H$254=(H160-1)),0))),""),IF($G$3=1,IF(G160="min",INDEX($B$4:$B$254,(MATCH(1,($G$4:$G$254="max")*($H$4:$H$254=(H160)),0))),""),""))</f>
        <v/>
      </c>
      <c r="J160" s="29" t="str">
        <f aca="false">IF(AND(G158=0,G160="min",H160=1),B160-B159,IF(G160="min",B160-I160,""))</f>
        <v/>
      </c>
      <c r="K160" s="34" t="str">
        <f aca="false">IF(AND(G158=0,G160="min",H160=1),(B160-B159)/B159,IF(G160="min",(B160-I160)/I160,""))</f>
        <v/>
      </c>
      <c r="L160" s="5"/>
      <c r="M160" s="0" t="n">
        <f aca="false">E160/COUNT($E$4:E160)</f>
        <v>-0.00055348221035299</v>
      </c>
      <c r="N160" s="19" t="n">
        <f aca="false">M160*252</f>
        <v>-0.139477517008953</v>
      </c>
      <c r="O160" s="20" t="n">
        <f aca="false">STDEV($D$4:$D160)</f>
        <v>0.0291711558338037</v>
      </c>
      <c r="P160" s="20" t="n">
        <f aca="false">O160*SQRT(252)</f>
        <v>0.463077742755334</v>
      </c>
      <c r="Q160" s="0" t="n">
        <f aca="false">Treasuries!J158/100</f>
        <v>0.0487</v>
      </c>
      <c r="R160" s="20" t="n">
        <f aca="false">AJ160/AK160*SQRT(252)</f>
        <v>-0.21939544348051</v>
      </c>
      <c r="S160" s="32" t="n">
        <f aca="false">IF(D160&lt;s_p!H160, D160-s_p!H160, 0)</f>
        <v>0</v>
      </c>
      <c r="T160" s="0" t="n">
        <f aca="false">S160^2</f>
        <v>0</v>
      </c>
      <c r="U160" s="0" t="n">
        <f aca="false">SQRT(AVERAGE(T$4:T160)) * SQRT(252)</f>
        <v>0.342245591837576</v>
      </c>
      <c r="V160" s="0" t="n">
        <f aca="false">AJ160/U160*252</f>
        <v>-0.307091140486011</v>
      </c>
      <c r="W160" s="22" t="n">
        <f aca="false">(s_p!$J160)/COUNT(s_p!$J$4:$J160)</f>
        <v>0.000240532870623071</v>
      </c>
      <c r="X160" s="22" t="n">
        <f aca="false">W160 * 252</f>
        <v>0.060614283397014</v>
      </c>
      <c r="Y160" s="21" t="n">
        <f aca="false">STDEV(s_p!$H$4:$H160)</f>
        <v>0.00717184044478372</v>
      </c>
      <c r="Z160" s="21" t="n">
        <f aca="false">Y160*SQRT(252)</f>
        <v>0.113849437557195</v>
      </c>
      <c r="AA160" s="0" t="n">
        <f aca="false">AJ160/AK160</f>
        <v>-0.0138206138626227</v>
      </c>
      <c r="AB160" s="0" t="n">
        <f aca="false">_xlfn.COVARIANCE.S($D$4:$D160,s_p!$H$4:$H160)</f>
        <v>-4.1323949387875E-006</v>
      </c>
      <c r="AC160" s="0" t="n">
        <f aca="false">_xlfn.VAR.S(s_p!$H$4:$H160)</f>
        <v>5.14352953654355E-005</v>
      </c>
      <c r="AD160" s="0" t="n">
        <f aca="false">AB160/AC160</f>
        <v>-0.0803416196879559</v>
      </c>
      <c r="AE160" s="0" t="n">
        <f aca="false">M160-(AD160*W160)</f>
        <v>-0.000534157409938939</v>
      </c>
      <c r="AF160" s="33" t="n">
        <f aca="false">MAX($E$4:E160)</f>
        <v>0.280129884293098</v>
      </c>
      <c r="AG160" s="0" t="n">
        <f aca="false">1 - ((1 + E160) / (1 + AF160))</f>
        <v>0.286710431356888</v>
      </c>
      <c r="AH160" s="0" t="n">
        <f aca="false">MAX($AG$5:AG160)</f>
        <v>0.317205136214376</v>
      </c>
      <c r="AI160" s="19" t="n">
        <f aca="false">D160-s_p!H160</f>
        <v>0.0206380886448138</v>
      </c>
      <c r="AJ160" s="19" t="n">
        <f aca="false">AVERAGE(AI$4:AI160)</f>
        <v>-0.000417065829855996</v>
      </c>
      <c r="AK160" s="0" t="n">
        <f aca="false">STDEV(AI$4:AI160)</f>
        <v>0.030177084317791</v>
      </c>
    </row>
    <row r="161" customFormat="false" ht="13.8" hidden="false" customHeight="false" outlineLevel="0" collapsed="false">
      <c r="A161" s="6" t="n">
        <f aca="false">WORKDAY(A160,1,holiday!$B$2:$B$10)</f>
        <v>38946</v>
      </c>
      <c r="B161" s="24" t="n">
        <v>867539.438655149</v>
      </c>
      <c r="C161" s="24" t="n">
        <f aca="false">B161-B160</f>
        <v>-45563.8543194316</v>
      </c>
      <c r="D161" s="31" t="n">
        <f aca="false">C161/B160</f>
        <v>-0.0499</v>
      </c>
      <c r="E161" s="31" t="n">
        <f aca="false" t="array" ref="E161:E161">PRODUCT(1+$D$4:D161)-1</f>
        <v>-0.132460561344851</v>
      </c>
      <c r="F161" s="0" t="n">
        <f aca="false">IF(ISBLANK(A162),MONTH(A161),IF(MONTH(A162)-MONTH(A161)=1,MONTH(A161),0))</f>
        <v>0</v>
      </c>
      <c r="G161" s="0" t="str">
        <f aca="false">IF(B162&gt;B161,IF(AND(B160&gt;B161,B162&gt;B161),"min",""),IF(AND(B160&gt;B161,B162&gt;B161),"",IF(AND(B160&lt;B161,B162&lt;B161),"max","")))</f>
        <v>min</v>
      </c>
      <c r="H161" s="0" t="n">
        <f aca="false">IF(G161="min",COUNTIF(G$4:G161,"min"),IF(G161="max",COUNTIF(G$4:G161,"max"),""))</f>
        <v>40</v>
      </c>
      <c r="I161" s="24" t="n">
        <f aca="false" t="array" ref="I161:I161">IF($G$3=0,IF(G161="min",INDEX($B$4:$B$254,(MATCH(1,($G$4:$G$254="max")*($H$4:$H$254=(H161-1)),0))),""),IF($G$3=1,IF(G161="min",INDEX($B$4:$B$254,(MATCH(1,($G$4:$G$254="max")*($H$4:$H$254=(H161)),0))),""),""))</f>
        <v>913103.29297458</v>
      </c>
      <c r="J161" s="29" t="n">
        <f aca="false">IF(AND(G159=0,G161="min",H161=1),B161-B160,IF(G161="min",B161-I161,""))</f>
        <v>-45563.854319431</v>
      </c>
      <c r="K161" s="34" t="n">
        <f aca="false">IF(AND(G159=0,G161="min",H161=1),(B161-B160)/B160,IF(G161="min",(B161-I161)/I161,""))</f>
        <v>-0.0498999999999994</v>
      </c>
      <c r="L161" s="5"/>
      <c r="M161" s="0" t="n">
        <f aca="false">E161/COUNT($E$4:E161)</f>
        <v>-0.00083835798319526</v>
      </c>
      <c r="N161" s="19" t="n">
        <f aca="false">M161*252</f>
        <v>-0.211266211765205</v>
      </c>
      <c r="O161" s="20" t="n">
        <f aca="false">STDEV($D$4:$D161)</f>
        <v>0.0293461713330721</v>
      </c>
      <c r="P161" s="20" t="n">
        <f aca="false">O161*SQRT(252)</f>
        <v>0.46585602767521</v>
      </c>
      <c r="Q161" s="0" t="n">
        <f aca="false">Treasuries!J159/100</f>
        <v>0.0487</v>
      </c>
      <c r="R161" s="20" t="n">
        <f aca="false">AJ161/AK161*SQRT(252)</f>
        <v>-0.387144013608875</v>
      </c>
      <c r="S161" s="32" t="n">
        <f aca="false">IF(D161&lt;s_p!H161, D161-s_p!H161, 0)</f>
        <v>-0.0514824861242986</v>
      </c>
      <c r="T161" s="0" t="n">
        <f aca="false">S161^2</f>
        <v>0.00265044637753859</v>
      </c>
      <c r="U161" s="0" t="n">
        <f aca="false">SQRT(AVERAGE(T$4:T161)) * SQRT(252)</f>
        <v>0.347301018277887</v>
      </c>
      <c r="V161" s="0" t="n">
        <f aca="false">AJ161/U161*252</f>
        <v>-0.537132610292143</v>
      </c>
      <c r="W161" s="22" t="n">
        <f aca="false">(s_p!$J161)/COUNT(s_p!$J$4:$J161)</f>
        <v>0.00024940447646305</v>
      </c>
      <c r="X161" s="22" t="n">
        <f aca="false">W161 * 252</f>
        <v>0.0628499280686886</v>
      </c>
      <c r="Y161" s="21" t="n">
        <f aca="false">STDEV(s_p!$H$4:$H161)</f>
        <v>0.00714973592603169</v>
      </c>
      <c r="Z161" s="21" t="n">
        <f aca="false">Y161*SQRT(252)</f>
        <v>0.113498539200384</v>
      </c>
      <c r="AA161" s="0" t="n">
        <f aca="false">AJ161/AK161</f>
        <v>-0.0243877805137258</v>
      </c>
      <c r="AB161" s="0" t="n">
        <f aca="false">_xlfn.COVARIANCE.S($D$4:$D161,s_p!$H$4:$H161)</f>
        <v>-4.52192430488149E-006</v>
      </c>
      <c r="AC161" s="0" t="n">
        <f aca="false">_xlfn.VAR.S(s_p!$H$4:$H161)</f>
        <v>5.11187238119881E-005</v>
      </c>
      <c r="AD161" s="0" t="n">
        <f aca="false">AB161/AC161</f>
        <v>-0.0884592565634636</v>
      </c>
      <c r="AE161" s="0" t="n">
        <f aca="false">M161-(AD161*W161)</f>
        <v>-0.000816295848623739</v>
      </c>
      <c r="AF161" s="33" t="n">
        <f aca="false">MAX($E$4:E161)</f>
        <v>0.280129884293098</v>
      </c>
      <c r="AG161" s="0" t="n">
        <f aca="false">1 - ((1 + E161) / (1 + AF161))</f>
        <v>0.322303580832179</v>
      </c>
      <c r="AH161" s="0" t="n">
        <f aca="false">MAX($AG$5:AG161)</f>
        <v>0.322303580832179</v>
      </c>
      <c r="AI161" s="19" t="n">
        <f aca="false">D161-s_p!H161</f>
        <v>-0.0514824861242986</v>
      </c>
      <c r="AJ161" s="19" t="n">
        <f aca="false">AVERAGE(AI$4:AI161)</f>
        <v>-0.00074026469247905</v>
      </c>
      <c r="AK161" s="0" t="n">
        <f aca="false">STDEV(AI$4:AI161)</f>
        <v>0.0303539181051108</v>
      </c>
    </row>
    <row r="162" customFormat="false" ht="13.8" hidden="false" customHeight="false" outlineLevel="0" collapsed="false">
      <c r="A162" s="6" t="n">
        <f aca="false">WORKDAY(A161,1,holiday!$B$2:$B$10)</f>
        <v>38947</v>
      </c>
      <c r="B162" s="24" t="n">
        <v>895127.192804382</v>
      </c>
      <c r="C162" s="24" t="n">
        <f aca="false">B162-B161</f>
        <v>27587.7541492337</v>
      </c>
      <c r="D162" s="31" t="n">
        <f aca="false">C162/B161</f>
        <v>0.0318</v>
      </c>
      <c r="E162" s="31" t="n">
        <f aca="false" t="array" ref="E162:E162">PRODUCT(1+$D$4:D162)-1</f>
        <v>-0.104872807195617</v>
      </c>
      <c r="F162" s="0" t="n">
        <f aca="false">IF(ISBLANK(A163),MONTH(A162),IF(MONTH(A163)-MONTH(A162)=1,MONTH(A162),0))</f>
        <v>0</v>
      </c>
      <c r="G162" s="0" t="str">
        <f aca="false">IF(B163&gt;B162,IF(AND(B161&gt;B162,B163&gt;B162),"min",""),IF(AND(B161&gt;B162,B163&gt;B162),"",IF(AND(B161&lt;B162,B163&lt;B162),"max","")))</f>
        <v>max</v>
      </c>
      <c r="H162" s="0" t="n">
        <f aca="false">IF(G162="min",COUNTIF(G$4:G162,"min"),IF(G162="max",COUNTIF(G$4:G162,"max"),""))</f>
        <v>40</v>
      </c>
      <c r="I162" s="24" t="str">
        <f aca="false" t="array" ref="I162:I162">IF($G$3=0,IF(G162="min",INDEX($B$4:$B$254,(MATCH(1,($G$4:$G$254="max")*($H$4:$H$254=(H162-1)),0))),""),IF($G$3=1,IF(G162="min",INDEX($B$4:$B$254,(MATCH(1,($G$4:$G$254="max")*($H$4:$H$254=(H162)),0))),""),""))</f>
        <v/>
      </c>
      <c r="J162" s="29" t="str">
        <f aca="false">IF(AND(G160=0,G162="min",H162=1),B162-B161,IF(G162="min",B162-I162,""))</f>
        <v/>
      </c>
      <c r="K162" s="34" t="str">
        <f aca="false">IF(AND(G160=0,G162="min",H162=1),(B162-B161)/B161,IF(G162="min",(B162-I162)/I162,""))</f>
        <v/>
      </c>
      <c r="L162" s="5"/>
      <c r="M162" s="0" t="n">
        <f aca="false">E162/COUNT($E$4:E162)</f>
        <v>-0.00065957740374602</v>
      </c>
      <c r="N162" s="19" t="n">
        <f aca="false">M162*252</f>
        <v>-0.166213505743997</v>
      </c>
      <c r="O162" s="20" t="n">
        <f aca="false">STDEV($D$4:$D162)</f>
        <v>0.0293648879645669</v>
      </c>
      <c r="P162" s="20" t="n">
        <f aca="false">O162*SQRT(252)</f>
        <v>0.466153144989105</v>
      </c>
      <c r="Q162" s="0" t="n">
        <f aca="false">Treasuries!J160/100</f>
        <v>0.0484</v>
      </c>
      <c r="R162" s="20" t="n">
        <f aca="false">AJ162/AK162*SQRT(252)</f>
        <v>-0.292428136037919</v>
      </c>
      <c r="S162" s="32" t="n">
        <f aca="false">IF(D162&lt;s_p!H162, D162-s_p!H162, 0)</f>
        <v>0</v>
      </c>
      <c r="T162" s="0" t="n">
        <f aca="false">S162^2</f>
        <v>0</v>
      </c>
      <c r="U162" s="0" t="n">
        <f aca="false">SQRT(AVERAGE(T$4:T162)) * SQRT(252)</f>
        <v>0.346207154085922</v>
      </c>
      <c r="V162" s="0" t="n">
        <f aca="false">AJ162/U162*252</f>
        <v>-0.40686972194073</v>
      </c>
      <c r="W162" s="22" t="n">
        <f aca="false">(s_p!$J162)/COUNT(s_p!$J$4:$J162)</f>
        <v>0.000272120688775208</v>
      </c>
      <c r="X162" s="22" t="n">
        <f aca="false">W162 * 252</f>
        <v>0.0685744135713525</v>
      </c>
      <c r="Y162" s="21" t="n">
        <f aca="false">STDEV(s_p!$H$4:$H162)</f>
        <v>0.0071323084718012</v>
      </c>
      <c r="Z162" s="21" t="n">
        <f aca="false">Y162*SQRT(252)</f>
        <v>0.113221886941111</v>
      </c>
      <c r="AA162" s="0" t="n">
        <f aca="false">AJ162/AK162</f>
        <v>-0.018421241055107</v>
      </c>
      <c r="AB162" s="0" t="n">
        <f aca="false">_xlfn.COVARIANCE.S($D$4:$D162,s_p!$H$4:$H162)</f>
        <v>-3.79413966976959E-006</v>
      </c>
      <c r="AC162" s="0" t="n">
        <f aca="false">_xlfn.VAR.S(s_p!$H$4:$H162)</f>
        <v>5.08698241369271E-005</v>
      </c>
      <c r="AD162" s="0" t="n">
        <f aca="false">AB162/AC162</f>
        <v>-0.07458527199852</v>
      </c>
      <c r="AE162" s="0" t="n">
        <f aca="false">M162-(AD162*W162)</f>
        <v>-0.000639281208157297</v>
      </c>
      <c r="AF162" s="33" t="n">
        <f aca="false">MAX($E$4:E162)</f>
        <v>0.280129884293098</v>
      </c>
      <c r="AG162" s="0" t="n">
        <f aca="false">1 - ((1 + E162) / (1 + AF162))</f>
        <v>0.300752834702643</v>
      </c>
      <c r="AH162" s="0" t="n">
        <f aca="false">MAX($AG$5:AG162)</f>
        <v>0.322303580832179</v>
      </c>
      <c r="AI162" s="19" t="n">
        <f aca="false">D162-s_p!H162</f>
        <v>0.028085106514166</v>
      </c>
      <c r="AJ162" s="19" t="n">
        <f aca="false">AVERAGE(AI$4:AI162)</f>
        <v>-0.000558973049669962</v>
      </c>
      <c r="AK162" s="0" t="n">
        <f aca="false">STDEV(AI$4:AI162)</f>
        <v>0.0303439408885535</v>
      </c>
    </row>
    <row r="163" customFormat="false" ht="13.8" hidden="false" customHeight="false" outlineLevel="0" collapsed="false">
      <c r="A163" s="6" t="n">
        <f aca="false">WORKDAY(A162,1,holiday!$B$2:$B$10)</f>
        <v>38950</v>
      </c>
      <c r="B163" s="24" t="n">
        <v>892620.83666453</v>
      </c>
      <c r="C163" s="24" t="n">
        <f aca="false">B163-B162</f>
        <v>-2506.35613985232</v>
      </c>
      <c r="D163" s="31" t="n">
        <f aca="false">C163/B162</f>
        <v>-0.00280000000000005</v>
      </c>
      <c r="E163" s="31" t="n">
        <f aca="false" t="array" ref="E163:E163">PRODUCT(1+$D$4:D163)-1</f>
        <v>-0.107379163335469</v>
      </c>
      <c r="F163" s="0" t="n">
        <f aca="false">IF(ISBLANK(A164),MONTH(A163),IF(MONTH(A164)-MONTH(A163)=1,MONTH(A163),0))</f>
        <v>0</v>
      </c>
      <c r="G163" s="0" t="str">
        <f aca="false">IF(B164&gt;B163,IF(AND(B162&gt;B163,B164&gt;B163),"min",""),IF(AND(B162&gt;B163,B164&gt;B163),"",IF(AND(B162&lt;B163,B164&lt;B163),"max","")))</f>
        <v>min</v>
      </c>
      <c r="H163" s="0" t="n">
        <f aca="false">IF(G163="min",COUNTIF(G$4:G163,"min"),IF(G163="max",COUNTIF(G$4:G163,"max"),""))</f>
        <v>41</v>
      </c>
      <c r="I163" s="24" t="n">
        <f aca="false" t="array" ref="I163:I163">IF($G$3=0,IF(G163="min",INDEX($B$4:$B$254,(MATCH(1,($G$4:$G$254="max")*($H$4:$H$254=(H163-1)),0))),""),IF($G$3=1,IF(G163="min",INDEX($B$4:$B$254,(MATCH(1,($G$4:$G$254="max")*($H$4:$H$254=(H163)),0))),""),""))</f>
        <v>895127.192804382</v>
      </c>
      <c r="J163" s="29" t="n">
        <f aca="false">IF(AND(G161=0,G163="min",H163=1),B163-B162,IF(G163="min",B163-I163,""))</f>
        <v>-2506.35613985197</v>
      </c>
      <c r="K163" s="34" t="n">
        <f aca="false">IF(AND(G161=0,G163="min",H163=1),(B163-B162)/B162,IF(G163="min",(B163-I163)/I163,""))</f>
        <v>-0.00279999999999966</v>
      </c>
      <c r="L163" s="5"/>
      <c r="M163" s="0" t="n">
        <f aca="false">E163/COUNT($E$4:E163)</f>
        <v>-0.000671119770846684</v>
      </c>
      <c r="N163" s="19" t="n">
        <f aca="false">M163*252</f>
        <v>-0.169122182253364</v>
      </c>
      <c r="O163" s="20" t="n">
        <f aca="false">STDEV($D$4:$D163)</f>
        <v>0.0292730846859073</v>
      </c>
      <c r="P163" s="20" t="n">
        <f aca="false">O163*SQRT(252)</f>
        <v>0.464695813119865</v>
      </c>
      <c r="Q163" s="0" t="n">
        <f aca="false">Treasuries!J161/100</f>
        <v>0.0482</v>
      </c>
      <c r="R163" s="20" t="n">
        <f aca="false">AJ163/AK163*SQRT(252)</f>
        <v>-0.288661579646996</v>
      </c>
      <c r="S163" s="32" t="n">
        <f aca="false">IF(D163&lt;s_p!H163, D163-s_p!H163, 0)</f>
        <v>0</v>
      </c>
      <c r="T163" s="0" t="n">
        <f aca="false">S163^2</f>
        <v>0</v>
      </c>
      <c r="U163" s="0" t="n">
        <f aca="false">SQRT(AVERAGE(T$4:T163)) * SQRT(252)</f>
        <v>0.345123560961355</v>
      </c>
      <c r="V163" s="0" t="n">
        <f aca="false">AJ163/U163*252</f>
        <v>-0.40162398511302</v>
      </c>
      <c r="W163" s="22" t="n">
        <f aca="false">(s_p!$J163)/COUNT(s_p!$J$4:$J163)</f>
        <v>0.000246487194482059</v>
      </c>
      <c r="X163" s="22" t="n">
        <f aca="false">W163 * 252</f>
        <v>0.0621147730094789</v>
      </c>
      <c r="Y163" s="21" t="n">
        <f aca="false">STDEV(s_p!$H$4:$H163)</f>
        <v>0.00711674099887695</v>
      </c>
      <c r="Z163" s="21" t="n">
        <f aca="false">Y163*SQRT(252)</f>
        <v>0.112974760969715</v>
      </c>
      <c r="AA163" s="0" t="n">
        <f aca="false">AJ163/AK163</f>
        <v>-0.0181839703048812</v>
      </c>
      <c r="AB163" s="0" t="n">
        <f aca="false">_xlfn.COVARIANCE.S($D$4:$D163,s_p!$H$4:$H163)</f>
        <v>-3.7075593744733E-006</v>
      </c>
      <c r="AC163" s="0" t="n">
        <f aca="false">_xlfn.VAR.S(s_p!$H$4:$H163)</f>
        <v>5.0648002445096E-005</v>
      </c>
      <c r="AD163" s="0" t="n">
        <f aca="false">AB163/AC163</f>
        <v>-0.0732024797718805</v>
      </c>
      <c r="AE163" s="0" t="n">
        <f aca="false">M163-(AD163*W163)</f>
        <v>-0.000653076296978584</v>
      </c>
      <c r="AF163" s="33" t="n">
        <f aca="false">MAX($E$4:E163)</f>
        <v>0.280129884293098</v>
      </c>
      <c r="AG163" s="0" t="n">
        <f aca="false">1 - ((1 + E163) / (1 + AF163))</f>
        <v>0.302710726765475</v>
      </c>
      <c r="AH163" s="0" t="n">
        <f aca="false">MAX($AG$5:AG163)</f>
        <v>0.322303580832179</v>
      </c>
      <c r="AI163" s="19" t="n">
        <f aca="false">D163-s_p!H163</f>
        <v>0.000870429240574318</v>
      </c>
      <c r="AJ163" s="19" t="n">
        <f aca="false">AVERAGE(AI$4:AI163)</f>
        <v>-0.000550039285355935</v>
      </c>
      <c r="AK163" s="0" t="n">
        <f aca="false">STDEV(AI$4:AI163)</f>
        <v>0.0302485802678794</v>
      </c>
    </row>
    <row r="164" customFormat="false" ht="13.8" hidden="false" customHeight="false" outlineLevel="0" collapsed="false">
      <c r="A164" s="6" t="n">
        <f aca="false">WORKDAY(A163,1,holiday!$B$2:$B$10)</f>
        <v>38951</v>
      </c>
      <c r="B164" s="24" t="n">
        <v>910741.03964882</v>
      </c>
      <c r="C164" s="24" t="n">
        <f aca="false">B164-B163</f>
        <v>18120.20298429</v>
      </c>
      <c r="D164" s="31" t="n">
        <f aca="false">C164/B163</f>
        <v>0.0203</v>
      </c>
      <c r="E164" s="31" t="n">
        <f aca="false" t="array" ref="E164:E164">PRODUCT(1+$D$4:D164)-1</f>
        <v>-0.0892589603511795</v>
      </c>
      <c r="F164" s="0" t="n">
        <f aca="false">IF(ISBLANK(A165),MONTH(A164),IF(MONTH(A165)-MONTH(A164)=1,MONTH(A164),0))</f>
        <v>0</v>
      </c>
      <c r="G164" s="0" t="str">
        <f aca="false">IF(B165&gt;B164,IF(AND(B163&gt;B164,B165&gt;B164),"min",""),IF(AND(B163&gt;B164,B165&gt;B164),"",IF(AND(B163&lt;B164,B165&lt;B164),"max","")))</f>
        <v/>
      </c>
      <c r="H164" s="0" t="str">
        <f aca="false">IF(G164="min",COUNTIF(G$4:G164,"min"),IF(G164="max",COUNTIF(G$4:G164,"max"),""))</f>
        <v/>
      </c>
      <c r="I164" s="24" t="str">
        <f aca="false" t="array" ref="I164:I164">IF($G$3=0,IF(G164="min",INDEX($B$4:$B$254,(MATCH(1,($G$4:$G$254="max")*($H$4:$H$254=(H164-1)),0))),""),IF($G$3=1,IF(G164="min",INDEX($B$4:$B$254,(MATCH(1,($G$4:$G$254="max")*($H$4:$H$254=(H164)),0))),""),""))</f>
        <v/>
      </c>
      <c r="J164" s="29" t="str">
        <f aca="false">IF(AND(G162=0,G164="min",H164=1),B164-B163,IF(G164="min",B164-I164,""))</f>
        <v/>
      </c>
      <c r="K164" s="34" t="str">
        <f aca="false">IF(AND(G162=0,G164="min",H164=1),(B164-B163)/B163,IF(G164="min",(B164-I164)/I164,""))</f>
        <v/>
      </c>
      <c r="L164" s="5"/>
      <c r="M164" s="0" t="n">
        <f aca="false">E164/COUNT($E$4:E164)</f>
        <v>-0.000554403480442109</v>
      </c>
      <c r="N164" s="19" t="n">
        <f aca="false">M164*252</f>
        <v>-0.139709677071411</v>
      </c>
      <c r="O164" s="20" t="n">
        <f aca="false">STDEV($D$4:$D164)</f>
        <v>0.0292265160013581</v>
      </c>
      <c r="P164" s="20" t="n">
        <f aca="false">O164*SQRT(252)</f>
        <v>0.46395655817066</v>
      </c>
      <c r="Q164" s="0" t="n">
        <f aca="false">Treasuries!J162/100</f>
        <v>0.0482</v>
      </c>
      <c r="R164" s="20" t="n">
        <f aca="false">AJ164/AK164*SQRT(252)</f>
        <v>-0.224365359189667</v>
      </c>
      <c r="S164" s="32" t="n">
        <f aca="false">IF(D164&lt;s_p!H164, D164-s_p!H164, 0)</f>
        <v>0</v>
      </c>
      <c r="T164" s="0" t="n">
        <f aca="false">S164^2</f>
        <v>0</v>
      </c>
      <c r="U164" s="0" t="n">
        <f aca="false">SQRT(AVERAGE(T$4:T164)) * SQRT(252)</f>
        <v>0.344050079166617</v>
      </c>
      <c r="V164" s="0" t="n">
        <f aca="false">AJ164/U164*252</f>
        <v>-0.312580264835357</v>
      </c>
      <c r="W164" s="22" t="n">
        <f aca="false">(s_p!$J164)/COUNT(s_p!$J$4:$J164)</f>
        <v>0.000251424694323457</v>
      </c>
      <c r="X164" s="22" t="n">
        <f aca="false">W164 * 252</f>
        <v>0.0633590229695113</v>
      </c>
      <c r="Y164" s="21" t="n">
        <f aca="false">STDEV(s_p!$H$4:$H164)</f>
        <v>0.00709470280122369</v>
      </c>
      <c r="Z164" s="21" t="n">
        <f aca="false">Y164*SQRT(252)</f>
        <v>0.112624915427707</v>
      </c>
      <c r="AA164" s="0" t="n">
        <f aca="false">AJ164/AK164</f>
        <v>-0.014133689124608</v>
      </c>
      <c r="AB164" s="0" t="n">
        <f aca="false">_xlfn.COVARIANCE.S($D$4:$D164,s_p!$H$4:$H164)</f>
        <v>-3.59042106490087E-006</v>
      </c>
      <c r="AC164" s="0" t="n">
        <f aca="false">_xlfn.VAR.S(s_p!$H$4:$H164)</f>
        <v>5.03348078376912E-005</v>
      </c>
      <c r="AD164" s="0" t="n">
        <f aca="false">AB164/AC164</f>
        <v>-0.0713307792189945</v>
      </c>
      <c r="AE164" s="0" t="n">
        <f aca="false">M164-(AD164*W164)</f>
        <v>-0.000536469161081119</v>
      </c>
      <c r="AF164" s="33" t="n">
        <f aca="false">MAX($E$4:E164)</f>
        <v>0.280129884293098</v>
      </c>
      <c r="AG164" s="0" t="n">
        <f aca="false">1 - ((1 + E164) / (1 + AF164))</f>
        <v>0.288555754518814</v>
      </c>
      <c r="AH164" s="0" t="n">
        <f aca="false">MAX($AG$5:AG164)</f>
        <v>0.322303580832179</v>
      </c>
      <c r="AI164" s="19" t="n">
        <f aca="false">D164-s_p!H164</f>
        <v>0.0192980886614465</v>
      </c>
      <c r="AJ164" s="19" t="n">
        <f aca="false">AVERAGE(AI$4:AI164)</f>
        <v>-0.000426758987549709</v>
      </c>
      <c r="AK164" s="0" t="n">
        <f aca="false">STDEV(AI$4:AI164)</f>
        <v>0.0301944512708069</v>
      </c>
    </row>
    <row r="165" customFormat="false" ht="13.8" hidden="false" customHeight="false" outlineLevel="0" collapsed="false">
      <c r="A165" s="6" t="n">
        <f aca="false">WORKDAY(A164,1,holiday!$B$2:$B$10)</f>
        <v>38952</v>
      </c>
      <c r="B165" s="24" t="n">
        <v>915294.744847064</v>
      </c>
      <c r="C165" s="24" t="n">
        <f aca="false">B165-B164</f>
        <v>4553.70519824408</v>
      </c>
      <c r="D165" s="31" t="n">
        <f aca="false">C165/B164</f>
        <v>0.00499999999999997</v>
      </c>
      <c r="E165" s="31" t="n">
        <f aca="false" t="array" ref="E165:E165">PRODUCT(1+$D$4:D165)-1</f>
        <v>-0.0847052551529356</v>
      </c>
      <c r="F165" s="0" t="n">
        <f aca="false">IF(ISBLANK(A166),MONTH(A165),IF(MONTH(A166)-MONTH(A165)=1,MONTH(A165),0))</f>
        <v>0</v>
      </c>
      <c r="G165" s="0" t="str">
        <f aca="false">IF(B166&gt;B165,IF(AND(B164&gt;B165,B166&gt;B165),"min",""),IF(AND(B164&gt;B165,B166&gt;B165),"",IF(AND(B164&lt;B165,B166&lt;B165),"max","")))</f>
        <v/>
      </c>
      <c r="H165" s="0" t="str">
        <f aca="false">IF(G165="min",COUNTIF(G$4:G165,"min"),IF(G165="max",COUNTIF(G$4:G165,"max"),""))</f>
        <v/>
      </c>
      <c r="I165" s="24" t="str">
        <f aca="false" t="array" ref="I165:I165">IF($G$3=0,IF(G165="min",INDEX($B$4:$B$254,(MATCH(1,($G$4:$G$254="max")*($H$4:$H$254=(H165-1)),0))),""),IF($G$3=1,IF(G165="min",INDEX($B$4:$B$254,(MATCH(1,($G$4:$G$254="max")*($H$4:$H$254=(H165)),0))),""),""))</f>
        <v/>
      </c>
      <c r="J165" s="29" t="str">
        <f aca="false">IF(AND(G163=0,G165="min",H165=1),B165-B164,IF(G165="min",B165-I165,""))</f>
        <v/>
      </c>
      <c r="K165" s="34" t="str">
        <f aca="false">IF(AND(G163=0,G165="min",H165=1),(B165-B164)/B164,IF(G165="min",(B165-I165)/I165,""))</f>
        <v/>
      </c>
      <c r="L165" s="5"/>
      <c r="M165" s="0" t="n">
        <f aca="false">E165/COUNT($E$4:E165)</f>
        <v>-0.000522871945388491</v>
      </c>
      <c r="N165" s="19" t="n">
        <f aca="false">M165*252</f>
        <v>-0.1317637302379</v>
      </c>
      <c r="O165" s="20" t="n">
        <f aca="false">STDEV($D$4:$D165)</f>
        <v>0.0291384242769379</v>
      </c>
      <c r="P165" s="20" t="n">
        <f aca="false">O165*SQRT(252)</f>
        <v>0.462558145398388</v>
      </c>
      <c r="Q165" s="0" t="n">
        <f aca="false">Treasuries!J163/100</f>
        <v>0.0482</v>
      </c>
      <c r="R165" s="20" t="n">
        <f aca="false">AJ165/AK165*SQRT(252)</f>
        <v>-0.192721624852761</v>
      </c>
      <c r="S165" s="32" t="n">
        <f aca="false">IF(D165&lt;s_p!H165, D165-s_p!H165, 0)</f>
        <v>0</v>
      </c>
      <c r="T165" s="0" t="n">
        <f aca="false">S165^2</f>
        <v>0</v>
      </c>
      <c r="U165" s="0" t="n">
        <f aca="false">SQRT(AVERAGE(T$4:T165)) * SQRT(252)</f>
        <v>0.342986552420615</v>
      </c>
      <c r="V165" s="0" t="n">
        <f aca="false">AJ165/U165*252</f>
        <v>-0.26857972380591</v>
      </c>
      <c r="W165" s="22" t="n">
        <f aca="false">(s_p!$J165)/COUNT(s_p!$J$4:$J165)</f>
        <v>0.000221043127739496</v>
      </c>
      <c r="X165" s="22" t="n">
        <f aca="false">W165 * 252</f>
        <v>0.0557028681903529</v>
      </c>
      <c r="Y165" s="21" t="n">
        <f aca="false">STDEV(s_p!$H$4:$H165)</f>
        <v>0.0070825165691614</v>
      </c>
      <c r="Z165" s="21" t="n">
        <f aca="false">Y165*SQRT(252)</f>
        <v>0.112431464990973</v>
      </c>
      <c r="AA165" s="0" t="n">
        <f aca="false">AJ165/AK165</f>
        <v>-0.0121403212291592</v>
      </c>
      <c r="AB165" s="0" t="n">
        <f aca="false">_xlfn.COVARIANCE.S($D$4:$D165,s_p!$H$4:$H165)</f>
        <v>-3.71960181172219E-006</v>
      </c>
      <c r="AC165" s="0" t="n">
        <f aca="false">_xlfn.VAR.S(s_p!$H$4:$H165)</f>
        <v>5.01620409524458E-005</v>
      </c>
      <c r="AD165" s="0" t="n">
        <f aca="false">AB165/AC165</f>
        <v>-0.0741517239150699</v>
      </c>
      <c r="AE165" s="0" t="n">
        <f aca="false">M165-(AD165*W165)</f>
        <v>-0.000506481216407029</v>
      </c>
      <c r="AF165" s="33" t="n">
        <f aca="false">MAX($E$4:E165)</f>
        <v>0.280129884293098</v>
      </c>
      <c r="AG165" s="0" t="n">
        <f aca="false">1 - ((1 + E165) / (1 + AF165))</f>
        <v>0.284998533291409</v>
      </c>
      <c r="AH165" s="0" t="n">
        <f aca="false">MAX($AG$5:AG165)</f>
        <v>0.322303580832179</v>
      </c>
      <c r="AI165" s="19" t="n">
        <f aca="false">D165-s_p!H165</f>
        <v>0.00948868973375824</v>
      </c>
      <c r="AJ165" s="19" t="n">
        <f aca="false">AVERAGE(AI$4:AI165)</f>
        <v>-0.000365552513961388</v>
      </c>
      <c r="AK165" s="0" t="n">
        <f aca="false">STDEV(AI$4:AI165)</f>
        <v>0.03011061297813</v>
      </c>
    </row>
    <row r="166" customFormat="false" ht="13.8" hidden="false" customHeight="false" outlineLevel="0" collapsed="false">
      <c r="A166" s="6" t="n">
        <f aca="false">WORKDAY(A165,1,holiday!$B$2:$B$10)</f>
        <v>38953</v>
      </c>
      <c r="B166" s="24" t="n">
        <v>923074.750178264</v>
      </c>
      <c r="C166" s="24" t="n">
        <f aca="false">B166-B165</f>
        <v>7780.00533120008</v>
      </c>
      <c r="D166" s="31" t="n">
        <f aca="false">C166/B165</f>
        <v>0.00850000000000004</v>
      </c>
      <c r="E166" s="31" t="n">
        <f aca="false" t="array" ref="E166:E166">PRODUCT(1+$D$4:D166)-1</f>
        <v>-0.0769252498217357</v>
      </c>
      <c r="F166" s="0" t="n">
        <f aca="false">IF(ISBLANK(A167),MONTH(A166),IF(MONTH(A167)-MONTH(A166)=1,MONTH(A166),0))</f>
        <v>0</v>
      </c>
      <c r="G166" s="0" t="str">
        <f aca="false">IF(B167&gt;B166,IF(AND(B165&gt;B166,B167&gt;B166),"min",""),IF(AND(B165&gt;B166,B167&gt;B166),"",IF(AND(B165&lt;B166,B167&lt;B166),"max","")))</f>
        <v/>
      </c>
      <c r="H166" s="0" t="str">
        <f aca="false">IF(G166="min",COUNTIF(G$4:G166,"min"),IF(G166="max",COUNTIF(G$4:G166,"max"),""))</f>
        <v/>
      </c>
      <c r="I166" s="24" t="str">
        <f aca="false" t="array" ref="I166:I166">IF($G$3=0,IF(G166="min",INDEX($B$4:$B$254,(MATCH(1,($G$4:$G$254="max")*($H$4:$H$254=(H166-1)),0))),""),IF($G$3=1,IF(G166="min",INDEX($B$4:$B$254,(MATCH(1,($G$4:$G$254="max")*($H$4:$H$254=(H166)),0))),""),""))</f>
        <v/>
      </c>
      <c r="J166" s="29" t="str">
        <f aca="false">IF(AND(G164=0,G166="min",H166=1),B166-B165,IF(G166="min",B166-I166,""))</f>
        <v/>
      </c>
      <c r="K166" s="34" t="str">
        <f aca="false">IF(AND(G164=0,G166="min",H166=1),(B166-B165)/B165,IF(G166="min",(B166-I166)/I166,""))</f>
        <v/>
      </c>
      <c r="L166" s="5"/>
      <c r="M166" s="0" t="n">
        <f aca="false">E166/COUNT($E$4:E166)</f>
        <v>-0.000471934047986108</v>
      </c>
      <c r="N166" s="19" t="n">
        <f aca="false">M166*252</f>
        <v>-0.118927380092499</v>
      </c>
      <c r="O166" s="20" t="n">
        <f aca="false">STDEV($D$4:$D166)</f>
        <v>0.0290562033760697</v>
      </c>
      <c r="P166" s="20" t="n">
        <f aca="false">O166*SQRT(252)</f>
        <v>0.461252929060775</v>
      </c>
      <c r="Q166" s="0" t="n">
        <f aca="false">Treasuries!J164/100</f>
        <v>0.0481</v>
      </c>
      <c r="R166" s="20" t="n">
        <f aca="false">AJ166/AK166*SQRT(252)</f>
        <v>-0.172234266493592</v>
      </c>
      <c r="S166" s="32" t="n">
        <f aca="false">IF(D166&lt;s_p!H166, D166-s_p!H166, 0)</f>
        <v>0</v>
      </c>
      <c r="T166" s="0" t="n">
        <f aca="false">S166^2</f>
        <v>0</v>
      </c>
      <c r="U166" s="0" t="n">
        <f aca="false">SQRT(AVERAGE(T$4:T166)) * SQRT(252)</f>
        <v>0.341932827803165</v>
      </c>
      <c r="V166" s="0" t="n">
        <f aca="false">AJ166/U166*252</f>
        <v>-0.240058090915684</v>
      </c>
      <c r="W166" s="22" t="n">
        <f aca="false">(s_p!$J166)/COUNT(s_p!$J$4:$J166)</f>
        <v>0.000234775160149152</v>
      </c>
      <c r="X166" s="22" t="n">
        <f aca="false">W166 * 252</f>
        <v>0.0591633403575864</v>
      </c>
      <c r="Y166" s="21" t="n">
        <f aca="false">STDEV(s_p!$H$4:$H166)</f>
        <v>0.00706259804849673</v>
      </c>
      <c r="Z166" s="21" t="n">
        <f aca="false">Y166*SQRT(252)</f>
        <v>0.112115268277995</v>
      </c>
      <c r="AA166" s="0" t="n">
        <f aca="false">AJ166/AK166</f>
        <v>-0.0108497389615634</v>
      </c>
      <c r="AB166" s="0" t="n">
        <f aca="false">_xlfn.COVARIANCE.S($D$4:$D166,s_p!$H$4:$H166)</f>
        <v>-3.58383559785723E-006</v>
      </c>
      <c r="AC166" s="0" t="n">
        <f aca="false">_xlfn.VAR.S(s_p!$H$4:$H166)</f>
        <v>4.98802911946298E-005</v>
      </c>
      <c r="AD166" s="0" t="n">
        <f aca="false">AB166/AC166</f>
        <v>-0.0718487304709855</v>
      </c>
      <c r="AE166" s="0" t="n">
        <f aca="false">M166-(AD166*W166)</f>
        <v>-0.000455065750783269</v>
      </c>
      <c r="AF166" s="33" t="n">
        <f aca="false">MAX($E$4:E166)</f>
        <v>0.280129884293098</v>
      </c>
      <c r="AG166" s="0" t="n">
        <f aca="false">1 - ((1 + E166) / (1 + AF166))</f>
        <v>0.278921020824386</v>
      </c>
      <c r="AH166" s="0" t="n">
        <f aca="false">MAX($AG$5:AG166)</f>
        <v>0.322303580832179</v>
      </c>
      <c r="AI166" s="19" t="n">
        <f aca="false">D166-s_p!H166</f>
        <v>0.00612565835776011</v>
      </c>
      <c r="AJ166" s="19" t="n">
        <f aca="false">AVERAGE(AI$4:AI166)</f>
        <v>-0.000325729134380275</v>
      </c>
      <c r="AK166" s="0" t="n">
        <f aca="false">STDEV(AI$4:AI166)</f>
        <v>0.0300218406667857</v>
      </c>
    </row>
    <row r="167" customFormat="false" ht="13.8" hidden="false" customHeight="false" outlineLevel="0" collapsed="false">
      <c r="A167" s="6" t="n">
        <f aca="false">WORKDAY(A166,1,holiday!$B$2:$B$10)</f>
        <v>38954</v>
      </c>
      <c r="B167" s="24" t="n">
        <v>927505.50897912</v>
      </c>
      <c r="C167" s="24" t="n">
        <f aca="false">B167-B166</f>
        <v>4430.75880085572</v>
      </c>
      <c r="D167" s="31" t="n">
        <f aca="false">C167/B166</f>
        <v>0.00480000000000006</v>
      </c>
      <c r="E167" s="31" t="n">
        <f aca="false" t="array" ref="E167:E167">PRODUCT(1+$D$4:D167)-1</f>
        <v>-0.0724944910208798</v>
      </c>
      <c r="F167" s="0" t="n">
        <f aca="false">IF(ISBLANK(A168),MONTH(A167),IF(MONTH(A168)-MONTH(A167)=1,MONTH(A167),0))</f>
        <v>0</v>
      </c>
      <c r="G167" s="0" t="str">
        <f aca="false">IF(B168&gt;B167,IF(AND(B166&gt;B167,B168&gt;B167),"min",""),IF(AND(B166&gt;B167,B168&gt;B167),"",IF(AND(B166&lt;B167,B168&lt;B167),"max","")))</f>
        <v/>
      </c>
      <c r="H167" s="0" t="str">
        <f aca="false">IF(G167="min",COUNTIF(G$4:G167,"min"),IF(G167="max",COUNTIF(G$4:G167,"max"),""))</f>
        <v/>
      </c>
      <c r="I167" s="24" t="str">
        <f aca="false" t="array" ref="I167:I167">IF($G$3=0,IF(G167="min",INDEX($B$4:$B$254,(MATCH(1,($G$4:$G$254="max")*($H$4:$H$254=(H167-1)),0))),""),IF($G$3=1,IF(G167="min",INDEX($B$4:$B$254,(MATCH(1,($G$4:$G$254="max")*($H$4:$H$254=(H167)),0))),""),""))</f>
        <v/>
      </c>
      <c r="J167" s="29" t="str">
        <f aca="false">IF(AND(G165=0,G167="min",H167=1),B167-B166,IF(G167="min",B167-I167,""))</f>
        <v/>
      </c>
      <c r="K167" s="34" t="str">
        <f aca="false">IF(AND(G165=0,G167="min",H167=1),(B167-B166)/B166,IF(G167="min",(B167-I167)/I167,""))</f>
        <v/>
      </c>
      <c r="L167" s="5"/>
      <c r="M167" s="0" t="n">
        <f aca="false">E167/COUNT($E$4:E167)</f>
        <v>-0.000442039579395609</v>
      </c>
      <c r="N167" s="19" t="n">
        <f aca="false">M167*252</f>
        <v>-0.111393974007693</v>
      </c>
      <c r="O167" s="20" t="n">
        <f aca="false">STDEV($D$4:$D167)</f>
        <v>0.0289694334659899</v>
      </c>
      <c r="P167" s="20" t="n">
        <f aca="false">O167*SQRT(252)</f>
        <v>0.459875499440648</v>
      </c>
      <c r="Q167" s="0" t="n">
        <f aca="false">Treasuries!J165/100</f>
        <v>0.0479</v>
      </c>
      <c r="R167" s="20" t="n">
        <f aca="false">AJ167/AK167*SQRT(252)</f>
        <v>-0.153749302465623</v>
      </c>
      <c r="S167" s="32" t="n">
        <f aca="false">IF(D167&lt;s_p!H167, D167-s_p!H167, 0)</f>
        <v>0</v>
      </c>
      <c r="T167" s="0" t="n">
        <f aca="false">S167^2</f>
        <v>0</v>
      </c>
      <c r="U167" s="0" t="n">
        <f aca="false">SQRT(AVERAGE(T$4:T167)) * SQRT(252)</f>
        <v>0.34088875566263</v>
      </c>
      <c r="V167" s="0" t="n">
        <f aca="false">AJ167/U167*252</f>
        <v>-0.214315097707855</v>
      </c>
      <c r="W167" s="22" t="n">
        <f aca="false">(s_p!$J167)/COUNT(s_p!$J$4:$J167)</f>
        <v>0.000228605415134739</v>
      </c>
      <c r="X167" s="22" t="n">
        <f aca="false">W167 * 252</f>
        <v>0.0576085646139543</v>
      </c>
      <c r="Y167" s="21" t="n">
        <f aca="false">STDEV(s_p!$H$4:$H167)</f>
        <v>0.00704133642641713</v>
      </c>
      <c r="Z167" s="21" t="n">
        <f aca="false">Y167*SQRT(252)</f>
        <v>0.11177775049104</v>
      </c>
      <c r="AA167" s="0" t="n">
        <f aca="false">AJ167/AK167</f>
        <v>-0.0096852956803258</v>
      </c>
      <c r="AB167" s="0" t="n">
        <f aca="false">_xlfn.COVARIANCE.S($D$4:$D167,s_p!$H$4:$H167)</f>
        <v>-3.59165425376562E-006</v>
      </c>
      <c r="AC167" s="0" t="n">
        <f aca="false">_xlfn.VAR.S(s_p!$H$4:$H167)</f>
        <v>4.95804186699887E-005</v>
      </c>
      <c r="AD167" s="0" t="n">
        <f aca="false">AB167/AC167</f>
        <v>-0.0724409827531301</v>
      </c>
      <c r="AE167" s="0" t="n">
        <f aca="false">M167-(AD167*W167)</f>
        <v>-0.000425479178460561</v>
      </c>
      <c r="AF167" s="33" t="n">
        <f aca="false">MAX($E$4:E167)</f>
        <v>0.280129884293098</v>
      </c>
      <c r="AG167" s="0" t="n">
        <f aca="false">1 - ((1 + E167) / (1 + AF167))</f>
        <v>0.275459841724343</v>
      </c>
      <c r="AH167" s="0" t="n">
        <f aca="false">MAX($AG$5:AG167)</f>
        <v>0.322303580832179</v>
      </c>
      <c r="AI167" s="19" t="n">
        <f aca="false">D167-s_p!H167</f>
        <v>0.00554842214095034</v>
      </c>
      <c r="AJ167" s="19" t="n">
        <f aca="false">AVERAGE(AI$4:AI167)</f>
        <v>-0.00028991113879899</v>
      </c>
      <c r="AK167" s="0" t="n">
        <f aca="false">STDEV(AI$4:AI167)</f>
        <v>0.029933122164551</v>
      </c>
    </row>
    <row r="168" customFormat="false" ht="13.8" hidden="false" customHeight="false" outlineLevel="0" collapsed="false">
      <c r="A168" s="6" t="n">
        <f aca="false">WORKDAY(A167,1,holiday!$B$2:$B$10)</f>
        <v>38957</v>
      </c>
      <c r="B168" s="24" t="n">
        <v>953197.411577842</v>
      </c>
      <c r="C168" s="24" t="n">
        <f aca="false">B168-B167</f>
        <v>25691.9025987217</v>
      </c>
      <c r="D168" s="31" t="n">
        <f aca="false">C168/B167</f>
        <v>0.0277000000000001</v>
      </c>
      <c r="E168" s="31" t="n">
        <f aca="false" t="array" ref="E168:E168">PRODUCT(1+$D$4:D168)-1</f>
        <v>-0.0468025884221581</v>
      </c>
      <c r="F168" s="0" t="n">
        <f aca="false">IF(ISBLANK(A169),MONTH(A168),IF(MONTH(A169)-MONTH(A168)=1,MONTH(A168),0))</f>
        <v>0</v>
      </c>
      <c r="G168" s="0" t="str">
        <f aca="false">IF(B169&gt;B168,IF(AND(B167&gt;B168,B169&gt;B168),"min",""),IF(AND(B167&gt;B168,B169&gt;B168),"",IF(AND(B167&lt;B168,B169&lt;B168),"max","")))</f>
        <v/>
      </c>
      <c r="H168" s="0" t="str">
        <f aca="false">IF(G168="min",COUNTIF(G$4:G168,"min"),IF(G168="max",COUNTIF(G$4:G168,"max"),""))</f>
        <v/>
      </c>
      <c r="I168" s="24" t="str">
        <f aca="false" t="array" ref="I168:I168">IF($G$3=0,IF(G168="min",INDEX($B$4:$B$254,(MATCH(1,($G$4:$G$254="max")*($H$4:$H$254=(H168-1)),0))),""),IF($G$3=1,IF(G168="min",INDEX($B$4:$B$254,(MATCH(1,($G$4:$G$254="max")*($H$4:$H$254=(H168)),0))),""),""))</f>
        <v/>
      </c>
      <c r="J168" s="29" t="str">
        <f aca="false">IF(AND(G166=0,G168="min",H168=1),B168-B167,IF(G168="min",B168-I168,""))</f>
        <v/>
      </c>
      <c r="K168" s="34" t="str">
        <f aca="false">IF(AND(G166=0,G168="min",H168=1),(B168-B167)/B167,IF(G168="min",(B168-I168)/I168,""))</f>
        <v/>
      </c>
      <c r="L168" s="5"/>
      <c r="M168" s="0" t="n">
        <f aca="false">E168/COUNT($E$4:E168)</f>
        <v>-0.000283652051043383</v>
      </c>
      <c r="N168" s="19" t="n">
        <f aca="false">M168*252</f>
        <v>-0.0714803168629324</v>
      </c>
      <c r="O168" s="20" t="n">
        <f aca="false">STDEV($D$4:$D168)</f>
        <v>0.0289616090789766</v>
      </c>
      <c r="P168" s="20" t="n">
        <f aca="false">O168*SQRT(252)</f>
        <v>0.459751291147455</v>
      </c>
      <c r="Q168" s="0" t="n">
        <f aca="false">Treasuries!J166/100</f>
        <v>0.048</v>
      </c>
      <c r="R168" s="20" t="n">
        <f aca="false">AJ168/AK168*SQRT(252)</f>
        <v>-0.0804927119422946</v>
      </c>
      <c r="S168" s="32" t="n">
        <f aca="false">IF(D168&lt;s_p!H168, D168-s_p!H168, 0)</f>
        <v>0</v>
      </c>
      <c r="T168" s="0" t="n">
        <f aca="false">S168^2</f>
        <v>0</v>
      </c>
      <c r="U168" s="0" t="n">
        <f aca="false">SQRT(AVERAGE(T$4:T168)) * SQRT(252)</f>
        <v>0.339854189526639</v>
      </c>
      <c r="V168" s="0" t="n">
        <f aca="false">AJ168/U168*252</f>
        <v>-0.112397487589786</v>
      </c>
      <c r="W168" s="22" t="n">
        <f aca="false">(s_p!$J168)/COUNT(s_p!$J$4:$J168)</f>
        <v>0.00025970072513745</v>
      </c>
      <c r="X168" s="22" t="n">
        <f aca="false">W168 * 252</f>
        <v>0.0654445827346374</v>
      </c>
      <c r="Y168" s="21" t="n">
        <f aca="false">STDEV(s_p!$H$4:$H168)</f>
        <v>0.00703026330965928</v>
      </c>
      <c r="Z168" s="21" t="n">
        <f aca="false">Y168*SQRT(252)</f>
        <v>0.111601970211962</v>
      </c>
      <c r="AA168" s="0" t="n">
        <f aca="false">AJ168/AK168</f>
        <v>-0.00507056424172537</v>
      </c>
      <c r="AB168" s="0" t="n">
        <f aca="false">_xlfn.COVARIANCE.S($D$4:$D168,s_p!$H$4:$H168)</f>
        <v>-2.74314261104697E-006</v>
      </c>
      <c r="AC168" s="0" t="n">
        <f aca="false">_xlfn.VAR.S(s_p!$H$4:$H168)</f>
        <v>4.94246022031414E-005</v>
      </c>
      <c r="AD168" s="0" t="n">
        <f aca="false">AB168/AC168</f>
        <v>-0.0555015617479793</v>
      </c>
      <c r="AE168" s="0" t="n">
        <f aca="false">M168-(AD168*W168)</f>
        <v>-0.000269238255211171</v>
      </c>
      <c r="AF168" s="33" t="n">
        <f aca="false">MAX($E$4:E168)</f>
        <v>0.280129884293098</v>
      </c>
      <c r="AG168" s="0" t="n">
        <f aca="false">1 - ((1 + E168) / (1 + AF168))</f>
        <v>0.255390079340107</v>
      </c>
      <c r="AH168" s="0" t="n">
        <f aca="false">MAX($AG$5:AG168)</f>
        <v>0.322303580832179</v>
      </c>
      <c r="AI168" s="19" t="n">
        <f aca="false">D168-s_p!H168</f>
        <v>0.0225343358376637</v>
      </c>
      <c r="AJ168" s="19" t="n">
        <f aca="false">AVERAGE(AI$4:AI168)</f>
        <v>-0.000151582369244671</v>
      </c>
      <c r="AK168" s="0" t="n">
        <f aca="false">STDEV(AI$4:AI168)</f>
        <v>0.0298945762282842</v>
      </c>
    </row>
    <row r="169" customFormat="false" ht="13.8" hidden="false" customHeight="false" outlineLevel="0" collapsed="false">
      <c r="A169" s="6" t="n">
        <f aca="false">WORKDAY(A168,1,holiday!$B$2:$B$10)</f>
        <v>38958</v>
      </c>
      <c r="B169" s="24" t="n">
        <v>968353.250421929</v>
      </c>
      <c r="C169" s="24" t="n">
        <f aca="false">B169-B168</f>
        <v>15155.8388440877</v>
      </c>
      <c r="D169" s="31" t="n">
        <f aca="false">C169/B168</f>
        <v>0.0159</v>
      </c>
      <c r="E169" s="31" t="n">
        <f aca="false" t="array" ref="E169:E169">PRODUCT(1+$D$4:D169)-1</f>
        <v>-0.0316467495780705</v>
      </c>
      <c r="F169" s="0" t="n">
        <f aca="false">IF(ISBLANK(A170),MONTH(A169),IF(MONTH(A170)-MONTH(A169)=1,MONTH(A169),0))</f>
        <v>0</v>
      </c>
      <c r="G169" s="0" t="str">
        <f aca="false">IF(B170&gt;B169,IF(AND(B168&gt;B169,B170&gt;B169),"min",""),IF(AND(B168&gt;B169,B170&gt;B169),"",IF(AND(B168&lt;B169,B170&lt;B169),"max","")))</f>
        <v>max</v>
      </c>
      <c r="H169" s="0" t="n">
        <f aca="false">IF(G169="min",COUNTIF(G$4:G169,"min"),IF(G169="max",COUNTIF(G$4:G169,"max"),""))</f>
        <v>41</v>
      </c>
      <c r="I169" s="24" t="str">
        <f aca="false" t="array" ref="I169:I169">IF($G$3=0,IF(G169="min",INDEX($B$4:$B$254,(MATCH(1,($G$4:$G$254="max")*($H$4:$H$254=(H169-1)),0))),""),IF($G$3=1,IF(G169="min",INDEX($B$4:$B$254,(MATCH(1,($G$4:$G$254="max")*($H$4:$H$254=(H169)),0))),""),""))</f>
        <v/>
      </c>
      <c r="J169" s="29" t="str">
        <f aca="false">IF(AND(G167=0,G169="min",H169=1),B169-B168,IF(G169="min",B169-I169,""))</f>
        <v/>
      </c>
      <c r="K169" s="34" t="str">
        <f aca="false">IF(AND(G167=0,G169="min",H169=1),(B169-B168)/B168,IF(G169="min",(B169-I169)/I169,""))</f>
        <v/>
      </c>
      <c r="L169" s="5"/>
      <c r="M169" s="0" t="n">
        <f aca="false">E169/COUNT($E$4:E169)</f>
        <v>-0.000190643069747412</v>
      </c>
      <c r="N169" s="19" t="n">
        <f aca="false">M169*252</f>
        <v>-0.0480420535763479</v>
      </c>
      <c r="O169" s="20" t="n">
        <f aca="false">STDEV($D$4:$D169)</f>
        <v>0.0288996537181855</v>
      </c>
      <c r="P169" s="20" t="n">
        <f aca="false">O169*SQRT(252)</f>
        <v>0.458767780285212</v>
      </c>
      <c r="Q169" s="0" t="n">
        <f aca="false">Treasuries!J167/100</f>
        <v>0.0479</v>
      </c>
      <c r="R169" s="20" t="n">
        <f aca="false">AJ169/AK169*SQRT(252)</f>
        <v>-0.0353721967706057</v>
      </c>
      <c r="S169" s="32" t="n">
        <f aca="false">IF(D169&lt;s_p!H169, D169-s_p!H169, 0)</f>
        <v>0</v>
      </c>
      <c r="T169" s="0" t="n">
        <f aca="false">S169^2</f>
        <v>0</v>
      </c>
      <c r="U169" s="0" t="n">
        <f aca="false">SQRT(AVERAGE(T$4:T169)) * SQRT(252)</f>
        <v>0.338828986015775</v>
      </c>
      <c r="V169" s="0" t="n">
        <f aca="false">AJ169/U169*252</f>
        <v>-0.0494251475245477</v>
      </c>
      <c r="W169" s="22" t="n">
        <f aca="false">(s_p!$J169)/COUNT(s_p!$J$4:$J169)</f>
        <v>0.000270200960214787</v>
      </c>
      <c r="X169" s="22" t="n">
        <f aca="false">W169 * 252</f>
        <v>0.0680906419741263</v>
      </c>
      <c r="Y169" s="21" t="n">
        <f aca="false">STDEV(s_p!$H$4:$H169)</f>
        <v>0.00701008509552713</v>
      </c>
      <c r="Z169" s="21" t="n">
        <f aca="false">Y169*SQRT(252)</f>
        <v>0.111281650992991</v>
      </c>
      <c r="AA169" s="0" t="n">
        <f aca="false">AJ169/AK169</f>
        <v>-0.00222823895193001</v>
      </c>
      <c r="AB169" s="0" t="n">
        <f aca="false">_xlfn.COVARIANCE.S($D$4:$D169,s_p!$H$4:$H169)</f>
        <v>-2.57053926637677E-006</v>
      </c>
      <c r="AC169" s="0" t="n">
        <f aca="false">_xlfn.VAR.S(s_p!$H$4:$H169)</f>
        <v>4.91412930465315E-005</v>
      </c>
      <c r="AD169" s="0" t="n">
        <f aca="false">AB169/AC169</f>
        <v>-0.0523091499432614</v>
      </c>
      <c r="AE169" s="0" t="n">
        <f aca="false">M169-(AD169*W169)</f>
        <v>-0.000176509087204724</v>
      </c>
      <c r="AF169" s="33" t="n">
        <f aca="false">MAX($E$4:E169)</f>
        <v>0.280129884293098</v>
      </c>
      <c r="AG169" s="0" t="n">
        <f aca="false">1 - ((1 + E169) / (1 + AF169))</f>
        <v>0.243550781601615</v>
      </c>
      <c r="AH169" s="0" t="n">
        <f aca="false">MAX($AG$5:AG169)</f>
        <v>0.322303580832179</v>
      </c>
      <c r="AI169" s="19" t="n">
        <f aca="false">D169-s_p!H169</f>
        <v>0.0139795526125765</v>
      </c>
      <c r="AJ169" s="19" t="n">
        <f aca="false">AVERAGE(AI$4:AI169)</f>
        <v>-6.64550500770738E-005</v>
      </c>
      <c r="AK169" s="0" t="n">
        <f aca="false">STDEV(AI$4:AI169)</f>
        <v>0.0298240231459526</v>
      </c>
    </row>
    <row r="170" customFormat="false" ht="13.8" hidden="false" customHeight="false" outlineLevel="0" collapsed="false">
      <c r="A170" s="6" t="n">
        <f aca="false">WORKDAY(A169,1,holiday!$B$2:$B$10)</f>
        <v>38959</v>
      </c>
      <c r="B170" s="24" t="n">
        <v>953924.786990643</v>
      </c>
      <c r="C170" s="24" t="n">
        <f aca="false">B170-B169</f>
        <v>-14428.4634312867</v>
      </c>
      <c r="D170" s="31" t="n">
        <f aca="false">C170/B169</f>
        <v>-0.0149</v>
      </c>
      <c r="E170" s="31" t="n">
        <f aca="false" t="array" ref="E170:E170">PRODUCT(1+$D$4:D170)-1</f>
        <v>-0.0460752130093572</v>
      </c>
      <c r="F170" s="0" t="n">
        <f aca="false">IF(ISBLANK(A171),MONTH(A170),IF(MONTH(A171)-MONTH(A170)=1,MONTH(A170),0))</f>
        <v>0</v>
      </c>
      <c r="G170" s="0" t="str">
        <f aca="false">IF(B171&gt;B170,IF(AND(B169&gt;B170,B171&gt;B170),"min",""),IF(AND(B169&gt;B170,B171&gt;B170),"",IF(AND(B169&lt;B170,B171&lt;B170),"max","")))</f>
        <v>min</v>
      </c>
      <c r="H170" s="0" t="n">
        <f aca="false">IF(G170="min",COUNTIF(G$4:G170,"min"),IF(G170="max",COUNTIF(G$4:G170,"max"),""))</f>
        <v>42</v>
      </c>
      <c r="I170" s="24" t="n">
        <f aca="false" t="array" ref="I170:I170">IF($G$3=0,IF(G170="min",INDEX($B$4:$B$254,(MATCH(1,($G$4:$G$254="max")*($H$4:$H$254=(H170-1)),0))),""),IF($G$3=1,IF(G170="min",INDEX($B$4:$B$254,(MATCH(1,($G$4:$G$254="max")*($H$4:$H$254=(H170)),0))),""),""))</f>
        <v>968353.250421929</v>
      </c>
      <c r="J170" s="29" t="n">
        <f aca="false">IF(AND(G168=0,G170="min",H170=1),B170-B169,IF(G170="min",B170-I170,""))</f>
        <v>-14428.463431286</v>
      </c>
      <c r="K170" s="34" t="n">
        <f aca="false">IF(AND(G168=0,G170="min",H170=1),(B170-B169)/B169,IF(G170="min",(B170-I170)/I170,""))</f>
        <v>-0.0148999999999993</v>
      </c>
      <c r="L170" s="5"/>
      <c r="M170" s="0" t="n">
        <f aca="false">E170/COUNT($E$4:E170)</f>
        <v>-0.000275899479097948</v>
      </c>
      <c r="N170" s="19" t="n">
        <f aca="false">M170*252</f>
        <v>-0.0695266687326828</v>
      </c>
      <c r="O170" s="20" t="n">
        <f aca="false">STDEV($D$4:$D170)</f>
        <v>0.0288362286561694</v>
      </c>
      <c r="P170" s="20" t="n">
        <f aca="false">O170*SQRT(252)</f>
        <v>0.457760938639312</v>
      </c>
      <c r="Q170" s="0" t="n">
        <f aca="false">Treasuries!J168/100</f>
        <v>0.0476</v>
      </c>
      <c r="R170" s="20" t="n">
        <f aca="false">AJ170/AK170*SQRT(252)</f>
        <v>-0.0855012716863076</v>
      </c>
      <c r="S170" s="32" t="n">
        <f aca="false">IF(D170&lt;s_p!H170, D170-s_p!H170, 0)</f>
        <v>-0.015735710123593</v>
      </c>
      <c r="T170" s="0" t="n">
        <f aca="false">S170^2</f>
        <v>0.000247612573093746</v>
      </c>
      <c r="U170" s="0" t="n">
        <f aca="false">SQRT(AVERAGE(T$4:T170)) * SQRT(252)</f>
        <v>0.33836558499605</v>
      </c>
      <c r="V170" s="0" t="n">
        <f aca="false">AJ170/U170*252</f>
        <v>-0.119371764838926</v>
      </c>
      <c r="W170" s="22" t="n">
        <f aca="false">(s_p!$J170)/COUNT(s_p!$J$4:$J170)</f>
        <v>0.000273811700154321</v>
      </c>
      <c r="X170" s="22" t="n">
        <f aca="false">W170 * 252</f>
        <v>0.0690005484388889</v>
      </c>
      <c r="Y170" s="21" t="n">
        <f aca="false">STDEV(s_p!$H$4:$H170)</f>
        <v>0.00698906664785075</v>
      </c>
      <c r="Z170" s="21" t="n">
        <f aca="false">Y170*SQRT(252)</f>
        <v>0.110947993480014</v>
      </c>
      <c r="AA170" s="0" t="n">
        <f aca="false">AJ170/AK170</f>
        <v>-0.00538607384908891</v>
      </c>
      <c r="AB170" s="0" t="n">
        <f aca="false">_xlfn.COVARIANCE.S($D$4:$D170,s_p!$H$4:$H170)</f>
        <v>-2.60458329219317E-006</v>
      </c>
      <c r="AC170" s="0" t="n">
        <f aca="false">_xlfn.VAR.S(s_p!$H$4:$H170)</f>
        <v>4.88470526080998E-005</v>
      </c>
      <c r="AD170" s="0" t="n">
        <f aca="false">AB170/AC170</f>
        <v>-0.0533211965333869</v>
      </c>
      <c r="AE170" s="0" t="n">
        <f aca="false">M170-(AD170*W170)</f>
        <v>-0.000261299511620878</v>
      </c>
      <c r="AF170" s="33" t="n">
        <f aca="false">MAX($E$4:E170)</f>
        <v>0.280129884293098</v>
      </c>
      <c r="AG170" s="0" t="n">
        <f aca="false">1 - ((1 + E170) / (1 + AF170))</f>
        <v>0.25482187495575</v>
      </c>
      <c r="AH170" s="0" t="n">
        <f aca="false">MAX($AG$5:AG170)</f>
        <v>0.322303580832179</v>
      </c>
      <c r="AI170" s="19" t="n">
        <f aca="false">D170-s_p!H170</f>
        <v>-0.015735710123593</v>
      </c>
      <c r="AJ170" s="19" t="n">
        <f aca="false">AVERAGE(AI$4:AI170)</f>
        <v>-0.000160282924768786</v>
      </c>
      <c r="AK170" s="0" t="n">
        <f aca="false">STDEV(AI$4:AI170)</f>
        <v>0.0297587684944013</v>
      </c>
    </row>
    <row r="171" customFormat="false" ht="13.8" hidden="false" customHeight="false" outlineLevel="0" collapsed="false">
      <c r="A171" s="6" t="n">
        <f aca="false">WORKDAY(A170,1,holiday!$B$2:$B$10)</f>
        <v>38960</v>
      </c>
      <c r="B171" s="24" t="n">
        <v>987312.154535315</v>
      </c>
      <c r="C171" s="24" t="n">
        <f aca="false">B171-B170</f>
        <v>33387.3675446724</v>
      </c>
      <c r="D171" s="31" t="n">
        <f aca="false">C171/B170</f>
        <v>0.035</v>
      </c>
      <c r="E171" s="31" t="n">
        <f aca="false" t="array" ref="E171:E171">PRODUCT(1+$D$4:D171)-1</f>
        <v>-0.0126878454646847</v>
      </c>
      <c r="F171" s="0" t="n">
        <f aca="false">IF(ISBLANK(A172),MONTH(A171),IF(MONTH(A172)-MONTH(A171)=1,MONTH(A171),0))</f>
        <v>8</v>
      </c>
      <c r="G171" s="0" t="str">
        <f aca="false">IF(B172&gt;B171,IF(AND(B170&gt;B171,B172&gt;B171),"min",""),IF(AND(B170&gt;B171,B172&gt;B171),"",IF(AND(B170&lt;B171,B172&lt;B171),"max","")))</f>
        <v/>
      </c>
      <c r="H171" s="0" t="str">
        <f aca="false">IF(G171="min",COUNTIF(G$4:G171,"min"),IF(G171="max",COUNTIF(G$4:G171,"max"),""))</f>
        <v/>
      </c>
      <c r="I171" s="24" t="str">
        <f aca="false" t="array" ref="I171:I171">IF($G$3=0,IF(G171="min",INDEX($B$4:$B$254,(MATCH(1,($G$4:$G$254="max")*($H$4:$H$254=(H171-1)),0))),""),IF($G$3=1,IF(G171="min",INDEX($B$4:$B$254,(MATCH(1,($G$4:$G$254="max")*($H$4:$H$254=(H171)),0))),""),""))</f>
        <v/>
      </c>
      <c r="J171" s="29" t="str">
        <f aca="false">IF(AND(G169=0,G171="min",H171=1),B171-B170,IF(G171="min",B171-I171,""))</f>
        <v/>
      </c>
      <c r="K171" s="34" t="str">
        <f aca="false">IF(AND(G169=0,G171="min",H171=1),(B171-B170)/B170,IF(G171="min",(B171-I171)/I171,""))</f>
        <v/>
      </c>
      <c r="L171" s="5"/>
      <c r="M171" s="0" t="n">
        <f aca="false">E171/COUNT($E$4:E171)</f>
        <v>-7.55228896707423E-005</v>
      </c>
      <c r="N171" s="19" t="n">
        <f aca="false">M171*252</f>
        <v>-0.0190317681970271</v>
      </c>
      <c r="O171" s="20" t="n">
        <f aca="false">STDEV($D$4:$D171)</f>
        <v>0.0288753485308862</v>
      </c>
      <c r="P171" s="20" t="n">
        <f aca="false">O171*SQRT(252)</f>
        <v>0.458381947398236</v>
      </c>
      <c r="Q171" s="0" t="n">
        <f aca="false">Treasuries!J169/100</f>
        <v>0.0474</v>
      </c>
      <c r="R171" s="20" t="n">
        <f aca="false">AJ171/AK171*SQRT(252)</f>
        <v>0.0298680568376</v>
      </c>
      <c r="S171" s="32" t="n">
        <f aca="false">IF(D171&lt;s_p!H171, D171-s_p!H171, 0)</f>
        <v>0</v>
      </c>
      <c r="T171" s="0" t="n">
        <f aca="false">S171^2</f>
        <v>0</v>
      </c>
      <c r="U171" s="0" t="n">
        <f aca="false">SQRT(AVERAGE(T$4:T171)) * SQRT(252)</f>
        <v>0.337357041515745</v>
      </c>
      <c r="V171" s="0" t="n">
        <f aca="false">AJ171/U171*252</f>
        <v>0.0418850944682648</v>
      </c>
      <c r="W171" s="22" t="n">
        <f aca="false">(s_p!$J171)/COUNT(s_p!$J$4:$J171)</f>
        <v>0.00026479080525016</v>
      </c>
      <c r="X171" s="22" t="n">
        <f aca="false">W171 * 252</f>
        <v>0.0667272829230404</v>
      </c>
      <c r="Y171" s="21" t="n">
        <f aca="false">STDEV(s_p!$H$4:$H171)</f>
        <v>0.00696904464076946</v>
      </c>
      <c r="Z171" s="21" t="n">
        <f aca="false">Y171*SQRT(252)</f>
        <v>0.110630153971101</v>
      </c>
      <c r="AA171" s="0" t="n">
        <f aca="false">AJ171/AK171</f>
        <v>0.00188151072707229</v>
      </c>
      <c r="AB171" s="0" t="n">
        <f aca="false">_xlfn.COVARIANCE.S($D$4:$D171,s_p!$H$4:$H171)</f>
        <v>-2.89603987223709E-006</v>
      </c>
      <c r="AC171" s="0" t="n">
        <f aca="false">_xlfn.VAR.S(s_p!$H$4:$H171)</f>
        <v>4.85675832050375E-005</v>
      </c>
      <c r="AD171" s="0" t="n">
        <f aca="false">AB171/AC171</f>
        <v>-0.0596290711030626</v>
      </c>
      <c r="AE171" s="0" t="n">
        <f aca="false">M171-(AD171*W171)</f>
        <v>-5.97336599170433E-005</v>
      </c>
      <c r="AF171" s="33" t="n">
        <f aca="false">MAX($E$4:E171)</f>
        <v>0.280129884293098</v>
      </c>
      <c r="AG171" s="0" t="n">
        <f aca="false">1 - ((1 + E171) / (1 + AF171))</f>
        <v>0.228740640579202</v>
      </c>
      <c r="AH171" s="0" t="n">
        <f aca="false">MAX($AG$5:AG171)</f>
        <v>0.322303580832179</v>
      </c>
      <c r="AI171" s="19" t="n">
        <f aca="false">D171-s_p!H171</f>
        <v>0.0361874028053348</v>
      </c>
      <c r="AJ171" s="19" t="n">
        <f aca="false">AVERAGE(AI$4:AI171)</f>
        <v>5.60723474342116E-005</v>
      </c>
      <c r="AK171" s="0" t="n">
        <f aca="false">STDEV(AI$4:AI171)</f>
        <v>0.0298017686678101</v>
      </c>
    </row>
    <row r="172" customFormat="false" ht="13.8" hidden="false" customHeight="false" outlineLevel="0" collapsed="false">
      <c r="A172" s="6" t="n">
        <f aca="false">WORKDAY(A171,1,holiday!$B$2:$B$10)</f>
        <v>38961</v>
      </c>
      <c r="B172" s="24" t="n">
        <v>1027199.56557854</v>
      </c>
      <c r="C172" s="24" t="n">
        <f aca="false">B172-B171</f>
        <v>39887.4110432267</v>
      </c>
      <c r="D172" s="31" t="n">
        <f aca="false">C172/B171</f>
        <v>0.0404</v>
      </c>
      <c r="E172" s="31" t="n">
        <f aca="false" t="array" ref="E172:E172">PRODUCT(1+$D$4:D172)-1</f>
        <v>0.027199565578542</v>
      </c>
      <c r="F172" s="0" t="n">
        <f aca="false">IF(ISBLANK(A173),MONTH(A172),IF(MONTH(A173)-MONTH(A172)=1,MONTH(A172),0))</f>
        <v>0</v>
      </c>
      <c r="G172" s="0" t="str">
        <f aca="false">IF(B173&gt;B172,IF(AND(B171&gt;B172,B173&gt;B172),"min",""),IF(AND(B171&gt;B172,B173&gt;B172),"",IF(AND(B171&lt;B172,B173&lt;B172),"max","")))</f>
        <v>max</v>
      </c>
      <c r="H172" s="0" t="n">
        <f aca="false">IF(G172="min",COUNTIF(G$4:G172,"min"),IF(G172="max",COUNTIF(G$4:G172,"max"),""))</f>
        <v>42</v>
      </c>
      <c r="I172" s="24" t="str">
        <f aca="false" t="array" ref="I172:I172">IF($G$3=0,IF(G172="min",INDEX($B$4:$B$254,(MATCH(1,($G$4:$G$254="max")*($H$4:$H$254=(H172-1)),0))),""),IF($G$3=1,IF(G172="min",INDEX($B$4:$B$254,(MATCH(1,($G$4:$G$254="max")*($H$4:$H$254=(H172)),0))),""),""))</f>
        <v/>
      </c>
      <c r="J172" s="29" t="str">
        <f aca="false">IF(AND(G170=0,G172="min",H172=1),B172-B171,IF(G172="min",B172-I172,""))</f>
        <v/>
      </c>
      <c r="K172" s="34" t="str">
        <f aca="false">IF(AND(G170=0,G172="min",H172=1),(B172-B171)/B171,IF(G172="min",(B172-I172)/I172,""))</f>
        <v/>
      </c>
      <c r="L172" s="5"/>
      <c r="M172" s="0" t="n">
        <f aca="false">E172/COUNT($E$4:E172)</f>
        <v>0.000160944175020958</v>
      </c>
      <c r="N172" s="19" t="n">
        <f aca="false">M172*252</f>
        <v>0.0405579321052815</v>
      </c>
      <c r="O172" s="20" t="n">
        <f aca="false">STDEV($D$4:$D172)</f>
        <v>0.0289537382779927</v>
      </c>
      <c r="P172" s="20" t="n">
        <f aca="false">O172*SQRT(252)</f>
        <v>0.459626346055321</v>
      </c>
      <c r="Q172" s="0" t="n">
        <f aca="false">Treasuries!J170/100</f>
        <v>0.0473</v>
      </c>
      <c r="R172" s="20" t="n">
        <f aca="false">AJ172/AK172*SQRT(252)</f>
        <v>0.139498035199028</v>
      </c>
      <c r="S172" s="32" t="n">
        <f aca="false">IF(D172&lt;s_p!H172, D172-s_p!H172, 0)</f>
        <v>0</v>
      </c>
      <c r="T172" s="0" t="n">
        <f aca="false">S172^2</f>
        <v>0</v>
      </c>
      <c r="U172" s="0" t="n">
        <f aca="false">SQRT(AVERAGE(T$4:T172)) * SQRT(252)</f>
        <v>0.336357462899317</v>
      </c>
      <c r="V172" s="0" t="n">
        <f aca="false">AJ172/U172*252</f>
        <v>0.196413478583375</v>
      </c>
      <c r="W172" s="22" t="n">
        <f aca="false">(s_p!$J172)/COUNT(s_p!$J$4:$J172)</f>
        <v>0.000297306123060378</v>
      </c>
      <c r="X172" s="22" t="n">
        <f aca="false">W172 * 252</f>
        <v>0.0749211430112153</v>
      </c>
      <c r="Y172" s="21" t="n">
        <f aca="false">STDEV(s_p!$H$4:$H172)</f>
        <v>0.0069599156308602</v>
      </c>
      <c r="Z172" s="21" t="n">
        <f aca="false">Y172*SQRT(252)</f>
        <v>0.110485235431484</v>
      </c>
      <c r="AA172" s="0" t="n">
        <f aca="false">AJ172/AK172</f>
        <v>0.00878755022663733</v>
      </c>
      <c r="AB172" s="0" t="n">
        <f aca="false">_xlfn.COVARIANCE.S($D$4:$D172,s_p!$H$4:$H172)</f>
        <v>-1.63873243401741E-006</v>
      </c>
      <c r="AC172" s="0" t="n">
        <f aca="false">_xlfn.VAR.S(s_p!$H$4:$H172)</f>
        <v>4.84404255886921E-005</v>
      </c>
      <c r="AD172" s="0" t="n">
        <f aca="false">AB172/AC172</f>
        <v>-0.0338298521142629</v>
      </c>
      <c r="AE172" s="0" t="n">
        <f aca="false">M172-(AD172*W172)</f>
        <v>0.000171001997196756</v>
      </c>
      <c r="AF172" s="33" t="n">
        <f aca="false">MAX($E$4:E172)</f>
        <v>0.280129884293098</v>
      </c>
      <c r="AG172" s="0" t="n">
        <f aca="false">1 - ((1 + E172) / (1 + AF172))</f>
        <v>0.197581762458602</v>
      </c>
      <c r="AH172" s="0" t="n">
        <f aca="false">MAX($AG$5:AG172)</f>
        <v>0.322303580832179</v>
      </c>
      <c r="AI172" s="19" t="n">
        <f aca="false">D172-s_p!H172</f>
        <v>0.0348854351060728</v>
      </c>
      <c r="AJ172" s="19" t="n">
        <f aca="false">AVERAGE(AI$4:AI172)</f>
        <v>0.000262163251331481</v>
      </c>
      <c r="AK172" s="0" t="n">
        <f aca="false">STDEV(AI$4:AI172)</f>
        <v>0.0298334853935511</v>
      </c>
    </row>
    <row r="173" customFormat="false" ht="13.8" hidden="false" customHeight="false" outlineLevel="0" collapsed="false">
      <c r="A173" s="6" t="n">
        <f aca="false">WORKDAY(A172,1,holiday!$B$2:$B$10)</f>
        <v>38965</v>
      </c>
      <c r="B173" s="24" t="n">
        <v>1016927.56992276</v>
      </c>
      <c r="C173" s="24" t="n">
        <f aca="false">B173-B172</f>
        <v>-10271.9956557854</v>
      </c>
      <c r="D173" s="31" t="n">
        <f aca="false">C173/B172</f>
        <v>-0.01</v>
      </c>
      <c r="E173" s="31" t="n">
        <f aca="false" t="array" ref="E173:E173">PRODUCT(1+$D$4:D173)-1</f>
        <v>0.0169275699227567</v>
      </c>
      <c r="F173" s="0" t="n">
        <f aca="false">IF(ISBLANK(A174),MONTH(A173),IF(MONTH(A174)-MONTH(A173)=1,MONTH(A173),0))</f>
        <v>0</v>
      </c>
      <c r="G173" s="0" t="str">
        <f aca="false">IF(B174&gt;B173,IF(AND(B172&gt;B173,B174&gt;B173),"min",""),IF(AND(B172&gt;B173,B174&gt;B173),"",IF(AND(B172&lt;B173,B174&lt;B173),"max","")))</f>
        <v>min</v>
      </c>
      <c r="H173" s="0" t="n">
        <f aca="false">IF(G173="min",COUNTIF(G$4:G173,"min"),IF(G173="max",COUNTIF(G$4:G173,"max"),""))</f>
        <v>43</v>
      </c>
      <c r="I173" s="24" t="n">
        <f aca="false" t="array" ref="I173:I173">IF($G$3=0,IF(G173="min",INDEX($B$4:$B$254,(MATCH(1,($G$4:$G$254="max")*($H$4:$H$254=(H173-1)),0))),""),IF($G$3=1,IF(G173="min",INDEX($B$4:$B$254,(MATCH(1,($G$4:$G$254="max")*($H$4:$H$254=(H173)),0))),""),""))</f>
        <v>1027199.56557854</v>
      </c>
      <c r="J173" s="29" t="n">
        <f aca="false">IF(AND(G171=0,G173="min",H173=1),B173-B172,IF(G173="min",B173-I173,""))</f>
        <v>-10271.99565578</v>
      </c>
      <c r="K173" s="34" t="n">
        <f aca="false">IF(AND(G171=0,G173="min",H173=1),(B173-B172)/B172,IF(G173="min",(B173-I173)/I173,""))</f>
        <v>-0.00999999999999471</v>
      </c>
      <c r="L173" s="5"/>
      <c r="M173" s="0" t="n">
        <f aca="false">E173/COUNT($E$4:E173)</f>
        <v>9.95739407220981E-005</v>
      </c>
      <c r="N173" s="19" t="n">
        <f aca="false">M173*252</f>
        <v>0.0250926330619687</v>
      </c>
      <c r="O173" s="20" t="n">
        <f aca="false">STDEV($D$4:$D173)</f>
        <v>0.0288793435850477</v>
      </c>
      <c r="P173" s="20" t="n">
        <f aca="false">O173*SQRT(252)</f>
        <v>0.458445366916949</v>
      </c>
      <c r="Q173" s="0" t="n">
        <f aca="false">Treasuries!J171/100</f>
        <v>0.0478</v>
      </c>
      <c r="R173" s="20" t="n">
        <f aca="false">AJ173/AK173*SQRT(252)</f>
        <v>0.102283761831735</v>
      </c>
      <c r="S173" s="32" t="n">
        <f aca="false">IF(D173&lt;s_p!H173, D173-s_p!H173, 0)</f>
        <v>-0.0117086063416756</v>
      </c>
      <c r="T173" s="0" t="n">
        <f aca="false">S173^2</f>
        <v>0.000137091462464326</v>
      </c>
      <c r="U173" s="0" t="n">
        <f aca="false">SQRT(AVERAGE(T$4:T173)) * SQRT(252)</f>
        <v>0.335669559063007</v>
      </c>
      <c r="V173" s="0" t="n">
        <f aca="false">AJ173/U173*252</f>
        <v>0.143951789837825</v>
      </c>
      <c r="W173" s="22" t="n">
        <f aca="false">(s_p!$J173)/COUNT(s_p!$J$4:$J173)</f>
        <v>0.000306112880066999</v>
      </c>
      <c r="X173" s="22" t="n">
        <f aca="false">W173 * 252</f>
        <v>0.0771404457768838</v>
      </c>
      <c r="Y173" s="21" t="n">
        <f aca="false">STDEV(s_p!$H$4:$H173)</f>
        <v>0.00694011771078967</v>
      </c>
      <c r="Z173" s="21" t="n">
        <f aca="false">Y173*SQRT(252)</f>
        <v>0.110170953193586</v>
      </c>
      <c r="AA173" s="0" t="n">
        <f aca="false">AJ173/AK173</f>
        <v>0.00644327135635562</v>
      </c>
      <c r="AB173" s="0" t="n">
        <f aca="false">_xlfn.COVARIANCE.S($D$4:$D173,s_p!$H$4:$H173)</f>
        <v>-1.7157889735998E-006</v>
      </c>
      <c r="AC173" s="0" t="n">
        <f aca="false">_xlfn.VAR.S(s_p!$H$4:$H173)</f>
        <v>4.81652338396164E-005</v>
      </c>
      <c r="AD173" s="0" t="n">
        <f aca="false">AB173/AC173</f>
        <v>-0.035622976093361</v>
      </c>
      <c r="AE173" s="0" t="n">
        <f aca="false">M173-(AD173*W173)</f>
        <v>0.000110478592530595</v>
      </c>
      <c r="AF173" s="33" t="n">
        <f aca="false">MAX($E$4:E173)</f>
        <v>0.280129884293098</v>
      </c>
      <c r="AG173" s="0" t="n">
        <f aca="false">1 - ((1 + E173) / (1 + AF173))</f>
        <v>0.205605944834015</v>
      </c>
      <c r="AH173" s="0" t="n">
        <f aca="false">MAX($AG$5:AG173)</f>
        <v>0.322303580832179</v>
      </c>
      <c r="AI173" s="19" t="n">
        <f aca="false">D173-s_p!H173</f>
        <v>-0.0117086063416756</v>
      </c>
      <c r="AJ173" s="19" t="n">
        <f aca="false">AVERAGE(AI$4:AI173)</f>
        <v>0.00019174695960791</v>
      </c>
      <c r="AK173" s="0" t="n">
        <f aca="false">STDEV(AI$4:AI173)</f>
        <v>0.0297592556642476</v>
      </c>
    </row>
    <row r="174" customFormat="false" ht="13.8" hidden="false" customHeight="false" outlineLevel="0" collapsed="false">
      <c r="A174" s="6" t="n">
        <f aca="false">WORKDAY(A173,1,holiday!$B$2:$B$10)</f>
        <v>38966</v>
      </c>
      <c r="B174" s="24" t="n">
        <v>1055265.73930884</v>
      </c>
      <c r="C174" s="24" t="n">
        <f aca="false">B174-B173</f>
        <v>38338.1693860878</v>
      </c>
      <c r="D174" s="31" t="n">
        <f aca="false">C174/B173</f>
        <v>0.0376999999999999</v>
      </c>
      <c r="E174" s="31" t="n">
        <f aca="false" t="array" ref="E174:E174">PRODUCT(1+$D$4:D174)-1</f>
        <v>0.0552657393088443</v>
      </c>
      <c r="F174" s="0" t="n">
        <f aca="false">IF(ISBLANK(A175),MONTH(A174),IF(MONTH(A175)-MONTH(A174)=1,MONTH(A174),0))</f>
        <v>0</v>
      </c>
      <c r="G174" s="0" t="str">
        <f aca="false">IF(B175&gt;B174,IF(AND(B173&gt;B174,B175&gt;B174),"min",""),IF(AND(B173&gt;B174,B175&gt;B174),"",IF(AND(B173&lt;B174,B175&lt;B174),"max","")))</f>
        <v/>
      </c>
      <c r="H174" s="0" t="str">
        <f aca="false">IF(G174="min",COUNTIF(G$4:G174,"min"),IF(G174="max",COUNTIF(G$4:G174,"max"),""))</f>
        <v/>
      </c>
      <c r="I174" s="24" t="str">
        <f aca="false" t="array" ref="I174:I174">IF($G$3=0,IF(G174="min",INDEX($B$4:$B$254,(MATCH(1,($G$4:$G$254="max")*($H$4:$H$254=(H174-1)),0))),""),IF($G$3=1,IF(G174="min",INDEX($B$4:$B$254,(MATCH(1,($G$4:$G$254="max")*($H$4:$H$254=(H174)),0))),""),""))</f>
        <v/>
      </c>
      <c r="J174" s="29" t="str">
        <f aca="false">IF(AND(G172=0,G174="min",H174=1),B174-B173,IF(G174="min",B174-I174,""))</f>
        <v/>
      </c>
      <c r="K174" s="34" t="str">
        <f aca="false">IF(AND(G172=0,G174="min",H174=1),(B174-B173)/B173,IF(G174="min",(B174-I174)/I174,""))</f>
        <v/>
      </c>
      <c r="L174" s="5"/>
      <c r="M174" s="0" t="n">
        <f aca="false">E174/COUNT($E$4:E174)</f>
        <v>0.000323191457946458</v>
      </c>
      <c r="N174" s="19" t="n">
        <f aca="false">M174*252</f>
        <v>0.0814442474025073</v>
      </c>
      <c r="O174" s="20" t="n">
        <f aca="false">STDEV($D$4:$D174)</f>
        <v>0.028934356687233</v>
      </c>
      <c r="P174" s="20" t="n">
        <f aca="false">O174*SQRT(252)</f>
        <v>0.459318672840343</v>
      </c>
      <c r="Q174" s="0" t="n">
        <f aca="false">Treasuries!J172/100</f>
        <v>0.048</v>
      </c>
      <c r="R174" s="20" t="n">
        <f aca="false">AJ174/AK174*SQRT(252)</f>
        <v>0.249033901711169</v>
      </c>
      <c r="S174" s="32" t="n">
        <f aca="false">IF(D174&lt;s_p!H174, D174-s_p!H174, 0)</f>
        <v>0</v>
      </c>
      <c r="T174" s="0" t="n">
        <f aca="false">S174^2</f>
        <v>0</v>
      </c>
      <c r="U174" s="0" t="n">
        <f aca="false">SQRT(AVERAGE(T$4:T174)) * SQRT(252)</f>
        <v>0.334686629986324</v>
      </c>
      <c r="V174" s="0" t="n">
        <f aca="false">AJ174/U174*252</f>
        <v>0.353083980611036</v>
      </c>
      <c r="W174" s="22" t="n">
        <f aca="false">(s_p!$J174)/COUNT(s_p!$J$4:$J174)</f>
        <v>0.000243467566555031</v>
      </c>
      <c r="X174" s="22" t="n">
        <f aca="false">W174 * 252</f>
        <v>0.0613538267718679</v>
      </c>
      <c r="Y174" s="21" t="n">
        <f aca="false">STDEV(s_p!$H$4:$H174)</f>
        <v>0.00696361865235397</v>
      </c>
      <c r="Z174" s="21" t="n">
        <f aca="false">Y174*SQRT(252)</f>
        <v>0.110544019075316</v>
      </c>
      <c r="AA174" s="0" t="n">
        <f aca="false">AJ174/AK174</f>
        <v>0.0156876612369491</v>
      </c>
      <c r="AB174" s="0" t="n">
        <f aca="false">_xlfn.COVARIANCE.S($D$4:$D174,s_p!$H$4:$H174)</f>
        <v>-3.92681564899321E-006</v>
      </c>
      <c r="AC174" s="0" t="n">
        <f aca="false">_xlfn.VAR.S(s_p!$H$4:$H174)</f>
        <v>4.84919847354122E-005</v>
      </c>
      <c r="AD174" s="0" t="n">
        <f aca="false">AB174/AC174</f>
        <v>-0.0809786539037157</v>
      </c>
      <c r="AE174" s="0" t="n">
        <f aca="false">M174-(AD174*W174)</f>
        <v>0.000342907133755297</v>
      </c>
      <c r="AF174" s="33" t="n">
        <f aca="false">MAX($E$4:E174)</f>
        <v>0.280129884293098</v>
      </c>
      <c r="AG174" s="0" t="n">
        <f aca="false">1 - ((1 + E174) / (1 + AF174))</f>
        <v>0.175657288954258</v>
      </c>
      <c r="AH174" s="0" t="n">
        <f aca="false">MAX($AG$5:AG174)</f>
        <v>0.322303580832179</v>
      </c>
      <c r="AI174" s="19" t="n">
        <f aca="false">D174-s_p!H174</f>
        <v>0.0475914905768132</v>
      </c>
      <c r="AJ174" s="19" t="n">
        <f aca="false">AVERAGE(AI$4:AI174)</f>
        <v>0.000468938442749462</v>
      </c>
      <c r="AK174" s="0" t="n">
        <f aca="false">STDEV(AI$4:AI174)</f>
        <v>0.0298921831410391</v>
      </c>
    </row>
    <row r="175" customFormat="false" ht="13.8" hidden="false" customHeight="false" outlineLevel="0" collapsed="false">
      <c r="A175" s="6" t="n">
        <f aca="false">WORKDAY(A174,1,holiday!$B$2:$B$10)</f>
        <v>38967</v>
      </c>
      <c r="B175" s="24" t="n">
        <v>1087134.76463597</v>
      </c>
      <c r="C175" s="24" t="n">
        <f aca="false">B175-B174</f>
        <v>31869.0253271272</v>
      </c>
      <c r="D175" s="31" t="n">
        <f aca="false">C175/B174</f>
        <v>0.0302000000000001</v>
      </c>
      <c r="E175" s="31" t="n">
        <f aca="false" t="array" ref="E175:E175">PRODUCT(1+$D$4:D175)-1</f>
        <v>0.0871347646359713</v>
      </c>
      <c r="F175" s="0" t="n">
        <f aca="false">IF(ISBLANK(A176),MONTH(A175),IF(MONTH(A176)-MONTH(A175)=1,MONTH(A175),0))</f>
        <v>0</v>
      </c>
      <c r="G175" s="0" t="str">
        <f aca="false">IF(B176&gt;B175,IF(AND(B174&gt;B175,B176&gt;B175),"min",""),IF(AND(B174&gt;B175,B176&gt;B175),"",IF(AND(B174&lt;B175,B176&lt;B175),"max","")))</f>
        <v/>
      </c>
      <c r="H175" s="0" t="str">
        <f aca="false">IF(G175="min",COUNTIF(G$4:G175,"min"),IF(G175="max",COUNTIF(G$4:G175,"max"),""))</f>
        <v/>
      </c>
      <c r="I175" s="24" t="str">
        <f aca="false" t="array" ref="I175:I175">IF($G$3=0,IF(G175="min",INDEX($B$4:$B$254,(MATCH(1,($G$4:$G$254="max")*($H$4:$H$254=(H175-1)),0))),""),IF($G$3=1,IF(G175="min",INDEX($B$4:$B$254,(MATCH(1,($G$4:$G$254="max")*($H$4:$H$254=(H175)),0))),""),""))</f>
        <v/>
      </c>
      <c r="J175" s="29" t="str">
        <f aca="false">IF(AND(G173=0,G175="min",H175=1),B175-B174,IF(G175="min",B175-I175,""))</f>
        <v/>
      </c>
      <c r="K175" s="34" t="str">
        <f aca="false">IF(AND(G173=0,G175="min",H175=1),(B175-B174)/B174,IF(G175="min",(B175-I175)/I175,""))</f>
        <v/>
      </c>
      <c r="L175" s="5"/>
      <c r="M175" s="0" t="n">
        <f aca="false">E175/COUNT($E$4:E175)</f>
        <v>0.000506597468813786</v>
      </c>
      <c r="N175" s="19" t="n">
        <f aca="false">M175*252</f>
        <v>0.127662562141074</v>
      </c>
      <c r="O175" s="20" t="n">
        <f aca="false">STDEV($D$4:$D175)</f>
        <v>0.0289369983678509</v>
      </c>
      <c r="P175" s="20" t="n">
        <f aca="false">O175*SQRT(252)</f>
        <v>0.459360608220092</v>
      </c>
      <c r="Q175" s="0" t="n">
        <f aca="false">Treasuries!J173/100</f>
        <v>0.048</v>
      </c>
      <c r="R175" s="20" t="n">
        <f aca="false">AJ175/AK175*SQRT(252)</f>
        <v>0.355308191142546</v>
      </c>
      <c r="S175" s="32" t="n">
        <f aca="false">IF(D175&lt;s_p!H175, D175-s_p!H175, 0)</f>
        <v>0</v>
      </c>
      <c r="T175" s="0" t="n">
        <f aca="false">S175^2</f>
        <v>0</v>
      </c>
      <c r="U175" s="0" t="n">
        <f aca="false">SQRT(AVERAGE(T$4:T175)) * SQRT(252)</f>
        <v>0.333712285473511</v>
      </c>
      <c r="V175" s="0" t="n">
        <f aca="false">AJ175/U175*252</f>
        <v>0.505714380650115</v>
      </c>
      <c r="W175" s="22" t="n">
        <f aca="false">(s_p!$J175)/COUNT(s_p!$J$4:$J175)</f>
        <v>0.000212989043430025</v>
      </c>
      <c r="X175" s="22" t="n">
        <f aca="false">W175 * 252</f>
        <v>0.0536732389443663</v>
      </c>
      <c r="Y175" s="21" t="n">
        <f aca="false">STDEV(s_p!$H$4:$H175)</f>
        <v>0.00695394585259079</v>
      </c>
      <c r="Z175" s="21" t="n">
        <f aca="false">Y175*SQRT(252)</f>
        <v>0.110390468139386</v>
      </c>
      <c r="AA175" s="0" t="n">
        <f aca="false">AJ175/AK175</f>
        <v>0.0223823122035091</v>
      </c>
      <c r="AB175" s="0" t="n">
        <f aca="false">_xlfn.COVARIANCE.S($D$4:$D175,s_p!$H$4:$H175)</f>
        <v>-4.77105959386308E-006</v>
      </c>
      <c r="AC175" s="0" t="n">
        <f aca="false">_xlfn.VAR.S(s_p!$H$4:$H175)</f>
        <v>4.83573629207646E-005</v>
      </c>
      <c r="AD175" s="0" t="n">
        <f aca="false">AB175/AC175</f>
        <v>-0.0986625263598564</v>
      </c>
      <c r="AE175" s="0" t="n">
        <f aca="false">M175-(AD175*W175)</f>
        <v>0.000527611505925562</v>
      </c>
      <c r="AF175" s="33" t="n">
        <f aca="false">MAX($E$4:E175)</f>
        <v>0.280129884293098</v>
      </c>
      <c r="AG175" s="0" t="n">
        <f aca="false">1 - ((1 + E175) / (1 + AF175))</f>
        <v>0.150762139080677</v>
      </c>
      <c r="AH175" s="0" t="n">
        <f aca="false">MAX($AG$5:AG175)</f>
        <v>0.322303580832179</v>
      </c>
      <c r="AI175" s="19" t="n">
        <f aca="false">D175-s_p!H175</f>
        <v>0.0349990401919617</v>
      </c>
      <c r="AJ175" s="19" t="n">
        <f aca="false">AVERAGE(AI$4:AI175)</f>
        <v>0.000669694848268137</v>
      </c>
      <c r="AK175" s="0" t="n">
        <f aca="false">STDEV(AI$4:AI175)</f>
        <v>0.029920717849836</v>
      </c>
    </row>
    <row r="176" customFormat="false" ht="13.8" hidden="false" customHeight="false" outlineLevel="0" collapsed="false">
      <c r="A176" s="6" t="n">
        <f aca="false">WORKDAY(A175,1,holiday!$B$2:$B$10)</f>
        <v>38968</v>
      </c>
      <c r="B176" s="24" t="n">
        <v>1092135.5845533</v>
      </c>
      <c r="C176" s="24" t="n">
        <f aca="false">B176-B175</f>
        <v>5000.8199173254</v>
      </c>
      <c r="D176" s="31" t="n">
        <f aca="false">C176/B175</f>
        <v>0.00459999999999993</v>
      </c>
      <c r="E176" s="31" t="n">
        <f aca="false" t="array" ref="E176:E176">PRODUCT(1+$D$4:D176)-1</f>
        <v>0.0921355845532967</v>
      </c>
      <c r="F176" s="0" t="n">
        <f aca="false">IF(ISBLANK(A177),MONTH(A176),IF(MONTH(A177)-MONTH(A176)=1,MONTH(A176),0))</f>
        <v>0</v>
      </c>
      <c r="G176" s="0" t="str">
        <f aca="false">IF(B177&gt;B176,IF(AND(B175&gt;B176,B177&gt;B176),"min",""),IF(AND(B175&gt;B176,B177&gt;B176),"",IF(AND(B175&lt;B176,B177&lt;B176),"max","")))</f>
        <v>max</v>
      </c>
      <c r="H176" s="0" t="n">
        <f aca="false">IF(G176="min",COUNTIF(G$4:G176,"min"),IF(G176="max",COUNTIF(G$4:G176,"max"),""))</f>
        <v>43</v>
      </c>
      <c r="I176" s="24" t="str">
        <f aca="false" t="array" ref="I176:I176">IF($G$3=0,IF(G176="min",INDEX($B$4:$B$254,(MATCH(1,($G$4:$G$254="max")*($H$4:$H$254=(H176-1)),0))),""),IF($G$3=1,IF(G176="min",INDEX($B$4:$B$254,(MATCH(1,($G$4:$G$254="max")*($H$4:$H$254=(H176)),0))),""),""))</f>
        <v/>
      </c>
      <c r="J176" s="29" t="str">
        <f aca="false">IF(AND(G174=0,G176="min",H176=1),B176-B175,IF(G176="min",B176-I176,""))</f>
        <v/>
      </c>
      <c r="K176" s="34" t="str">
        <f aca="false">IF(AND(G174=0,G176="min",H176=1),(B176-B175)/B175,IF(G176="min",(B176-I176)/I176,""))</f>
        <v/>
      </c>
      <c r="L176" s="5"/>
      <c r="M176" s="0" t="n">
        <f aca="false">E176/COUNT($E$4:E176)</f>
        <v>0.00053257563325605</v>
      </c>
      <c r="N176" s="19" t="n">
        <f aca="false">M176*252</f>
        <v>0.134209059580525</v>
      </c>
      <c r="O176" s="20" t="n">
        <f aca="false">STDEV($D$4:$D176)</f>
        <v>0.0288541257009995</v>
      </c>
      <c r="P176" s="20" t="n">
        <f aca="false">O176*SQRT(252)</f>
        <v>0.458045045418252</v>
      </c>
      <c r="Q176" s="0" t="n">
        <f aca="false">Treasuries!J174/100</f>
        <v>0.0478</v>
      </c>
      <c r="R176" s="20" t="n">
        <f aca="false">AJ176/AK176*SQRT(252)</f>
        <v>0.356787412179234</v>
      </c>
      <c r="S176" s="32" t="n">
        <f aca="false">IF(D176&lt;s_p!H176, D176-s_p!H176, 0)</f>
        <v>0</v>
      </c>
      <c r="T176" s="0" t="n">
        <f aca="false">S176^2</f>
        <v>0</v>
      </c>
      <c r="U176" s="0" t="n">
        <f aca="false">SQRT(AVERAGE(T$4:T176)) * SQRT(252)</f>
        <v>0.332746401290034</v>
      </c>
      <c r="V176" s="0" t="n">
        <f aca="false">AJ176/U176*252</f>
        <v>0.507811224852517</v>
      </c>
      <c r="W176" s="22" t="n">
        <f aca="false">(s_p!$J176)/COUNT(s_p!$J$4:$J176)</f>
        <v>0.000234447892346797</v>
      </c>
      <c r="X176" s="22" t="n">
        <f aca="false">W176 * 252</f>
        <v>0.0590808688713928</v>
      </c>
      <c r="Y176" s="21" t="n">
        <f aca="false">STDEV(s_p!$H$4:$H176)</f>
        <v>0.00693896270464415</v>
      </c>
      <c r="Z176" s="21" t="n">
        <f aca="false">Y176*SQRT(252)</f>
        <v>0.110152618039443</v>
      </c>
      <c r="AA176" s="0" t="n">
        <f aca="false">AJ176/AK176</f>
        <v>0.0224754943701084</v>
      </c>
      <c r="AB176" s="0" t="n">
        <f aca="false">_xlfn.COVARIANCE.S($D$4:$D176,s_p!$H$4:$H176)</f>
        <v>-4.66738221643022E-006</v>
      </c>
      <c r="AC176" s="0" t="n">
        <f aca="false">_xlfn.VAR.S(s_p!$H$4:$H176)</f>
        <v>4.81492034164425E-005</v>
      </c>
      <c r="AD176" s="0" t="n">
        <f aca="false">AB176/AC176</f>
        <v>-0.0969358137882787</v>
      </c>
      <c r="AE176" s="0" t="n">
        <f aca="false">M176-(AD176*W176)</f>
        <v>0.000555302030491634</v>
      </c>
      <c r="AF176" s="33" t="n">
        <f aca="false">MAX($E$4:E176)</f>
        <v>0.280129884293098</v>
      </c>
      <c r="AG176" s="0" t="n">
        <f aca="false">1 - ((1 + E176) / (1 + AF176))</f>
        <v>0.146855644920448</v>
      </c>
      <c r="AH176" s="0" t="n">
        <f aca="false">MAX($AG$5:AG176)</f>
        <v>0.322303580832179</v>
      </c>
      <c r="AI176" s="19" t="n">
        <f aca="false">D176-s_p!H176</f>
        <v>0.000813350643730223</v>
      </c>
      <c r="AJ176" s="19" t="n">
        <f aca="false">AVERAGE(AI$4:AI176)</f>
        <v>0.000670525228588728</v>
      </c>
      <c r="AK176" s="0" t="n">
        <f aca="false">STDEV(AI$4:AI176)</f>
        <v>0.0298336142265463</v>
      </c>
    </row>
    <row r="177" customFormat="false" ht="13.8" hidden="false" customHeight="false" outlineLevel="0" collapsed="false">
      <c r="A177" s="6" t="n">
        <f aca="false">WORKDAY(A176,1,holiday!$B$2:$B$10)</f>
        <v>38971</v>
      </c>
      <c r="B177" s="24" t="n">
        <v>1056313.53737995</v>
      </c>
      <c r="C177" s="24" t="n">
        <f aca="false">B177-B176</f>
        <v>-35822.047173348</v>
      </c>
      <c r="D177" s="31" t="n">
        <f aca="false">C177/B176</f>
        <v>-0.0327999999999999</v>
      </c>
      <c r="E177" s="31" t="n">
        <f aca="false" t="array" ref="E177:E177">PRODUCT(1+$D$4:D177)-1</f>
        <v>0.0563135373799488</v>
      </c>
      <c r="F177" s="0" t="n">
        <f aca="false">IF(ISBLANK(A178),MONTH(A177),IF(MONTH(A178)-MONTH(A177)=1,MONTH(A177),0))</f>
        <v>0</v>
      </c>
      <c r="G177" s="0" t="str">
        <f aca="false">IF(B178&gt;B177,IF(AND(B176&gt;B177,B178&gt;B177),"min",""),IF(AND(B176&gt;B177,B178&gt;B177),"",IF(AND(B176&lt;B177,B178&lt;B177),"max","")))</f>
        <v/>
      </c>
      <c r="H177" s="0" t="str">
        <f aca="false">IF(G177="min",COUNTIF(G$4:G177,"min"),IF(G177="max",COUNTIF(G$4:G177,"max"),""))</f>
        <v/>
      </c>
      <c r="I177" s="24" t="str">
        <f aca="false" t="array" ref="I177:I177">IF($G$3=0,IF(G177="min",INDEX($B$4:$B$254,(MATCH(1,($G$4:$G$254="max")*($H$4:$H$254=(H177-1)),0))),""),IF($G$3=1,IF(G177="min",INDEX($B$4:$B$254,(MATCH(1,($G$4:$G$254="max")*($H$4:$H$254=(H177)),0))),""),""))</f>
        <v/>
      </c>
      <c r="J177" s="29" t="str">
        <f aca="false">IF(AND(G175=0,G177="min",H177=1),B177-B176,IF(G177="min",B177-I177,""))</f>
        <v/>
      </c>
      <c r="K177" s="34" t="str">
        <f aca="false">IF(AND(G175=0,G177="min",H177=1),(B177-B176)/B176,IF(G177="min",(B177-I177)/I177,""))</f>
        <v/>
      </c>
      <c r="L177" s="5"/>
      <c r="M177" s="0" t="n">
        <f aca="false">E177/COUNT($E$4:E177)</f>
        <v>0.000323641019424993</v>
      </c>
      <c r="N177" s="19" t="n">
        <f aca="false">M177*252</f>
        <v>0.0815575368950983</v>
      </c>
      <c r="O177" s="20" t="n">
        <f aca="false">STDEV($D$4:$D177)</f>
        <v>0.028883982456752</v>
      </c>
      <c r="P177" s="20" t="n">
        <f aca="false">O177*SQRT(252)</f>
        <v>0.458519006722309</v>
      </c>
      <c r="Q177" s="0" t="n">
        <f aca="false">Treasuries!J175/100</f>
        <v>0.048</v>
      </c>
      <c r="R177" s="20" t="n">
        <f aca="false">AJ177/AK177*SQRT(252)</f>
        <v>0.252763210408806</v>
      </c>
      <c r="S177" s="32" t="n">
        <f aca="false">IF(D177&lt;s_p!H177, D177-s_p!H177, 0)</f>
        <v>-0.0332773196193758</v>
      </c>
      <c r="T177" s="0" t="n">
        <f aca="false">S177^2</f>
        <v>0.00110738000105009</v>
      </c>
      <c r="U177" s="0" t="n">
        <f aca="false">SQRT(AVERAGE(T$4:T177)) * SQRT(252)</f>
        <v>0.334197002522453</v>
      </c>
      <c r="V177" s="0" t="n">
        <f aca="false">AJ177/U177*252</f>
        <v>0.35849068794009</v>
      </c>
      <c r="W177" s="22" t="n">
        <f aca="false">(s_p!$J177)/COUNT(s_p!$J$4:$J177)</f>
        <v>0.000235954970307434</v>
      </c>
      <c r="X177" s="22" t="n">
        <f aca="false">W177 * 252</f>
        <v>0.0594606525174734</v>
      </c>
      <c r="Y177" s="21" t="n">
        <f aca="false">STDEV(s_p!$H$4:$H177)</f>
        <v>0.00691889959289758</v>
      </c>
      <c r="Z177" s="21" t="n">
        <f aca="false">Y177*SQRT(252)</f>
        <v>0.109834126014198</v>
      </c>
      <c r="AA177" s="0" t="n">
        <f aca="false">AJ177/AK177</f>
        <v>0.0159225856030476</v>
      </c>
      <c r="AB177" s="0" t="n">
        <f aca="false">_xlfn.COVARIANCE.S($D$4:$D177,s_p!$H$4:$H177)</f>
        <v>-4.68373444304318E-006</v>
      </c>
      <c r="AC177" s="0" t="n">
        <f aca="false">_xlfn.VAR.S(s_p!$H$4:$H177)</f>
        <v>4.78711715765984E-005</v>
      </c>
      <c r="AD177" s="0" t="n">
        <f aca="false">AB177/AC177</f>
        <v>-0.0978403972325759</v>
      </c>
      <c r="AE177" s="0" t="n">
        <f aca="false">M177-(AD177*W177)</f>
        <v>0.000346726947448873</v>
      </c>
      <c r="AF177" s="33" t="n">
        <f aca="false">MAX($E$4:E177)</f>
        <v>0.280129884293098</v>
      </c>
      <c r="AG177" s="0" t="n">
        <f aca="false">1 - ((1 + E177) / (1 + AF177))</f>
        <v>0.174838779767057</v>
      </c>
      <c r="AH177" s="0" t="n">
        <f aca="false">MAX($AG$5:AG177)</f>
        <v>0.322303580832179</v>
      </c>
      <c r="AI177" s="19" t="n">
        <f aca="false">D177-s_p!H177</f>
        <v>-0.0332773196193758</v>
      </c>
      <c r="AJ177" s="19" t="n">
        <f aca="false">AVERAGE(AI$4:AI177)</f>
        <v>0.00047542267199123</v>
      </c>
      <c r="AK177" s="0" t="n">
        <f aca="false">STDEV(AI$4:AI177)</f>
        <v>0.0298583837979325</v>
      </c>
    </row>
    <row r="178" customFormat="false" ht="13.8" hidden="false" customHeight="false" outlineLevel="0" collapsed="false">
      <c r="A178" s="6" t="n">
        <f aca="false">WORKDAY(A177,1,holiday!$B$2:$B$10)</f>
        <v>38972</v>
      </c>
      <c r="B178" s="24" t="n">
        <v>1006772.43247683</v>
      </c>
      <c r="C178" s="24" t="n">
        <f aca="false">B178-B177</f>
        <v>-49541.1049031196</v>
      </c>
      <c r="D178" s="31" t="n">
        <f aca="false">C178/B177</f>
        <v>-0.0469</v>
      </c>
      <c r="E178" s="31" t="n">
        <f aca="false" t="array" ref="E178:E178">PRODUCT(1+$D$4:D178)-1</f>
        <v>0.00677243247682902</v>
      </c>
      <c r="F178" s="0" t="n">
        <f aca="false">IF(ISBLANK(A179),MONTH(A178),IF(MONTH(A179)-MONTH(A178)=1,MONTH(A178),0))</f>
        <v>0</v>
      </c>
      <c r="G178" s="0" t="str">
        <f aca="false">IF(B179&gt;B178,IF(AND(B177&gt;B178,B179&gt;B178),"min",""),IF(AND(B177&gt;B178,B179&gt;B178),"",IF(AND(B177&lt;B178,B179&lt;B178),"max","")))</f>
        <v>min</v>
      </c>
      <c r="H178" s="0" t="n">
        <f aca="false">IF(G178="min",COUNTIF(G$4:G178,"min"),IF(G178="max",COUNTIF(G$4:G178,"max"),""))</f>
        <v>44</v>
      </c>
      <c r="I178" s="24" t="n">
        <f aca="false" t="array" ref="I178:I178">IF($G$3=0,IF(G178="min",INDEX($B$4:$B$254,(MATCH(1,($G$4:$G$254="max")*($H$4:$H$254=(H178-1)),0))),""),IF($G$3=1,IF(G178="min",INDEX($B$4:$B$254,(MATCH(1,($G$4:$G$254="max")*($H$4:$H$254=(H178)),0))),""),""))</f>
        <v>1092135.5845533</v>
      </c>
      <c r="J178" s="29" t="n">
        <f aca="false">IF(AND(G176=0,G178="min",H178=1),B178-B177,IF(G178="min",B178-I178,""))</f>
        <v>-85363.15207647</v>
      </c>
      <c r="K178" s="34" t="n">
        <f aca="false">IF(AND(G176=0,G178="min",H178=1),(B178-B177)/B177,IF(G178="min",(B178-I178)/I178,""))</f>
        <v>-0.0781616800000018</v>
      </c>
      <c r="L178" s="5"/>
      <c r="M178" s="0" t="n">
        <f aca="false">E178/COUNT($E$4:E178)</f>
        <v>3.86996141533087E-005</v>
      </c>
      <c r="N178" s="19" t="n">
        <f aca="false">M178*252</f>
        <v>0.00975230276663378</v>
      </c>
      <c r="O178" s="20" t="n">
        <f aca="false">STDEV($D$4:$D178)</f>
        <v>0.0290250491783038</v>
      </c>
      <c r="P178" s="20" t="n">
        <f aca="false">O178*SQRT(252)</f>
        <v>0.460758371503269</v>
      </c>
      <c r="Q178" s="0" t="n">
        <f aca="false">Treasuries!J176/100</f>
        <v>0.0478</v>
      </c>
      <c r="R178" s="20" t="n">
        <f aca="false">AJ178/AK178*SQRT(252)</f>
        <v>0.0767701423080608</v>
      </c>
      <c r="S178" s="32" t="n">
        <f aca="false">IF(D178&lt;s_p!H178, D178-s_p!H178, 0)</f>
        <v>-0.0572575111193193</v>
      </c>
      <c r="T178" s="0" t="n">
        <f aca="false">S178^2</f>
        <v>0.00327842257957897</v>
      </c>
      <c r="U178" s="0" t="n">
        <f aca="false">SQRT(AVERAGE(T$4:T178)) * SQRT(252)</f>
        <v>0.340250422400767</v>
      </c>
      <c r="V178" s="0" t="n">
        <f aca="false">AJ178/U178*252</f>
        <v>0.107776761667351</v>
      </c>
      <c r="W178" s="22" t="n">
        <f aca="false">(s_p!$J178)/COUNT(s_p!$J$4:$J178)</f>
        <v>0.000296222375066241</v>
      </c>
      <c r="X178" s="22" t="n">
        <f aca="false">W178 * 252</f>
        <v>0.0746480385166927</v>
      </c>
      <c r="Y178" s="21" t="n">
        <f aca="false">STDEV(s_p!$H$4:$H178)</f>
        <v>0.00694112741521817</v>
      </c>
      <c r="Z178" s="21" t="n">
        <f aca="false">Y178*SQRT(252)</f>
        <v>0.110186981754479</v>
      </c>
      <c r="AA178" s="0" t="n">
        <f aca="false">AJ178/AK178</f>
        <v>0.00483606439671836</v>
      </c>
      <c r="AB178" s="0" t="n">
        <f aca="false">_xlfn.COVARIANCE.S($D$4:$D178,s_p!$H$4:$H178)</f>
        <v>-7.40644775726091E-006</v>
      </c>
      <c r="AC178" s="0" t="n">
        <f aca="false">_xlfn.VAR.S(s_p!$H$4:$H178)</f>
        <v>4.81792497942932E-005</v>
      </c>
      <c r="AD178" s="0" t="n">
        <f aca="false">AB178/AC178</f>
        <v>-0.153726921628784</v>
      </c>
      <c r="AE178" s="0" t="n">
        <f aca="false">M178-(AD178*W178)</f>
        <v>8.42369679898089E-005</v>
      </c>
      <c r="AF178" s="33" t="n">
        <f aca="false">MAX($E$4:E178)</f>
        <v>0.280129884293098</v>
      </c>
      <c r="AG178" s="0" t="n">
        <f aca="false">1 - ((1 + E178) / (1 + AF178))</f>
        <v>0.213538840995982</v>
      </c>
      <c r="AH178" s="0" t="n">
        <f aca="false">MAX($AG$5:AG178)</f>
        <v>0.322303580832179</v>
      </c>
      <c r="AI178" s="19" t="n">
        <f aca="false">D178-s_p!H178</f>
        <v>-0.0572575111193193</v>
      </c>
      <c r="AJ178" s="19" t="n">
        <f aca="false">AVERAGE(AI$4:AI178)</f>
        <v>0.000145520193183742</v>
      </c>
      <c r="AK178" s="0" t="n">
        <f aca="false">STDEV(AI$4:AI178)</f>
        <v>0.0300906235414252</v>
      </c>
    </row>
    <row r="179" customFormat="false" ht="13.8" hidden="false" customHeight="false" outlineLevel="0" collapsed="false">
      <c r="A179" s="6" t="n">
        <f aca="false">WORKDAY(A178,1,holiday!$B$2:$B$10)</f>
        <v>38973</v>
      </c>
      <c r="B179" s="24" t="n">
        <v>1013920.51674741</v>
      </c>
      <c r="C179" s="24" t="n">
        <f aca="false">B179-B178</f>
        <v>7148.08427058544</v>
      </c>
      <c r="D179" s="31" t="n">
        <f aca="false">C179/B178</f>
        <v>0.00709999999999996</v>
      </c>
      <c r="E179" s="31" t="n">
        <f aca="false" t="array" ref="E179:E179">PRODUCT(1+$D$4:D179)-1</f>
        <v>0.0139205167474146</v>
      </c>
      <c r="F179" s="0" t="n">
        <f aca="false">IF(ISBLANK(A180),MONTH(A179),IF(MONTH(A180)-MONTH(A179)=1,MONTH(A179),0))</f>
        <v>0</v>
      </c>
      <c r="G179" s="0" t="str">
        <f aca="false">IF(B180&gt;B179,IF(AND(B178&gt;B179,B180&gt;B179),"min",""),IF(AND(B178&gt;B179,B180&gt;B179),"",IF(AND(B178&lt;B179,B180&lt;B179),"max","")))</f>
        <v>max</v>
      </c>
      <c r="H179" s="0" t="n">
        <f aca="false">IF(G179="min",COUNTIF(G$4:G179,"min"),IF(G179="max",COUNTIF(G$4:G179,"max"),""))</f>
        <v>44</v>
      </c>
      <c r="I179" s="24" t="str">
        <f aca="false" t="array" ref="I179:I179">IF($G$3=0,IF(G179="min",INDEX($B$4:$B$254,(MATCH(1,($G$4:$G$254="max")*($H$4:$H$254=(H179-1)),0))),""),IF($G$3=1,IF(G179="min",INDEX($B$4:$B$254,(MATCH(1,($G$4:$G$254="max")*($H$4:$H$254=(H179)),0))),""),""))</f>
        <v/>
      </c>
      <c r="J179" s="29" t="str">
        <f aca="false">IF(AND(G177=0,G179="min",H179=1),B179-B178,IF(G179="min",B179-I179,""))</f>
        <v/>
      </c>
      <c r="K179" s="34" t="str">
        <f aca="false">IF(AND(G177=0,G179="min",H179=1),(B179-B178)/B178,IF(G179="min",(B179-I179)/I179,""))</f>
        <v/>
      </c>
      <c r="L179" s="5"/>
      <c r="M179" s="0" t="n">
        <f aca="false">E179/COUNT($E$4:E179)</f>
        <v>7.90938451557646E-005</v>
      </c>
      <c r="N179" s="19" t="n">
        <f aca="false">M179*252</f>
        <v>0.0199316489792527</v>
      </c>
      <c r="O179" s="20" t="n">
        <f aca="false">STDEV($D$4:$D179)</f>
        <v>0.0289463313457271</v>
      </c>
      <c r="P179" s="20" t="n">
        <f aca="false">O179*SQRT(252)</f>
        <v>0.459508764650805</v>
      </c>
      <c r="Q179" s="0" t="n">
        <f aca="false">Treasuries!J177/100</f>
        <v>0.0477</v>
      </c>
      <c r="R179" s="20" t="n">
        <f aca="false">AJ179/AK179*SQRT(252)</f>
        <v>0.0862859181761011</v>
      </c>
      <c r="S179" s="32" t="n">
        <f aca="false">IF(D179&lt;s_p!H179, D179-s_p!H179, 0)</f>
        <v>0</v>
      </c>
      <c r="T179" s="0" t="n">
        <f aca="false">S179^2</f>
        <v>0</v>
      </c>
      <c r="U179" s="0" t="n">
        <f aca="false">SQRT(AVERAGE(T$4:T179)) * SQRT(252)</f>
        <v>0.339282424927484</v>
      </c>
      <c r="V179" s="0" t="n">
        <f aca="false">AJ179/U179*252</f>
        <v>0.121137534439888</v>
      </c>
      <c r="W179" s="22" t="n">
        <f aca="false">(s_p!$J179)/COUNT(s_p!$J$4:$J179)</f>
        <v>0.000317616317303898</v>
      </c>
      <c r="X179" s="22" t="n">
        <f aca="false">W179 * 252</f>
        <v>0.0800393119605823</v>
      </c>
      <c r="Y179" s="21" t="n">
        <f aca="false">STDEV(s_p!$H$4:$H179)</f>
        <v>0.00692643409514393</v>
      </c>
      <c r="Z179" s="21" t="n">
        <f aca="false">Y179*SQRT(252)</f>
        <v>0.109953732529377</v>
      </c>
      <c r="AA179" s="0" t="n">
        <f aca="false">AJ179/AK179</f>
        <v>0.00543550193192465</v>
      </c>
      <c r="AB179" s="0" t="n">
        <f aca="false">_xlfn.COVARIANCE.S($D$4:$D179,s_p!$H$4:$H179)</f>
        <v>-7.23021085631897E-006</v>
      </c>
      <c r="AC179" s="0" t="n">
        <f aca="false">_xlfn.VAR.S(s_p!$H$4:$H179)</f>
        <v>4.79754892743723E-005</v>
      </c>
      <c r="AD179" s="0" t="n">
        <f aca="false">AB179/AC179</f>
        <v>-0.150706349547981</v>
      </c>
      <c r="AE179" s="0" t="n">
        <f aca="false">M179-(AD179*W179)</f>
        <v>0.000126960640893508</v>
      </c>
      <c r="AF179" s="33" t="n">
        <f aca="false">MAX($E$4:E179)</f>
        <v>0.280129884293098</v>
      </c>
      <c r="AG179" s="0" t="n">
        <f aca="false">1 - ((1 + E179) / (1 + AF179))</f>
        <v>0.207954966767054</v>
      </c>
      <c r="AH179" s="0" t="n">
        <f aca="false">MAX($AG$5:AG179)</f>
        <v>0.322303580832179</v>
      </c>
      <c r="AI179" s="19" t="n">
        <f aca="false">D179-s_p!H179</f>
        <v>0.00323861386138609</v>
      </c>
      <c r="AJ179" s="19" t="n">
        <f aca="false">AVERAGE(AI$4:AI179)</f>
        <v>0.0001630945890258</v>
      </c>
      <c r="AK179" s="0" t="n">
        <f aca="false">STDEV(AI$4:AI179)</f>
        <v>0.0300054329974362</v>
      </c>
    </row>
    <row r="180" customFormat="false" ht="13.8" hidden="false" customHeight="false" outlineLevel="0" collapsed="false">
      <c r="A180" s="6" t="n">
        <f aca="false">WORKDAY(A179,1,holiday!$B$2:$B$10)</f>
        <v>38974</v>
      </c>
      <c r="B180" s="24" t="n">
        <v>975188.753007663</v>
      </c>
      <c r="C180" s="24" t="n">
        <f aca="false">B180-B179</f>
        <v>-38731.7637397512</v>
      </c>
      <c r="D180" s="31" t="n">
        <f aca="false">C180/B179</f>
        <v>-0.0382</v>
      </c>
      <c r="E180" s="31" t="n">
        <f aca="false" t="array" ref="E180:E180">PRODUCT(1+$D$4:D180)-1</f>
        <v>-0.0248112469923367</v>
      </c>
      <c r="F180" s="0" t="n">
        <f aca="false">IF(ISBLANK(A181),MONTH(A180),IF(MONTH(A181)-MONTH(A180)=1,MONTH(A180),0))</f>
        <v>0</v>
      </c>
      <c r="G180" s="0" t="str">
        <f aca="false">IF(B181&gt;B180,IF(AND(B179&gt;B180,B181&gt;B180),"min",""),IF(AND(B179&gt;B180,B181&gt;B180),"",IF(AND(B179&lt;B180,B181&lt;B180),"max","")))</f>
        <v/>
      </c>
      <c r="H180" s="0" t="str">
        <f aca="false">IF(G180="min",COUNTIF(G$4:G180,"min"),IF(G180="max",COUNTIF(G$4:G180,"max"),""))</f>
        <v/>
      </c>
      <c r="I180" s="24" t="str">
        <f aca="false" t="array" ref="I180:I180">IF($G$3=0,IF(G180="min",INDEX($B$4:$B$254,(MATCH(1,($G$4:$G$254="max")*($H$4:$H$254=(H180-1)),0))),""),IF($G$3=1,IF(G180="min",INDEX($B$4:$B$254,(MATCH(1,($G$4:$G$254="max")*($H$4:$H$254=(H180)),0))),""),""))</f>
        <v/>
      </c>
      <c r="J180" s="29" t="str">
        <f aca="false">IF(AND(G178=0,G180="min",H180=1),B180-B179,IF(G180="min",B180-I180,""))</f>
        <v/>
      </c>
      <c r="K180" s="34" t="str">
        <f aca="false">IF(AND(G178=0,G180="min",H180=1),(B180-B179)/B179,IF(G180="min",(B180-I180)/I180,""))</f>
        <v/>
      </c>
      <c r="L180" s="5"/>
      <c r="M180" s="0" t="n">
        <f aca="false">E180/COUNT($E$4:E180)</f>
        <v>-0.000140176536679868</v>
      </c>
      <c r="N180" s="19" t="n">
        <f aca="false">M180*252</f>
        <v>-0.0353244872433269</v>
      </c>
      <c r="O180" s="20" t="n">
        <f aca="false">STDEV($D$4:$D180)</f>
        <v>0.0290101559023771</v>
      </c>
      <c r="P180" s="20" t="n">
        <f aca="false">O180*SQRT(252)</f>
        <v>0.460521948077415</v>
      </c>
      <c r="Q180" s="0" t="n">
        <f aca="false">Treasuries!J178/100</f>
        <v>0.0479</v>
      </c>
      <c r="R180" s="20" t="n">
        <f aca="false">AJ180/AK180*SQRT(252)</f>
        <v>-0.0242871471717707</v>
      </c>
      <c r="S180" s="32" t="n">
        <f aca="false">IF(D180&lt;s_p!H180, D180-s_p!H180, 0)</f>
        <v>-0.0368419537657333</v>
      </c>
      <c r="T180" s="0" t="n">
        <f aca="false">S180^2</f>
        <v>0.00135732955727643</v>
      </c>
      <c r="U180" s="0" t="n">
        <f aca="false">SQRT(AVERAGE(T$4:T180)) * SQRT(252)</f>
        <v>0.341166644906418</v>
      </c>
      <c r="V180" s="0" t="n">
        <f aca="false">AJ180/U180*252</f>
        <v>-0.0339579420447229</v>
      </c>
      <c r="W180" s="22" t="n">
        <f aca="false">(s_p!$J180)/COUNT(s_p!$J$4:$J180)</f>
        <v>0.000307720396530711</v>
      </c>
      <c r="X180" s="22" t="n">
        <f aca="false">W180 * 252</f>
        <v>0.0775455399257392</v>
      </c>
      <c r="Y180" s="21" t="n">
        <f aca="false">STDEV(s_p!$H$4:$H180)</f>
        <v>0.0069078980911236</v>
      </c>
      <c r="Z180" s="21" t="n">
        <f aca="false">Y180*SQRT(252)</f>
        <v>0.109659482587745</v>
      </c>
      <c r="AA180" s="0" t="n">
        <f aca="false">AJ180/AK180</f>
        <v>-0.00152994646361254</v>
      </c>
      <c r="AB180" s="0" t="n">
        <f aca="false">_xlfn.COVARIANCE.S($D$4:$D180,s_p!$H$4:$H180)</f>
        <v>-6.81944659445544E-006</v>
      </c>
      <c r="AC180" s="0" t="n">
        <f aca="false">_xlfn.VAR.S(s_p!$H$4:$H180)</f>
        <v>4.77190560373491E-005</v>
      </c>
      <c r="AD180" s="0" t="n">
        <f aca="false">AB180/AC180</f>
        <v>-0.142908245903229</v>
      </c>
      <c r="AE180" s="0" t="n">
        <f aca="false">M180-(AD180*W180)</f>
        <v>-9.62007545830185E-005</v>
      </c>
      <c r="AF180" s="33" t="n">
        <f aca="false">MAX($E$4:E180)</f>
        <v>0.280129884293098</v>
      </c>
      <c r="AG180" s="0" t="n">
        <f aca="false">1 - ((1 + E180) / (1 + AF180))</f>
        <v>0.238211087036552</v>
      </c>
      <c r="AH180" s="0" t="n">
        <f aca="false">MAX($AG$5:AG180)</f>
        <v>0.322303580832179</v>
      </c>
      <c r="AI180" s="19" t="n">
        <f aca="false">D180-s_p!H180</f>
        <v>-0.0368419537657332</v>
      </c>
      <c r="AJ180" s="19" t="n">
        <f aca="false">AVERAGE(AI$4:AI180)</f>
        <v>-4.5973480775098E-005</v>
      </c>
      <c r="AK180" s="0" t="n">
        <f aca="false">STDEV(AI$4:AI180)</f>
        <v>0.0300490781007752</v>
      </c>
    </row>
    <row r="181" customFormat="false" ht="13.8" hidden="false" customHeight="false" outlineLevel="0" collapsed="false">
      <c r="A181" s="6" t="n">
        <f aca="false">WORKDAY(A180,1,holiday!$B$2:$B$10)</f>
        <v>38975</v>
      </c>
      <c r="B181" s="24" t="n">
        <v>954319.713693299</v>
      </c>
      <c r="C181" s="24" t="n">
        <f aca="false">B181-B180</f>
        <v>-20869.039314364</v>
      </c>
      <c r="D181" s="31" t="n">
        <f aca="false">C181/B180</f>
        <v>-0.0214</v>
      </c>
      <c r="E181" s="31" t="n">
        <f aca="false" t="array" ref="E181:E181">PRODUCT(1+$D$4:D181)-1</f>
        <v>-0.0456802863067007</v>
      </c>
      <c r="F181" s="0" t="n">
        <f aca="false">IF(ISBLANK(A182),MONTH(A181),IF(MONTH(A182)-MONTH(A181)=1,MONTH(A181),0))</f>
        <v>0</v>
      </c>
      <c r="G181" s="0" t="str">
        <f aca="false">IF(B182&gt;B181,IF(AND(B180&gt;B181,B182&gt;B181),"min",""),IF(AND(B180&gt;B181,B182&gt;B181),"",IF(AND(B180&lt;B181,B182&lt;B181),"max","")))</f>
        <v>min</v>
      </c>
      <c r="H181" s="0" t="n">
        <f aca="false">IF(G181="min",COUNTIF(G$4:G181,"min"),IF(G181="max",COUNTIF(G$4:G181,"max"),""))</f>
        <v>45</v>
      </c>
      <c r="I181" s="24" t="n">
        <f aca="false" t="array" ref="I181:I181">IF($G$3=0,IF(G181="min",INDEX($B$4:$B$254,(MATCH(1,($G$4:$G$254="max")*($H$4:$H$254=(H181-1)),0))),""),IF($G$3=1,IF(G181="min",INDEX($B$4:$B$254,(MATCH(1,($G$4:$G$254="max")*($H$4:$H$254=(H181)),0))),""),""))</f>
        <v>1013920.51674741</v>
      </c>
      <c r="J181" s="29" t="n">
        <f aca="false">IF(AND(G179=0,G181="min",H181=1),B181-B180,IF(G181="min",B181-I181,""))</f>
        <v>-59600.803054111</v>
      </c>
      <c r="K181" s="34" t="n">
        <f aca="false">IF(AND(G179=0,G181="min",H181=1),(B181-B180)/B180,IF(G181="min",(B181-I181)/I181,""))</f>
        <v>-0.0587825199999961</v>
      </c>
      <c r="L181" s="5"/>
      <c r="M181" s="0" t="n">
        <f aca="false">E181/COUNT($E$4:E181)</f>
        <v>-0.000256630821947757</v>
      </c>
      <c r="N181" s="19" t="n">
        <f aca="false">M181*252</f>
        <v>-0.0646709671308347</v>
      </c>
      <c r="O181" s="20" t="n">
        <f aca="false">STDEV($D$4:$D181)</f>
        <v>0.0289736836938469</v>
      </c>
      <c r="P181" s="20" t="n">
        <f aca="false">O181*SQRT(252)</f>
        <v>0.459942969716197</v>
      </c>
      <c r="Q181" s="0" t="n">
        <f aca="false">Treasuries!J179/100</f>
        <v>0.048</v>
      </c>
      <c r="R181" s="20" t="n">
        <f aca="false">AJ181/AK181*SQRT(252)</f>
        <v>-0.0953845314413258</v>
      </c>
      <c r="S181" s="32" t="n">
        <f aca="false">IF(D181&lt;s_p!H181, D181-s_p!H181, 0)</f>
        <v>-0.0239678427082385</v>
      </c>
      <c r="T181" s="0" t="n">
        <f aca="false">S181^2</f>
        <v>0.000574457484086862</v>
      </c>
      <c r="U181" s="0" t="n">
        <f aca="false">SQRT(AVERAGE(T$4:T181)) * SQRT(252)</f>
        <v>0.341400137360725</v>
      </c>
      <c r="V181" s="0" t="n">
        <f aca="false">AJ181/U181*252</f>
        <v>-0.133134782814243</v>
      </c>
      <c r="W181" s="22" t="n">
        <f aca="false">(s_p!$J181)/COUNT(s_p!$J$4:$J181)</f>
        <v>0.00032120345126516</v>
      </c>
      <c r="X181" s="22" t="n">
        <f aca="false">W181 * 252</f>
        <v>0.0809432697188204</v>
      </c>
      <c r="Y181" s="21" t="n">
        <f aca="false">STDEV(s_p!$H$4:$H181)</f>
        <v>0.00689041059606662</v>
      </c>
      <c r="Z181" s="21" t="n">
        <f aca="false">Y181*SQRT(252)</f>
        <v>0.1093818772099</v>
      </c>
      <c r="AA181" s="0" t="n">
        <f aca="false">AJ181/AK181</f>
        <v>-0.00600866069324203</v>
      </c>
      <c r="AB181" s="0" t="n">
        <f aca="false">_xlfn.COVARIANCE.S($D$4:$D181,s_p!$H$4:$H181)</f>
        <v>-7.05425704800591E-006</v>
      </c>
      <c r="AC181" s="0" t="n">
        <f aca="false">_xlfn.VAR.S(s_p!$H$4:$H181)</f>
        <v>4.74777581823872E-005</v>
      </c>
      <c r="AD181" s="0" t="n">
        <f aca="false">AB181/AC181</f>
        <v>-0.148580247216113</v>
      </c>
      <c r="AE181" s="0" t="n">
        <f aca="false">M181-(AD181*W181)</f>
        <v>-0.000208906333752111</v>
      </c>
      <c r="AF181" s="33" t="n">
        <f aca="false">MAX($E$4:E181)</f>
        <v>0.280129884293098</v>
      </c>
      <c r="AG181" s="0" t="n">
        <f aca="false">1 - ((1 + E181) / (1 + AF181))</f>
        <v>0.25451336977397</v>
      </c>
      <c r="AH181" s="0" t="n">
        <f aca="false">MAX($AG$5:AG181)</f>
        <v>0.322303580832179</v>
      </c>
      <c r="AI181" s="19" t="n">
        <f aca="false">D181-s_p!H181</f>
        <v>-0.0239678427082385</v>
      </c>
      <c r="AJ181" s="19" t="n">
        <f aca="false">AVERAGE(AI$4:AI181)</f>
        <v>-0.000180366004524892</v>
      </c>
      <c r="AK181" s="0" t="n">
        <f aca="false">STDEV(AI$4:AI181)</f>
        <v>0.0300176717796282</v>
      </c>
    </row>
    <row r="182" customFormat="false" ht="13.8" hidden="false" customHeight="false" outlineLevel="0" collapsed="false">
      <c r="A182" s="6" t="n">
        <f aca="false">WORKDAY(A181,1,holiday!$B$2:$B$10)</f>
        <v>38978</v>
      </c>
      <c r="B182" s="24" t="n">
        <v>995260.029410742</v>
      </c>
      <c r="C182" s="24" t="n">
        <f aca="false">B182-B181</f>
        <v>40940.3157174425</v>
      </c>
      <c r="D182" s="31" t="n">
        <f aca="false">C182/B181</f>
        <v>0.0429</v>
      </c>
      <c r="E182" s="31" t="n">
        <f aca="false" t="array" ref="E182:E182">PRODUCT(1+$D$4:D182)-1</f>
        <v>-0.00473997058925812</v>
      </c>
      <c r="F182" s="0" t="n">
        <f aca="false">IF(ISBLANK(A183),MONTH(A182),IF(MONTH(A183)-MONTH(A182)=1,MONTH(A182),0))</f>
        <v>0</v>
      </c>
      <c r="G182" s="0" t="str">
        <f aca="false">IF(B183&gt;B182,IF(AND(B181&gt;B182,B183&gt;B182),"min",""),IF(AND(B181&gt;B182,B183&gt;B182),"",IF(AND(B181&lt;B182,B183&lt;B182),"max","")))</f>
        <v/>
      </c>
      <c r="H182" s="0" t="str">
        <f aca="false">IF(G182="min",COUNTIF(G$4:G182,"min"),IF(G182="max",COUNTIF(G$4:G182,"max"),""))</f>
        <v/>
      </c>
      <c r="I182" s="24" t="str">
        <f aca="false" t="array" ref="I182:I182">IF($G$3=0,IF(G182="min",INDEX($B$4:$B$254,(MATCH(1,($G$4:$G$254="max")*($H$4:$H$254=(H182-1)),0))),""),IF($G$3=1,IF(G182="min",INDEX($B$4:$B$254,(MATCH(1,($G$4:$G$254="max")*($H$4:$H$254=(H182)),0))),""),""))</f>
        <v/>
      </c>
      <c r="J182" s="29" t="str">
        <f aca="false">IF(AND(G180=0,G182="min",H182=1),B182-B181,IF(G182="min",B182-I182,""))</f>
        <v/>
      </c>
      <c r="K182" s="34" t="str">
        <f aca="false">IF(AND(G180=0,G182="min",H182=1),(B182-B181)/B181,IF(G182="min",(B182-I182)/I182,""))</f>
        <v/>
      </c>
      <c r="L182" s="5"/>
      <c r="M182" s="0" t="n">
        <f aca="false">E182/COUNT($E$4:E182)</f>
        <v>-2.64802826215538E-005</v>
      </c>
      <c r="N182" s="19" t="n">
        <f aca="false">M182*252</f>
        <v>-0.00667303122063155</v>
      </c>
      <c r="O182" s="20" t="n">
        <f aca="false">STDEV($D$4:$D182)</f>
        <v>0.029068287907496</v>
      </c>
      <c r="P182" s="20" t="n">
        <f aca="false">O182*SQRT(252)</f>
        <v>0.461444765049963</v>
      </c>
      <c r="Q182" s="0" t="n">
        <f aca="false">Treasuries!J180/100</f>
        <v>0.0481</v>
      </c>
      <c r="R182" s="20" t="n">
        <f aca="false">AJ182/AK182*SQRT(252)</f>
        <v>0.0284145178393665</v>
      </c>
      <c r="S182" s="32" t="n">
        <f aca="false">IF(D182&lt;s_p!H182, D182-s_p!H182, 0)</f>
        <v>0</v>
      </c>
      <c r="T182" s="0" t="n">
        <f aca="false">S182^2</f>
        <v>0</v>
      </c>
      <c r="U182" s="0" t="n">
        <f aca="false">SQRT(AVERAGE(T$4:T182)) * SQRT(252)</f>
        <v>0.340445170070916</v>
      </c>
      <c r="V182" s="0" t="n">
        <f aca="false">AJ182/U182*252</f>
        <v>0.0398762465237195</v>
      </c>
      <c r="W182" s="22" t="n">
        <f aca="false">(s_p!$J182)/COUNT(s_p!$J$4:$J182)</f>
        <v>0.000326211620625517</v>
      </c>
      <c r="X182" s="22" t="n">
        <f aca="false">W182 * 252</f>
        <v>0.0822053283976304</v>
      </c>
      <c r="Y182" s="21" t="n">
        <f aca="false">STDEV(s_p!$H$4:$H182)</f>
        <v>0.00687129882193749</v>
      </c>
      <c r="Z182" s="21" t="n">
        <f aca="false">Y182*SQRT(252)</f>
        <v>0.109078487201146</v>
      </c>
      <c r="AA182" s="0" t="n">
        <f aca="false">AJ182/AK182</f>
        <v>0.001789946376828</v>
      </c>
      <c r="AB182" s="0" t="n">
        <f aca="false">_xlfn.COVARIANCE.S($D$4:$D182,s_p!$H$4:$H182)</f>
        <v>-6.8198104283608E-006</v>
      </c>
      <c r="AC182" s="0" t="n">
        <f aca="false">_xlfn.VAR.S(s_p!$H$4:$H182)</f>
        <v>4.72147475003596E-005</v>
      </c>
      <c r="AD182" s="0" t="n">
        <f aca="false">AB182/AC182</f>
        <v>-0.144442378481614</v>
      </c>
      <c r="AE182" s="0" t="n">
        <f aca="false">M182-(AD182*W182)</f>
        <v>2.0638499749938E-005</v>
      </c>
      <c r="AF182" s="33" t="n">
        <f aca="false">MAX($E$4:E182)</f>
        <v>0.280129884293098</v>
      </c>
      <c r="AG182" s="0" t="n">
        <f aca="false">1 - ((1 + E182) / (1 + AF182))</f>
        <v>0.222531993337273</v>
      </c>
      <c r="AH182" s="0" t="n">
        <f aca="false">MAX($AG$5:AG182)</f>
        <v>0.322303580832179</v>
      </c>
      <c r="AI182" s="19" t="n">
        <f aca="false">D182-s_p!H182</f>
        <v>0.04174818816968</v>
      </c>
      <c r="AJ182" s="19" t="n">
        <f aca="false">AVERAGE(AI$4:AI182)</f>
        <v>5.38717282918947E-005</v>
      </c>
      <c r="AK182" s="0" t="n">
        <f aca="false">STDEV(AI$4:AI182)</f>
        <v>0.0300968392066369</v>
      </c>
    </row>
    <row r="183" customFormat="false" ht="13.8" hidden="false" customHeight="false" outlineLevel="0" collapsed="false">
      <c r="A183" s="6" t="n">
        <f aca="false">WORKDAY(A182,1,holiday!$B$2:$B$10)</f>
        <v>38979</v>
      </c>
      <c r="B183" s="24" t="n">
        <v>1009691.2998372</v>
      </c>
      <c r="C183" s="24" t="n">
        <f aca="false">B183-B182</f>
        <v>14431.2704264558</v>
      </c>
      <c r="D183" s="31" t="n">
        <f aca="false">C183/B182</f>
        <v>0.0145</v>
      </c>
      <c r="E183" s="31" t="n">
        <f aca="false" t="array" ref="E183:E183">PRODUCT(1+$D$4:D183)-1</f>
        <v>0.00969129983719741</v>
      </c>
      <c r="F183" s="0" t="n">
        <f aca="false">IF(ISBLANK(A184),MONTH(A183),IF(MONTH(A184)-MONTH(A183)=1,MONTH(A183),0))</f>
        <v>0</v>
      </c>
      <c r="G183" s="0" t="str">
        <f aca="false">IF(B184&gt;B183,IF(AND(B182&gt;B183,B184&gt;B183),"min",""),IF(AND(B182&gt;B183,B184&gt;B183),"",IF(AND(B182&lt;B183,B184&lt;B183),"max","")))</f>
        <v>max</v>
      </c>
      <c r="H183" s="0" t="n">
        <f aca="false">IF(G183="min",COUNTIF(G$4:G183,"min"),IF(G183="max",COUNTIF(G$4:G183,"max"),""))</f>
        <v>45</v>
      </c>
      <c r="I183" s="24" t="str">
        <f aca="false" t="array" ref="I183:I183">IF($G$3=0,IF(G183="min",INDEX($B$4:$B$254,(MATCH(1,($G$4:$G$254="max")*($H$4:$H$254=(H183-1)),0))),""),IF($G$3=1,IF(G183="min",INDEX($B$4:$B$254,(MATCH(1,($G$4:$G$254="max")*($H$4:$H$254=(H183)),0))),""),""))</f>
        <v/>
      </c>
      <c r="J183" s="29" t="str">
        <f aca="false">IF(AND(G181=0,G183="min",H183=1),B183-B182,IF(G183="min",B183-I183,""))</f>
        <v/>
      </c>
      <c r="K183" s="34" t="str">
        <f aca="false">IF(AND(G181=0,G183="min",H183=1),(B183-B182)/B182,IF(G183="min",(B183-I183)/I183,""))</f>
        <v/>
      </c>
      <c r="L183" s="5"/>
      <c r="M183" s="0" t="n">
        <f aca="false">E183/COUNT($E$4:E183)</f>
        <v>5.38405546510967E-005</v>
      </c>
      <c r="N183" s="19" t="n">
        <f aca="false">M183*252</f>
        <v>0.0135678197720764</v>
      </c>
      <c r="O183" s="20" t="n">
        <f aca="false">STDEV($D$4:$D183)</f>
        <v>0.0290060383437185</v>
      </c>
      <c r="P183" s="20" t="n">
        <f aca="false">O183*SQRT(252)</f>
        <v>0.460456583860098</v>
      </c>
      <c r="Q183" s="0" t="n">
        <f aca="false">Treasuries!J181/100</f>
        <v>0.0474</v>
      </c>
      <c r="R183" s="20" t="n">
        <f aca="false">AJ183/AK183*SQRT(252)</f>
        <v>0.0787461987138361</v>
      </c>
      <c r="S183" s="32" t="n">
        <f aca="false">IF(D183&lt;s_p!H183, D183-s_p!H183, 0)</f>
        <v>0</v>
      </c>
      <c r="T183" s="0" t="n">
        <f aca="false">S183^2</f>
        <v>0</v>
      </c>
      <c r="U183" s="0" t="n">
        <f aca="false">SQRT(AVERAGE(T$4:T183)) * SQRT(252)</f>
        <v>0.339498171935891</v>
      </c>
      <c r="V183" s="0" t="n">
        <f aca="false">AJ183/U183*252</f>
        <v>0.110608687557759</v>
      </c>
      <c r="W183" s="22" t="n">
        <f aca="false">(s_p!$J183)/COUNT(s_p!$J$4:$J183)</f>
        <v>0.000308644447826859</v>
      </c>
      <c r="X183" s="22" t="n">
        <f aca="false">W183 * 252</f>
        <v>0.0777784008523686</v>
      </c>
      <c r="Y183" s="21" t="n">
        <f aca="false">STDEV(s_p!$H$4:$H183)</f>
        <v>0.00685577462165576</v>
      </c>
      <c r="Z183" s="21" t="n">
        <f aca="false">Y183*SQRT(252)</f>
        <v>0.108832048161655</v>
      </c>
      <c r="AA183" s="0" t="n">
        <f aca="false">AJ183/AK183</f>
        <v>0.00496054424972591</v>
      </c>
      <c r="AB183" s="0" t="n">
        <f aca="false">_xlfn.COVARIANCE.S($D$4:$D183,s_p!$H$4:$H183)</f>
        <v>-7.01836855346925E-006</v>
      </c>
      <c r="AC183" s="0" t="n">
        <f aca="false">_xlfn.VAR.S(s_p!$H$4:$H183)</f>
        <v>4.70016456629393E-005</v>
      </c>
      <c r="AD183" s="0" t="n">
        <f aca="false">AB183/AC183</f>
        <v>-0.149321762131474</v>
      </c>
      <c r="AE183" s="0" t="n">
        <f aca="false">M183-(AD183*W183)</f>
        <v>9.99278874726991E-005</v>
      </c>
      <c r="AF183" s="33" t="n">
        <f aca="false">MAX($E$4:E183)</f>
        <v>0.280129884293098</v>
      </c>
      <c r="AG183" s="0" t="n">
        <f aca="false">1 - ((1 + E183) / (1 + AF183))</f>
        <v>0.211258707240664</v>
      </c>
      <c r="AH183" s="0" t="n">
        <f aca="false">MAX($AG$5:AG183)</f>
        <v>0.322303580832179</v>
      </c>
      <c r="AI183" s="19" t="n">
        <f aca="false">D183-s_p!H183</f>
        <v>0.0171794229400989</v>
      </c>
      <c r="AJ183" s="19" t="n">
        <f aca="false">AVERAGE(AI$4:AI183)</f>
        <v>0.0001490136794686</v>
      </c>
      <c r="AK183" s="0" t="n">
        <f aca="false">STDEV(AI$4:AI183)</f>
        <v>0.0300397843395579</v>
      </c>
    </row>
    <row r="184" customFormat="false" ht="13.8" hidden="false" customHeight="false" outlineLevel="0" collapsed="false">
      <c r="A184" s="6" t="n">
        <f aca="false">WORKDAY(A183,1,holiday!$B$2:$B$10)</f>
        <v>38980</v>
      </c>
      <c r="B184" s="24" t="n">
        <v>981520.91257174</v>
      </c>
      <c r="C184" s="24" t="n">
        <f aca="false">B184-B183</f>
        <v>-28170.3872654578</v>
      </c>
      <c r="D184" s="31" t="n">
        <f aca="false">C184/B183</f>
        <v>-0.0279</v>
      </c>
      <c r="E184" s="31" t="n">
        <f aca="false" t="array" ref="E184:E184">PRODUCT(1+$D$4:D184)-1</f>
        <v>-0.0184790874282604</v>
      </c>
      <c r="F184" s="0" t="n">
        <f aca="false">IF(ISBLANK(A185),MONTH(A184),IF(MONTH(A185)-MONTH(A184)=1,MONTH(A184),0))</f>
        <v>0</v>
      </c>
      <c r="G184" s="0" t="str">
        <f aca="false">IF(B185&gt;B184,IF(AND(B183&gt;B184,B185&gt;B184),"min",""),IF(AND(B183&gt;B184,B185&gt;B184),"",IF(AND(B183&lt;B184,B185&lt;B184),"max","")))</f>
        <v/>
      </c>
      <c r="H184" s="0" t="str">
        <f aca="false">IF(G184="min",COUNTIF(G$4:G184,"min"),IF(G184="max",COUNTIF(G$4:G184,"max"),""))</f>
        <v/>
      </c>
      <c r="I184" s="24" t="str">
        <f aca="false" t="array" ref="I184:I184">IF($G$3=0,IF(G184="min",INDEX($B$4:$B$254,(MATCH(1,($G$4:$G$254="max")*($H$4:$H$254=(H184-1)),0))),""),IF($G$3=1,IF(G184="min",INDEX($B$4:$B$254,(MATCH(1,($G$4:$G$254="max")*($H$4:$H$254=(H184)),0))),""),""))</f>
        <v/>
      </c>
      <c r="J184" s="29" t="str">
        <f aca="false">IF(AND(G182=0,G184="min",H184=1),B184-B183,IF(G184="min",B184-I184,""))</f>
        <v/>
      </c>
      <c r="K184" s="34" t="str">
        <f aca="false">IF(AND(G182=0,G184="min",H184=1),(B184-B183)/B183,IF(G184="min",(B184-I184)/I184,""))</f>
        <v/>
      </c>
      <c r="L184" s="5"/>
      <c r="M184" s="0" t="n">
        <f aca="false">E184/COUNT($E$4:E184)</f>
        <v>-0.000102094405680997</v>
      </c>
      <c r="N184" s="19" t="n">
        <f aca="false">M184*252</f>
        <v>-0.0257277902316112</v>
      </c>
      <c r="O184" s="20" t="n">
        <f aca="false">STDEV($D$4:$D184)</f>
        <v>0.0290021324441949</v>
      </c>
      <c r="P184" s="20" t="n">
        <f aca="false">O184*SQRT(252)</f>
        <v>0.460394579627385</v>
      </c>
      <c r="Q184" s="0" t="n">
        <f aca="false">Treasuries!J182/100</f>
        <v>0.0473</v>
      </c>
      <c r="R184" s="20" t="n">
        <f aca="false">AJ184/AK184*SQRT(252)</f>
        <v>-0.0198388764551546</v>
      </c>
      <c r="S184" s="32" t="n">
        <f aca="false">IF(D184&lt;s_p!H184, D184-s_p!H184, 0)</f>
        <v>-0.033622352084029</v>
      </c>
      <c r="T184" s="0" t="n">
        <f aca="false">S184^2</f>
        <v>0.00113046255966241</v>
      </c>
      <c r="U184" s="0" t="n">
        <f aca="false">SQRT(AVERAGE(T$4:T184)) * SQRT(252)</f>
        <v>0.340875523202325</v>
      </c>
      <c r="V184" s="0" t="n">
        <f aca="false">AJ184/U184*252</f>
        <v>-0.0277733342953582</v>
      </c>
      <c r="W184" s="22" t="n">
        <f aca="false">(s_p!$J184)/COUNT(s_p!$J$4:$J184)</f>
        <v>0.000340310849108994</v>
      </c>
      <c r="X184" s="22" t="n">
        <f aca="false">W184 * 252</f>
        <v>0.0857583339754665</v>
      </c>
      <c r="Y184" s="21" t="n">
        <f aca="false">STDEV(s_p!$H$4:$H184)</f>
        <v>0.00684847035036741</v>
      </c>
      <c r="Z184" s="21" t="n">
        <f aca="false">Y184*SQRT(252)</f>
        <v>0.108716096449629</v>
      </c>
      <c r="AA184" s="0" t="n">
        <f aca="false">AJ184/AK184</f>
        <v>-0.00124973174741119</v>
      </c>
      <c r="AB184" s="0" t="n">
        <f aca="false">_xlfn.COVARIANCE.S($D$4:$D184,s_p!$H$4:$H184)</f>
        <v>-7.82563693878822E-006</v>
      </c>
      <c r="AC184" s="0" t="n">
        <f aca="false">_xlfn.VAR.S(s_p!$H$4:$H184)</f>
        <v>4.69015461398616E-005</v>
      </c>
      <c r="AD184" s="0" t="n">
        <f aca="false">AB184/AC184</f>
        <v>-0.166852429884763</v>
      </c>
      <c r="AE184" s="0" t="n">
        <f aca="false">M184-(AD184*W184)</f>
        <v>-4.53127135910143E-005</v>
      </c>
      <c r="AF184" s="33" t="n">
        <f aca="false">MAX($E$4:E184)</f>
        <v>0.280129884293098</v>
      </c>
      <c r="AG184" s="0" t="n">
        <f aca="false">1 - ((1 + E184) / (1 + AF184))</f>
        <v>0.233264589308649</v>
      </c>
      <c r="AH184" s="0" t="n">
        <f aca="false">MAX($AG$5:AG184)</f>
        <v>0.322303580832179</v>
      </c>
      <c r="AI184" s="19" t="n">
        <f aca="false">D184-s_p!H184</f>
        <v>-0.033622352084029</v>
      </c>
      <c r="AJ184" s="19" t="n">
        <f aca="false">AVERAGE(AI$4:AI184)</f>
        <v>-3.75684518214417E-005</v>
      </c>
      <c r="AK184" s="0" t="n">
        <f aca="false">STDEV(AI$4:AI184)</f>
        <v>0.0300612126556474</v>
      </c>
    </row>
    <row r="185" customFormat="false" ht="13.8" hidden="false" customHeight="false" outlineLevel="0" collapsed="false">
      <c r="A185" s="6" t="n">
        <f aca="false">WORKDAY(A184,1,holiday!$B$2:$B$10)</f>
        <v>38981</v>
      </c>
      <c r="B185" s="24" t="n">
        <v>964638.752875506</v>
      </c>
      <c r="C185" s="24" t="n">
        <f aca="false">B185-B184</f>
        <v>-16882.1596962339</v>
      </c>
      <c r="D185" s="31" t="n">
        <f aca="false">C185/B184</f>
        <v>-0.0172</v>
      </c>
      <c r="E185" s="31" t="n">
        <f aca="false" t="array" ref="E185:E185">PRODUCT(1+$D$4:D185)-1</f>
        <v>-0.0353612471244943</v>
      </c>
      <c r="F185" s="0" t="n">
        <f aca="false">IF(ISBLANK(A186),MONTH(A185),IF(MONTH(A186)-MONTH(A185)=1,MONTH(A185),0))</f>
        <v>0</v>
      </c>
      <c r="G185" s="0" t="str">
        <f aca="false">IF(B186&gt;B185,IF(AND(B184&gt;B185,B186&gt;B185),"min",""),IF(AND(B184&gt;B185,B186&gt;B185),"",IF(AND(B184&lt;B185,B186&lt;B185),"max","")))</f>
        <v>min</v>
      </c>
      <c r="H185" s="0" t="n">
        <f aca="false">IF(G185="min",COUNTIF(G$4:G185,"min"),IF(G185="max",COUNTIF(G$4:G185,"max"),""))</f>
        <v>46</v>
      </c>
      <c r="I185" s="24" t="n">
        <f aca="false" t="array" ref="I185:I185">IF($G$3=0,IF(G185="min",INDEX($B$4:$B$254,(MATCH(1,($G$4:$G$254="max")*($H$4:$H$254=(H185-1)),0))),""),IF($G$3=1,IF(G185="min",INDEX($B$4:$B$254,(MATCH(1,($G$4:$G$254="max")*($H$4:$H$254=(H185)),0))),""),""))</f>
        <v>1009691.2998372</v>
      </c>
      <c r="J185" s="29" t="n">
        <f aca="false">IF(AND(G183=0,G185="min",H185=1),B185-B184,IF(G185="min",B185-I185,""))</f>
        <v>-45052.546961694</v>
      </c>
      <c r="K185" s="34" t="n">
        <f aca="false">IF(AND(G183=0,G185="min",H185=1),(B185-B184)/B184,IF(G185="min",(B185-I185)/I185,""))</f>
        <v>-0.0446201200000022</v>
      </c>
      <c r="L185" s="5"/>
      <c r="M185" s="0" t="n">
        <f aca="false">E185/COUNT($E$4:E185)</f>
        <v>-0.0001942925666181</v>
      </c>
      <c r="N185" s="19" t="n">
        <f aca="false">M185*252</f>
        <v>-0.0489617267877613</v>
      </c>
      <c r="O185" s="20" t="n">
        <f aca="false">STDEV($D$4:$D185)</f>
        <v>0.0289510339886541</v>
      </c>
      <c r="P185" s="20" t="n">
        <f aca="false">O185*SQRT(252)</f>
        <v>0.459583416792942</v>
      </c>
      <c r="Q185" s="0" t="n">
        <f aca="false">Treasuries!J183/100</f>
        <v>0.0465</v>
      </c>
      <c r="R185" s="20" t="n">
        <f aca="false">AJ185/AK185*SQRT(252)</f>
        <v>-0.05410747379629</v>
      </c>
      <c r="S185" s="32" t="n">
        <f aca="false">IF(D185&lt;s_p!H185, D185-s_p!H185, 0)</f>
        <v>-0.0118045065575997</v>
      </c>
      <c r="T185" s="0" t="n">
        <f aca="false">S185^2</f>
        <v>0.000139346375068414</v>
      </c>
      <c r="U185" s="0" t="n">
        <f aca="false">SQRT(AVERAGE(T$4:T185)) * SQRT(252)</f>
        <v>0.340221432629765</v>
      </c>
      <c r="V185" s="0" t="n">
        <f aca="false">AJ185/U185*252</f>
        <v>-0.0757151987485553</v>
      </c>
      <c r="W185" s="22" t="n">
        <f aca="false">(s_p!$J185)/COUNT(s_p!$J$4:$J185)</f>
        <v>0.000306969384667687</v>
      </c>
      <c r="X185" s="22" t="n">
        <f aca="false">W185 * 252</f>
        <v>0.077356284936257</v>
      </c>
      <c r="Y185" s="21" t="n">
        <f aca="false">STDEV(s_p!$H$4:$H185)</f>
        <v>0.00684280832615925</v>
      </c>
      <c r="Z185" s="21" t="n">
        <f aca="false">Y185*SQRT(252)</f>
        <v>0.108626214601797</v>
      </c>
      <c r="AA185" s="0" t="n">
        <f aca="false">AJ185/AK185</f>
        <v>-0.00340845046987913</v>
      </c>
      <c r="AB185" s="0" t="n">
        <f aca="false">_xlfn.COVARIANCE.S($D$4:$D185,s_p!$H$4:$H185)</f>
        <v>-7.22909872567462E-006</v>
      </c>
      <c r="AC185" s="0" t="n">
        <f aca="false">_xlfn.VAR.S(s_p!$H$4:$H185)</f>
        <v>4.68240257885544E-005</v>
      </c>
      <c r="AD185" s="0" t="n">
        <f aca="false">AB185/AC185</f>
        <v>-0.154388662741632</v>
      </c>
      <c r="AE185" s="0" t="n">
        <f aca="false">M185-(AD185*W185)</f>
        <v>-0.000146899973816635</v>
      </c>
      <c r="AF185" s="33" t="n">
        <f aca="false">MAX($E$4:E185)</f>
        <v>0.280129884293098</v>
      </c>
      <c r="AG185" s="0" t="n">
        <f aca="false">1 - ((1 + E185) / (1 + AF185))</f>
        <v>0.246452438372541</v>
      </c>
      <c r="AH185" s="0" t="n">
        <f aca="false">MAX($AG$5:AG185)</f>
        <v>0.322303580832179</v>
      </c>
      <c r="AI185" s="19" t="n">
        <f aca="false">D185-s_p!H185</f>
        <v>-0.0118045065575997</v>
      </c>
      <c r="AJ185" s="19" t="n">
        <f aca="false">AVERAGE(AI$4:AI185)</f>
        <v>-0.000102221957897146</v>
      </c>
      <c r="AK185" s="0" t="n">
        <f aca="false">STDEV(AI$4:AI185)</f>
        <v>0.0299907417756231</v>
      </c>
    </row>
    <row r="186" customFormat="false" ht="13.8" hidden="false" customHeight="false" outlineLevel="0" collapsed="false">
      <c r="A186" s="6" t="n">
        <f aca="false">WORKDAY(A185,1,holiday!$B$2:$B$10)</f>
        <v>38982</v>
      </c>
      <c r="B186" s="24" t="n">
        <v>1005442.97212214</v>
      </c>
      <c r="C186" s="24" t="n">
        <f aca="false">B186-B185</f>
        <v>40804.2192466339</v>
      </c>
      <c r="D186" s="31" t="n">
        <f aca="false">C186/B185</f>
        <v>0.0423</v>
      </c>
      <c r="E186" s="31" t="n">
        <f aca="false" t="array" ref="E186:E186">PRODUCT(1+$D$4:D186)-1</f>
        <v>0.00544297212213962</v>
      </c>
      <c r="F186" s="0" t="n">
        <f aca="false">IF(ISBLANK(A187),MONTH(A186),IF(MONTH(A187)-MONTH(A186)=1,MONTH(A186),0))</f>
        <v>0</v>
      </c>
      <c r="G186" s="0" t="str">
        <f aca="false">IF(B187&gt;B186,IF(AND(B185&gt;B186,B187&gt;B186),"min",""),IF(AND(B185&gt;B186,B187&gt;B186),"",IF(AND(B185&lt;B186,B187&lt;B186),"max","")))</f>
        <v/>
      </c>
      <c r="H186" s="0" t="str">
        <f aca="false">IF(G186="min",COUNTIF(G$4:G186,"min"),IF(G186="max",COUNTIF(G$4:G186,"max"),""))</f>
        <v/>
      </c>
      <c r="I186" s="24" t="str">
        <f aca="false" t="array" ref="I186:I186">IF($G$3=0,IF(G186="min",INDEX($B$4:$B$254,(MATCH(1,($G$4:$G$254="max")*($H$4:$H$254=(H186-1)),0))),""),IF($G$3=1,IF(G186="min",INDEX($B$4:$B$254,(MATCH(1,($G$4:$G$254="max")*($H$4:$H$254=(H186)),0))),""),""))</f>
        <v/>
      </c>
      <c r="J186" s="29" t="str">
        <f aca="false">IF(AND(G184=0,G186="min",H186=1),B186-B185,IF(G186="min",B186-I186,""))</f>
        <v/>
      </c>
      <c r="K186" s="34" t="str">
        <f aca="false">IF(AND(G184=0,G186="min",H186=1),(B186-B185)/B185,IF(G186="min",(B186-I186)/I186,""))</f>
        <v/>
      </c>
      <c r="L186" s="5"/>
      <c r="M186" s="0" t="n">
        <f aca="false">E186/COUNT($E$4:E186)</f>
        <v>2.97430170608723E-005</v>
      </c>
      <c r="N186" s="19" t="n">
        <f aca="false">M186*252</f>
        <v>0.00749524029933981</v>
      </c>
      <c r="O186" s="20" t="n">
        <f aca="false">STDEV($D$4:$D186)</f>
        <v>0.0290384793488222</v>
      </c>
      <c r="P186" s="20" t="n">
        <f aca="false">O186*SQRT(252)</f>
        <v>0.46097156885081</v>
      </c>
      <c r="Q186" s="0" t="n">
        <f aca="false">Treasuries!J184/100</f>
        <v>0.046</v>
      </c>
      <c r="R186" s="20" t="n">
        <f aca="false">AJ186/AK186*SQRT(252)</f>
        <v>0.0754162983270605</v>
      </c>
      <c r="S186" s="32" t="n">
        <f aca="false">IF(D186&lt;s_p!H186, D186-s_p!H186, 0)</f>
        <v>0</v>
      </c>
      <c r="T186" s="0" t="n">
        <f aca="false">S186^2</f>
        <v>0</v>
      </c>
      <c r="U186" s="0" t="n">
        <f aca="false">SQRT(AVERAGE(T$4:T186)) * SQRT(252)</f>
        <v>0.339290592492439</v>
      </c>
      <c r="V186" s="0" t="n">
        <f aca="false">AJ186/U186*252</f>
        <v>0.106179015763859</v>
      </c>
      <c r="W186" s="22" t="n">
        <f aca="false">(s_p!$J186)/COUNT(s_p!$J$4:$J186)</f>
        <v>0.00029106484337241</v>
      </c>
      <c r="X186" s="22" t="n">
        <f aca="false">W186 * 252</f>
        <v>0.0733483405298474</v>
      </c>
      <c r="Y186" s="21" t="n">
        <f aca="false">STDEV(s_p!$H$4:$H186)</f>
        <v>0.00682709455299799</v>
      </c>
      <c r="Z186" s="21" t="n">
        <f aca="false">Y186*SQRT(252)</f>
        <v>0.108376766186138</v>
      </c>
      <c r="AA186" s="0" t="n">
        <f aca="false">AJ186/AK186</f>
        <v>0.0047507802422491</v>
      </c>
      <c r="AB186" s="0" t="n">
        <f aca="false">_xlfn.COVARIANCE.S($D$4:$D186,s_p!$H$4:$H186)</f>
        <v>-7.83042419673884E-006</v>
      </c>
      <c r="AC186" s="0" t="n">
        <f aca="false">_xlfn.VAR.S(s_p!$H$4:$H186)</f>
        <v>4.66092200355748E-005</v>
      </c>
      <c r="AD186" s="0" t="n">
        <f aca="false">AB186/AC186</f>
        <v>-0.168001614074688</v>
      </c>
      <c r="AE186" s="0" t="n">
        <f aca="false">M186-(AD186*W186)</f>
        <v>7.86423805478333E-005</v>
      </c>
      <c r="AF186" s="33" t="n">
        <f aca="false">MAX($E$4:E186)</f>
        <v>0.280129884293098</v>
      </c>
      <c r="AG186" s="0" t="n">
        <f aca="false">1 - ((1 + E186) / (1 + AF186))</f>
        <v>0.214577376515699</v>
      </c>
      <c r="AH186" s="0" t="n">
        <f aca="false">MAX($AG$5:AG186)</f>
        <v>0.322303580832179</v>
      </c>
      <c r="AI186" s="19" t="n">
        <f aca="false">D186-s_p!H186</f>
        <v>0.0447658012336594</v>
      </c>
      <c r="AJ186" s="19" t="n">
        <f aca="false">AVERAGE(AI$4:AI186)</f>
        <v>0.000142958496701523</v>
      </c>
      <c r="AK186" s="0" t="n">
        <f aca="false">STDEV(AI$4:AI186)</f>
        <v>0.0300915827320702</v>
      </c>
    </row>
    <row r="187" customFormat="false" ht="13.8" hidden="false" customHeight="false" outlineLevel="0" collapsed="false">
      <c r="A187" s="6" t="n">
        <f aca="false">WORKDAY(A186,1,holiday!$B$2:$B$10)</f>
        <v>38985</v>
      </c>
      <c r="B187" s="24" t="n">
        <v>1046666.13397915</v>
      </c>
      <c r="C187" s="24" t="n">
        <f aca="false">B187-B186</f>
        <v>41223.1618570078</v>
      </c>
      <c r="D187" s="31" t="n">
        <f aca="false">C187/B186</f>
        <v>0.041</v>
      </c>
      <c r="E187" s="31" t="n">
        <f aca="false" t="array" ref="E187:E187">PRODUCT(1+$D$4:D187)-1</f>
        <v>0.0466661339791474</v>
      </c>
      <c r="F187" s="0" t="n">
        <f aca="false">IF(ISBLANK(A188),MONTH(A187),IF(MONTH(A188)-MONTH(A187)=1,MONTH(A187),0))</f>
        <v>0</v>
      </c>
      <c r="G187" s="0" t="str">
        <f aca="false">IF(B188&gt;B187,IF(AND(B186&gt;B187,B188&gt;B187),"min",""),IF(AND(B186&gt;B187,B188&gt;B187),"",IF(AND(B186&lt;B187,B188&lt;B187),"max","")))</f>
        <v>max</v>
      </c>
      <c r="H187" s="0" t="n">
        <f aca="false">IF(G187="min",COUNTIF(G$4:G187,"min"),IF(G187="max",COUNTIF(G$4:G187,"max"),""))</f>
        <v>46</v>
      </c>
      <c r="I187" s="24" t="str">
        <f aca="false" t="array" ref="I187:I187">IF($G$3=0,IF(G187="min",INDEX($B$4:$B$254,(MATCH(1,($G$4:$G$254="max")*($H$4:$H$254=(H187-1)),0))),""),IF($G$3=1,IF(G187="min",INDEX($B$4:$B$254,(MATCH(1,($G$4:$G$254="max")*($H$4:$H$254=(H187)),0))),""),""))</f>
        <v/>
      </c>
      <c r="J187" s="29" t="str">
        <f aca="false">IF(AND(G185=0,G187="min",H187=1),B187-B186,IF(G187="min",B187-I187,""))</f>
        <v/>
      </c>
      <c r="K187" s="34" t="str">
        <f aca="false">IF(AND(G185=0,G187="min",H187=1),(B187-B186)/B186,IF(G187="min",(B187-I187)/I187,""))</f>
        <v/>
      </c>
      <c r="L187" s="5"/>
      <c r="M187" s="0" t="n">
        <f aca="false">E187/COUNT($E$4:E187)</f>
        <v>0.000253620293364932</v>
      </c>
      <c r="N187" s="19" t="n">
        <f aca="false">M187*252</f>
        <v>0.0639123139279628</v>
      </c>
      <c r="O187" s="20" t="n">
        <f aca="false">STDEV($D$4:$D187)</f>
        <v>0.02911291805715</v>
      </c>
      <c r="P187" s="20" t="n">
        <f aca="false">O187*SQRT(252)</f>
        <v>0.462153246711723</v>
      </c>
      <c r="Q187" s="0" t="n">
        <f aca="false">Treasuries!J185/100</f>
        <v>0.0456</v>
      </c>
      <c r="R187" s="20" t="n">
        <f aca="false">AJ187/AK187*SQRT(252)</f>
        <v>0.167224102405876</v>
      </c>
      <c r="S187" s="32" t="n">
        <f aca="false">IF(D187&lt;s_p!H187, D187-s_p!H187, 0)</f>
        <v>0</v>
      </c>
      <c r="T187" s="0" t="n">
        <f aca="false">S187^2</f>
        <v>0</v>
      </c>
      <c r="U187" s="0" t="n">
        <f aca="false">SQRT(AVERAGE(T$4:T187)) * SQRT(252)</f>
        <v>0.338367351073651</v>
      </c>
      <c r="V187" s="0" t="n">
        <f aca="false">AJ187/U187*252</f>
        <v>0.236160442852263</v>
      </c>
      <c r="W187" s="22" t="n">
        <f aca="false">(s_p!$J187)/COUNT(s_p!$J$4:$J187)</f>
        <v>0.0003399433033085</v>
      </c>
      <c r="X187" s="22" t="n">
        <f aca="false">W187 * 252</f>
        <v>0.085665712433742</v>
      </c>
      <c r="Y187" s="21" t="n">
        <f aca="false">STDEV(s_p!$H$4:$H187)</f>
        <v>0.00683724826733347</v>
      </c>
      <c r="Z187" s="21" t="n">
        <f aca="false">Y187*SQRT(252)</f>
        <v>0.10853795140423</v>
      </c>
      <c r="AA187" s="0" t="n">
        <f aca="false">AJ187/AK187</f>
        <v>0.0105341282900464</v>
      </c>
      <c r="AB187" s="0" t="n">
        <f aca="false">_xlfn.COVARIANCE.S($D$4:$D187,s_p!$H$4:$H187)</f>
        <v>-5.91253863292182E-006</v>
      </c>
      <c r="AC187" s="0" t="n">
        <f aca="false">_xlfn.VAR.S(s_p!$H$4:$H187)</f>
        <v>4.67479638691546E-005</v>
      </c>
      <c r="AD187" s="0" t="n">
        <f aca="false">AB187/AC187</f>
        <v>-0.126476923133396</v>
      </c>
      <c r="AE187" s="0" t="n">
        <f aca="false">M187-(AD187*W187)</f>
        <v>0.000296615276407193</v>
      </c>
      <c r="AF187" s="33" t="n">
        <f aca="false">MAX($E$4:E187)</f>
        <v>0.280129884293098</v>
      </c>
      <c r="AG187" s="0" t="n">
        <f aca="false">1 - ((1 + E187) / (1 + AF187))</f>
        <v>0.182375048952843</v>
      </c>
      <c r="AH187" s="0" t="n">
        <f aca="false">MAX($AG$5:AG187)</f>
        <v>0.322303580832179</v>
      </c>
      <c r="AI187" s="19" t="n">
        <f aca="false">D187-s_p!H187</f>
        <v>0.0321848370069518</v>
      </c>
      <c r="AJ187" s="19" t="n">
        <f aca="false">AVERAGE(AI$4:AI187)</f>
        <v>0.00031709914077897</v>
      </c>
      <c r="AK187" s="0" t="n">
        <f aca="false">STDEV(AI$4:AI187)</f>
        <v>0.0301020769871005</v>
      </c>
    </row>
    <row r="188" customFormat="false" ht="13.8" hidden="false" customHeight="false" outlineLevel="0" collapsed="false">
      <c r="A188" s="6" t="n">
        <f aca="false">WORKDAY(A187,1,holiday!$B$2:$B$10)</f>
        <v>38986</v>
      </c>
      <c r="B188" s="24" t="n">
        <v>1027512.14372733</v>
      </c>
      <c r="C188" s="24" t="n">
        <f aca="false">B188-B187</f>
        <v>-19153.9902518184</v>
      </c>
      <c r="D188" s="31" t="n">
        <f aca="false">C188/B187</f>
        <v>-0.0183</v>
      </c>
      <c r="E188" s="31" t="n">
        <f aca="false" t="array" ref="E188:E188">PRODUCT(1+$D$4:D188)-1</f>
        <v>0.0275121437273291</v>
      </c>
      <c r="F188" s="0" t="n">
        <f aca="false">IF(ISBLANK(A189),MONTH(A188),IF(MONTH(A189)-MONTH(A188)=1,MONTH(A188),0))</f>
        <v>0</v>
      </c>
      <c r="G188" s="0" t="str">
        <f aca="false">IF(B189&gt;B188,IF(AND(B187&gt;B188,B189&gt;B188),"min",""),IF(AND(B187&gt;B188,B189&gt;B188),"",IF(AND(B187&lt;B188,B189&lt;B188),"max","")))</f>
        <v>min</v>
      </c>
      <c r="H188" s="0" t="n">
        <f aca="false">IF(G188="min",COUNTIF(G$4:G188,"min"),IF(G188="max",COUNTIF(G$4:G188,"max"),""))</f>
        <v>47</v>
      </c>
      <c r="I188" s="24" t="n">
        <f aca="false" t="array" ref="I188:I188">IF($G$3=0,IF(G188="min",INDEX($B$4:$B$254,(MATCH(1,($G$4:$G$254="max")*($H$4:$H$254=(H188-1)),0))),""),IF($G$3=1,IF(G188="min",INDEX($B$4:$B$254,(MATCH(1,($G$4:$G$254="max")*($H$4:$H$254=(H188)),0))),""),""))</f>
        <v>1046666.13397915</v>
      </c>
      <c r="J188" s="29" t="n">
        <f aca="false">IF(AND(G186=0,G188="min",H188=1),B188-B187,IF(G188="min",B188-I188,""))</f>
        <v>-19153.99025182</v>
      </c>
      <c r="K188" s="34" t="n">
        <f aca="false">IF(AND(G186=0,G188="min",H188=1),(B188-B187)/B187,IF(G188="min",(B188-I188)/I188,""))</f>
        <v>-0.0183000000000014</v>
      </c>
      <c r="L188" s="5"/>
      <c r="M188" s="0" t="n">
        <f aca="false">E188/COUNT($E$4:E188)</f>
        <v>0.000148714290417995</v>
      </c>
      <c r="N188" s="19" t="n">
        <f aca="false">M188*252</f>
        <v>0.0374760011853348</v>
      </c>
      <c r="O188" s="20" t="n">
        <f aca="false">STDEV($D$4:$D188)</f>
        <v>0.0290671790675053</v>
      </c>
      <c r="P188" s="20" t="n">
        <f aca="false">O188*SQRT(252)</f>
        <v>0.461427162760809</v>
      </c>
      <c r="Q188" s="0" t="n">
        <f aca="false">Treasuries!J186/100</f>
        <v>0.0459</v>
      </c>
      <c r="R188" s="20" t="n">
        <f aca="false">AJ188/AK188*SQRT(252)</f>
        <v>0.0927691857165739</v>
      </c>
      <c r="S188" s="32" t="n">
        <f aca="false">IF(D188&lt;s_p!H188, D188-s_p!H188, 0)</f>
        <v>-0.0258242956339483</v>
      </c>
      <c r="T188" s="0" t="n">
        <f aca="false">S188^2</f>
        <v>0.000666894244989561</v>
      </c>
      <c r="U188" s="0" t="n">
        <f aca="false">SQRT(AVERAGE(T$4:T188)) * SQRT(252)</f>
        <v>0.338794929410153</v>
      </c>
      <c r="V188" s="0" t="n">
        <f aca="false">AJ188/U188*252</f>
        <v>0.130758050969507</v>
      </c>
      <c r="W188" s="22" t="n">
        <f aca="false">(s_p!$J188)/COUNT(s_p!$J$4:$J188)</f>
        <v>0.000381321648014493</v>
      </c>
      <c r="X188" s="22" t="n">
        <f aca="false">W188 * 252</f>
        <v>0.0960930552996522</v>
      </c>
      <c r="Y188" s="21" t="n">
        <f aca="false">STDEV(s_p!$H$4:$H188)</f>
        <v>0.00683899733086078</v>
      </c>
      <c r="Z188" s="21" t="n">
        <f aca="false">Y188*SQRT(252)</f>
        <v>0.108565716926953</v>
      </c>
      <c r="AA188" s="0" t="n">
        <f aca="false">AJ188/AK188</f>
        <v>0.00584390939847675</v>
      </c>
      <c r="AB188" s="0" t="n">
        <f aca="false">_xlfn.COVARIANCE.S($D$4:$D188,s_p!$H$4:$H188)</f>
        <v>-6.61575703515216E-006</v>
      </c>
      <c r="AC188" s="0" t="n">
        <f aca="false">_xlfn.VAR.S(s_p!$H$4:$H188)</f>
        <v>4.67718844915208E-005</v>
      </c>
      <c r="AD188" s="0" t="n">
        <f aca="false">AB188/AC188</f>
        <v>-0.14144730551431</v>
      </c>
      <c r="AE188" s="0" t="n">
        <f aca="false">M188-(AD188*W188)</f>
        <v>0.000202651210063921</v>
      </c>
      <c r="AF188" s="33" t="n">
        <f aca="false">MAX($E$4:E188)</f>
        <v>0.280129884293098</v>
      </c>
      <c r="AG188" s="0" t="n">
        <f aca="false">1 - ((1 + E188) / (1 + AF188))</f>
        <v>0.197337585557006</v>
      </c>
      <c r="AH188" s="0" t="n">
        <f aca="false">MAX($AG$5:AG188)</f>
        <v>0.322303580832179</v>
      </c>
      <c r="AI188" s="19" t="n">
        <f aca="false">D188-s_p!H188</f>
        <v>-0.0258242956339483</v>
      </c>
      <c r="AJ188" s="19" t="n">
        <f aca="false">AVERAGE(AI$4:AI188)</f>
        <v>0.000175794304158823</v>
      </c>
      <c r="AK188" s="0" t="n">
        <f aca="false">STDEV(AI$4:AI188)</f>
        <v>0.0300816272416278</v>
      </c>
    </row>
    <row r="189" customFormat="false" ht="13.8" hidden="false" customHeight="false" outlineLevel="0" collapsed="false">
      <c r="A189" s="6" t="n">
        <f aca="false">WORKDAY(A188,1,holiday!$B$2:$B$10)</f>
        <v>38987</v>
      </c>
      <c r="B189" s="24" t="n">
        <v>1041589.06009639</v>
      </c>
      <c r="C189" s="24" t="n">
        <f aca="false">B189-B188</f>
        <v>14076.9163690644</v>
      </c>
      <c r="D189" s="31" t="n">
        <f aca="false">C189/B188</f>
        <v>0.0137</v>
      </c>
      <c r="E189" s="31" t="n">
        <f aca="false" t="array" ref="E189:E189">PRODUCT(1+$D$4:D189)-1</f>
        <v>0.0415890600963935</v>
      </c>
      <c r="F189" s="0" t="n">
        <f aca="false">IF(ISBLANK(A190),MONTH(A189),IF(MONTH(A190)-MONTH(A189)=1,MONTH(A189),0))</f>
        <v>0</v>
      </c>
      <c r="G189" s="0" t="str">
        <f aca="false">IF(B190&gt;B189,IF(AND(B188&gt;B189,B190&gt;B189),"min",""),IF(AND(B188&gt;B189,B190&gt;B189),"",IF(AND(B188&lt;B189,B190&lt;B189),"max","")))</f>
        <v>max</v>
      </c>
      <c r="H189" s="0" t="n">
        <f aca="false">IF(G189="min",COUNTIF(G$4:G189,"min"),IF(G189="max",COUNTIF(G$4:G189,"max"),""))</f>
        <v>47</v>
      </c>
      <c r="I189" s="24" t="str">
        <f aca="false" t="array" ref="I189:I189">IF($G$3=0,IF(G189="min",INDEX($B$4:$B$254,(MATCH(1,($G$4:$G$254="max")*($H$4:$H$254=(H189-1)),0))),""),IF($G$3=1,IF(G189="min",INDEX($B$4:$B$254,(MATCH(1,($G$4:$G$254="max")*($H$4:$H$254=(H189)),0))),""),""))</f>
        <v/>
      </c>
      <c r="J189" s="29" t="str">
        <f aca="false">IF(AND(G187=0,G189="min",H189=1),B189-B188,IF(G189="min",B189-I189,""))</f>
        <v/>
      </c>
      <c r="K189" s="34" t="str">
        <f aca="false">IF(AND(G187=0,G189="min",H189=1),(B189-B188)/B188,IF(G189="min",(B189-I189)/I189,""))</f>
        <v/>
      </c>
      <c r="L189" s="5"/>
      <c r="M189" s="0" t="n">
        <f aca="false">E189/COUNT($E$4:E189)</f>
        <v>0.000223597097292438</v>
      </c>
      <c r="N189" s="19" t="n">
        <f aca="false">M189*252</f>
        <v>0.0563464685176944</v>
      </c>
      <c r="O189" s="20" t="n">
        <f aca="false">STDEV($D$4:$D189)</f>
        <v>0.0290045009534629</v>
      </c>
      <c r="P189" s="20" t="n">
        <f aca="false">O189*SQRT(252)</f>
        <v>0.460432178546392</v>
      </c>
      <c r="Q189" s="0" t="n">
        <f aca="false">Treasuries!J187/100</f>
        <v>0.046</v>
      </c>
      <c r="R189" s="20" t="n">
        <f aca="false">AJ189/AK189*SQRT(252)</f>
        <v>0.130915053234818</v>
      </c>
      <c r="S189" s="32" t="n">
        <f aca="false">IF(D189&lt;s_p!H189, D189-s_p!H189, 0)</f>
        <v>0</v>
      </c>
      <c r="T189" s="0" t="n">
        <f aca="false">S189^2</f>
        <v>0</v>
      </c>
      <c r="U189" s="0" t="n">
        <f aca="false">SQRT(AVERAGE(T$4:T189)) * SQRT(252)</f>
        <v>0.337882962939241</v>
      </c>
      <c r="V189" s="0" t="n">
        <f aca="false">AJ189/U189*252</f>
        <v>0.184620026545683</v>
      </c>
      <c r="W189" s="22" t="n">
        <f aca="false">(s_p!$J189)/COUNT(s_p!$J$4:$J189)</f>
        <v>0.000380305203755306</v>
      </c>
      <c r="X189" s="22" t="n">
        <f aca="false">W189 * 252</f>
        <v>0.0958369113463371</v>
      </c>
      <c r="Y189" s="21" t="n">
        <f aca="false">STDEV(s_p!$H$4:$H189)</f>
        <v>0.0068205062523429</v>
      </c>
      <c r="Z189" s="21" t="n">
        <f aca="false">Y189*SQRT(252)</f>
        <v>0.108272180155563</v>
      </c>
      <c r="AA189" s="0" t="n">
        <f aca="false">AJ189/AK189</f>
        <v>0.00824687318414555</v>
      </c>
      <c r="AB189" s="0" t="n">
        <f aca="false">_xlfn.COVARIANCE.S($D$4:$D189,s_p!$H$4:$H189)</f>
        <v>-6.59497701525366E-006</v>
      </c>
      <c r="AC189" s="0" t="n">
        <f aca="false">_xlfn.VAR.S(s_p!$H$4:$H189)</f>
        <v>4.65193055382487E-005</v>
      </c>
      <c r="AD189" s="0" t="n">
        <f aca="false">AB189/AC189</f>
        <v>-0.141768604215968</v>
      </c>
      <c r="AE189" s="0" t="n">
        <f aca="false">M189-(AD189*W189)</f>
        <v>0.000277512435204897</v>
      </c>
      <c r="AF189" s="33" t="n">
        <f aca="false">MAX($E$4:E189)</f>
        <v>0.280129884293098</v>
      </c>
      <c r="AG189" s="0" t="n">
        <f aca="false">1 - ((1 + E189) / (1 + AF189))</f>
        <v>0.186341110479136</v>
      </c>
      <c r="AH189" s="0" t="n">
        <f aca="false">MAX($AG$5:AG189)</f>
        <v>0.322303580832179</v>
      </c>
      <c r="AI189" s="19" t="n">
        <f aca="false">D189-s_p!H189</f>
        <v>0.0135204063306768</v>
      </c>
      <c r="AJ189" s="19" t="n">
        <f aca="false">AVERAGE(AI$4:AI189)</f>
        <v>0.000247539530107844</v>
      </c>
      <c r="AK189" s="0" t="n">
        <f aca="false">STDEV(AI$4:AI189)</f>
        <v>0.0300161678954557</v>
      </c>
    </row>
    <row r="190" customFormat="false" ht="13.8" hidden="false" customHeight="false" outlineLevel="0" collapsed="false">
      <c r="A190" s="6" t="n">
        <f aca="false">WORKDAY(A189,1,holiday!$B$2:$B$10)</f>
        <v>38988</v>
      </c>
      <c r="B190" s="24" t="n">
        <v>998675.590820422</v>
      </c>
      <c r="C190" s="24" t="n">
        <f aca="false">B190-B189</f>
        <v>-42913.4692759714</v>
      </c>
      <c r="D190" s="31" t="n">
        <f aca="false">C190/B189</f>
        <v>-0.0412</v>
      </c>
      <c r="E190" s="31" t="n">
        <f aca="false" t="array" ref="E190:E190">PRODUCT(1+$D$4:D190)-1</f>
        <v>-0.00132440917957777</v>
      </c>
      <c r="F190" s="0" t="n">
        <f aca="false">IF(ISBLANK(A191),MONTH(A190),IF(MONTH(A191)-MONTH(A190)=1,MONTH(A190),0))</f>
        <v>0</v>
      </c>
      <c r="G190" s="0" t="str">
        <f aca="false">IF(B191&gt;B190,IF(AND(B189&gt;B190,B191&gt;B190),"min",""),IF(AND(B189&gt;B190,B191&gt;B190),"",IF(AND(B189&lt;B190,B191&lt;B190),"max","")))</f>
        <v/>
      </c>
      <c r="H190" s="0" t="str">
        <f aca="false">IF(G190="min",COUNTIF(G$4:G190,"min"),IF(G190="max",COUNTIF(G$4:G190,"max"),""))</f>
        <v/>
      </c>
      <c r="I190" s="24" t="str">
        <f aca="false" t="array" ref="I190:I190">IF($G$3=0,IF(G190="min",INDEX($B$4:$B$254,(MATCH(1,($G$4:$G$254="max")*($H$4:$H$254=(H190-1)),0))),""),IF($G$3=1,IF(G190="min",INDEX($B$4:$B$254,(MATCH(1,($G$4:$G$254="max")*($H$4:$H$254=(H190)),0))),""),""))</f>
        <v/>
      </c>
      <c r="J190" s="29" t="str">
        <f aca="false">IF(AND(G188=0,G190="min",H190=1),B190-B189,IF(G190="min",B190-I190,""))</f>
        <v/>
      </c>
      <c r="K190" s="34" t="str">
        <f aca="false">IF(AND(G188=0,G190="min",H190=1),(B190-B189)/B189,IF(G190="min",(B190-I190)/I190,""))</f>
        <v/>
      </c>
      <c r="L190" s="5"/>
      <c r="M190" s="0" t="n">
        <f aca="false">E190/COUNT($E$4:E190)</f>
        <v>-7.08240202982764E-006</v>
      </c>
      <c r="N190" s="19" t="n">
        <f aca="false">M190*252</f>
        <v>-0.00178476531151656</v>
      </c>
      <c r="O190" s="20" t="n">
        <f aca="false">STDEV($D$4:$D190)</f>
        <v>0.0290877769673699</v>
      </c>
      <c r="P190" s="20" t="n">
        <f aca="false">O190*SQRT(252)</f>
        <v>0.46175414428424</v>
      </c>
      <c r="Q190" s="0" t="n">
        <f aca="false">Treasuries!J188/100</f>
        <v>0.0463</v>
      </c>
      <c r="R190" s="20" t="n">
        <f aca="false">AJ190/AK190*SQRT(252)</f>
        <v>0.0088243793815122</v>
      </c>
      <c r="S190" s="32" t="n">
        <f aca="false">IF(D190&lt;s_p!H190, D190-s_p!H190, 0)</f>
        <v>-0.0429133152275568</v>
      </c>
      <c r="T190" s="0" t="n">
        <f aca="false">S190^2</f>
        <v>0.00184155262381966</v>
      </c>
      <c r="U190" s="0" t="n">
        <f aca="false">SQRT(AVERAGE(T$4:T190)) * SQRT(252)</f>
        <v>0.340640651822888</v>
      </c>
      <c r="V190" s="0" t="n">
        <f aca="false">AJ190/U190*252</f>
        <v>0.0123786478837301</v>
      </c>
      <c r="W190" s="22" t="n">
        <f aca="false">(s_p!$J190)/COUNT(s_p!$J$4:$J190)</f>
        <v>0.000388081697901777</v>
      </c>
      <c r="X190" s="22" t="n">
        <f aca="false">W190 * 252</f>
        <v>0.0977965878712479</v>
      </c>
      <c r="Y190" s="21" t="n">
        <f aca="false">STDEV(s_p!$H$4:$H190)</f>
        <v>0.00680283450513065</v>
      </c>
      <c r="Z190" s="21" t="n">
        <f aca="false">Y190*SQRT(252)</f>
        <v>0.107991649865429</v>
      </c>
      <c r="AA190" s="0" t="n">
        <f aca="false">AJ190/AK190</f>
        <v>0.000555883650427877</v>
      </c>
      <c r="AB190" s="0" t="n">
        <f aca="false">_xlfn.COVARIANCE.S($D$4:$D190,s_p!$H$4:$H190)</f>
        <v>-6.85544863607226E-006</v>
      </c>
      <c r="AC190" s="0" t="n">
        <f aca="false">_xlfn.VAR.S(s_p!$H$4:$H190)</f>
        <v>4.62785573041961E-005</v>
      </c>
      <c r="AD190" s="0" t="n">
        <f aca="false">AB190/AC190</f>
        <v>-0.148134450065293</v>
      </c>
      <c r="AE190" s="0" t="n">
        <f aca="false">M190-(AD190*W190)</f>
        <v>5.04058668692574E-005</v>
      </c>
      <c r="AF190" s="33" t="n">
        <f aca="false">MAX($E$4:E190)</f>
        <v>0.280129884293098</v>
      </c>
      <c r="AG190" s="0" t="n">
        <f aca="false">1 - ((1 + E190) / (1 + AF190))</f>
        <v>0.219863856727396</v>
      </c>
      <c r="AH190" s="0" t="n">
        <f aca="false">MAX($AG$5:AG190)</f>
        <v>0.322303580832179</v>
      </c>
      <c r="AI190" s="19" t="n">
        <f aca="false">D190-s_p!H190</f>
        <v>-0.0429133152275568</v>
      </c>
      <c r="AJ190" s="19" t="n">
        <f aca="false">AVERAGE(AI$4:AI190)</f>
        <v>1.67328201738089E-005</v>
      </c>
      <c r="AK190" s="0" t="n">
        <f aca="false">STDEV(AI$4:AI190)</f>
        <v>0.0301012993653064</v>
      </c>
    </row>
    <row r="191" customFormat="false" ht="13.8" hidden="false" customHeight="false" outlineLevel="0" collapsed="false">
      <c r="A191" s="6" t="n">
        <f aca="false">WORKDAY(A190,1,holiday!$B$2:$B$10)</f>
        <v>38989</v>
      </c>
      <c r="B191" s="24" t="n">
        <v>963921.680259872</v>
      </c>
      <c r="C191" s="24" t="n">
        <f aca="false">B191-B190</f>
        <v>-34753.9105605506</v>
      </c>
      <c r="D191" s="31" t="n">
        <f aca="false">C191/B190</f>
        <v>-0.0347999999999999</v>
      </c>
      <c r="E191" s="31" t="n">
        <f aca="false" t="array" ref="E191:E191">PRODUCT(1+$D$4:D191)-1</f>
        <v>-0.0360783197401284</v>
      </c>
      <c r="F191" s="0" t="n">
        <f aca="false">IF(ISBLANK(A192),MONTH(A191),IF(MONTH(A192)-MONTH(A191)=1,MONTH(A191),0))</f>
        <v>9</v>
      </c>
      <c r="G191" s="0" t="str">
        <f aca="false">IF(B192&gt;B191,IF(AND(B190&gt;B191,B192&gt;B191),"min",""),IF(AND(B190&gt;B191,B192&gt;B191),"",IF(AND(B190&lt;B191,B192&lt;B191),"max","")))</f>
        <v>min</v>
      </c>
      <c r="H191" s="0" t="n">
        <f aca="false">IF(G191="min",COUNTIF(G$4:G191,"min"),IF(G191="max",COUNTIF(G$4:G191,"max"),""))</f>
        <v>48</v>
      </c>
      <c r="I191" s="24" t="n">
        <f aca="false" t="array" ref="I191:I191">IF($G$3=0,IF(G191="min",INDEX($B$4:$B$254,(MATCH(1,($G$4:$G$254="max")*($H$4:$H$254=(H191-1)),0))),""),IF($G$3=1,IF(G191="min",INDEX($B$4:$B$254,(MATCH(1,($G$4:$G$254="max")*($H$4:$H$254=(H191)),0))),""),""))</f>
        <v>1041589.06009639</v>
      </c>
      <c r="J191" s="29" t="n">
        <f aca="false">IF(AND(G189=0,G191="min",H191=1),B191-B190,IF(G191="min",B191-I191,""))</f>
        <v>-77667.379836518</v>
      </c>
      <c r="K191" s="34" t="n">
        <f aca="false">IF(AND(G189=0,G191="min",H191=1),(B191-B190)/B190,IF(G191="min",(B191-I191)/I191,""))</f>
        <v>-0.0745662399999963</v>
      </c>
      <c r="L191" s="5"/>
      <c r="M191" s="0" t="n">
        <f aca="false">E191/COUNT($E$4:E191)</f>
        <v>-0.000191905956064513</v>
      </c>
      <c r="N191" s="19" t="n">
        <f aca="false">M191*252</f>
        <v>-0.0483603009282573</v>
      </c>
      <c r="O191" s="20" t="n">
        <f aca="false">STDEV($D$4:$D191)</f>
        <v>0.0291233621465926</v>
      </c>
      <c r="P191" s="20" t="n">
        <f aca="false">O191*SQRT(252)</f>
        <v>0.462319041491738</v>
      </c>
      <c r="Q191" s="0" t="n">
        <f aca="false">Treasuries!J189/100</f>
        <v>0.0464</v>
      </c>
      <c r="R191" s="20" t="n">
        <f aca="false">AJ191/AK191*SQRT(252)</f>
        <v>-0.0824577051395806</v>
      </c>
      <c r="S191" s="32" t="n">
        <f aca="false">IF(D191&lt;s_p!H191, D191-s_p!H191, 0)</f>
        <v>-0.0325369144359463</v>
      </c>
      <c r="T191" s="0" t="n">
        <f aca="false">S191^2</f>
        <v>0.00105865080101209</v>
      </c>
      <c r="U191" s="0" t="n">
        <f aca="false">SQRT(AVERAGE(T$4:T191)) * SQRT(252)</f>
        <v>0.341815568963618</v>
      </c>
      <c r="V191" s="0" t="n">
        <f aca="false">AJ191/U191*252</f>
        <v>-0.115322626686587</v>
      </c>
      <c r="W191" s="22" t="n">
        <f aca="false">(s_p!$J191)/COUNT(s_p!$J$4:$J191)</f>
        <v>0.000373106153899395</v>
      </c>
      <c r="X191" s="22" t="n">
        <f aca="false">W191 * 252</f>
        <v>0.0940227507826474</v>
      </c>
      <c r="Y191" s="21" t="n">
        <f aca="false">STDEV(s_p!$H$4:$H191)</f>
        <v>0.00678739544687561</v>
      </c>
      <c r="Z191" s="21" t="n">
        <f aca="false">Y191*SQRT(252)</f>
        <v>0.10774656241371</v>
      </c>
      <c r="AA191" s="0" t="n">
        <f aca="false">AJ191/AK191</f>
        <v>-0.00519434717810522</v>
      </c>
      <c r="AB191" s="0" t="n">
        <f aca="false">_xlfn.COVARIANCE.S($D$4:$D191,s_p!$H$4:$H191)</f>
        <v>-6.32039343123491E-006</v>
      </c>
      <c r="AC191" s="0" t="n">
        <f aca="false">_xlfn.VAR.S(s_p!$H$4:$H191)</f>
        <v>4.60687369522678E-005</v>
      </c>
      <c r="AD191" s="0" t="n">
        <f aca="false">AB191/AC191</f>
        <v>-0.137194849465561</v>
      </c>
      <c r="AE191" s="0" t="n">
        <f aca="false">M191-(AD191*W191)</f>
        <v>-0.000140717713445611</v>
      </c>
      <c r="AF191" s="33" t="n">
        <f aca="false">MAX($E$4:E191)</f>
        <v>0.280129884293098</v>
      </c>
      <c r="AG191" s="0" t="n">
        <f aca="false">1 - ((1 + E191) / (1 + AF191))</f>
        <v>0.247012594513283</v>
      </c>
      <c r="AH191" s="0" t="n">
        <f aca="false">MAX($AG$5:AG191)</f>
        <v>0.322303580832179</v>
      </c>
      <c r="AI191" s="19" t="n">
        <f aca="false">D191-s_p!H191</f>
        <v>-0.0325369144359463</v>
      </c>
      <c r="AJ191" s="19" t="n">
        <f aca="false">AVERAGE(AI$4:AI191)</f>
        <v>-0.000156424877997043</v>
      </c>
      <c r="AK191" s="0" t="n">
        <f aca="false">STDEV(AI$4:AI191)</f>
        <v>0.0301144441512096</v>
      </c>
    </row>
    <row r="192" customFormat="false" ht="13.8" hidden="false" customHeight="false" outlineLevel="0" collapsed="false">
      <c r="A192" s="6" t="n">
        <f aca="false">WORKDAY(A191,1,holiday!$B$2:$B$10)</f>
        <v>38992</v>
      </c>
      <c r="B192" s="24" t="n">
        <v>993032.11500372</v>
      </c>
      <c r="C192" s="24" t="n">
        <f aca="false">B192-B191</f>
        <v>29110.4347438482</v>
      </c>
      <c r="D192" s="31" t="n">
        <f aca="false">C192/B191</f>
        <v>0.0302</v>
      </c>
      <c r="E192" s="31" t="n">
        <f aca="false" t="array" ref="E192:E192">PRODUCT(1+$D$4:D192)-1</f>
        <v>-0.00696788499628032</v>
      </c>
      <c r="F192" s="0" t="n">
        <f aca="false">IF(ISBLANK(A193),MONTH(A192),IF(MONTH(A193)-MONTH(A192)=1,MONTH(A192),0))</f>
        <v>0</v>
      </c>
      <c r="G192" s="0" t="str">
        <f aca="false">IF(B193&gt;B192,IF(AND(B191&gt;B192,B193&gt;B192),"min",""),IF(AND(B191&gt;B192,B193&gt;B192),"",IF(AND(B191&lt;B192,B193&lt;B192),"max","")))</f>
        <v/>
      </c>
      <c r="H192" s="0" t="str">
        <f aca="false">IF(G192="min",COUNTIF(G$4:G192,"min"),IF(G192="max",COUNTIF(G$4:G192,"max"),""))</f>
        <v/>
      </c>
      <c r="I192" s="24" t="str">
        <f aca="false" t="array" ref="I192:I192">IF($G$3=0,IF(G192="min",INDEX($B$4:$B$254,(MATCH(1,($G$4:$G$254="max")*($H$4:$H$254=(H192-1)),0))),""),IF($G$3=1,IF(G192="min",INDEX($B$4:$B$254,(MATCH(1,($G$4:$G$254="max")*($H$4:$H$254=(H192)),0))),""),""))</f>
        <v/>
      </c>
      <c r="J192" s="29" t="str">
        <f aca="false">IF(AND(G190=0,G192="min",H192=1),B192-B191,IF(G192="min",B192-I192,""))</f>
        <v/>
      </c>
      <c r="K192" s="34" t="str">
        <f aca="false">IF(AND(G190=0,G192="min",H192=1),(B192-B191)/B191,IF(G192="min",(B192-I192)/I192,""))</f>
        <v/>
      </c>
      <c r="L192" s="5"/>
      <c r="M192" s="0" t="n">
        <f aca="false">E192/COUNT($E$4:E192)</f>
        <v>-3.68671163824355E-005</v>
      </c>
      <c r="N192" s="19" t="n">
        <f aca="false">M192*252</f>
        <v>-0.00929051332837375</v>
      </c>
      <c r="O192" s="20" t="n">
        <f aca="false">STDEV($D$4:$D192)</f>
        <v>0.0291275123497337</v>
      </c>
      <c r="P192" s="20" t="n">
        <f aca="false">O192*SQRT(252)</f>
        <v>0.462384923924148</v>
      </c>
      <c r="Q192" s="0" t="n">
        <f aca="false">Treasuries!J190/100</f>
        <v>0.0462</v>
      </c>
      <c r="R192" s="20" t="n">
        <f aca="false">AJ192/AK192*SQRT(252)</f>
        <v>0.0116596875651873</v>
      </c>
      <c r="S192" s="32" t="n">
        <f aca="false">IF(D192&lt;s_p!H192, D192-s_p!H192, 0)</f>
        <v>0</v>
      </c>
      <c r="T192" s="0" t="n">
        <f aca="false">S192^2</f>
        <v>0</v>
      </c>
      <c r="U192" s="0" t="n">
        <f aca="false">SQRT(AVERAGE(T$4:T192)) * SQRT(252)</f>
        <v>0.340910095667164</v>
      </c>
      <c r="V192" s="0" t="n">
        <f aca="false">AJ192/U192*252</f>
        <v>0.0163609987493055</v>
      </c>
      <c r="W192" s="22" t="n">
        <f aca="false">(s_p!$J192)/COUNT(s_p!$J$4:$J192)</f>
        <v>0.000351931177300291</v>
      </c>
      <c r="X192" s="22" t="n">
        <f aca="false">W192 * 252</f>
        <v>0.0886866566796734</v>
      </c>
      <c r="Y192" s="21" t="n">
        <f aca="false">STDEV(s_p!$H$4:$H192)</f>
        <v>0.00677488573364606</v>
      </c>
      <c r="Z192" s="21" t="n">
        <f aca="false">Y192*SQRT(252)</f>
        <v>0.107547976872641</v>
      </c>
      <c r="AA192" s="0" t="n">
        <f aca="false">AJ192/AK192</f>
        <v>0.000734491277671454</v>
      </c>
      <c r="AB192" s="0" t="n">
        <f aca="false">_xlfn.COVARIANCE.S($D$4:$D192,s_p!$H$4:$H192)</f>
        <v>-6.88538361702319E-006</v>
      </c>
      <c r="AC192" s="0" t="n">
        <f aca="false">_xlfn.VAR.S(s_p!$H$4:$H192)</f>
        <v>4.58990767039609E-005</v>
      </c>
      <c r="AD192" s="0" t="n">
        <f aca="false">AB192/AC192</f>
        <v>-0.150011375205484</v>
      </c>
      <c r="AE192" s="0" t="n">
        <f aca="false">M192-(AD192*W192)</f>
        <v>1.59265635020663E-005</v>
      </c>
      <c r="AF192" s="33" t="n">
        <f aca="false">MAX($E$4:E192)</f>
        <v>0.280129884293098</v>
      </c>
      <c r="AG192" s="0" t="n">
        <f aca="false">1 - ((1 + E192) / (1 + AF192))</f>
        <v>0.224272374867584</v>
      </c>
      <c r="AH192" s="0" t="n">
        <f aca="false">MAX($AG$5:AG192)</f>
        <v>0.322303580832179</v>
      </c>
      <c r="AI192" s="19" t="n">
        <f aca="false">D192-s_p!H192</f>
        <v>0.0335910993000711</v>
      </c>
      <c r="AJ192" s="19" t="n">
        <f aca="false">AVERAGE(AI$4:AI192)</f>
        <v>2.21334509874448E-005</v>
      </c>
      <c r="AK192" s="0" t="n">
        <f aca="false">STDEV(AI$4:AI192)</f>
        <v>0.030134395955816</v>
      </c>
    </row>
    <row r="193" customFormat="false" ht="13.8" hidden="false" customHeight="false" outlineLevel="0" collapsed="false">
      <c r="A193" s="6" t="n">
        <f aca="false">WORKDAY(A192,1,holiday!$B$2:$B$10)</f>
        <v>38993</v>
      </c>
      <c r="B193" s="24" t="n">
        <v>1017659.31145581</v>
      </c>
      <c r="C193" s="24" t="n">
        <f aca="false">B193-B192</f>
        <v>24627.1964520923</v>
      </c>
      <c r="D193" s="31" t="n">
        <f aca="false">C193/B192</f>
        <v>0.0248</v>
      </c>
      <c r="E193" s="31" t="n">
        <f aca="false" t="array" ref="E193:E193">PRODUCT(1+$D$4:D193)-1</f>
        <v>0.0176593114558119</v>
      </c>
      <c r="F193" s="0" t="n">
        <f aca="false">IF(ISBLANK(A194),MONTH(A193),IF(MONTH(A194)-MONTH(A193)=1,MONTH(A193),0))</f>
        <v>0</v>
      </c>
      <c r="G193" s="0" t="str">
        <f aca="false">IF(B194&gt;B193,IF(AND(B192&gt;B193,B194&gt;B193),"min",""),IF(AND(B192&gt;B193,B194&gt;B193),"",IF(AND(B192&lt;B193,B194&lt;B193),"max","")))</f>
        <v/>
      </c>
      <c r="H193" s="0" t="str">
        <f aca="false">IF(G193="min",COUNTIF(G$4:G193,"min"),IF(G193="max",COUNTIF(G$4:G193,"max"),""))</f>
        <v/>
      </c>
      <c r="I193" s="24" t="str">
        <f aca="false" t="array" ref="I193:I193">IF($G$3=0,IF(G193="min",INDEX($B$4:$B$254,(MATCH(1,($G$4:$G$254="max")*($H$4:$H$254=(H193-1)),0))),""),IF($G$3=1,IF(G193="min",INDEX($B$4:$B$254,(MATCH(1,($G$4:$G$254="max")*($H$4:$H$254=(H193)),0))),""),""))</f>
        <v/>
      </c>
      <c r="J193" s="29" t="str">
        <f aca="false">IF(AND(G191=0,G193="min",H193=1),B193-B192,IF(G193="min",B193-I193,""))</f>
        <v/>
      </c>
      <c r="K193" s="34" t="str">
        <f aca="false">IF(AND(G191=0,G193="min",H193=1),(B193-B192)/B192,IF(G193="min",(B193-I193)/I193,""))</f>
        <v/>
      </c>
      <c r="L193" s="5"/>
      <c r="M193" s="0" t="n">
        <f aca="false">E193/COUNT($E$4:E193)</f>
        <v>9.29437445042731E-005</v>
      </c>
      <c r="N193" s="19" t="n">
        <f aca="false">M193*252</f>
        <v>0.0234218236150768</v>
      </c>
      <c r="O193" s="20" t="n">
        <f aca="false">STDEV($D$4:$D193)</f>
        <v>0.0291042980908809</v>
      </c>
      <c r="P193" s="20" t="n">
        <f aca="false">O193*SQRT(252)</f>
        <v>0.462016408989376</v>
      </c>
      <c r="Q193" s="0" t="n">
        <f aca="false">Treasuries!J191/100</f>
        <v>0.0462</v>
      </c>
      <c r="R193" s="20" t="n">
        <f aca="false">AJ193/AK193*SQRT(252)</f>
        <v>0.0746341400561507</v>
      </c>
      <c r="S193" s="32" t="n">
        <f aca="false">IF(D193&lt;s_p!H193, D193-s_p!H193, 0)</f>
        <v>0</v>
      </c>
      <c r="T193" s="0" t="n">
        <f aca="false">S193^2</f>
        <v>0</v>
      </c>
      <c r="U193" s="0" t="n">
        <f aca="false">SQRT(AVERAGE(T$4:T193)) * SQRT(252)</f>
        <v>0.340011780283173</v>
      </c>
      <c r="V193" s="0" t="n">
        <f aca="false">AJ193/U193*252</f>
        <v>0.104882814350374</v>
      </c>
      <c r="W193" s="22" t="n">
        <f aca="false">(s_p!$J193)/COUNT(s_p!$J$4:$J193)</f>
        <v>0.000361842368781556</v>
      </c>
      <c r="X193" s="22" t="n">
        <f aca="false">W193 * 252</f>
        <v>0.0911842769329521</v>
      </c>
      <c r="Y193" s="21" t="n">
        <f aca="false">STDEV(s_p!$H$4:$H193)</f>
        <v>0.00675810731774602</v>
      </c>
      <c r="Z193" s="21" t="n">
        <f aca="false">Y193*SQRT(252)</f>
        <v>0.10728162777745</v>
      </c>
      <c r="AA193" s="0" t="n">
        <f aca="false">AJ193/AK193</f>
        <v>0.00470150890247006</v>
      </c>
      <c r="AB193" s="0" t="n">
        <f aca="false">_xlfn.COVARIANCE.S($D$4:$D193,s_p!$H$4:$H193)</f>
        <v>-6.62638678247766E-006</v>
      </c>
      <c r="AC193" s="0" t="n">
        <f aca="false">_xlfn.VAR.S(s_p!$H$4:$H193)</f>
        <v>4.56720145181723E-005</v>
      </c>
      <c r="AD193" s="0" t="n">
        <f aca="false">AB193/AC193</f>
        <v>-0.145086369681397</v>
      </c>
      <c r="AE193" s="0" t="n">
        <f aca="false">M193-(AD193*W193)</f>
        <v>0.000145442140187706</v>
      </c>
      <c r="AF193" s="33" t="n">
        <f aca="false">MAX($E$4:E193)</f>
        <v>0.280129884293098</v>
      </c>
      <c r="AG193" s="0" t="n">
        <f aca="false">1 - ((1 + E193) / (1 + AF193))</f>
        <v>0.2050343297643</v>
      </c>
      <c r="AH193" s="0" t="n">
        <f aca="false">MAX($AG$5:AG193)</f>
        <v>0.322303580832179</v>
      </c>
      <c r="AI193" s="19" t="n">
        <f aca="false">D193-s_p!H193</f>
        <v>0.0227043355466755</v>
      </c>
      <c r="AJ193" s="19" t="n">
        <f aca="false">AVERAGE(AI$4:AI193)</f>
        <v>0.000141513462017382</v>
      </c>
      <c r="AK193" s="0" t="n">
        <f aca="false">STDEV(AI$4:AI193)</f>
        <v>0.0300995839746329</v>
      </c>
    </row>
    <row r="194" customFormat="false" ht="13.8" hidden="false" customHeight="false" outlineLevel="0" collapsed="false">
      <c r="A194" s="6" t="n">
        <f aca="false">WORKDAY(A193,1,holiday!$B$2:$B$10)</f>
        <v>38994</v>
      </c>
      <c r="B194" s="24" t="n">
        <v>1022849.37394424</v>
      </c>
      <c r="C194" s="24" t="n">
        <f aca="false">B194-B193</f>
        <v>5190.06248842459</v>
      </c>
      <c r="D194" s="31" t="n">
        <f aca="false">C194/B193</f>
        <v>0.00509999999999995</v>
      </c>
      <c r="E194" s="31" t="n">
        <f aca="false" t="array" ref="E194:E194">PRODUCT(1+$D$4:D194)-1</f>
        <v>0.0228493739442366</v>
      </c>
      <c r="F194" s="0" t="n">
        <f aca="false">IF(ISBLANK(A195),MONTH(A194),IF(MONTH(A195)-MONTH(A194)=1,MONTH(A194),0))</f>
        <v>0</v>
      </c>
      <c r="G194" s="0" t="str">
        <f aca="false">IF(B195&gt;B194,IF(AND(B193&gt;B194,B195&gt;B194),"min",""),IF(AND(B193&gt;B194,B195&gt;B194),"",IF(AND(B193&lt;B194,B195&lt;B194),"max","")))</f>
        <v>max</v>
      </c>
      <c r="H194" s="0" t="n">
        <f aca="false">IF(G194="min",COUNTIF(G$4:G194,"min"),IF(G194="max",COUNTIF(G$4:G194,"max"),""))</f>
        <v>48</v>
      </c>
      <c r="I194" s="24" t="str">
        <f aca="false" t="array" ref="I194:I194">IF($G$3=0,IF(G194="min",INDEX($B$4:$B$254,(MATCH(1,($G$4:$G$254="max")*($H$4:$H$254=(H194-1)),0))),""),IF($G$3=1,IF(G194="min",INDEX($B$4:$B$254,(MATCH(1,($G$4:$G$254="max")*($H$4:$H$254=(H194)),0))),""),""))</f>
        <v/>
      </c>
      <c r="J194" s="29" t="str">
        <f aca="false">IF(AND(G192=0,G194="min",H194=1),B194-B193,IF(G194="min",B194-I194,""))</f>
        <v/>
      </c>
      <c r="K194" s="34" t="str">
        <f aca="false">IF(AND(G192=0,G194="min",H194=1),(B194-B193)/B193,IF(G194="min",(B194-I194)/I194,""))</f>
        <v/>
      </c>
      <c r="L194" s="5"/>
      <c r="M194" s="0" t="n">
        <f aca="false">E194/COUNT($E$4:E194)</f>
        <v>0.000119630230074537</v>
      </c>
      <c r="N194" s="19" t="n">
        <f aca="false">M194*252</f>
        <v>0.0301468179787833</v>
      </c>
      <c r="O194" s="20" t="n">
        <f aca="false">STDEV($D$4:$D194)</f>
        <v>0.0290295032314916</v>
      </c>
      <c r="P194" s="20" t="n">
        <f aca="false">O194*SQRT(252)</f>
        <v>0.460829077405636</v>
      </c>
      <c r="Q194" s="0" t="n">
        <f aca="false">Treasuries!J192/100</f>
        <v>0.0457</v>
      </c>
      <c r="R194" s="20" t="n">
        <f aca="false">AJ194/AK194*SQRT(252)</f>
        <v>0.0551610366466559</v>
      </c>
      <c r="S194" s="32" t="n">
        <f aca="false">IF(D194&lt;s_p!H194, D194-s_p!H194, 0)</f>
        <v>-0.00696047477344455</v>
      </c>
      <c r="T194" s="0" t="n">
        <f aca="false">S194^2</f>
        <v>4.84482090717579E-005</v>
      </c>
      <c r="U194" s="0" t="n">
        <f aca="false">SQRT(AVERAGE(T$4:T194)) * SQRT(252)</f>
        <v>0.33921476144995</v>
      </c>
      <c r="V194" s="0" t="n">
        <f aca="false">AJ194/U194*252</f>
        <v>0.0775061492823246</v>
      </c>
      <c r="W194" s="22" t="n">
        <f aca="false">(s_p!$J194)/COUNT(s_p!$J$4:$J194)</f>
        <v>0.00042743289574065</v>
      </c>
      <c r="X194" s="22" t="n">
        <f aca="false">W194 * 252</f>
        <v>0.107713089726644</v>
      </c>
      <c r="Y194" s="21" t="n">
        <f aca="false">STDEV(s_p!$H$4:$H194)</f>
        <v>0.0067931465799424</v>
      </c>
      <c r="Z194" s="21" t="n">
        <f aca="false">Y194*SQRT(252)</f>
        <v>0.107837858820819</v>
      </c>
      <c r="AA194" s="0" t="n">
        <f aca="false">AJ194/AK194</f>
        <v>0.00347481869113274</v>
      </c>
      <c r="AB194" s="0" t="n">
        <f aca="false">_xlfn.COVARIANCE.S($D$4:$D194,s_p!$H$4:$H194)</f>
        <v>-6.31089489508631E-006</v>
      </c>
      <c r="AC194" s="0" t="n">
        <f aca="false">_xlfn.VAR.S(s_p!$H$4:$H194)</f>
        <v>4.61468404565831E-005</v>
      </c>
      <c r="AD194" s="0" t="n">
        <f aca="false">AB194/AC194</f>
        <v>-0.136756814391743</v>
      </c>
      <c r="AE194" s="0" t="n">
        <f aca="false">M194-(AD194*W194)</f>
        <v>0.000178084591262266</v>
      </c>
      <c r="AF194" s="33" t="n">
        <f aca="false">MAX($E$4:E194)</f>
        <v>0.280129884293098</v>
      </c>
      <c r="AG194" s="0" t="n">
        <f aca="false">1 - ((1 + E194) / (1 + AF194))</f>
        <v>0.200980004846098</v>
      </c>
      <c r="AH194" s="0" t="n">
        <f aca="false">MAX($AG$5:AG194)</f>
        <v>0.322303580832179</v>
      </c>
      <c r="AI194" s="19" t="n">
        <f aca="false">D194-s_p!H194</f>
        <v>-0.00696047477344457</v>
      </c>
      <c r="AJ194" s="19" t="n">
        <f aca="false">AVERAGE(AI$4:AI194)</f>
        <v>0.000104330277538524</v>
      </c>
      <c r="AK194" s="0" t="n">
        <f aca="false">STDEV(AI$4:AI194)</f>
        <v>0.0300246679934006</v>
      </c>
    </row>
    <row r="195" customFormat="false" ht="13.8" hidden="false" customHeight="false" outlineLevel="0" collapsed="false">
      <c r="A195" s="6" t="n">
        <f aca="false">WORKDAY(A194,1,holiday!$B$2:$B$10)</f>
        <v>38995</v>
      </c>
      <c r="B195" s="24" t="n">
        <v>992368.462600698</v>
      </c>
      <c r="C195" s="24" t="n">
        <f aca="false">B195-B194</f>
        <v>-30480.9113435382</v>
      </c>
      <c r="D195" s="31" t="n">
        <f aca="false">C195/B194</f>
        <v>-0.0298</v>
      </c>
      <c r="E195" s="31" t="n">
        <f aca="false" t="array" ref="E195:E195">PRODUCT(1+$D$4:D195)-1</f>
        <v>-0.00763153739930178</v>
      </c>
      <c r="F195" s="0" t="n">
        <f aca="false">IF(ISBLANK(A196),MONTH(A195),IF(MONTH(A196)-MONTH(A195)=1,MONTH(A195),0))</f>
        <v>0</v>
      </c>
      <c r="G195" s="0" t="str">
        <f aca="false">IF(B196&gt;B195,IF(AND(B194&gt;B195,B196&gt;B195),"min",""),IF(AND(B194&gt;B195,B196&gt;B195),"",IF(AND(B194&lt;B195,B196&lt;B195),"max","")))</f>
        <v/>
      </c>
      <c r="H195" s="0" t="str">
        <f aca="false">IF(G195="min",COUNTIF(G$4:G195,"min"),IF(G195="max",COUNTIF(G$4:G195,"max"),""))</f>
        <v/>
      </c>
      <c r="I195" s="24" t="str">
        <f aca="false" t="array" ref="I195:I195">IF($G$3=0,IF(G195="min",INDEX($B$4:$B$254,(MATCH(1,($G$4:$G$254="max")*($H$4:$H$254=(H195-1)),0))),""),IF($G$3=1,IF(G195="min",INDEX($B$4:$B$254,(MATCH(1,($G$4:$G$254="max")*($H$4:$H$254=(H195)),0))),""),""))</f>
        <v/>
      </c>
      <c r="J195" s="29" t="str">
        <f aca="false">IF(AND(G193=0,G195="min",H195=1),B195-B194,IF(G195="min",B195-I195,""))</f>
        <v/>
      </c>
      <c r="K195" s="34" t="str">
        <f aca="false">IF(AND(G193=0,G195="min",H195=1),(B195-B194)/B194,IF(G195="min",(B195-I195)/I195,""))</f>
        <v/>
      </c>
      <c r="L195" s="5"/>
      <c r="M195" s="0" t="n">
        <f aca="false">E195/COUNT($E$4:E195)</f>
        <v>-3.97475906213634E-005</v>
      </c>
      <c r="N195" s="19" t="n">
        <f aca="false">M195*252</f>
        <v>-0.0100163928365836</v>
      </c>
      <c r="O195" s="20" t="n">
        <f aca="false">STDEV($D$4:$D195)</f>
        <v>0.0290360765663122</v>
      </c>
      <c r="P195" s="20" t="n">
        <f aca="false">O195*SQRT(252)</f>
        <v>0.460933425860955</v>
      </c>
      <c r="Q195" s="0" t="n">
        <f aca="false">Treasuries!J193/100</f>
        <v>0.0461</v>
      </c>
      <c r="R195" s="20" t="n">
        <f aca="false">AJ195/AK195*SQRT(252)</f>
        <v>-0.0333343782759287</v>
      </c>
      <c r="S195" s="32" t="n">
        <f aca="false">IF(D195&lt;s_p!H195, D195-s_p!H195, 0)</f>
        <v>-0.0320367056732335</v>
      </c>
      <c r="T195" s="0" t="n">
        <f aca="false">S195^2</f>
        <v>0.00102635051039339</v>
      </c>
      <c r="U195" s="0" t="n">
        <f aca="false">SQRT(AVERAGE(T$4:T195)) * SQRT(252)</f>
        <v>0.340315197925168</v>
      </c>
      <c r="V195" s="0" t="n">
        <f aca="false">AJ195/U195*252</f>
        <v>-0.0467034086123161</v>
      </c>
      <c r="W195" s="22" t="n">
        <f aca="false">(s_p!$J195)/COUNT(s_p!$J$4:$J195)</f>
        <v>0.000437807253656345</v>
      </c>
      <c r="X195" s="22" t="n">
        <f aca="false">W195 * 252</f>
        <v>0.110327427921399</v>
      </c>
      <c r="Y195" s="21" t="n">
        <f aca="false">STDEV(s_p!$H$4:$H195)</f>
        <v>0.00677658924565959</v>
      </c>
      <c r="Z195" s="21" t="n">
        <f aca="false">Y195*SQRT(252)</f>
        <v>0.1075750192875</v>
      </c>
      <c r="AA195" s="0" t="n">
        <f aca="false">AJ195/AK195</f>
        <v>-0.00209986845302519</v>
      </c>
      <c r="AB195" s="0" t="n">
        <f aca="false">_xlfn.COVARIANCE.S($D$4:$D195,s_p!$H$4:$H195)</f>
        <v>-6.56271934140099E-006</v>
      </c>
      <c r="AC195" s="0" t="n">
        <f aca="false">_xlfn.VAR.S(s_p!$H$4:$H195)</f>
        <v>4.59221618043893E-005</v>
      </c>
      <c r="AD195" s="0" t="n">
        <f aca="false">AB195/AC195</f>
        <v>-0.142909634118612</v>
      </c>
      <c r="AE195" s="0" t="n">
        <f aca="false">M195-(AD195*W195)</f>
        <v>2.28192838131393E-005</v>
      </c>
      <c r="AF195" s="33" t="n">
        <f aca="false">MAX($E$4:E195)</f>
        <v>0.280129884293098</v>
      </c>
      <c r="AG195" s="0" t="n">
        <f aca="false">1 - ((1 + E195) / (1 + AF195))</f>
        <v>0.224790800701684</v>
      </c>
      <c r="AH195" s="0" t="n">
        <f aca="false">MAX($AG$5:AG195)</f>
        <v>0.322303580832179</v>
      </c>
      <c r="AI195" s="19" t="n">
        <f aca="false">D195-s_p!H195</f>
        <v>-0.0320367056732335</v>
      </c>
      <c r="AJ195" s="19" t="n">
        <f aca="false">AVERAGE(AI$4:AI195)</f>
        <v>-6.30709513717475E-005</v>
      </c>
      <c r="AK195" s="0" t="n">
        <f aca="false">STDEV(AI$4:AI195)</f>
        <v>0.0300356678442804</v>
      </c>
    </row>
    <row r="196" customFormat="false" ht="13.8" hidden="false" customHeight="false" outlineLevel="0" collapsed="false">
      <c r="A196" s="6" t="n">
        <f aca="false">WORKDAY(A195,1,holiday!$B$2:$B$10)</f>
        <v>38996</v>
      </c>
      <c r="B196" s="24" t="n">
        <v>982147.067435911</v>
      </c>
      <c r="C196" s="24" t="n">
        <f aca="false">B196-B195</f>
        <v>-10221.3951647872</v>
      </c>
      <c r="D196" s="31" t="n">
        <f aca="false">C196/B195</f>
        <v>-0.0103</v>
      </c>
      <c r="E196" s="31" t="n">
        <f aca="false" t="array" ref="E196:E196">PRODUCT(1+$D$4:D196)-1</f>
        <v>-0.0178529325640889</v>
      </c>
      <c r="F196" s="0" t="n">
        <f aca="false">IF(ISBLANK(A197),MONTH(A196),IF(MONTH(A197)-MONTH(A196)=1,MONTH(A196),0))</f>
        <v>0</v>
      </c>
      <c r="G196" s="0" t="str">
        <f aca="false">IF(B197&gt;B196,IF(AND(B195&gt;B196,B197&gt;B196),"min",""),IF(AND(B195&gt;B196,B197&gt;B196),"",IF(AND(B195&lt;B196,B197&lt;B196),"max","")))</f>
        <v/>
      </c>
      <c r="H196" s="0" t="str">
        <f aca="false">IF(G196="min",COUNTIF(G$4:G196,"min"),IF(G196="max",COUNTIF(G$4:G196,"max"),""))</f>
        <v/>
      </c>
      <c r="I196" s="24" t="str">
        <f aca="false" t="array" ref="I196:I196">IF($G$3=0,IF(G196="min",INDEX($B$4:$B$254,(MATCH(1,($G$4:$G$254="max")*($H$4:$H$254=(H196-1)),0))),""),IF($G$3=1,IF(G196="min",INDEX($B$4:$B$254,(MATCH(1,($G$4:$G$254="max")*($H$4:$H$254=(H196)),0))),""),""))</f>
        <v/>
      </c>
      <c r="J196" s="29" t="str">
        <f aca="false">IF(AND(G194=0,G196="min",H196=1),B196-B195,IF(G196="min",B196-I196,""))</f>
        <v/>
      </c>
      <c r="K196" s="34" t="str">
        <f aca="false">IF(AND(G194=0,G196="min",H196=1),(B196-B195)/B195,IF(G196="min",(B196-I196)/I196,""))</f>
        <v/>
      </c>
      <c r="L196" s="5"/>
      <c r="M196" s="0" t="n">
        <f aca="false">E196/COUNT($E$4:E196)</f>
        <v>-9.25022412647095E-005</v>
      </c>
      <c r="N196" s="19" t="n">
        <f aca="false">M196*252</f>
        <v>-0.0233105647987068</v>
      </c>
      <c r="O196" s="20" t="n">
        <f aca="false">STDEV($D$4:$D196)</f>
        <v>0.0289705652183673</v>
      </c>
      <c r="P196" s="20" t="n">
        <f aca="false">O196*SQRT(252)</f>
        <v>0.459893465452666</v>
      </c>
      <c r="Q196" s="0" t="n">
        <f aca="false">Treasuries!J194/100</f>
        <v>0.047</v>
      </c>
      <c r="R196" s="20" t="n">
        <f aca="false">AJ196/AK196*SQRT(252)</f>
        <v>-0.0541541837527308</v>
      </c>
      <c r="S196" s="32" t="n">
        <f aca="false">IF(D196&lt;s_p!H196, D196-s_p!H196, 0)</f>
        <v>-0.00761750934807339</v>
      </c>
      <c r="T196" s="0" t="n">
        <f aca="false">S196^2</f>
        <v>5.80264486679855E-005</v>
      </c>
      <c r="U196" s="0" t="n">
        <f aca="false">SQRT(AVERAGE(T$4:T196)) * SQRT(252)</f>
        <v>0.339543994580317</v>
      </c>
      <c r="V196" s="0" t="n">
        <f aca="false">AJ196/U196*252</f>
        <v>-0.0758597014147575</v>
      </c>
      <c r="W196" s="22" t="n">
        <f aca="false">(s_p!$J196)/COUNT(s_p!$J$4:$J196)</f>
        <v>0.000420471578175949</v>
      </c>
      <c r="X196" s="22" t="n">
        <f aca="false">W196 * 252</f>
        <v>0.105958837700339</v>
      </c>
      <c r="Y196" s="21" t="n">
        <f aca="false">STDEV(s_p!$H$4:$H196)</f>
        <v>0.00676266278235442</v>
      </c>
      <c r="Z196" s="21" t="n">
        <f aca="false">Y196*SQRT(252)</f>
        <v>0.107353943536211</v>
      </c>
      <c r="AA196" s="0" t="n">
        <f aca="false">AJ196/AK196</f>
        <v>-0.00341139292055754</v>
      </c>
      <c r="AB196" s="0" t="n">
        <f aca="false">_xlfn.COVARIANCE.S($D$4:$D196,s_p!$H$4:$H196)</f>
        <v>-6.35556507043413E-006</v>
      </c>
      <c r="AC196" s="0" t="n">
        <f aca="false">_xlfn.VAR.S(s_p!$H$4:$H196)</f>
        <v>4.57336079078416E-005</v>
      </c>
      <c r="AD196" s="0" t="n">
        <f aca="false">AB196/AC196</f>
        <v>-0.138969247369272</v>
      </c>
      <c r="AE196" s="0" t="n">
        <f aca="false">M196-(AD196*W196)</f>
        <v>-3.40696225054279E-005</v>
      </c>
      <c r="AF196" s="33" t="n">
        <f aca="false">MAX($E$4:E196)</f>
        <v>0.280129884293098</v>
      </c>
      <c r="AG196" s="0" t="n">
        <f aca="false">1 - ((1 + E196) / (1 + AF196))</f>
        <v>0.232775455454457</v>
      </c>
      <c r="AH196" s="0" t="n">
        <f aca="false">MAX($AG$5:AG196)</f>
        <v>0.322303580832179</v>
      </c>
      <c r="AI196" s="19" t="n">
        <f aca="false">D196-s_p!H196</f>
        <v>-0.00761750934807339</v>
      </c>
      <c r="AJ196" s="19" t="n">
        <f aca="false">AVERAGE(AI$4:AI196)</f>
        <v>-0.000102213119230305</v>
      </c>
      <c r="AK196" s="0" t="n">
        <f aca="false">STDEV(AI$4:AI196)</f>
        <v>0.0299622827421474</v>
      </c>
    </row>
    <row r="197" customFormat="false" ht="13.8" hidden="false" customHeight="false" outlineLevel="0" collapsed="false">
      <c r="A197" s="6" t="n">
        <f aca="false">WORKDAY(A196,1,holiday!$B$2:$B$10)</f>
        <v>38999</v>
      </c>
      <c r="B197" s="24" t="n">
        <v>949441.570090295</v>
      </c>
      <c r="C197" s="24" t="n">
        <f aca="false">B197-B196</f>
        <v>-32705.4973456159</v>
      </c>
      <c r="D197" s="31" t="n">
        <f aca="false">C197/B196</f>
        <v>-0.0333</v>
      </c>
      <c r="E197" s="31" t="n">
        <f aca="false" t="array" ref="E197:E197">PRODUCT(1+$D$4:D197)-1</f>
        <v>-0.0505584299097047</v>
      </c>
      <c r="F197" s="0" t="n">
        <f aca="false">IF(ISBLANK(A198),MONTH(A197),IF(MONTH(A198)-MONTH(A197)=1,MONTH(A197),0))</f>
        <v>0</v>
      </c>
      <c r="G197" s="0" t="str">
        <f aca="false">IF(B198&gt;B197,IF(AND(B196&gt;B197,B198&gt;B197),"min",""),IF(AND(B196&gt;B197,B198&gt;B197),"",IF(AND(B196&lt;B197,B198&lt;B197),"max","")))</f>
        <v/>
      </c>
      <c r="H197" s="0" t="str">
        <f aca="false">IF(G197="min",COUNTIF(G$4:G197,"min"),IF(G197="max",COUNTIF(G$4:G197,"max"),""))</f>
        <v/>
      </c>
      <c r="I197" s="24" t="str">
        <f aca="false" t="array" ref="I197:I197">IF($G$3=0,IF(G197="min",INDEX($B$4:$B$254,(MATCH(1,($G$4:$G$254="max")*($H$4:$H$254=(H197-1)),0))),""),IF($G$3=1,IF(G197="min",INDEX($B$4:$B$254,(MATCH(1,($G$4:$G$254="max")*($H$4:$H$254=(H197)),0))),""),""))</f>
        <v/>
      </c>
      <c r="J197" s="29" t="str">
        <f aca="false">IF(AND(G195=0,G197="min",H197=1),B197-B196,IF(G197="min",B197-I197,""))</f>
        <v/>
      </c>
      <c r="K197" s="34" t="str">
        <f aca="false">IF(AND(G195=0,G197="min",H197=1),(B197-B196)/B196,IF(G197="min",(B197-I197)/I197,""))</f>
        <v/>
      </c>
      <c r="L197" s="5"/>
      <c r="M197" s="0" t="n">
        <f aca="false">E197/COUNT($E$4:E197)</f>
        <v>-0.000260610463452086</v>
      </c>
      <c r="N197" s="19" t="n">
        <f aca="false">M197*252</f>
        <v>-0.0656738367899257</v>
      </c>
      <c r="O197" s="20" t="n">
        <f aca="false">STDEV($D$4:$D197)</f>
        <v>0.0289960855439298</v>
      </c>
      <c r="P197" s="20" t="n">
        <f aca="false">O197*SQRT(252)</f>
        <v>0.46029858806156</v>
      </c>
      <c r="Q197" s="0" t="n">
        <f aca="false">Treasuries!J195/100</f>
        <v>0.047</v>
      </c>
      <c r="R197" s="20" t="n">
        <f aca="false">AJ197/AK197*SQRT(252)</f>
        <v>-0.14687635127164</v>
      </c>
      <c r="S197" s="32" t="n">
        <f aca="false">IF(D197&lt;s_p!H197, D197-s_p!H197, 0)</f>
        <v>-0.0340928333790264</v>
      </c>
      <c r="T197" s="0" t="n">
        <f aca="false">S197^2</f>
        <v>0.00116232128781005</v>
      </c>
      <c r="U197" s="0" t="n">
        <f aca="false">SQRT(AVERAGE(T$4:T197)) * SQRT(252)</f>
        <v>0.340889519741125</v>
      </c>
      <c r="V197" s="0" t="n">
        <f aca="false">AJ197/U197*252</f>
        <v>-0.205082487018979</v>
      </c>
      <c r="W197" s="22" t="n">
        <f aca="false">(s_p!$J197)/COUNT(s_p!$J$4:$J197)</f>
        <v>0.000422722614433461</v>
      </c>
      <c r="X197" s="22" t="n">
        <f aca="false">W197 * 252</f>
        <v>0.106526098837232</v>
      </c>
      <c r="Y197" s="21" t="n">
        <f aca="false">STDEV(s_p!$H$4:$H197)</f>
        <v>0.00674517129211164</v>
      </c>
      <c r="Z197" s="21" t="n">
        <f aca="false">Y197*SQRT(252)</f>
        <v>0.107076274736758</v>
      </c>
      <c r="AA197" s="0" t="n">
        <f aca="false">AJ197/AK197</f>
        <v>-0.00925234045098387</v>
      </c>
      <c r="AB197" s="0" t="n">
        <f aca="false">_xlfn.COVARIANCE.S($D$4:$D197,s_p!$H$4:$H197)</f>
        <v>-6.38602792594585E-006</v>
      </c>
      <c r="AC197" s="0" t="n">
        <f aca="false">_xlfn.VAR.S(s_p!$H$4:$H197)</f>
        <v>4.54973357599271E-005</v>
      </c>
      <c r="AD197" s="0" t="n">
        <f aca="false">AB197/AC197</f>
        <v>-0.140360480878322</v>
      </c>
      <c r="AE197" s="0" t="n">
        <f aca="false">M197-(AD197*W197)</f>
        <v>-0.000201276914012064</v>
      </c>
      <c r="AF197" s="33" t="n">
        <f aca="false">MAX($E$4:E197)</f>
        <v>0.280129884293098</v>
      </c>
      <c r="AG197" s="0" t="n">
        <f aca="false">1 - ((1 + E197) / (1 + AF197))</f>
        <v>0.258324032787823</v>
      </c>
      <c r="AH197" s="0" t="n">
        <f aca="false">MAX($AG$5:AG197)</f>
        <v>0.322303580832179</v>
      </c>
      <c r="AI197" s="19" t="n">
        <f aca="false">D197-s_p!H197</f>
        <v>-0.0340928333790264</v>
      </c>
      <c r="AJ197" s="19" t="n">
        <f aca="false">AVERAGE(AI$4:AI197)</f>
        <v>-0.000277422502012759</v>
      </c>
      <c r="AK197" s="0" t="n">
        <f aca="false">STDEV(AI$4:AI197)</f>
        <v>0.0299840352268121</v>
      </c>
    </row>
    <row r="198" customFormat="false" ht="13.8" hidden="false" customHeight="false" outlineLevel="0" collapsed="false">
      <c r="A198" s="6" t="n">
        <f aca="false">WORKDAY(A197,1,holiday!$B$2:$B$10)</f>
        <v>39000</v>
      </c>
      <c r="B198" s="24" t="n">
        <v>911558.851443692</v>
      </c>
      <c r="C198" s="24" t="n">
        <f aca="false">B198-B197</f>
        <v>-37882.7186466028</v>
      </c>
      <c r="D198" s="31" t="n">
        <f aca="false">C198/B197</f>
        <v>-0.0399</v>
      </c>
      <c r="E198" s="31" t="n">
        <f aca="false" t="array" ref="E198:E198">PRODUCT(1+$D$4:D198)-1</f>
        <v>-0.0884411485563076</v>
      </c>
      <c r="F198" s="0" t="n">
        <f aca="false">IF(ISBLANK(A199),MONTH(A198),IF(MONTH(A199)-MONTH(A198)=1,MONTH(A198),0))</f>
        <v>0</v>
      </c>
      <c r="G198" s="0" t="str">
        <f aca="false">IF(B199&gt;B198,IF(AND(B197&gt;B198,B199&gt;B198),"min",""),IF(AND(B197&gt;B198,B199&gt;B198),"",IF(AND(B197&lt;B198,B199&lt;B198),"max","")))</f>
        <v>min</v>
      </c>
      <c r="H198" s="0" t="n">
        <f aca="false">IF(G198="min",COUNTIF(G$4:G198,"min"),IF(G198="max",COUNTIF(G$4:G198,"max"),""))</f>
        <v>49</v>
      </c>
      <c r="I198" s="24" t="n">
        <f aca="false" t="array" ref="I198:I198">IF($G$3=0,IF(G198="min",INDEX($B$4:$B$254,(MATCH(1,($G$4:$G$254="max")*($H$4:$H$254=(H198-1)),0))),""),IF($G$3=1,IF(G198="min",INDEX($B$4:$B$254,(MATCH(1,($G$4:$G$254="max")*($H$4:$H$254=(H198)),0))),""),""))</f>
        <v>1022849.37394424</v>
      </c>
      <c r="J198" s="29" t="n">
        <f aca="false">IF(AND(G196=0,G198="min",H198=1),B198-B197,IF(G198="min",B198-I198,""))</f>
        <v>-111290.522500548</v>
      </c>
      <c r="K198" s="34" t="n">
        <f aca="false">IF(AND(G196=0,G198="min",H198=1),(B198-B197)/B197,IF(G198="min",(B198-I198)/I198,""))</f>
        <v>-0.108804409853034</v>
      </c>
      <c r="L198" s="5"/>
      <c r="M198" s="0" t="n">
        <f aca="false">E198/COUNT($E$4:E198)</f>
        <v>-0.000453544351570808</v>
      </c>
      <c r="N198" s="19" t="n">
        <f aca="false">M198*252</f>
        <v>-0.114293176595844</v>
      </c>
      <c r="O198" s="20" t="n">
        <f aca="false">STDEV($D$4:$D198)</f>
        <v>0.0290631275780048</v>
      </c>
      <c r="P198" s="20" t="n">
        <f aca="false">O198*SQRT(252)</f>
        <v>0.461362847358862</v>
      </c>
      <c r="Q198" s="0" t="n">
        <f aca="false">Treasuries!J196/100</f>
        <v>0.0475</v>
      </c>
      <c r="R198" s="20" t="n">
        <f aca="false">AJ198/AK198*SQRT(252)</f>
        <v>-0.259386051649469</v>
      </c>
      <c r="S198" s="32" t="n">
        <f aca="false">IF(D198&lt;s_p!H198, D198-s_p!H198, 0)</f>
        <v>-0.0419434454266802</v>
      </c>
      <c r="T198" s="0" t="n">
        <f aca="false">S198^2</f>
        <v>0.0017592526142609</v>
      </c>
      <c r="U198" s="0" t="n">
        <f aca="false">SQRT(AVERAGE(T$4:T198)) * SQRT(252)</f>
        <v>0.343341279006724</v>
      </c>
      <c r="V198" s="0" t="n">
        <f aca="false">AJ198/U198*252</f>
        <v>-0.360445422696198</v>
      </c>
      <c r="W198" s="22" t="n">
        <f aca="false">(s_p!$J198)/COUNT(s_p!$J$4:$J198)</f>
        <v>0.000431893394265929</v>
      </c>
      <c r="X198" s="22" t="n">
        <f aca="false">W198 * 252</f>
        <v>0.108837135355014</v>
      </c>
      <c r="Y198" s="21" t="n">
        <f aca="false">STDEV(s_p!$H$4:$H198)</f>
        <v>0.00672875770511261</v>
      </c>
      <c r="Z198" s="21" t="n">
        <f aca="false">Y198*SQRT(252)</f>
        <v>0.106815717120826</v>
      </c>
      <c r="AA198" s="0" t="n">
        <f aca="false">AJ198/AK198</f>
        <v>-0.0163397853862726</v>
      </c>
      <c r="AB198" s="0" t="n">
        <f aca="false">_xlfn.COVARIANCE.S($D$4:$D198,s_p!$H$4:$H198)</f>
        <v>-6.68471170112929E-006</v>
      </c>
      <c r="AC198" s="0" t="n">
        <f aca="false">_xlfn.VAR.S(s_p!$H$4:$H198)</f>
        <v>4.52761802541124E-005</v>
      </c>
      <c r="AD198" s="0" t="n">
        <f aca="false">AB198/AC198</f>
        <v>-0.147643013690894</v>
      </c>
      <c r="AE198" s="0" t="n">
        <f aca="false">M198-(AD198*W198)</f>
        <v>-0.000389778309248197</v>
      </c>
      <c r="AF198" s="33" t="n">
        <f aca="false">MAX($E$4:E198)</f>
        <v>0.280129884293098</v>
      </c>
      <c r="AG198" s="0" t="n">
        <f aca="false">1 - ((1 + E198) / (1 + AF198))</f>
        <v>0.287916903879589</v>
      </c>
      <c r="AH198" s="0" t="n">
        <f aca="false">MAX($AG$5:AG198)</f>
        <v>0.322303580832179</v>
      </c>
      <c r="AI198" s="19" t="n">
        <f aca="false">D198-s_p!H198</f>
        <v>-0.0419434454266803</v>
      </c>
      <c r="AJ198" s="19" t="n">
        <f aca="false">AVERAGE(AI$4:AI198)</f>
        <v>-0.000491094414446952</v>
      </c>
      <c r="AK198" s="0" t="n">
        <f aca="false">STDEV(AI$4:AI198)</f>
        <v>0.030055132478027</v>
      </c>
    </row>
    <row r="199" customFormat="false" ht="13.8" hidden="false" customHeight="false" outlineLevel="0" collapsed="false">
      <c r="A199" s="6" t="n">
        <f aca="false">WORKDAY(A198,1,holiday!$B$2:$B$10)</f>
        <v>39001</v>
      </c>
      <c r="B199" s="24" t="n">
        <v>955769.455738712</v>
      </c>
      <c r="C199" s="24" t="n">
        <f aca="false">B199-B198</f>
        <v>44210.6042950191</v>
      </c>
      <c r="D199" s="31" t="n">
        <f aca="false">C199/B198</f>
        <v>0.0485</v>
      </c>
      <c r="E199" s="31" t="n">
        <f aca="false" t="array" ref="E199:E199">PRODUCT(1+$D$4:D199)-1</f>
        <v>-0.0442305442612885</v>
      </c>
      <c r="F199" s="0" t="n">
        <f aca="false">IF(ISBLANK(A200),MONTH(A199),IF(MONTH(A200)-MONTH(A199)=1,MONTH(A199),0))</f>
        <v>0</v>
      </c>
      <c r="G199" s="0" t="str">
        <f aca="false">IF(B200&gt;B199,IF(AND(B198&gt;B199,B200&gt;B199),"min",""),IF(AND(B198&gt;B199,B200&gt;B199),"",IF(AND(B198&lt;B199,B200&lt;B199),"max","")))</f>
        <v>max</v>
      </c>
      <c r="H199" s="0" t="n">
        <f aca="false">IF(G199="min",COUNTIF(G$4:G199,"min"),IF(G199="max",COUNTIF(G$4:G199,"max"),""))</f>
        <v>49</v>
      </c>
      <c r="I199" s="24" t="str">
        <f aca="false" t="array" ref="I199:I199">IF($G$3=0,IF(G199="min",INDEX($B$4:$B$254,(MATCH(1,($G$4:$G$254="max")*($H$4:$H$254=(H199-1)),0))),""),IF($G$3=1,IF(G199="min",INDEX($B$4:$B$254,(MATCH(1,($G$4:$G$254="max")*($H$4:$H$254=(H199)),0))),""),""))</f>
        <v/>
      </c>
      <c r="J199" s="29" t="str">
        <f aca="false">IF(AND(G197=0,G199="min",H199=1),B199-B198,IF(G199="min",B199-I199,""))</f>
        <v/>
      </c>
      <c r="K199" s="34" t="str">
        <f aca="false">IF(AND(G197=0,G199="min",H199=1),(B199-B198)/B198,IF(G199="min",(B199-I199)/I199,""))</f>
        <v/>
      </c>
      <c r="L199" s="5"/>
      <c r="M199" s="0" t="n">
        <f aca="false">E199/COUNT($E$4:E199)</f>
        <v>-0.000225666042149431</v>
      </c>
      <c r="N199" s="19" t="n">
        <f aca="false">M199*252</f>
        <v>-0.0568678426216566</v>
      </c>
      <c r="O199" s="20" t="n">
        <f aca="false">STDEV($D$4:$D199)</f>
        <v>0.0291952343013913</v>
      </c>
      <c r="P199" s="20" t="n">
        <f aca="false">O199*SQRT(252)</f>
        <v>0.463459976578464</v>
      </c>
      <c r="Q199" s="0" t="n">
        <f aca="false">Treasuries!J197/100</f>
        <v>0.0478</v>
      </c>
      <c r="R199" s="20" t="n">
        <f aca="false">AJ199/AK199*SQRT(252)</f>
        <v>-0.119865111533647</v>
      </c>
      <c r="S199" s="32" t="n">
        <f aca="false">IF(D199&lt;s_p!H199, D199-s_p!H199, 0)</f>
        <v>0</v>
      </c>
      <c r="T199" s="0" t="n">
        <f aca="false">S199^2</f>
        <v>0</v>
      </c>
      <c r="U199" s="0" t="n">
        <f aca="false">SQRT(AVERAGE(T$4:T199)) * SQRT(252)</f>
        <v>0.342464288356038</v>
      </c>
      <c r="V199" s="0" t="n">
        <f aca="false">AJ199/U199*252</f>
        <v>-0.167815545843274</v>
      </c>
      <c r="W199" s="22" t="n">
        <f aca="false">(s_p!$J199)/COUNT(s_p!$J$4:$J199)</f>
        <v>0.000415507189345238</v>
      </c>
      <c r="X199" s="22" t="n">
        <f aca="false">W199 * 252</f>
        <v>0.104707811715</v>
      </c>
      <c r="Y199" s="21" t="n">
        <f aca="false">STDEV(s_p!$H$4:$H199)</f>
        <v>0.00671490487500694</v>
      </c>
      <c r="Z199" s="21" t="n">
        <f aca="false">Y199*SQRT(252)</f>
        <v>0.106595810260342</v>
      </c>
      <c r="AA199" s="0" t="n">
        <f aca="false">AJ199/AK199</f>
        <v>-0.00755079228550114</v>
      </c>
      <c r="AB199" s="0" t="n">
        <f aca="false">_xlfn.COVARIANCE.S($D$4:$D199,s_p!$H$4:$H199)</f>
        <v>-7.39388055563325E-006</v>
      </c>
      <c r="AC199" s="0" t="n">
        <f aca="false">_xlfn.VAR.S(s_p!$H$4:$H199)</f>
        <v>4.5089947480392E-005</v>
      </c>
      <c r="AD199" s="0" t="n">
        <f aca="false">AB199/AC199</f>
        <v>-0.163980686800502</v>
      </c>
      <c r="AE199" s="0" t="n">
        <f aca="false">M199-(AD199*W199)</f>
        <v>-0.000157530887870053</v>
      </c>
      <c r="AF199" s="33" t="n">
        <f aca="false">MAX($E$4:E199)</f>
        <v>0.280129884293098</v>
      </c>
      <c r="AG199" s="0" t="n">
        <f aca="false">1 - ((1 + E199) / (1 + AF199))</f>
        <v>0.253380873717749</v>
      </c>
      <c r="AH199" s="0" t="n">
        <f aca="false">MAX($AG$5:AG199)</f>
        <v>0.322303580832179</v>
      </c>
      <c r="AI199" s="19" t="n">
        <f aca="false">D199-s_p!H199</f>
        <v>0.0510638752198135</v>
      </c>
      <c r="AJ199" s="19" t="n">
        <f aca="false">AVERAGE(AI$4:AI199)</f>
        <v>-0.00022805885508848</v>
      </c>
      <c r="AK199" s="0" t="n">
        <f aca="false">STDEV(AI$4:AI199)</f>
        <v>0.0302033013841996</v>
      </c>
    </row>
    <row r="200" customFormat="false" ht="13.8" hidden="false" customHeight="false" outlineLevel="0" collapsed="false">
      <c r="A200" s="6" t="n">
        <f aca="false">WORKDAY(A199,1,holiday!$B$2:$B$10)</f>
        <v>39002</v>
      </c>
      <c r="B200" s="24" t="n">
        <v>939903.682773449</v>
      </c>
      <c r="C200" s="24" t="n">
        <f aca="false">B200-B199</f>
        <v>-15865.7729652626</v>
      </c>
      <c r="D200" s="31" t="n">
        <f aca="false">C200/B199</f>
        <v>-0.0166</v>
      </c>
      <c r="E200" s="31" t="n">
        <f aca="false" t="array" ref="E200:E200">PRODUCT(1+$D$4:D200)-1</f>
        <v>-0.0600963172265511</v>
      </c>
      <c r="F200" s="0" t="n">
        <f aca="false">IF(ISBLANK(A201),MONTH(A200),IF(MONTH(A201)-MONTH(A200)=1,MONTH(A200),0))</f>
        <v>0</v>
      </c>
      <c r="G200" s="0" t="str">
        <f aca="false">IF(B201&gt;B200,IF(AND(B199&gt;B200,B201&gt;B200),"min",""),IF(AND(B199&gt;B200,B201&gt;B200),"",IF(AND(B199&lt;B200,B201&lt;B200),"max","")))</f>
        <v>min</v>
      </c>
      <c r="H200" s="0" t="n">
        <f aca="false">IF(G200="min",COUNTIF(G$4:G200,"min"),IF(G200="max",COUNTIF(G$4:G200,"max"),""))</f>
        <v>50</v>
      </c>
      <c r="I200" s="24" t="n">
        <f aca="false" t="array" ref="I200:I200">IF($G$3=0,IF(G200="min",INDEX($B$4:$B$254,(MATCH(1,($G$4:$G$254="max")*($H$4:$H$254=(H200-1)),0))),""),IF($G$3=1,IF(G200="min",INDEX($B$4:$B$254,(MATCH(1,($G$4:$G$254="max")*($H$4:$H$254=(H200)),0))),""),""))</f>
        <v>955769.455738712</v>
      </c>
      <c r="J200" s="29" t="n">
        <f aca="false">IF(AND(G198=0,G200="min",H200=1),B200-B199,IF(G200="min",B200-I200,""))</f>
        <v>-15865.772965263</v>
      </c>
      <c r="K200" s="34" t="n">
        <f aca="false">IF(AND(G198=0,G200="min",H200=1),(B200-B199)/B199,IF(G200="min",(B200-I200)/I200,""))</f>
        <v>-0.0166000000000004</v>
      </c>
      <c r="L200" s="5"/>
      <c r="M200" s="0" t="n">
        <f aca="false">E200/COUNT($E$4:E200)</f>
        <v>-0.000305057447850513</v>
      </c>
      <c r="N200" s="19" t="n">
        <f aca="false">M200*252</f>
        <v>-0.0768744768583293</v>
      </c>
      <c r="O200" s="20" t="n">
        <f aca="false">STDEV($D$4:$D200)</f>
        <v>0.029145232337553</v>
      </c>
      <c r="P200" s="20" t="n">
        <f aca="false">O200*SQRT(252)</f>
        <v>0.462666220010178</v>
      </c>
      <c r="Q200" s="0" t="n">
        <f aca="false">Treasuries!J198/100</f>
        <v>0.0479</v>
      </c>
      <c r="R200" s="20" t="n">
        <f aca="false">AJ200/AK200*SQRT(252)</f>
        <v>-0.189129281873946</v>
      </c>
      <c r="S200" s="32" t="n">
        <f aca="false">IF(D200&lt;s_p!H200, D200-s_p!H200, 0)</f>
        <v>-0.0261410941145968</v>
      </c>
      <c r="T200" s="0" t="n">
        <f aca="false">S200^2</f>
        <v>0.000683356801508208</v>
      </c>
      <c r="U200" s="0" t="n">
        <f aca="false">SQRT(AVERAGE(T$4:T200)) * SQRT(252)</f>
        <v>0.342871100364409</v>
      </c>
      <c r="V200" s="0" t="n">
        <f aca="false">AJ200/U200*252</f>
        <v>-0.264293113062458</v>
      </c>
      <c r="W200" s="22" t="n">
        <f aca="false">(s_p!$J200)/COUNT(s_p!$J$4:$J200)</f>
        <v>0.00046577423499104</v>
      </c>
      <c r="X200" s="22" t="n">
        <f aca="false">W200 * 252</f>
        <v>0.117375107217742</v>
      </c>
      <c r="Y200" s="21" t="n">
        <f aca="false">STDEV(s_p!$H$4:$H200)</f>
        <v>0.00672919191440523</v>
      </c>
      <c r="Z200" s="21" t="n">
        <f aca="false">Y200*SQRT(252)</f>
        <v>0.106822609979657</v>
      </c>
      <c r="AA200" s="0" t="n">
        <f aca="false">AJ200/AK200</f>
        <v>-0.0119140248923498</v>
      </c>
      <c r="AB200" s="0" t="n">
        <f aca="false">_xlfn.COVARIANCE.S($D$4:$D200,s_p!$H$4:$H200)</f>
        <v>-8.1335476291803E-006</v>
      </c>
      <c r="AC200" s="0" t="n">
        <f aca="false">_xlfn.VAR.S(s_p!$H$4:$H200)</f>
        <v>4.52820238208968E-005</v>
      </c>
      <c r="AD200" s="0" t="n">
        <f aca="false">AB200/AC200</f>
        <v>-0.179619790434959</v>
      </c>
      <c r="AE200" s="0" t="n">
        <f aca="false">M200-(AD200*W200)</f>
        <v>-0.000221395177371419</v>
      </c>
      <c r="AF200" s="33" t="n">
        <f aca="false">MAX($E$4:E200)</f>
        <v>0.280129884293098</v>
      </c>
      <c r="AG200" s="0" t="n">
        <f aca="false">1 - ((1 + E200) / (1 + AF200))</f>
        <v>0.265774751214035</v>
      </c>
      <c r="AH200" s="0" t="n">
        <f aca="false">MAX($AG$5:AG200)</f>
        <v>0.322303580832179</v>
      </c>
      <c r="AI200" s="19" t="n">
        <f aca="false">D200-s_p!H200</f>
        <v>-0.0261410941145968</v>
      </c>
      <c r="AJ200" s="19" t="n">
        <f aca="false">AVERAGE(AI$4:AI200)</f>
        <v>-0.000359597105136746</v>
      </c>
      <c r="AK200" s="0" t="n">
        <f aca="false">STDEV(AI$4:AI200)</f>
        <v>0.0301826719673591</v>
      </c>
    </row>
    <row r="201" customFormat="false" ht="13.8" hidden="false" customHeight="false" outlineLevel="0" collapsed="false">
      <c r="A201" s="6" t="n">
        <f aca="false">WORKDAY(A200,1,holiday!$B$2:$B$10)</f>
        <v>39003</v>
      </c>
      <c r="B201" s="24" t="n">
        <v>975995.984191949</v>
      </c>
      <c r="C201" s="24" t="n">
        <f aca="false">B201-B200</f>
        <v>36092.3014185005</v>
      </c>
      <c r="D201" s="31" t="n">
        <f aca="false">C201/B200</f>
        <v>0.0384000000000001</v>
      </c>
      <c r="E201" s="31" t="n">
        <f aca="false" t="array" ref="E201:E201">PRODUCT(1+$D$4:D201)-1</f>
        <v>-0.0240040158080504</v>
      </c>
      <c r="F201" s="0" t="n">
        <f aca="false">IF(ISBLANK(A202),MONTH(A201),IF(MONTH(A202)-MONTH(A201)=1,MONTH(A201),0))</f>
        <v>0</v>
      </c>
      <c r="G201" s="0" t="str">
        <f aca="false">IF(B202&gt;B201,IF(AND(B200&gt;B201,B202&gt;B201),"min",""),IF(AND(B200&gt;B201,B202&gt;B201),"",IF(AND(B200&lt;B201,B202&lt;B201),"max","")))</f>
        <v/>
      </c>
      <c r="H201" s="0" t="str">
        <f aca="false">IF(G201="min",COUNTIF(G$4:G201,"min"),IF(G201="max",COUNTIF(G$4:G201,"max"),""))</f>
        <v/>
      </c>
      <c r="I201" s="24" t="str">
        <f aca="false" t="array" ref="I201:I201">IF($G$3=0,IF(G201="min",INDEX($B$4:$B$254,(MATCH(1,($G$4:$G$254="max")*($H$4:$H$254=(H201-1)),0))),""),IF($G$3=1,IF(G201="min",INDEX($B$4:$B$254,(MATCH(1,($G$4:$G$254="max")*($H$4:$H$254=(H201)),0))),""),""))</f>
        <v/>
      </c>
      <c r="J201" s="29" t="str">
        <f aca="false">IF(AND(G199=0,G201="min",H201=1),B201-B200,IF(G201="min",B201-I201,""))</f>
        <v/>
      </c>
      <c r="K201" s="34" t="str">
        <f aca="false">IF(AND(G199=0,G201="min",H201=1),(B201-B200)/B200,IF(G201="min",(B201-I201)/I201,""))</f>
        <v/>
      </c>
      <c r="L201" s="5"/>
      <c r="M201" s="0" t="n">
        <f aca="false">E201/COUNT($E$4:E201)</f>
        <v>-0.000121232403070962</v>
      </c>
      <c r="N201" s="19" t="n">
        <f aca="false">M201*252</f>
        <v>-0.0305505655738824</v>
      </c>
      <c r="O201" s="20" t="n">
        <f aca="false">STDEV($D$4:$D201)</f>
        <v>0.029198251042115</v>
      </c>
      <c r="P201" s="20" t="n">
        <f aca="false">O201*SQRT(252)</f>
        <v>0.463507865852814</v>
      </c>
      <c r="Q201" s="0" t="n">
        <f aca="false">Treasuries!J199/100</f>
        <v>0.0481</v>
      </c>
      <c r="R201" s="20" t="n">
        <f aca="false">AJ201/AK201*SQRT(252)</f>
        <v>-0.091500556270723</v>
      </c>
      <c r="S201" s="32" t="n">
        <f aca="false">IF(D201&lt;s_p!H201, D201-s_p!H201, 0)</f>
        <v>0</v>
      </c>
      <c r="T201" s="0" t="n">
        <f aca="false">S201^2</f>
        <v>0</v>
      </c>
      <c r="U201" s="0" t="n">
        <f aca="false">SQRT(AVERAGE(T$4:T201)) * SQRT(252)</f>
        <v>0.342004168255542</v>
      </c>
      <c r="V201" s="0" t="n">
        <f aca="false">AJ201/U201*252</f>
        <v>-0.128342339059233</v>
      </c>
      <c r="W201" s="22" t="n">
        <f aca="false">(s_p!$J201)/COUNT(s_p!$J$4:$J201)</f>
        <v>0.00047471000935341</v>
      </c>
      <c r="X201" s="22" t="n">
        <f aca="false">W201 * 252</f>
        <v>0.119626922357059</v>
      </c>
      <c r="Y201" s="21" t="n">
        <f aca="false">STDEV(s_p!$H$4:$H201)</f>
        <v>0.00671302895149588</v>
      </c>
      <c r="Z201" s="21" t="n">
        <f aca="false">Y201*SQRT(252)</f>
        <v>0.106566030897809</v>
      </c>
      <c r="AA201" s="0" t="n">
        <f aca="false">AJ201/AK201</f>
        <v>-0.00576399325515241</v>
      </c>
      <c r="AB201" s="0" t="n">
        <f aca="false">_xlfn.COVARIANCE.S($D$4:$D201,s_p!$H$4:$H201)</f>
        <v>-7.78689966179021E-006</v>
      </c>
      <c r="AC201" s="0" t="n">
        <f aca="false">_xlfn.VAR.S(s_p!$H$4:$H201)</f>
        <v>4.50647577036219E-005</v>
      </c>
      <c r="AD201" s="0" t="n">
        <f aca="false">AB201/AC201</f>
        <v>-0.172793554400147</v>
      </c>
      <c r="AE201" s="0" t="n">
        <f aca="false">M201-(AD201*W201)</f>
        <v>-3.92055732454593E-005</v>
      </c>
      <c r="AF201" s="33" t="n">
        <f aca="false">MAX($E$4:E201)</f>
        <v>0.280129884293098</v>
      </c>
      <c r="AG201" s="0" t="n">
        <f aca="false">1 - ((1 + E201) / (1 + AF201))</f>
        <v>0.237580501660653</v>
      </c>
      <c r="AH201" s="0" t="n">
        <f aca="false">MAX($AG$5:AG201)</f>
        <v>0.322303580832179</v>
      </c>
      <c r="AI201" s="19" t="n">
        <f aca="false">D201-s_p!H201</f>
        <v>0.0363527894161416</v>
      </c>
      <c r="AJ201" s="19" t="n">
        <f aca="false">AVERAGE(AI$4:AI201)</f>
        <v>-0.000174181011594936</v>
      </c>
      <c r="AK201" s="0" t="n">
        <f aca="false">STDEV(AI$4:AI201)</f>
        <v>0.0302188090590211</v>
      </c>
    </row>
    <row r="202" customFormat="false" ht="13.8" hidden="false" customHeight="false" outlineLevel="0" collapsed="false">
      <c r="A202" s="6" t="n">
        <f aca="false">WORKDAY(A201,1,holiday!$B$2:$B$10)</f>
        <v>39006</v>
      </c>
      <c r="B202" s="24" t="n">
        <v>1001274.28018252</v>
      </c>
      <c r="C202" s="24" t="n">
        <f aca="false">B202-B201</f>
        <v>25278.2959905715</v>
      </c>
      <c r="D202" s="31" t="n">
        <f aca="false">C202/B201</f>
        <v>0.0259</v>
      </c>
      <c r="E202" s="31" t="n">
        <f aca="false" t="array" ref="E202:E202">PRODUCT(1+$D$4:D202)-1</f>
        <v>0.00127428018252096</v>
      </c>
      <c r="F202" s="0" t="n">
        <f aca="false">IF(ISBLANK(A203),MONTH(A202),IF(MONTH(A203)-MONTH(A202)=1,MONTH(A202),0))</f>
        <v>0</v>
      </c>
      <c r="G202" s="0" t="str">
        <f aca="false">IF(B203&gt;B202,IF(AND(B201&gt;B202,B203&gt;B202),"min",""),IF(AND(B201&gt;B202,B203&gt;B202),"",IF(AND(B201&lt;B202,B203&lt;B202),"max","")))</f>
        <v>max</v>
      </c>
      <c r="H202" s="0" t="n">
        <f aca="false">IF(G202="min",COUNTIF(G$4:G202,"min"),IF(G202="max",COUNTIF(G$4:G202,"max"),""))</f>
        <v>50</v>
      </c>
      <c r="I202" s="24" t="str">
        <f aca="false" t="array" ref="I202:I202">IF($G$3=0,IF(G202="min",INDEX($B$4:$B$254,(MATCH(1,($G$4:$G$254="max")*($H$4:$H$254=(H202-1)),0))),""),IF($G$3=1,IF(G202="min",INDEX($B$4:$B$254,(MATCH(1,($G$4:$G$254="max")*($H$4:$H$254=(H202)),0))),""),""))</f>
        <v/>
      </c>
      <c r="J202" s="29" t="str">
        <f aca="false">IF(AND(G200=0,G202="min",H202=1),B202-B201,IF(G202="min",B202-I202,""))</f>
        <v/>
      </c>
      <c r="K202" s="34" t="str">
        <f aca="false">IF(AND(G200=0,G202="min",H202=1),(B202-B201)/B201,IF(G202="min",(B202-I202)/I202,""))</f>
        <v/>
      </c>
      <c r="L202" s="5"/>
      <c r="M202" s="0" t="n">
        <f aca="false">E202/COUNT($E$4:E202)</f>
        <v>6.40341800261789E-006</v>
      </c>
      <c r="N202" s="19" t="n">
        <f aca="false">M202*252</f>
        <v>0.00161366133665971</v>
      </c>
      <c r="O202" s="20" t="n">
        <f aca="false">STDEV($D$4:$D202)</f>
        <v>0.0291808989531252</v>
      </c>
      <c r="P202" s="20" t="n">
        <f aca="false">O202*SQRT(252)</f>
        <v>0.463232409979646</v>
      </c>
      <c r="Q202" s="0" t="n">
        <f aca="false">Treasuries!J200/100</f>
        <v>0.0479</v>
      </c>
      <c r="R202" s="20" t="n">
        <f aca="false">AJ202/AK202*SQRT(252)</f>
        <v>-0.0293490870846515</v>
      </c>
      <c r="S202" s="32" t="n">
        <f aca="false">IF(D202&lt;s_p!H202, D202-s_p!H202, 0)</f>
        <v>0</v>
      </c>
      <c r="T202" s="0" t="n">
        <f aca="false">S202^2</f>
        <v>0</v>
      </c>
      <c r="U202" s="0" t="n">
        <f aca="false">SQRT(AVERAGE(T$4:T202)) * SQRT(252)</f>
        <v>0.341143779047836</v>
      </c>
      <c r="V202" s="0" t="n">
        <f aca="false">AJ202/U202*252</f>
        <v>-0.0412287936637732</v>
      </c>
      <c r="W202" s="22" t="n">
        <f aca="false">(s_p!$J202)/COUNT(s_p!$J$4:$J202)</f>
        <v>0.000486172621835121</v>
      </c>
      <c r="X202" s="22" t="n">
        <f aca="false">W202 * 252</f>
        <v>0.12251550070245</v>
      </c>
      <c r="Y202" s="21" t="n">
        <f aca="false">STDEV(s_p!$H$4:$H202)</f>
        <v>0.00669762106646675</v>
      </c>
      <c r="Z202" s="21" t="n">
        <f aca="false">Y202*SQRT(252)</f>
        <v>0.106321438305709</v>
      </c>
      <c r="AA202" s="0" t="n">
        <f aca="false">AJ202/AK202</f>
        <v>-0.00184881870554195</v>
      </c>
      <c r="AB202" s="0" t="n">
        <f aca="false">_xlfn.COVARIANCE.S($D$4:$D202,s_p!$H$4:$H202)</f>
        <v>-7.48480011475182E-006</v>
      </c>
      <c r="AC202" s="0" t="n">
        <f aca="false">_xlfn.VAR.S(s_p!$H$4:$H202)</f>
        <v>4.48581279499792E-005</v>
      </c>
      <c r="AD202" s="0" t="n">
        <f aca="false">AB202/AC202</f>
        <v>-0.166854937038346</v>
      </c>
      <c r="AE202" s="0" t="n">
        <f aca="false">M202-(AD202*W202)</f>
        <v>8.75237202086844E-005</v>
      </c>
      <c r="AF202" s="33" t="n">
        <f aca="false">MAX($E$4:E202)</f>
        <v>0.280129884293098</v>
      </c>
      <c r="AG202" s="0" t="n">
        <f aca="false">1 - ((1 + E202) / (1 + AF202))</f>
        <v>0.217833836653664</v>
      </c>
      <c r="AH202" s="0" t="n">
        <f aca="false">MAX($AG$5:AG202)</f>
        <v>0.322303580832179</v>
      </c>
      <c r="AI202" s="19" t="n">
        <f aca="false">D202-s_p!H202</f>
        <v>0.0233809976420966</v>
      </c>
      <c r="AJ202" s="19" t="n">
        <f aca="false">AVERAGE(AI$4:AI202)</f>
        <v>-5.58132796668377E-005</v>
      </c>
      <c r="AK202" s="0" t="n">
        <f aca="false">STDEV(AI$4:AI202)</f>
        <v>0.0301886169257882</v>
      </c>
    </row>
    <row r="203" customFormat="false" ht="13.8" hidden="false" customHeight="false" outlineLevel="0" collapsed="false">
      <c r="A203" s="6" t="n">
        <f aca="false">WORKDAY(A202,1,holiday!$B$2:$B$10)</f>
        <v>39007</v>
      </c>
      <c r="B203" s="24" t="n">
        <v>984953.509415546</v>
      </c>
      <c r="C203" s="24" t="n">
        <f aca="false">B203-B202</f>
        <v>-16320.7707669751</v>
      </c>
      <c r="D203" s="31" t="n">
        <f aca="false">C203/B202</f>
        <v>-0.0163</v>
      </c>
      <c r="E203" s="31" t="n">
        <f aca="false" t="array" ref="E203:E203">PRODUCT(1+$D$4:D203)-1</f>
        <v>-0.0150464905844541</v>
      </c>
      <c r="F203" s="0" t="n">
        <f aca="false">IF(ISBLANK(A204),MONTH(A203),IF(MONTH(A204)-MONTH(A203)=1,MONTH(A203),0))</f>
        <v>0</v>
      </c>
      <c r="G203" s="0" t="str">
        <f aca="false">IF(B204&gt;B203,IF(AND(B202&gt;B203,B204&gt;B203),"min",""),IF(AND(B202&gt;B203,B204&gt;B203),"",IF(AND(B202&lt;B203,B204&lt;B203),"max","")))</f>
        <v>min</v>
      </c>
      <c r="H203" s="0" t="n">
        <f aca="false">IF(G203="min",COUNTIF(G$4:G203,"min"),IF(G203="max",COUNTIF(G$4:G203,"max"),""))</f>
        <v>51</v>
      </c>
      <c r="I203" s="24" t="n">
        <f aca="false" t="array" ref="I203:I203">IF($G$3=0,IF(G203="min",INDEX($B$4:$B$254,(MATCH(1,($G$4:$G$254="max")*($H$4:$H$254=(H203-1)),0))),""),IF($G$3=1,IF(G203="min",INDEX($B$4:$B$254,(MATCH(1,($G$4:$G$254="max")*($H$4:$H$254=(H203)),0))),""),""))</f>
        <v>1001274.28018252</v>
      </c>
      <c r="J203" s="29" t="n">
        <f aca="false">IF(AND(G201=0,G203="min",H203=1),B203-B202,IF(G203="min",B203-I203,""))</f>
        <v>-16320.7707669741</v>
      </c>
      <c r="K203" s="34" t="n">
        <f aca="false">IF(AND(G201=0,G203="min",H203=1),(B203-B202)/B202,IF(G203="min",(B203-I203)/I203,""))</f>
        <v>-0.016299999999999</v>
      </c>
      <c r="L203" s="5"/>
      <c r="M203" s="0" t="n">
        <f aca="false">E203/COUNT($E$4:E203)</f>
        <v>-7.52324529222703E-005</v>
      </c>
      <c r="N203" s="19" t="n">
        <f aca="false">M203*252</f>
        <v>-0.0189585781364121</v>
      </c>
      <c r="O203" s="20" t="n">
        <f aca="false">STDEV($D$4:$D203)</f>
        <v>0.0291315193234142</v>
      </c>
      <c r="P203" s="20" t="n">
        <f aca="false">O203*SQRT(252)</f>
        <v>0.462448532659359</v>
      </c>
      <c r="Q203" s="0" t="n">
        <f aca="false">Treasuries!J201/100</f>
        <v>0.0478</v>
      </c>
      <c r="R203" s="20" t="n">
        <f aca="false">AJ203/AK203*SQRT(252)</f>
        <v>-0.0625673084092295</v>
      </c>
      <c r="S203" s="32" t="n">
        <f aca="false">IF(D203&lt;s_p!H203, D203-s_p!H203, 0)</f>
        <v>-0.0126405548332432</v>
      </c>
      <c r="T203" s="0" t="n">
        <f aca="false">S203^2</f>
        <v>0.000159783626492229</v>
      </c>
      <c r="U203" s="0" t="n">
        <f aca="false">SQRT(AVERAGE(T$4:T203)) * SQRT(252)</f>
        <v>0.34058553986114</v>
      </c>
      <c r="V203" s="0" t="n">
        <f aca="false">AJ203/U203*252</f>
        <v>-0.0878537616298943</v>
      </c>
      <c r="W203" s="22" t="n">
        <f aca="false">(s_p!$J203)/COUNT(s_p!$J$4:$J203)</f>
        <v>0.000463674306451233</v>
      </c>
      <c r="X203" s="22" t="n">
        <f aca="false">W203 * 252</f>
        <v>0.116845925225711</v>
      </c>
      <c r="Y203" s="21" t="n">
        <f aca="false">STDEV(s_p!$H$4:$H203)</f>
        <v>0.00668720069545076</v>
      </c>
      <c r="Z203" s="21" t="n">
        <f aca="false">Y203*SQRT(252)</f>
        <v>0.106156020044045</v>
      </c>
      <c r="AA203" s="0" t="n">
        <f aca="false">AJ203/AK203</f>
        <v>-0.00394136995841663</v>
      </c>
      <c r="AB203" s="0" t="n">
        <f aca="false">_xlfn.COVARIANCE.S($D$4:$D203,s_p!$H$4:$H203)</f>
        <v>-7.10036899717902E-006</v>
      </c>
      <c r="AC203" s="0" t="n">
        <f aca="false">_xlfn.VAR.S(s_p!$H$4:$H203)</f>
        <v>4.47186531412371E-005</v>
      </c>
      <c r="AD203" s="0" t="n">
        <f aca="false">AB203/AC203</f>
        <v>-0.158778686262164</v>
      </c>
      <c r="AE203" s="0" t="n">
        <f aca="false">M203-(AD203*W203)</f>
        <v>-1.61085569042358E-006</v>
      </c>
      <c r="AF203" s="33" t="n">
        <f aca="false">MAX($E$4:E203)</f>
        <v>0.280129884293098</v>
      </c>
      <c r="AG203" s="0" t="n">
        <f aca="false">1 - ((1 + E203) / (1 + AF203))</f>
        <v>0.23058314511621</v>
      </c>
      <c r="AH203" s="0" t="n">
        <f aca="false">MAX($AG$5:AG203)</f>
        <v>0.322303580832179</v>
      </c>
      <c r="AI203" s="19" t="n">
        <f aca="false">D203-s_p!H203</f>
        <v>-0.0126405548332433</v>
      </c>
      <c r="AJ203" s="19" t="n">
        <f aca="false">AVERAGE(AI$4:AI203)</f>
        <v>-0.00011873698743472</v>
      </c>
      <c r="AK203" s="0" t="n">
        <f aca="false">STDEV(AI$4:AI203)</f>
        <v>0.0301258163246417</v>
      </c>
    </row>
    <row r="204" customFormat="false" ht="13.8" hidden="false" customHeight="false" outlineLevel="0" collapsed="false">
      <c r="A204" s="6" t="n">
        <f aca="false">WORKDAY(A203,1,holiday!$B$2:$B$10)</f>
        <v>39008</v>
      </c>
      <c r="B204" s="24" t="n">
        <v>1020116.34970168</v>
      </c>
      <c r="C204" s="24" t="n">
        <f aca="false">B204-B203</f>
        <v>35162.840286135</v>
      </c>
      <c r="D204" s="31" t="n">
        <f aca="false">C204/B203</f>
        <v>0.0357</v>
      </c>
      <c r="E204" s="31" t="n">
        <f aca="false" t="array" ref="E204:E204">PRODUCT(1+$D$4:D204)-1</f>
        <v>0.020116349701681</v>
      </c>
      <c r="F204" s="0" t="n">
        <f aca="false">IF(ISBLANK(A205),MONTH(A204),IF(MONTH(A205)-MONTH(A204)=1,MONTH(A204),0))</f>
        <v>0</v>
      </c>
      <c r="G204" s="0" t="str">
        <f aca="false">IF(B205&gt;B204,IF(AND(B203&gt;B204,B205&gt;B204),"min",""),IF(AND(B203&gt;B204,B205&gt;B204),"",IF(AND(B203&lt;B204,B205&lt;B204),"max","")))</f>
        <v/>
      </c>
      <c r="H204" s="0" t="str">
        <f aca="false">IF(G204="min",COUNTIF(G$4:G204,"min"),IF(G204="max",COUNTIF(G$4:G204,"max"),""))</f>
        <v/>
      </c>
      <c r="I204" s="24" t="str">
        <f aca="false" t="array" ref="I204:I204">IF($G$3=0,IF(G204="min",INDEX($B$4:$B$254,(MATCH(1,($G$4:$G$254="max")*($H$4:$H$254=(H204-1)),0))),""),IF($G$3=1,IF(G204="min",INDEX($B$4:$B$254,(MATCH(1,($G$4:$G$254="max")*($H$4:$H$254=(H204)),0))),""),""))</f>
        <v/>
      </c>
      <c r="J204" s="29" t="str">
        <f aca="false">IF(AND(G202=0,G204="min",H204=1),B204-B203,IF(G204="min",B204-I204,""))</f>
        <v/>
      </c>
      <c r="K204" s="34" t="str">
        <f aca="false">IF(AND(G202=0,G204="min",H204=1),(B204-B203)/B203,IF(G204="min",(B204-I204)/I204,""))</f>
        <v/>
      </c>
      <c r="L204" s="5"/>
      <c r="M204" s="0" t="n">
        <f aca="false">E204/COUNT($E$4:E204)</f>
        <v>0.000100081341799408</v>
      </c>
      <c r="N204" s="19" t="n">
        <f aca="false">M204*252</f>
        <v>0.0252204981334508</v>
      </c>
      <c r="O204" s="20" t="n">
        <f aca="false">STDEV($D$4:$D204)</f>
        <v>0.0291653951393058</v>
      </c>
      <c r="P204" s="20" t="n">
        <f aca="false">O204*SQRT(252)</f>
        <v>0.462986294565211</v>
      </c>
      <c r="Q204" s="0" t="n">
        <f aca="false">Treasuries!J202/100</f>
        <v>0.0477</v>
      </c>
      <c r="R204" s="20" t="n">
        <f aca="false">AJ204/AK204*SQRT(252)</f>
        <v>0.0279500198024538</v>
      </c>
      <c r="S204" s="32" t="n">
        <f aca="false">IF(D204&lt;s_p!H204, D204-s_p!H204, 0)</f>
        <v>0</v>
      </c>
      <c r="T204" s="0" t="n">
        <f aca="false">S204^2</f>
        <v>0</v>
      </c>
      <c r="U204" s="0" t="n">
        <f aca="false">SQRT(AVERAGE(T$4:T204)) * SQRT(252)</f>
        <v>0.339737255754745</v>
      </c>
      <c r="V204" s="0" t="n">
        <f aca="false">AJ204/U204*252</f>
        <v>0.0393742071430606</v>
      </c>
      <c r="W204" s="22" t="n">
        <f aca="false">(s_p!$J204)/COUNT(s_p!$J$4:$J204)</f>
        <v>0.000468342184645917</v>
      </c>
      <c r="X204" s="22" t="n">
        <f aca="false">W204 * 252</f>
        <v>0.118022230530771</v>
      </c>
      <c r="Y204" s="21" t="n">
        <f aca="false">STDEV(s_p!$H$4:$H204)</f>
        <v>0.00667071078677752</v>
      </c>
      <c r="Z204" s="21" t="n">
        <f aca="false">Y204*SQRT(252)</f>
        <v>0.105894250859096</v>
      </c>
      <c r="AA204" s="0" t="n">
        <f aca="false">AJ204/AK204</f>
        <v>0.00176068575087207</v>
      </c>
      <c r="AB204" s="0" t="n">
        <f aca="false">_xlfn.COVARIANCE.S($D$4:$D204,s_p!$H$4:$H204)</f>
        <v>-6.92113219869798E-006</v>
      </c>
      <c r="AC204" s="0" t="n">
        <f aca="false">_xlfn.VAR.S(s_p!$H$4:$H204)</f>
        <v>4.44983824008301E-005</v>
      </c>
      <c r="AD204" s="0" t="n">
        <f aca="false">AB204/AC204</f>
        <v>-0.155536714488949</v>
      </c>
      <c r="AE204" s="0" t="n">
        <f aca="false">M204-(AD204*W204)</f>
        <v>0.00017292574645581</v>
      </c>
      <c r="AF204" s="33" t="n">
        <f aca="false">MAX($E$4:E204)</f>
        <v>0.280129884293098</v>
      </c>
      <c r="AG204" s="0" t="n">
        <f aca="false">1 - ((1 + E204) / (1 + AF204))</f>
        <v>0.203114963396858</v>
      </c>
      <c r="AH204" s="0" t="n">
        <f aca="false">MAX($AG$5:AG204)</f>
        <v>0.322303580832179</v>
      </c>
      <c r="AI204" s="19" t="n">
        <f aca="false">D204-s_p!H204</f>
        <v>0.0344170558263994</v>
      </c>
      <c r="AJ204" s="19" t="n">
        <f aca="false">AVERAGE(AI$4:AI204)</f>
        <v>5.30828773107234E-005</v>
      </c>
      <c r="AK204" s="0" t="n">
        <f aca="false">STDEV(AI$4:AI204)</f>
        <v>0.0301489787626392</v>
      </c>
    </row>
    <row r="205" customFormat="false" ht="13.8" hidden="false" customHeight="false" outlineLevel="0" collapsed="false">
      <c r="A205" s="6" t="n">
        <f aca="false">WORKDAY(A204,1,holiday!$B$2:$B$10)</f>
        <v>39009</v>
      </c>
      <c r="B205" s="24" t="n">
        <v>1051535.93327249</v>
      </c>
      <c r="C205" s="24" t="n">
        <f aca="false">B205-B204</f>
        <v>31419.5835708117</v>
      </c>
      <c r="D205" s="31" t="n">
        <f aca="false">C205/B204</f>
        <v>0.0307999999999999</v>
      </c>
      <c r="E205" s="31" t="n">
        <f aca="false" t="array" ref="E205:E205">PRODUCT(1+$D$4:D205)-1</f>
        <v>0.0515359332724925</v>
      </c>
      <c r="F205" s="0" t="n">
        <f aca="false">IF(ISBLANK(A206),MONTH(A205),IF(MONTH(A206)-MONTH(A205)=1,MONTH(A205),0))</f>
        <v>0</v>
      </c>
      <c r="G205" s="0" t="str">
        <f aca="false">IF(B206&gt;B205,IF(AND(B204&gt;B205,B206&gt;B205),"min",""),IF(AND(B204&gt;B205,B206&gt;B205),"",IF(AND(B204&lt;B205,B206&lt;B205),"max","")))</f>
        <v>max</v>
      </c>
      <c r="H205" s="0" t="n">
        <f aca="false">IF(G205="min",COUNTIF(G$4:G205,"min"),IF(G205="max",COUNTIF(G$4:G205,"max"),""))</f>
        <v>51</v>
      </c>
      <c r="I205" s="24" t="str">
        <f aca="false" t="array" ref="I205:I205">IF($G$3=0,IF(G205="min",INDEX($B$4:$B$254,(MATCH(1,($G$4:$G$254="max")*($H$4:$H$254=(H205-1)),0))),""),IF($G$3=1,IF(G205="min",INDEX($B$4:$B$254,(MATCH(1,($G$4:$G$254="max")*($H$4:$H$254=(H205)),0))),""),""))</f>
        <v/>
      </c>
      <c r="J205" s="29" t="str">
        <f aca="false">IF(AND(G203=0,G205="min",H205=1),B205-B204,IF(G205="min",B205-I205,""))</f>
        <v/>
      </c>
      <c r="K205" s="34" t="str">
        <f aca="false">IF(AND(G203=0,G205="min",H205=1),(B205-B204)/B204,IF(G205="min",(B205-I205)/I205,""))</f>
        <v/>
      </c>
      <c r="L205" s="5"/>
      <c r="M205" s="0" t="n">
        <f aca="false">E205/COUNT($E$4:E205)</f>
        <v>0.000255128382537092</v>
      </c>
      <c r="N205" s="19" t="n">
        <f aca="false">M205*252</f>
        <v>0.0642923523993471</v>
      </c>
      <c r="O205" s="20" t="n">
        <f aca="false">STDEV($D$4:$D205)</f>
        <v>0.0291706439574645</v>
      </c>
      <c r="P205" s="20" t="n">
        <f aca="false">O205*SQRT(252)</f>
        <v>0.46306961697036</v>
      </c>
      <c r="Q205" s="0" t="n">
        <f aca="false">Treasuries!J203/100</f>
        <v>0.0479</v>
      </c>
      <c r="R205" s="20" t="n">
        <f aca="false">AJ205/AK205*SQRT(252)</f>
        <v>0.105887097143897</v>
      </c>
      <c r="S205" s="32" t="n">
        <f aca="false">IF(D205&lt;s_p!H205, D205-s_p!H205, 0)</f>
        <v>0</v>
      </c>
      <c r="T205" s="0" t="n">
        <f aca="false">S205^2</f>
        <v>0</v>
      </c>
      <c r="U205" s="0" t="n">
        <f aca="false">SQRT(AVERAGE(T$4:T205)) * SQRT(252)</f>
        <v>0.338895278609581</v>
      </c>
      <c r="V205" s="0" t="n">
        <f aca="false">AJ205/U205*252</f>
        <v>0.149529609522835</v>
      </c>
      <c r="W205" s="22" t="n">
        <f aca="false">(s_p!$J205)/COUNT(s_p!$J$4:$J205)</f>
        <v>0.000470624011667771</v>
      </c>
      <c r="X205" s="22" t="n">
        <f aca="false">W205 * 252</f>
        <v>0.118597250940278</v>
      </c>
      <c r="Y205" s="21" t="n">
        <f aca="false">STDEV(s_p!$H$4:$H205)</f>
        <v>0.00665414986657685</v>
      </c>
      <c r="Z205" s="21" t="n">
        <f aca="false">Y205*SQRT(252)</f>
        <v>0.105631354401096</v>
      </c>
      <c r="AA205" s="0" t="n">
        <f aca="false">AJ205/AK205</f>
        <v>0.00667026014507837</v>
      </c>
      <c r="AB205" s="0" t="n">
        <f aca="false">_xlfn.COVARIANCE.S($D$4:$D205,s_p!$H$4:$H205)</f>
        <v>-6.82981424461288E-006</v>
      </c>
      <c r="AC205" s="0" t="n">
        <f aca="false">_xlfn.VAR.S(s_p!$H$4:$H205)</f>
        <v>4.42777104468648E-005</v>
      </c>
      <c r="AD205" s="0" t="n">
        <f aca="false">AB205/AC205</f>
        <v>-0.154249489770004</v>
      </c>
      <c r="AE205" s="0" t="n">
        <f aca="false">M205-(AD205*W205)</f>
        <v>0.000327721896210358</v>
      </c>
      <c r="AF205" s="33" t="n">
        <f aca="false">MAX($E$4:E205)</f>
        <v>0.280129884293098</v>
      </c>
      <c r="AG205" s="0" t="n">
        <f aca="false">1 - ((1 + E205) / (1 + AF205))</f>
        <v>0.178570904269482</v>
      </c>
      <c r="AH205" s="0" t="n">
        <f aca="false">MAX($AG$5:AG205)</f>
        <v>0.322303580832179</v>
      </c>
      <c r="AI205" s="19" t="n">
        <f aca="false">D205-s_p!H205</f>
        <v>0.0299506809196075</v>
      </c>
      <c r="AJ205" s="19" t="n">
        <f aca="false">AVERAGE(AI$4:AI205)</f>
        <v>0.000201090788411202</v>
      </c>
      <c r="AK205" s="0" t="n">
        <f aca="false">STDEV(AI$4:AI205)</f>
        <v>0.0301473681741748</v>
      </c>
    </row>
    <row r="206" customFormat="false" ht="13.8" hidden="false" customHeight="false" outlineLevel="0" collapsed="false">
      <c r="A206" s="6" t="n">
        <f aca="false">WORKDAY(A205,1,holiday!$B$2:$B$10)</f>
        <v>39010</v>
      </c>
      <c r="B206" s="24" t="n">
        <v>1010946.64624817</v>
      </c>
      <c r="C206" s="24" t="n">
        <f aca="false">B206-B205</f>
        <v>-40589.2870243182</v>
      </c>
      <c r="D206" s="31" t="n">
        <f aca="false">C206/B205</f>
        <v>-0.0386</v>
      </c>
      <c r="E206" s="31" t="n">
        <f aca="false" t="array" ref="E206:E206">PRODUCT(1+$D$4:D206)-1</f>
        <v>0.0109466462481744</v>
      </c>
      <c r="F206" s="0" t="n">
        <f aca="false">IF(ISBLANK(A207),MONTH(A206),IF(MONTH(A207)-MONTH(A206)=1,MONTH(A206),0))</f>
        <v>0</v>
      </c>
      <c r="G206" s="0" t="str">
        <f aca="false">IF(B207&gt;B206,IF(AND(B205&gt;B206,B207&gt;B206),"min",""),IF(AND(B205&gt;B206,B207&gt;B206),"",IF(AND(B205&lt;B206,B207&lt;B206),"max","")))</f>
        <v>min</v>
      </c>
      <c r="H206" s="0" t="n">
        <f aca="false">IF(G206="min",COUNTIF(G$4:G206,"min"),IF(G206="max",COUNTIF(G$4:G206,"max"),""))</f>
        <v>52</v>
      </c>
      <c r="I206" s="24" t="n">
        <f aca="false" t="array" ref="I206:I206">IF($G$3=0,IF(G206="min",INDEX($B$4:$B$254,(MATCH(1,($G$4:$G$254="max")*($H$4:$H$254=(H206-1)),0))),""),IF($G$3=1,IF(G206="min",INDEX($B$4:$B$254,(MATCH(1,($G$4:$G$254="max")*($H$4:$H$254=(H206)),0))),""),""))</f>
        <v>1051535.93327249</v>
      </c>
      <c r="J206" s="29" t="n">
        <f aca="false">IF(AND(G204=0,G206="min",H206=1),B206-B205,IF(G206="min",B206-I206,""))</f>
        <v>-40589.2870243201</v>
      </c>
      <c r="K206" s="34" t="n">
        <f aca="false">IF(AND(G204=0,G206="min",H206=1),(B206-B205)/B205,IF(G206="min",(B206-I206)/I206,""))</f>
        <v>-0.0386000000000019</v>
      </c>
      <c r="L206" s="5"/>
      <c r="M206" s="0" t="n">
        <f aca="false">E206/COUNT($E$4:E206)</f>
        <v>5.39243657545538E-005</v>
      </c>
      <c r="N206" s="19" t="n">
        <f aca="false">M206*252</f>
        <v>0.0135889401701476</v>
      </c>
      <c r="O206" s="20" t="n">
        <f aca="false">STDEV($D$4:$D206)</f>
        <v>0.0292286118048202</v>
      </c>
      <c r="P206" s="20" t="n">
        <f aca="false">O206*SQRT(252)</f>
        <v>0.463989828019206</v>
      </c>
      <c r="Q206" s="0" t="n">
        <f aca="false">Treasuries!J204/100</f>
        <v>0.0479</v>
      </c>
      <c r="R206" s="20" t="n">
        <f aca="false">AJ206/AK206*SQRT(252)</f>
        <v>0.00212460358539098</v>
      </c>
      <c r="S206" s="32" t="n">
        <f aca="false">IF(D206&lt;s_p!H206, D206-s_p!H206, 0)</f>
        <v>-0.0397997424942938</v>
      </c>
      <c r="T206" s="0" t="n">
        <f aca="false">S206^2</f>
        <v>0.00158401950261209</v>
      </c>
      <c r="U206" s="0" t="n">
        <f aca="false">SQRT(AVERAGE(T$4:T206)) * SQRT(252)</f>
        <v>0.340955444752247</v>
      </c>
      <c r="V206" s="0" t="n">
        <f aca="false">AJ206/U206*252</f>
        <v>0.00298769784028669</v>
      </c>
      <c r="W206" s="22" t="n">
        <f aca="false">(s_p!$J206)/COUNT(s_p!$J$4:$J206)</f>
        <v>0.00047477757453971</v>
      </c>
      <c r="X206" s="22" t="n">
        <f aca="false">W206 * 252</f>
        <v>0.119643948784007</v>
      </c>
      <c r="Y206" s="21" t="n">
        <f aca="false">STDEV(s_p!$H$4:$H206)</f>
        <v>0.00663785545614618</v>
      </c>
      <c r="Z206" s="21" t="n">
        <f aca="false">Y206*SQRT(252)</f>
        <v>0.105372688654536</v>
      </c>
      <c r="AA206" s="0" t="n">
        <f aca="false">AJ206/AK206</f>
        <v>0.000133837445751058</v>
      </c>
      <c r="AB206" s="0" t="n">
        <f aca="false">_xlfn.COVARIANCE.S($D$4:$D206,s_p!$H$4:$H206)</f>
        <v>-6.93685537203071E-006</v>
      </c>
      <c r="AC206" s="0" t="n">
        <f aca="false">_xlfn.VAR.S(s_p!$H$4:$H206)</f>
        <v>4.40611250566897E-005</v>
      </c>
      <c r="AD206" s="0" t="n">
        <f aca="false">AB206/AC206</f>
        <v>-0.157437091383973</v>
      </c>
      <c r="AE206" s="0" t="n">
        <f aca="false">M206-(AD206*W206)</f>
        <v>0.000128671966144423</v>
      </c>
      <c r="AF206" s="33" t="n">
        <f aca="false">MAX($E$4:E206)</f>
        <v>0.280129884293098</v>
      </c>
      <c r="AG206" s="0" t="n">
        <f aca="false">1 - ((1 + E206) / (1 + AF206))</f>
        <v>0.21027806736468</v>
      </c>
      <c r="AH206" s="0" t="n">
        <f aca="false">MAX($AG$5:AG206)</f>
        <v>0.322303580832179</v>
      </c>
      <c r="AI206" s="19" t="n">
        <f aca="false">D206-s_p!H206</f>
        <v>-0.0397997424942938</v>
      </c>
      <c r="AJ206" s="19" t="n">
        <f aca="false">AVERAGE(AI$4:AI206)</f>
        <v>4.04234859492172E-006</v>
      </c>
      <c r="AK206" s="0" t="n">
        <f aca="false">STDEV(AI$4:AI206)</f>
        <v>0.0302034200685555</v>
      </c>
    </row>
    <row r="207" customFormat="false" ht="13.8" hidden="false" customHeight="false" outlineLevel="0" collapsed="false">
      <c r="A207" s="6" t="n">
        <f aca="false">WORKDAY(A206,1,holiday!$B$2:$B$10)</f>
        <v>39013</v>
      </c>
      <c r="B207" s="24" t="n">
        <v>1059573.17993271</v>
      </c>
      <c r="C207" s="24" t="n">
        <f aca="false">B207-B206</f>
        <v>48626.5336845373</v>
      </c>
      <c r="D207" s="31" t="n">
        <f aca="false">C207/B206</f>
        <v>0.0481000000000001</v>
      </c>
      <c r="E207" s="31" t="n">
        <f aca="false" t="array" ref="E207:E207">PRODUCT(1+$D$4:D207)-1</f>
        <v>0.0595731799327115</v>
      </c>
      <c r="F207" s="0" t="n">
        <f aca="false">IF(ISBLANK(A208),MONTH(A207),IF(MONTH(A208)-MONTH(A207)=1,MONTH(A207),0))</f>
        <v>0</v>
      </c>
      <c r="G207" s="0" t="str">
        <f aca="false">IF(B208&gt;B207,IF(AND(B206&gt;B207,B208&gt;B207),"min",""),IF(AND(B206&gt;B207,B208&gt;B207),"",IF(AND(B206&lt;B207,B208&lt;B207),"max","")))</f>
        <v>max</v>
      </c>
      <c r="H207" s="0" t="n">
        <f aca="false">IF(G207="min",COUNTIF(G$4:G207,"min"),IF(G207="max",COUNTIF(G$4:G207,"max"),""))</f>
        <v>52</v>
      </c>
      <c r="I207" s="24" t="str">
        <f aca="false" t="array" ref="I207:I207">IF($G$3=0,IF(G207="min",INDEX($B$4:$B$254,(MATCH(1,($G$4:$G$254="max")*($H$4:$H$254=(H207-1)),0))),""),IF($G$3=1,IF(G207="min",INDEX($B$4:$B$254,(MATCH(1,($G$4:$G$254="max")*($H$4:$H$254=(H207)),0))),""),""))</f>
        <v/>
      </c>
      <c r="J207" s="29" t="str">
        <f aca="false">IF(AND(G205=0,G207="min",H207=1),B207-B206,IF(G207="min",B207-I207,""))</f>
        <v/>
      </c>
      <c r="K207" s="34" t="str">
        <f aca="false">IF(AND(G205=0,G207="min",H207=1),(B207-B206)/B206,IF(G207="min",(B207-I207)/I207,""))</f>
        <v/>
      </c>
      <c r="L207" s="5"/>
      <c r="M207" s="0" t="n">
        <f aca="false">E207/COUNT($E$4:E207)</f>
        <v>0.000292025391827017</v>
      </c>
      <c r="N207" s="19" t="n">
        <f aca="false">M207*252</f>
        <v>0.0735903987404083</v>
      </c>
      <c r="O207" s="20" t="n">
        <f aca="false">STDEV($D$4:$D207)</f>
        <v>0.0293465439143685</v>
      </c>
      <c r="P207" s="20" t="n">
        <f aca="false">O207*SQRT(252)</f>
        <v>0.46586194221993</v>
      </c>
      <c r="Q207" s="0" t="n">
        <f aca="false">Treasuries!J205/100</f>
        <v>0.0483</v>
      </c>
      <c r="R207" s="20" t="n">
        <f aca="false">AJ207/AK207*SQRT(252)</f>
        <v>0.109939898669497</v>
      </c>
      <c r="S207" s="32" t="n">
        <f aca="false">IF(D207&lt;s_p!H207, D207-s_p!H207, 0)</f>
        <v>0</v>
      </c>
      <c r="T207" s="0" t="n">
        <f aca="false">S207^2</f>
        <v>0</v>
      </c>
      <c r="U207" s="0" t="n">
        <f aca="false">SQRT(AVERAGE(T$4:T207)) * SQRT(252)</f>
        <v>0.340118743013111</v>
      </c>
      <c r="V207" s="0" t="n">
        <f aca="false">AJ207/U207*252</f>
        <v>0.155332396701752</v>
      </c>
      <c r="W207" s="22" t="n">
        <f aca="false">(s_p!$J207)/COUNT(s_p!$J$4:$J207)</f>
        <v>0.000505515074033049</v>
      </c>
      <c r="X207" s="22" t="n">
        <f aca="false">W207 * 252</f>
        <v>0.127389798656328</v>
      </c>
      <c r="Y207" s="21" t="n">
        <f aca="false">STDEV(s_p!$H$4:$H207)</f>
        <v>0.00663340466346619</v>
      </c>
      <c r="Z207" s="21" t="n">
        <f aca="false">Y207*SQRT(252)</f>
        <v>0.105302034511126</v>
      </c>
      <c r="AA207" s="0" t="n">
        <f aca="false">AJ207/AK207</f>
        <v>0.00692556264388415</v>
      </c>
      <c r="AB207" s="0" t="n">
        <f aca="false">_xlfn.COVARIANCE.S($D$4:$D207,s_p!$H$4:$H207)</f>
        <v>-5.57747354984843E-006</v>
      </c>
      <c r="AC207" s="0" t="n">
        <f aca="false">_xlfn.VAR.S(s_p!$H$4:$H207)</f>
        <v>4.40020574292951E-005</v>
      </c>
      <c r="AD207" s="0" t="n">
        <f aca="false">AB207/AC207</f>
        <v>-0.126754835471287</v>
      </c>
      <c r="AE207" s="0" t="n">
        <f aca="false">M207-(AD207*W207)</f>
        <v>0.000356101871864332</v>
      </c>
      <c r="AF207" s="33" t="n">
        <f aca="false">MAX($E$4:E207)</f>
        <v>0.280129884293098</v>
      </c>
      <c r="AG207" s="0" t="n">
        <f aca="false">1 - ((1 + E207) / (1 + AF207))</f>
        <v>0.172292442404921</v>
      </c>
      <c r="AH207" s="0" t="n">
        <f aca="false">MAX($AG$5:AG207)</f>
        <v>0.322303580832179</v>
      </c>
      <c r="AI207" s="19" t="n">
        <f aca="false">D207-s_p!H207</f>
        <v>0.0419477276048517</v>
      </c>
      <c r="AJ207" s="19" t="n">
        <f aca="false">AVERAGE(AI$4:AI207)</f>
        <v>0.00020964864887069</v>
      </c>
      <c r="AK207" s="0" t="n">
        <f aca="false">STDEV(AI$4:AI207)</f>
        <v>0.0302717135994471</v>
      </c>
    </row>
    <row r="208" customFormat="false" ht="13.8" hidden="false" customHeight="false" outlineLevel="0" collapsed="false">
      <c r="A208" s="6" t="n">
        <f aca="false">WORKDAY(A207,1,holiday!$B$2:$B$10)</f>
        <v>39014</v>
      </c>
      <c r="B208" s="24" t="n">
        <v>1012316.21610771</v>
      </c>
      <c r="C208" s="24" t="n">
        <f aca="false">B208-B207</f>
        <v>-47256.9638249989</v>
      </c>
      <c r="D208" s="31" t="n">
        <f aca="false">C208/B207</f>
        <v>-0.0446</v>
      </c>
      <c r="E208" s="31" t="n">
        <f aca="false" t="array" ref="E208:E208">PRODUCT(1+$D$4:D208)-1</f>
        <v>0.0123162161077126</v>
      </c>
      <c r="F208" s="0" t="n">
        <f aca="false">IF(ISBLANK(A209),MONTH(A208),IF(MONTH(A209)-MONTH(A208)=1,MONTH(A208),0))</f>
        <v>0</v>
      </c>
      <c r="G208" s="0" t="str">
        <f aca="false">IF(B209&gt;B208,IF(AND(B207&gt;B208,B209&gt;B208),"min",""),IF(AND(B207&gt;B208,B209&gt;B208),"",IF(AND(B207&lt;B208,B209&lt;B208),"max","")))</f>
        <v/>
      </c>
      <c r="H208" s="0" t="str">
        <f aca="false">IF(G208="min",COUNTIF(G$4:G208,"min"),IF(G208="max",COUNTIF(G$4:G208,"max"),""))</f>
        <v/>
      </c>
      <c r="I208" s="24" t="str">
        <f aca="false" t="array" ref="I208:I208">IF($G$3=0,IF(G208="min",INDEX($B$4:$B$254,(MATCH(1,($G$4:$G$254="max")*($H$4:$H$254=(H208-1)),0))),""),IF($G$3=1,IF(G208="min",INDEX($B$4:$B$254,(MATCH(1,($G$4:$G$254="max")*($H$4:$H$254=(H208)),0))),""),""))</f>
        <v/>
      </c>
      <c r="J208" s="29" t="str">
        <f aca="false">IF(AND(G206=0,G208="min",H208=1),B208-B207,IF(G208="min",B208-I208,""))</f>
        <v/>
      </c>
      <c r="K208" s="34" t="str">
        <f aca="false">IF(AND(G206=0,G208="min",H208=1),(B208-B207)/B207,IF(G208="min",(B208-I208)/I208,""))</f>
        <v/>
      </c>
      <c r="L208" s="5"/>
      <c r="M208" s="0" t="n">
        <f aca="false">E208/COUNT($E$4:E208)</f>
        <v>6.00791029644517E-005</v>
      </c>
      <c r="N208" s="19" t="n">
        <f aca="false">M208*252</f>
        <v>0.0151399339470418</v>
      </c>
      <c r="O208" s="20" t="n">
        <f aca="false">STDEV($D$4:$D208)</f>
        <v>0.0294450981224945</v>
      </c>
      <c r="P208" s="20" t="n">
        <f aca="false">O208*SQRT(252)</f>
        <v>0.467426441772092</v>
      </c>
      <c r="Q208" s="0" t="n">
        <f aca="false">Treasuries!J206/100</f>
        <v>0.0483</v>
      </c>
      <c r="R208" s="20" t="n">
        <f aca="false">AJ208/AK208*SQRT(252)</f>
        <v>-0.00533852766400372</v>
      </c>
      <c r="S208" s="32" t="n">
        <f aca="false">IF(D208&lt;s_p!H208, D208-s_p!H208, 0)</f>
        <v>-0.0448614341113421</v>
      </c>
      <c r="T208" s="0" t="n">
        <f aca="false">S208^2</f>
        <v>0.00201254827052628</v>
      </c>
      <c r="U208" s="0" t="n">
        <f aca="false">SQRT(AVERAGE(T$4:T208)) * SQRT(252)</f>
        <v>0.342914602690237</v>
      </c>
      <c r="V208" s="0" t="n">
        <f aca="false">AJ208/U208*252</f>
        <v>-0.00750330670790354</v>
      </c>
      <c r="W208" s="22" t="n">
        <f aca="false">(s_p!$J208)/COUNT(s_p!$J$4:$J208)</f>
        <v>0.000504455949397319</v>
      </c>
      <c r="X208" s="22" t="n">
        <f aca="false">W208 * 252</f>
        <v>0.127122899248124</v>
      </c>
      <c r="Y208" s="21" t="n">
        <f aca="false">STDEV(s_p!$H$4:$H208)</f>
        <v>0.00661714787130681</v>
      </c>
      <c r="Z208" s="21" t="n">
        <f aca="false">Y208*SQRT(252)</f>
        <v>0.10504396593611</v>
      </c>
      <c r="AA208" s="0" t="n">
        <f aca="false">AJ208/AK208</f>
        <v>-0.000336295632528314</v>
      </c>
      <c r="AB208" s="0" t="n">
        <f aca="false">_xlfn.COVARIANCE.S($D$4:$D208,s_p!$H$4:$H208)</f>
        <v>-5.4967164863353E-006</v>
      </c>
      <c r="AC208" s="0" t="n">
        <f aca="false">_xlfn.VAR.S(s_p!$H$4:$H208)</f>
        <v>4.37866459507403E-005</v>
      </c>
      <c r="AD208" s="0" t="n">
        <f aca="false">AB208/AC208</f>
        <v>-0.125534083896699</v>
      </c>
      <c r="AE208" s="0" t="n">
        <f aca="false">M208-(AD208*W208)</f>
        <v>0.000123405518438284</v>
      </c>
      <c r="AF208" s="33" t="n">
        <f aca="false">MAX($E$4:E208)</f>
        <v>0.280129884293098</v>
      </c>
      <c r="AG208" s="0" t="n">
        <f aca="false">1 - ((1 + E208) / (1 + AF208))</f>
        <v>0.209208199473661</v>
      </c>
      <c r="AH208" s="0" t="n">
        <f aca="false">MAX($AG$5:AG208)</f>
        <v>0.322303580832179</v>
      </c>
      <c r="AI208" s="19" t="n">
        <f aca="false">D208-s_p!H208</f>
        <v>-0.0448614341113421</v>
      </c>
      <c r="AJ208" s="19" t="n">
        <f aca="false">AVERAGE(AI$4:AI208)</f>
        <v>-1.02102914230307E-005</v>
      </c>
      <c r="AK208" s="0" t="n">
        <f aca="false">STDEV(AI$4:AI208)</f>
        <v>0.0303610586502964</v>
      </c>
    </row>
    <row r="209" customFormat="false" ht="13.8" hidden="false" customHeight="false" outlineLevel="0" collapsed="false">
      <c r="A209" s="6" t="n">
        <f aca="false">WORKDAY(A208,1,holiday!$B$2:$B$10)</f>
        <v>39015</v>
      </c>
      <c r="B209" s="24" t="n">
        <v>983768.898813475</v>
      </c>
      <c r="C209" s="24" t="n">
        <f aca="false">B209-B208</f>
        <v>-28547.3172942374</v>
      </c>
      <c r="D209" s="31" t="n">
        <f aca="false">C209/B208</f>
        <v>-0.0281999999999999</v>
      </c>
      <c r="E209" s="31" t="n">
        <f aca="false" t="array" ref="E209:E209">PRODUCT(1+$D$4:D209)-1</f>
        <v>-0.0162311011865247</v>
      </c>
      <c r="F209" s="0" t="n">
        <f aca="false">IF(ISBLANK(A210),MONTH(A209),IF(MONTH(A210)-MONTH(A209)=1,MONTH(A209),0))</f>
        <v>0</v>
      </c>
      <c r="G209" s="0" t="str">
        <f aca="false">IF(B210&gt;B209,IF(AND(B208&gt;B209,B210&gt;B209),"min",""),IF(AND(B208&gt;B209,B210&gt;B209),"",IF(AND(B208&lt;B209,B210&lt;B209),"max","")))</f>
        <v/>
      </c>
      <c r="H209" s="0" t="str">
        <f aca="false">IF(G209="min",COUNTIF(G$4:G209,"min"),IF(G209="max",COUNTIF(G$4:G209,"max"),""))</f>
        <v/>
      </c>
      <c r="I209" s="24" t="str">
        <f aca="false" t="array" ref="I209:I209">IF($G$3=0,IF(G209="min",INDEX($B$4:$B$254,(MATCH(1,($G$4:$G$254="max")*($H$4:$H$254=(H209-1)),0))),""),IF($G$3=1,IF(G209="min",INDEX($B$4:$B$254,(MATCH(1,($G$4:$G$254="max")*($H$4:$H$254=(H209)),0))),""),""))</f>
        <v/>
      </c>
      <c r="J209" s="29" t="str">
        <f aca="false">IF(AND(G207=0,G209="min",H209=1),B209-B208,IF(G209="min",B209-I209,""))</f>
        <v/>
      </c>
      <c r="K209" s="34" t="str">
        <f aca="false">IF(AND(G207=0,G209="min",H209=1),(B209-B208)/B208,IF(G209="min",(B209-I209)/I209,""))</f>
        <v/>
      </c>
      <c r="L209" s="5"/>
      <c r="M209" s="0" t="n">
        <f aca="false">E209/COUNT($E$4:E209)</f>
        <v>-7.87917533326442E-005</v>
      </c>
      <c r="N209" s="19" t="n">
        <f aca="false">M209*252</f>
        <v>-0.0198555218398263</v>
      </c>
      <c r="O209" s="20" t="n">
        <f aca="false">STDEV($D$4:$D209)</f>
        <v>0.0294411387792087</v>
      </c>
      <c r="P209" s="20" t="n">
        <f aca="false">O209*SQRT(252)</f>
        <v>0.467363589145955</v>
      </c>
      <c r="Q209" s="0" t="n">
        <f aca="false">Treasuries!J207/100</f>
        <v>0.0478</v>
      </c>
      <c r="R209" s="20" t="n">
        <f aca="false">AJ209/AK209*SQRT(252)</f>
        <v>-0.0857892741827782</v>
      </c>
      <c r="S209" s="32" t="n">
        <f aca="false">IF(D209&lt;s_p!H209, D209-s_p!H209, 0)</f>
        <v>-0.0317139177278599</v>
      </c>
      <c r="T209" s="0" t="n">
        <f aca="false">S209^2</f>
        <v>0.00100577257764947</v>
      </c>
      <c r="U209" s="0" t="n">
        <f aca="false">SQRT(AVERAGE(T$4:T209)) * SQRT(252)</f>
        <v>0.343874919126658</v>
      </c>
      <c r="V209" s="0" t="n">
        <f aca="false">AJ209/U209*252</f>
        <v>-0.120265152314476</v>
      </c>
      <c r="W209" s="22" t="n">
        <f aca="false">(s_p!$J209)/COUNT(s_p!$J$4:$J209)</f>
        <v>0.000520828998924904</v>
      </c>
      <c r="X209" s="22" t="n">
        <f aca="false">W209 * 252</f>
        <v>0.131248907729076</v>
      </c>
      <c r="Y209" s="21" t="n">
        <f aca="false">STDEV(s_p!$H$4:$H209)</f>
        <v>0.00660432374231683</v>
      </c>
      <c r="Z209" s="21" t="n">
        <f aca="false">Y209*SQRT(252)</f>
        <v>0.104840389199578</v>
      </c>
      <c r="AA209" s="0" t="n">
        <f aca="false">AJ209/AK209</f>
        <v>-0.00540421630105624</v>
      </c>
      <c r="AB209" s="0" t="n">
        <f aca="false">_xlfn.COVARIANCE.S($D$4:$D209,s_p!$H$4:$H209)</f>
        <v>-5.88941501122018E-006</v>
      </c>
      <c r="AC209" s="0" t="n">
        <f aca="false">_xlfn.VAR.S(s_p!$H$4:$H209)</f>
        <v>4.36170920933297E-005</v>
      </c>
      <c r="AD209" s="0" t="n">
        <f aca="false">AB209/AC209</f>
        <v>-0.135025393224709</v>
      </c>
      <c r="AE209" s="0" t="n">
        <f aca="false">M209-(AD209*W209)</f>
        <v>-8.46661294997765E-006</v>
      </c>
      <c r="AF209" s="33" t="n">
        <f aca="false">MAX($E$4:E209)</f>
        <v>0.280129884293098</v>
      </c>
      <c r="AG209" s="0" t="n">
        <f aca="false">1 - ((1 + E209) / (1 + AF209))</f>
        <v>0.231508528248504</v>
      </c>
      <c r="AH209" s="0" t="n">
        <f aca="false">MAX($AG$5:AG209)</f>
        <v>0.322303580832179</v>
      </c>
      <c r="AI209" s="19" t="n">
        <f aca="false">D209-s_p!H209</f>
        <v>-0.03171391772786</v>
      </c>
      <c r="AJ209" s="19" t="n">
        <f aca="false">AVERAGE(AI$4:AI209)</f>
        <v>-0.000164111783832919</v>
      </c>
      <c r="AK209" s="0" t="n">
        <f aca="false">STDEV(AI$4:AI209)</f>
        <v>0.0303673603517394</v>
      </c>
    </row>
    <row r="210" customFormat="false" ht="13.8" hidden="false" customHeight="false" outlineLevel="0" collapsed="false">
      <c r="A210" s="6" t="n">
        <f aca="false">WORKDAY(A209,1,holiday!$B$2:$B$10)</f>
        <v>39016</v>
      </c>
      <c r="B210" s="24" t="n">
        <v>980128.953887865</v>
      </c>
      <c r="C210" s="24" t="n">
        <f aca="false">B210-B209</f>
        <v>-3639.94492560986</v>
      </c>
      <c r="D210" s="31" t="n">
        <f aca="false">C210/B209</f>
        <v>-0.0037</v>
      </c>
      <c r="E210" s="31" t="n">
        <f aca="false" t="array" ref="E210:E210">PRODUCT(1+$D$4:D210)-1</f>
        <v>-0.0198710461121346</v>
      </c>
      <c r="F210" s="0" t="n">
        <f aca="false">IF(ISBLANK(A211),MONTH(A210),IF(MONTH(A211)-MONTH(A210)=1,MONTH(A210),0))</f>
        <v>0</v>
      </c>
      <c r="G210" s="0" t="str">
        <f aca="false">IF(B211&gt;B210,IF(AND(B209&gt;B210,B211&gt;B210),"min",""),IF(AND(B209&gt;B210,B211&gt;B210),"",IF(AND(B209&lt;B210,B211&lt;B210),"max","")))</f>
        <v>min</v>
      </c>
      <c r="H210" s="0" t="n">
        <f aca="false">IF(G210="min",COUNTIF(G$4:G210,"min"),IF(G210="max",COUNTIF(G$4:G210,"max"),""))</f>
        <v>53</v>
      </c>
      <c r="I210" s="24" t="n">
        <f aca="false" t="array" ref="I210:I210">IF($G$3=0,IF(G210="min",INDEX($B$4:$B$254,(MATCH(1,($G$4:$G$254="max")*($H$4:$H$254=(H210-1)),0))),""),IF($G$3=1,IF(G210="min",INDEX($B$4:$B$254,(MATCH(1,($G$4:$G$254="max")*($H$4:$H$254=(H210)),0))),""),""))</f>
        <v>1059573.17993271</v>
      </c>
      <c r="J210" s="29" t="n">
        <f aca="false">IF(AND(G208=0,G210="min",H210=1),B210-B209,IF(G210="min",B210-I210,""))</f>
        <v>-79444.2260448451</v>
      </c>
      <c r="K210" s="34" t="n">
        <f aca="false">IF(AND(G208=0,G210="min",H210=1),(B210-B209)/B209,IF(G210="min",(B210-I210)/I210,""))</f>
        <v>-0.0749775735639989</v>
      </c>
      <c r="L210" s="5"/>
      <c r="M210" s="0" t="n">
        <f aca="false">E210/COUNT($E$4:E210)</f>
        <v>-9.5995391846061E-005</v>
      </c>
      <c r="N210" s="19" t="n">
        <f aca="false">M210*252</f>
        <v>-0.0241908387452074</v>
      </c>
      <c r="O210" s="20" t="n">
        <f aca="false">STDEV($D$4:$D210)</f>
        <v>0.0293709433570212</v>
      </c>
      <c r="P210" s="20" t="n">
        <f aca="false">O210*SQRT(252)</f>
        <v>0.466249271364256</v>
      </c>
      <c r="Q210" s="0" t="n">
        <f aca="false">Treasuries!J208/100</f>
        <v>0.0473</v>
      </c>
      <c r="R210" s="20" t="n">
        <f aca="false">AJ210/AK210*SQRT(252)</f>
        <v>-0.107492920663342</v>
      </c>
      <c r="S210" s="32" t="n">
        <f aca="false">IF(D210&lt;s_p!H210, D210-s_p!H210, 0)</f>
        <v>-0.00866303048718727</v>
      </c>
      <c r="T210" s="0" t="n">
        <f aca="false">S210^2</f>
        <v>7.50480972219361E-005</v>
      </c>
      <c r="U210" s="0" t="n">
        <f aca="false">SQRT(AVERAGE(T$4:T210)) * SQRT(252)</f>
        <v>0.343176437215465</v>
      </c>
      <c r="V210" s="0" t="n">
        <f aca="false">AJ210/U210*252</f>
        <v>-0.150659175994815</v>
      </c>
      <c r="W210" s="22" t="n">
        <f aca="false">(s_p!$J210)/COUNT(s_p!$J$4:$J210)</f>
        <v>0.000544861312304224</v>
      </c>
      <c r="X210" s="22" t="n">
        <f aca="false">W210 * 252</f>
        <v>0.137305050700664</v>
      </c>
      <c r="Y210" s="21" t="n">
        <f aca="false">STDEV(s_p!$H$4:$H210)</f>
        <v>0.00659551909249765</v>
      </c>
      <c r="Z210" s="21" t="n">
        <f aca="false">Y210*SQRT(252)</f>
        <v>0.104700619716763</v>
      </c>
      <c r="AA210" s="0" t="n">
        <f aca="false">AJ210/AK210</f>
        <v>-0.00677141751845705</v>
      </c>
      <c r="AB210" s="0" t="n">
        <f aca="false">_xlfn.COVARIANCE.S($D$4:$D210,s_p!$H$4:$H210)</f>
        <v>-5.94787432862193E-006</v>
      </c>
      <c r="AC210" s="0" t="n">
        <f aca="false">_xlfn.VAR.S(s_p!$H$4:$H210)</f>
        <v>4.3500872099501E-005</v>
      </c>
      <c r="AD210" s="0" t="n">
        <f aca="false">AB210/AC210</f>
        <v>-0.136730001987481</v>
      </c>
      <c r="AE210" s="0" t="n">
        <f aca="false">M210-(AD210*W210)</f>
        <v>-2.1496503531803E-005</v>
      </c>
      <c r="AF210" s="33" t="n">
        <f aca="false">MAX($E$4:E210)</f>
        <v>0.280129884293098</v>
      </c>
      <c r="AG210" s="0" t="n">
        <f aca="false">1 - ((1 + E210) / (1 + AF210))</f>
        <v>0.234351946693984</v>
      </c>
      <c r="AH210" s="0" t="n">
        <f aca="false">MAX($AG$5:AG210)</f>
        <v>0.322303580832179</v>
      </c>
      <c r="AI210" s="19" t="n">
        <f aca="false">D210-s_p!H210</f>
        <v>-0.00866303048718727</v>
      </c>
      <c r="AJ210" s="19" t="n">
        <f aca="false">AVERAGE(AI$4:AI210)</f>
        <v>-0.000205169362109993</v>
      </c>
      <c r="AK210" s="0" t="n">
        <f aca="false">STDEV(AI$4:AI210)</f>
        <v>0.0302993223428857</v>
      </c>
    </row>
    <row r="211" customFormat="false" ht="13.8" hidden="false" customHeight="false" outlineLevel="0" collapsed="false">
      <c r="A211" s="6" t="n">
        <f aca="false">WORKDAY(A210,1,holiday!$B$2:$B$10)</f>
        <v>39017</v>
      </c>
      <c r="B211" s="24" t="n">
        <v>999927.5587564</v>
      </c>
      <c r="C211" s="24" t="n">
        <f aca="false">B211-B210</f>
        <v>19798.6048685348</v>
      </c>
      <c r="D211" s="31" t="n">
        <f aca="false">C211/B210</f>
        <v>0.0202</v>
      </c>
      <c r="E211" s="31" t="n">
        <f aca="false" t="array" ref="E211:E211">PRODUCT(1+$D$4:D211)-1</f>
        <v>-7.24412435997301E-005</v>
      </c>
      <c r="F211" s="0" t="n">
        <f aca="false">IF(ISBLANK(A212),MONTH(A211),IF(MONTH(A212)-MONTH(A211)=1,MONTH(A211),0))</f>
        <v>0</v>
      </c>
      <c r="G211" s="0" t="str">
        <f aca="false">IF(B212&gt;B211,IF(AND(B210&gt;B211,B212&gt;B211),"min",""),IF(AND(B210&gt;B211,B212&gt;B211),"",IF(AND(B210&lt;B211,B212&lt;B211),"max","")))</f>
        <v/>
      </c>
      <c r="H211" s="0" t="str">
        <f aca="false">IF(G211="min",COUNTIF(G$4:G211,"min"),IF(G211="max",COUNTIF(G$4:G211,"max"),""))</f>
        <v/>
      </c>
      <c r="I211" s="24" t="str">
        <f aca="false" t="array" ref="I211:I211">IF($G$3=0,IF(G211="min",INDEX($B$4:$B$254,(MATCH(1,($G$4:$G$254="max")*($H$4:$H$254=(H211-1)),0))),""),IF($G$3=1,IF(G211="min",INDEX($B$4:$B$254,(MATCH(1,($G$4:$G$254="max")*($H$4:$H$254=(H211)),0))),""),""))</f>
        <v/>
      </c>
      <c r="J211" s="29" t="str">
        <f aca="false">IF(AND(G209=0,G211="min",H211=1),B211-B210,IF(G211="min",B211-I211,""))</f>
        <v/>
      </c>
      <c r="K211" s="34" t="str">
        <f aca="false">IF(AND(G209=0,G211="min",H211=1),(B211-B210)/B210,IF(G211="min",(B211-I211)/I211,""))</f>
        <v/>
      </c>
      <c r="L211" s="5"/>
      <c r="M211" s="0" t="n">
        <f aca="false">E211/COUNT($E$4:E211)</f>
        <v>-3.48275209614087E-007</v>
      </c>
      <c r="N211" s="19" t="n">
        <f aca="false">M211*252</f>
        <v>-8.776535282275E-005</v>
      </c>
      <c r="O211" s="20" t="n">
        <f aca="false">STDEV($D$4:$D211)</f>
        <v>0.0293322778667351</v>
      </c>
      <c r="P211" s="20" t="n">
        <f aca="false">O211*SQRT(252)</f>
        <v>0.465635475734551</v>
      </c>
      <c r="Q211" s="0" t="n">
        <f aca="false">Treasuries!J209/100</f>
        <v>0.0468</v>
      </c>
      <c r="R211" s="20" t="n">
        <f aca="false">AJ211/AK211*SQRT(252)</f>
        <v>-0.0348148511839598</v>
      </c>
      <c r="S211" s="32" t="n">
        <f aca="false">IF(D211&lt;s_p!H211, D211-s_p!H211, 0)</f>
        <v>0</v>
      </c>
      <c r="T211" s="0" t="n">
        <f aca="false">S211^2</f>
        <v>0</v>
      </c>
      <c r="U211" s="0" t="n">
        <f aca="false">SQRT(AVERAGE(T$4:T211)) * SQRT(252)</f>
        <v>0.34235049994767</v>
      </c>
      <c r="V211" s="0" t="n">
        <f aca="false">AJ211/U211*252</f>
        <v>-0.0489017787416469</v>
      </c>
      <c r="W211" s="22" t="n">
        <f aca="false">(s_p!$J211)/COUNT(s_p!$J$4:$J211)</f>
        <v>0.000497026085531166</v>
      </c>
      <c r="X211" s="22" t="n">
        <f aca="false">W211 * 252</f>
        <v>0.125250573553854</v>
      </c>
      <c r="Y211" s="21" t="n">
        <f aca="false">STDEV(s_p!$H$4:$H211)</f>
        <v>0.0066090280263687</v>
      </c>
      <c r="Z211" s="21" t="n">
        <f aca="false">Y211*SQRT(252)</f>
        <v>0.104915067393766</v>
      </c>
      <c r="AA211" s="0" t="n">
        <f aca="false">AJ211/AK211</f>
        <v>-0.00219312948010661</v>
      </c>
      <c r="AB211" s="0" t="n">
        <f aca="false">_xlfn.COVARIANCE.S($D$4:$D211,s_p!$H$4:$H211)</f>
        <v>-6.77778897808554E-006</v>
      </c>
      <c r="AC211" s="0" t="n">
        <f aca="false">_xlfn.VAR.S(s_p!$H$4:$H211)</f>
        <v>4.3679251453327E-005</v>
      </c>
      <c r="AD211" s="0" t="n">
        <f aca="false">AB211/AC211</f>
        <v>-0.155171820774627</v>
      </c>
      <c r="AE211" s="0" t="n">
        <f aca="false">M211-(AD211*W211)</f>
        <v>7.67761674547427E-005</v>
      </c>
      <c r="AF211" s="33" t="n">
        <f aca="false">MAX($E$4:E211)</f>
        <v>0.280129884293098</v>
      </c>
      <c r="AG211" s="0" t="n">
        <f aca="false">1 - ((1 + E211) / (1 + AF211))</f>
        <v>0.218885856017203</v>
      </c>
      <c r="AH211" s="0" t="n">
        <f aca="false">MAX($AG$5:AG211)</f>
        <v>0.322303580832179</v>
      </c>
      <c r="AI211" s="19" t="n">
        <f aca="false">D211-s_p!H211</f>
        <v>0.0286516370547412</v>
      </c>
      <c r="AJ211" s="19" t="n">
        <f aca="false">AVERAGE(AI$4:AI211)</f>
        <v>-6.64347158751316E-005</v>
      </c>
      <c r="AK211" s="0" t="n">
        <f aca="false">STDEV(AI$4:AI211)</f>
        <v>0.0302921995612873</v>
      </c>
    </row>
    <row r="212" customFormat="false" ht="13.8" hidden="false" customHeight="false" outlineLevel="0" collapsed="false">
      <c r="A212" s="6" t="n">
        <f aca="false">WORKDAY(A211,1,holiday!$B$2:$B$10)</f>
        <v>39020</v>
      </c>
      <c r="B212" s="24" t="n">
        <v>1021525.99402554</v>
      </c>
      <c r="C212" s="24" t="n">
        <f aca="false">B212-B211</f>
        <v>21598.4352691382</v>
      </c>
      <c r="D212" s="31" t="n">
        <f aca="false">C212/B211</f>
        <v>0.0216</v>
      </c>
      <c r="E212" s="31" t="n">
        <f aca="false" t="array" ref="E212:E212">PRODUCT(1+$D$4:D212)-1</f>
        <v>0.0215259940255386</v>
      </c>
      <c r="F212" s="0" t="n">
        <f aca="false">IF(ISBLANK(A213),MONTH(A212),IF(MONTH(A213)-MONTH(A212)=1,MONTH(A212),0))</f>
        <v>0</v>
      </c>
      <c r="G212" s="0" t="str">
        <f aca="false">IF(B213&gt;B212,IF(AND(B211&gt;B212,B213&gt;B212),"min",""),IF(AND(B211&gt;B212,B213&gt;B212),"",IF(AND(B211&lt;B212,B213&lt;B212),"max","")))</f>
        <v/>
      </c>
      <c r="H212" s="0" t="str">
        <f aca="false">IF(G212="min",COUNTIF(G$4:G212,"min"),IF(G212="max",COUNTIF(G$4:G212,"max"),""))</f>
        <v/>
      </c>
      <c r="I212" s="24" t="str">
        <f aca="false" t="array" ref="I212:I212">IF($G$3=0,IF(G212="min",INDEX($B$4:$B$254,(MATCH(1,($G$4:$G$254="max")*($H$4:$H$254=(H212-1)),0))),""),IF($G$3=1,IF(G212="min",INDEX($B$4:$B$254,(MATCH(1,($G$4:$G$254="max")*($H$4:$H$254=(H212)),0))),""),""))</f>
        <v/>
      </c>
      <c r="J212" s="29" t="str">
        <f aca="false">IF(AND(G210=0,G212="min",H212=1),B212-B211,IF(G212="min",B212-I212,""))</f>
        <v/>
      </c>
      <c r="K212" s="34" t="str">
        <f aca="false">IF(AND(G210=0,G212="min",H212=1),(B212-B211)/B211,IF(G212="min",(B212-I212)/I212,""))</f>
        <v/>
      </c>
      <c r="L212" s="5"/>
      <c r="M212" s="0" t="n">
        <f aca="false">E212/COUNT($E$4:E212)</f>
        <v>0.000102995186725065</v>
      </c>
      <c r="N212" s="19" t="n">
        <f aca="false">M212*252</f>
        <v>0.0259547870547164</v>
      </c>
      <c r="O212" s="20" t="n">
        <f aca="false">STDEV($D$4:$D212)</f>
        <v>0.0292983062713197</v>
      </c>
      <c r="P212" s="20" t="n">
        <f aca="false">O212*SQRT(252)</f>
        <v>0.465096193375897</v>
      </c>
      <c r="Q212" s="0" t="n">
        <f aca="false">Treasuries!J210/100</f>
        <v>0.0468</v>
      </c>
      <c r="R212" s="20" t="n">
        <f aca="false">AJ212/AK212*SQRT(252)</f>
        <v>0.0184601186789031</v>
      </c>
      <c r="S212" s="32" t="n">
        <f aca="false">IF(D212&lt;s_p!H212, D212-s_p!H212, 0)</f>
        <v>0</v>
      </c>
      <c r="T212" s="0" t="n">
        <f aca="false">S212^2</f>
        <v>0</v>
      </c>
      <c r="U212" s="0" t="n">
        <f aca="false">SQRT(AVERAGE(T$4:T212)) * SQRT(252)</f>
        <v>0.341530497572684</v>
      </c>
      <c r="V212" s="0" t="n">
        <f aca="false">AJ212/U212*252</f>
        <v>0.025959848714498</v>
      </c>
      <c r="W212" s="22" t="n">
        <f aca="false">(s_p!$J212)/COUNT(s_p!$J$4:$J212)</f>
        <v>0.000496909437181841</v>
      </c>
      <c r="X212" s="22" t="n">
        <f aca="false">W212 * 252</f>
        <v>0.125221178169824</v>
      </c>
      <c r="Y212" s="21" t="n">
        <f aca="false">STDEV(s_p!$H$4:$H212)</f>
        <v>0.00659312340032262</v>
      </c>
      <c r="Z212" s="21" t="n">
        <f aca="false">Y212*SQRT(252)</f>
        <v>0.104662589282485</v>
      </c>
      <c r="AA212" s="0" t="n">
        <f aca="false">AJ212/AK212</f>
        <v>0.00116287817135996</v>
      </c>
      <c r="AB212" s="0" t="n">
        <f aca="false">_xlfn.COVARIANCE.S($D$4:$D212,s_p!$H$4:$H212)</f>
        <v>-6.75193362155821E-006</v>
      </c>
      <c r="AC212" s="0" t="n">
        <f aca="false">_xlfn.VAR.S(s_p!$H$4:$H212)</f>
        <v>4.34692761718817E-005</v>
      </c>
      <c r="AD212" s="0" t="n">
        <f aca="false">AB212/AC212</f>
        <v>-0.155326571228387</v>
      </c>
      <c r="AE212" s="0" t="n">
        <f aca="false">M212-(AD212*W212)</f>
        <v>0.000180178425813548</v>
      </c>
      <c r="AF212" s="33" t="n">
        <f aca="false">MAX($E$4:E212)</f>
        <v>0.280129884293098</v>
      </c>
      <c r="AG212" s="0" t="n">
        <f aca="false">1 - ((1 + E212) / (1 + AF212))</f>
        <v>0.202013790507174</v>
      </c>
      <c r="AH212" s="0" t="n">
        <f aca="false">MAX($AG$5:AG212)</f>
        <v>0.322303580832179</v>
      </c>
      <c r="AI212" s="19" t="n">
        <f aca="false">D212-s_p!H212</f>
        <v>0.0211716380850043</v>
      </c>
      <c r="AJ212" s="19" t="n">
        <f aca="false">AVERAGE(AI$4:AI212)</f>
        <v>3.51828573348179E-005</v>
      </c>
      <c r="AK212" s="0" t="n">
        <f aca="false">STDEV(AI$4:AI212)</f>
        <v>0.0302549813052834</v>
      </c>
    </row>
    <row r="213" customFormat="false" ht="13.8" hidden="false" customHeight="false" outlineLevel="0" collapsed="false">
      <c r="A213" s="6" t="n">
        <f aca="false">WORKDAY(A212,1,holiday!$B$2:$B$10)</f>
        <v>39021</v>
      </c>
      <c r="B213" s="24" t="n">
        <v>1033069.23775803</v>
      </c>
      <c r="C213" s="24" t="n">
        <f aca="false">B213-B212</f>
        <v>11543.2437324886</v>
      </c>
      <c r="D213" s="31" t="n">
        <f aca="false">C213/B212</f>
        <v>0.0113</v>
      </c>
      <c r="E213" s="31" t="n">
        <f aca="false" t="array" ref="E213:E213">PRODUCT(1+$D$4:D213)-1</f>
        <v>0.0330692377580273</v>
      </c>
      <c r="F213" s="0" t="n">
        <f aca="false">IF(ISBLANK(A214),MONTH(A213),IF(MONTH(A214)-MONTH(A213)=1,MONTH(A213),0))</f>
        <v>10</v>
      </c>
      <c r="G213" s="0" t="str">
        <f aca="false">IF(B214&gt;B213,IF(AND(B212&gt;B213,B214&gt;B213),"min",""),IF(AND(B212&gt;B213,B214&gt;B213),"",IF(AND(B212&lt;B213,B214&lt;B213),"max","")))</f>
        <v/>
      </c>
      <c r="H213" s="0" t="str">
        <f aca="false">IF(G213="min",COUNTIF(G$4:G213,"min"),IF(G213="max",COUNTIF(G$4:G213,"max"),""))</f>
        <v/>
      </c>
      <c r="I213" s="24" t="str">
        <f aca="false" t="array" ref="I213:I213">IF($G$3=0,IF(G213="min",INDEX($B$4:$B$254,(MATCH(1,($G$4:$G$254="max")*($H$4:$H$254=(H213-1)),0))),""),IF($G$3=1,IF(G213="min",INDEX($B$4:$B$254,(MATCH(1,($G$4:$G$254="max")*($H$4:$H$254=(H213)),0))),""),""))</f>
        <v/>
      </c>
      <c r="J213" s="29" t="str">
        <f aca="false">IF(AND(G211=0,G213="min",H213=1),B213-B212,IF(G213="min",B213-I213,""))</f>
        <v/>
      </c>
      <c r="K213" s="34" t="str">
        <f aca="false">IF(AND(G211=0,G213="min",H213=1),(B213-B212)/B212,IF(G213="min",(B213-I213)/I213,""))</f>
        <v/>
      </c>
      <c r="L213" s="5"/>
      <c r="M213" s="0" t="n">
        <f aca="false">E213/COUNT($E$4:E213)</f>
        <v>0.000157472560752511</v>
      </c>
      <c r="N213" s="19" t="n">
        <f aca="false">M213*252</f>
        <v>0.0396830853096327</v>
      </c>
      <c r="O213" s="20" t="n">
        <f aca="false">STDEV($D$4:$D213)</f>
        <v>0.0292375785435222</v>
      </c>
      <c r="P213" s="20" t="n">
        <f aca="false">O213*SQRT(252)</f>
        <v>0.464132170583267</v>
      </c>
      <c r="Q213" s="0" t="n">
        <f aca="false">Treasuries!J211/100</f>
        <v>0.0461</v>
      </c>
      <c r="R213" s="20" t="n">
        <f aca="false">AJ213/AK213*SQRT(252)</f>
        <v>0.0466838328442606</v>
      </c>
      <c r="S213" s="32" t="n">
        <f aca="false">IF(D213&lt;s_p!H213, D213-s_p!H213, 0)</f>
        <v>0</v>
      </c>
      <c r="T213" s="0" t="n">
        <f aca="false">S213^2</f>
        <v>0</v>
      </c>
      <c r="U213" s="0" t="n">
        <f aca="false">SQRT(AVERAGE(T$4:T213)) * SQRT(252)</f>
        <v>0.340716359352575</v>
      </c>
      <c r="V213" s="0" t="n">
        <f aca="false">AJ213/U213*252</f>
        <v>0.0656709056965814</v>
      </c>
      <c r="W213" s="22" t="n">
        <f aca="false">(s_p!$J213)/COUNT(s_p!$J$4:$J213)</f>
        <v>0.000494581349190461</v>
      </c>
      <c r="X213" s="22" t="n">
        <f aca="false">W213 * 252</f>
        <v>0.124634499995996</v>
      </c>
      <c r="Y213" s="21" t="n">
        <f aca="false">STDEV(s_p!$H$4:$H213)</f>
        <v>0.00657741739775811</v>
      </c>
      <c r="Z213" s="21" t="n">
        <f aca="false">Y213*SQRT(252)</f>
        <v>0.104413264221225</v>
      </c>
      <c r="AA213" s="0" t="n">
        <f aca="false">AJ213/AK213</f>
        <v>0.00294080504650536</v>
      </c>
      <c r="AB213" s="0" t="n">
        <f aca="false">_xlfn.COVARIANCE.S($D$4:$D213,s_p!$H$4:$H213)</f>
        <v>-6.7446161758033E-006</v>
      </c>
      <c r="AC213" s="0" t="n">
        <f aca="false">_xlfn.VAR.S(s_p!$H$4:$H213)</f>
        <v>4.32624196243311E-005</v>
      </c>
      <c r="AD213" s="0" t="n">
        <f aca="false">AB213/AC213</f>
        <v>-0.155900114565254</v>
      </c>
      <c r="AE213" s="0" t="n">
        <f aca="false">M213-(AD213*W213)</f>
        <v>0.000234577849753141</v>
      </c>
      <c r="AF213" s="33" t="n">
        <f aca="false">MAX($E$4:E213)</f>
        <v>0.280129884293098</v>
      </c>
      <c r="AG213" s="0" t="n">
        <f aca="false">1 - ((1 + E213) / (1 + AF213))</f>
        <v>0.192996546339905</v>
      </c>
      <c r="AH213" s="0" t="n">
        <f aca="false">MAX($AG$5:AG213)</f>
        <v>0.322303580832179</v>
      </c>
      <c r="AI213" s="19" t="n">
        <f aca="false">D213-s_p!H213</f>
        <v>0.0112927427372943</v>
      </c>
      <c r="AJ213" s="19" t="n">
        <f aca="false">AVERAGE(AI$4:AI213)</f>
        <v>8.87902853346249E-005</v>
      </c>
      <c r="AK213" s="0" t="n">
        <f aca="false">STDEV(AI$4:AI213)</f>
        <v>0.030192509850368</v>
      </c>
    </row>
    <row r="214" customFormat="false" ht="13.8" hidden="false" customHeight="false" outlineLevel="0" collapsed="false">
      <c r="A214" s="6" t="n">
        <f aca="false">WORKDAY(A213,1,holiday!$B$2:$B$10)</f>
        <v>39022</v>
      </c>
      <c r="B214" s="24" t="n">
        <v>1053110.78097053</v>
      </c>
      <c r="C214" s="24" t="n">
        <f aca="false">B214-B213</f>
        <v>20041.5432125056</v>
      </c>
      <c r="D214" s="31" t="n">
        <f aca="false">C214/B213</f>
        <v>0.0193999999999999</v>
      </c>
      <c r="E214" s="31" t="n">
        <f aca="false" t="array" ref="E214:E214">PRODUCT(1+$D$4:D214)-1</f>
        <v>0.0531107809705327</v>
      </c>
      <c r="F214" s="0" t="n">
        <f aca="false">IF(ISBLANK(A215),MONTH(A214),IF(MONTH(A215)-MONTH(A214)=1,MONTH(A214),0))</f>
        <v>0</v>
      </c>
      <c r="G214" s="0" t="str">
        <f aca="false">IF(B215&gt;B214,IF(AND(B213&gt;B214,B215&gt;B214),"min",""),IF(AND(B213&gt;B214,B215&gt;B214),"",IF(AND(B213&lt;B214,B215&lt;B214),"max","")))</f>
        <v/>
      </c>
      <c r="H214" s="0" t="str">
        <f aca="false">IF(G214="min",COUNTIF(G$4:G214,"min"),IF(G214="max",COUNTIF(G$4:G214,"max"),""))</f>
        <v/>
      </c>
      <c r="I214" s="24" t="str">
        <f aca="false" t="array" ref="I214:I214">IF($G$3=0,IF(G214="min",INDEX($B$4:$B$254,(MATCH(1,($G$4:$G$254="max")*($H$4:$H$254=(H214-1)),0))),""),IF($G$3=1,IF(G214="min",INDEX($B$4:$B$254,(MATCH(1,($G$4:$G$254="max")*($H$4:$H$254=(H214)),0))),""),""))</f>
        <v/>
      </c>
      <c r="J214" s="29" t="str">
        <f aca="false">IF(AND(G212=0,G214="min",H214=1),B214-B213,IF(G214="min",B214-I214,""))</f>
        <v/>
      </c>
      <c r="K214" s="34" t="str">
        <f aca="false">IF(AND(G212=0,G214="min",H214=1),(B214-B213)/B213,IF(G214="min",(B214-I214)/I214,""))</f>
        <v/>
      </c>
      <c r="L214" s="5"/>
      <c r="M214" s="0" t="n">
        <f aca="false">E214/COUNT($E$4:E214)</f>
        <v>0.000251709862419586</v>
      </c>
      <c r="N214" s="19" t="n">
        <f aca="false">M214*252</f>
        <v>0.0634308853297357</v>
      </c>
      <c r="O214" s="20" t="n">
        <f aca="false">STDEV($D$4:$D214)</f>
        <v>0.0291966405353616</v>
      </c>
      <c r="P214" s="20" t="n">
        <f aca="false">O214*SQRT(252)</f>
        <v>0.463482299850686</v>
      </c>
      <c r="Q214" s="0" t="n">
        <f aca="false">Treasuries!J212/100</f>
        <v>0.0457</v>
      </c>
      <c r="R214" s="20" t="n">
        <f aca="false">AJ214/AK214*SQRT(252)</f>
        <v>0.113183274176828</v>
      </c>
      <c r="S214" s="32" t="n">
        <f aca="false">IF(D214&lt;s_p!H214, D214-s_p!H214, 0)</f>
        <v>0</v>
      </c>
      <c r="T214" s="0" t="n">
        <f aca="false">S214^2</f>
        <v>0</v>
      </c>
      <c r="U214" s="0" t="n">
        <f aca="false">SQRT(AVERAGE(T$4:T214)) * SQRT(252)</f>
        <v>0.339908015724182</v>
      </c>
      <c r="V214" s="0" t="n">
        <f aca="false">AJ214/U214*252</f>
        <v>0.159510305749157</v>
      </c>
      <c r="W214" s="22" t="n">
        <f aca="false">(s_p!$J214)/COUNT(s_p!$J$4:$J214)</f>
        <v>0.000453777165266355</v>
      </c>
      <c r="X214" s="22" t="n">
        <f aca="false">W214 * 252</f>
        <v>0.114351845647121</v>
      </c>
      <c r="Y214" s="21" t="n">
        <f aca="false">STDEV(s_p!$H$4:$H214)</f>
        <v>0.00658391908099974</v>
      </c>
      <c r="Z214" s="21" t="n">
        <f aca="false">Y214*SQRT(252)</f>
        <v>0.104516475242989</v>
      </c>
      <c r="AA214" s="0" t="n">
        <f aca="false">AJ214/AK214</f>
        <v>0.00712987609628399</v>
      </c>
      <c r="AB214" s="0" t="n">
        <f aca="false">_xlfn.COVARIANCE.S($D$4:$D214,s_p!$H$4:$H214)</f>
        <v>-7.41207839838438E-006</v>
      </c>
      <c r="AC214" s="0" t="n">
        <f aca="false">_xlfn.VAR.S(s_p!$H$4:$H214)</f>
        <v>4.33479904651525E-005</v>
      </c>
      <c r="AD214" s="0" t="n">
        <f aca="false">AB214/AC214</f>
        <v>-0.170990127081968</v>
      </c>
      <c r="AE214" s="0" t="n">
        <f aca="false">M214-(AD214*W214)</f>
        <v>0.000329301277575375</v>
      </c>
      <c r="AF214" s="33" t="n">
        <f aca="false">MAX($E$4:E214)</f>
        <v>0.280129884293098</v>
      </c>
      <c r="AG214" s="0" t="n">
        <f aca="false">1 - ((1 + E214) / (1 + AF214))</f>
        <v>0.1773406793389</v>
      </c>
      <c r="AH214" s="0" t="n">
        <f aca="false">MAX($AG$5:AG214)</f>
        <v>0.322303580832179</v>
      </c>
      <c r="AI214" s="19" t="n">
        <f aca="false">D214-s_p!H214</f>
        <v>0.0267515537686692</v>
      </c>
      <c r="AJ214" s="19" t="n">
        <f aca="false">AVERAGE(AI$4:AI214)</f>
        <v>0.000215154093312514</v>
      </c>
      <c r="AK214" s="0" t="n">
        <f aca="false">STDEV(AI$4:AI214)</f>
        <v>0.030176414064846</v>
      </c>
    </row>
    <row r="215" customFormat="false" ht="13.8" hidden="false" customHeight="false" outlineLevel="0" collapsed="false">
      <c r="A215" s="6" t="n">
        <f aca="false">WORKDAY(A214,1,holiday!$B$2:$B$10)</f>
        <v>39023</v>
      </c>
      <c r="B215" s="24" t="n">
        <v>1094392.72358458</v>
      </c>
      <c r="C215" s="24" t="n">
        <f aca="false">B215-B214</f>
        <v>41281.9426140448</v>
      </c>
      <c r="D215" s="31" t="n">
        <f aca="false">C215/B214</f>
        <v>0.0391999999999999</v>
      </c>
      <c r="E215" s="31" t="n">
        <f aca="false" t="array" ref="E215:E215">PRODUCT(1+$D$4:D215)-1</f>
        <v>0.0943927235845774</v>
      </c>
      <c r="F215" s="0" t="n">
        <f aca="false">IF(ISBLANK(A216),MONTH(A215),IF(MONTH(A216)-MONTH(A215)=1,MONTH(A215),0))</f>
        <v>0</v>
      </c>
      <c r="G215" s="0" t="str">
        <f aca="false">IF(B216&gt;B215,IF(AND(B214&gt;B215,B216&gt;B215),"min",""),IF(AND(B214&gt;B215,B216&gt;B215),"",IF(AND(B214&lt;B215,B216&lt;B215),"max","")))</f>
        <v/>
      </c>
      <c r="H215" s="0" t="str">
        <f aca="false">IF(G215="min",COUNTIF(G$4:G215,"min"),IF(G215="max",COUNTIF(G$4:G215,"max"),""))</f>
        <v/>
      </c>
      <c r="I215" s="24" t="str">
        <f aca="false" t="array" ref="I215:I215">IF($G$3=0,IF(G215="min",INDEX($B$4:$B$254,(MATCH(1,($G$4:$G$254="max")*($H$4:$H$254=(H215-1)),0))),""),IF($G$3=1,IF(G215="min",INDEX($B$4:$B$254,(MATCH(1,($G$4:$G$254="max")*($H$4:$H$254=(H215)),0))),""),""))</f>
        <v/>
      </c>
      <c r="J215" s="29" t="str">
        <f aca="false">IF(AND(G213=0,G215="min",H215=1),B215-B214,IF(G215="min",B215-I215,""))</f>
        <v/>
      </c>
      <c r="K215" s="34" t="str">
        <f aca="false">IF(AND(G213=0,G215="min",H215=1),(B215-B214)/B214,IF(G215="min",(B215-I215)/I215,""))</f>
        <v/>
      </c>
      <c r="L215" s="5"/>
      <c r="M215" s="0" t="n">
        <f aca="false">E215/COUNT($E$4:E215)</f>
        <v>0.000445248696153667</v>
      </c>
      <c r="N215" s="19" t="n">
        <f aca="false">M215*252</f>
        <v>0.112202671430724</v>
      </c>
      <c r="O215" s="20" t="n">
        <f aca="false">STDEV($D$4:$D215)</f>
        <v>0.0292473314086501</v>
      </c>
      <c r="P215" s="20" t="n">
        <f aca="false">O215*SQRT(252)</f>
        <v>0.464286992517459</v>
      </c>
      <c r="Q215" s="0" t="n">
        <f aca="false">Treasuries!J213/100</f>
        <v>0.046</v>
      </c>
      <c r="R215" s="20" t="n">
        <f aca="false">AJ215/AK215*SQRT(252)</f>
        <v>0.21042886357006</v>
      </c>
      <c r="S215" s="32" t="n">
        <f aca="false">IF(D215&lt;s_p!H215, D215-s_p!H215, 0)</f>
        <v>0</v>
      </c>
      <c r="T215" s="0" t="n">
        <f aca="false">S215^2</f>
        <v>0</v>
      </c>
      <c r="U215" s="0" t="n">
        <f aca="false">SQRT(AVERAGE(T$4:T215)) * SQRT(252)</f>
        <v>0.339105398274159</v>
      </c>
      <c r="V215" s="0" t="n">
        <f aca="false">AJ215/U215*252</f>
        <v>0.297747417848591</v>
      </c>
      <c r="W215" s="22" t="n">
        <f aca="false">(s_p!$J215)/COUNT(s_p!$J$4:$J215)</f>
        <v>0.00044986069244614</v>
      </c>
      <c r="X215" s="22" t="n">
        <f aca="false">W215 * 252</f>
        <v>0.113364894496427</v>
      </c>
      <c r="Y215" s="21" t="n">
        <f aca="false">STDEV(s_p!$H$4:$H215)</f>
        <v>0.00656852784771845</v>
      </c>
      <c r="Z215" s="21" t="n">
        <f aca="false">Y215*SQRT(252)</f>
        <v>0.104272146989192</v>
      </c>
      <c r="AA215" s="0" t="n">
        <f aca="false">AJ215/AK215</f>
        <v>0.0132557724208648</v>
      </c>
      <c r="AB215" s="0" t="n">
        <f aca="false">_xlfn.COVARIANCE.S($D$4:$D215,s_p!$H$4:$H215)</f>
        <v>-7.5220918687732E-006</v>
      </c>
      <c r="AC215" s="0" t="n">
        <f aca="false">_xlfn.VAR.S(s_p!$H$4:$H215)</f>
        <v>4.31455580862527E-005</v>
      </c>
      <c r="AD215" s="0" t="n">
        <f aca="false">AB215/AC215</f>
        <v>-0.174342208153518</v>
      </c>
      <c r="AE215" s="0" t="n">
        <f aca="false">M215-(AD215*W215)</f>
        <v>0.000523678402636198</v>
      </c>
      <c r="AF215" s="33" t="n">
        <f aca="false">MAX($E$4:E215)</f>
        <v>0.280129884293098</v>
      </c>
      <c r="AG215" s="0" t="n">
        <f aca="false">1 - ((1 + E215) / (1 + AF215))</f>
        <v>0.145092433968985</v>
      </c>
      <c r="AH215" s="0" t="n">
        <f aca="false">MAX($AG$5:AG215)</f>
        <v>0.322303580832179</v>
      </c>
      <c r="AI215" s="19" t="n">
        <f aca="false">D215-s_p!H215</f>
        <v>0.0395436149757641</v>
      </c>
      <c r="AJ215" s="19" t="n">
        <f aca="false">AVERAGE(AI$4:AI215)</f>
        <v>0.000400665701248606</v>
      </c>
      <c r="AK215" s="0" t="n">
        <f aca="false">STDEV(AI$4:AI215)</f>
        <v>0.030225752866574</v>
      </c>
    </row>
    <row r="216" customFormat="false" ht="13.8" hidden="false" customHeight="false" outlineLevel="0" collapsed="false">
      <c r="A216" s="6" t="n">
        <f aca="false">WORKDAY(A215,1,holiday!$B$2:$B$10)</f>
        <v>39024</v>
      </c>
      <c r="B216" s="24" t="n">
        <v>1096143.75194231</v>
      </c>
      <c r="C216" s="24" t="n">
        <f aca="false">B216-B215</f>
        <v>1751.02835773537</v>
      </c>
      <c r="D216" s="31" t="n">
        <f aca="false">C216/B215</f>
        <v>0.00160000000000004</v>
      </c>
      <c r="E216" s="31" t="n">
        <f aca="false" t="array" ref="E216:E216">PRODUCT(1+$D$4:D216)-1</f>
        <v>0.0961437519423127</v>
      </c>
      <c r="F216" s="0" t="n">
        <f aca="false">IF(ISBLANK(A217),MONTH(A216),IF(MONTH(A217)-MONTH(A216)=1,MONTH(A216),0))</f>
        <v>0</v>
      </c>
      <c r="G216" s="0" t="str">
        <f aca="false">IF(B217&gt;B216,IF(AND(B215&gt;B216,B217&gt;B216),"min",""),IF(AND(B215&gt;B216,B217&gt;B216),"",IF(AND(B215&lt;B216,B217&lt;B216),"max","")))</f>
        <v/>
      </c>
      <c r="H216" s="0" t="str">
        <f aca="false">IF(G216="min",COUNTIF(G$4:G216,"min"),IF(G216="max",COUNTIF(G$4:G216,"max"),""))</f>
        <v/>
      </c>
      <c r="I216" s="24" t="str">
        <f aca="false" t="array" ref="I216:I216">IF($G$3=0,IF(G216="min",INDEX($B$4:$B$254,(MATCH(1,($G$4:$G$254="max")*($H$4:$H$254=(H216-1)),0))),""),IF($G$3=1,IF(G216="min",INDEX($B$4:$B$254,(MATCH(1,($G$4:$G$254="max")*($H$4:$H$254=(H216)),0))),""),""))</f>
        <v/>
      </c>
      <c r="J216" s="29" t="str">
        <f aca="false">IF(AND(G214=0,G216="min",H216=1),B216-B215,IF(G216="min",B216-I216,""))</f>
        <v/>
      </c>
      <c r="K216" s="34" t="str">
        <f aca="false">IF(AND(G214=0,G216="min",H216=1),(B216-B215)/B215,IF(G216="min",(B216-I216)/I216,""))</f>
        <v/>
      </c>
      <c r="L216" s="5"/>
      <c r="M216" s="0" t="n">
        <f aca="false">E216/COUNT($E$4:E216)</f>
        <v>0.00045137911710006</v>
      </c>
      <c r="N216" s="19" t="n">
        <f aca="false">M216*252</f>
        <v>0.113747537509215</v>
      </c>
      <c r="O216" s="20" t="n">
        <f aca="false">STDEV($D$4:$D216)</f>
        <v>0.0291783153433963</v>
      </c>
      <c r="P216" s="20" t="n">
        <f aca="false">O216*SQRT(252)</f>
        <v>0.463191396446682</v>
      </c>
      <c r="Q216" s="0" t="n">
        <f aca="false">Treasuries!J214/100</f>
        <v>0.0472</v>
      </c>
      <c r="R216" s="20" t="n">
        <f aca="false">AJ216/AK216*SQRT(252)</f>
        <v>0.21937950189996</v>
      </c>
      <c r="S216" s="32" t="n">
        <f aca="false">IF(D216&lt;s_p!H216, D216-s_p!H216, 0)</f>
        <v>0</v>
      </c>
      <c r="T216" s="0" t="n">
        <f aca="false">S216^2</f>
        <v>0</v>
      </c>
      <c r="U216" s="0" t="n">
        <f aca="false">SQRT(AVERAGE(T$4:T216)) * SQRT(252)</f>
        <v>0.338308439714643</v>
      </c>
      <c r="V216" s="0" t="n">
        <f aca="false">AJ216/U216*252</f>
        <v>0.310418104099457</v>
      </c>
      <c r="W216" s="22" t="n">
        <f aca="false">(s_p!$J216)/COUNT(s_p!$J$4:$J216)</f>
        <v>0.000436315189037763</v>
      </c>
      <c r="X216" s="22" t="n">
        <f aca="false">W216 * 252</f>
        <v>0.109951427637516</v>
      </c>
      <c r="Y216" s="21" t="n">
        <f aca="false">STDEV(s_p!$H$4:$H216)</f>
        <v>0.00655557957998944</v>
      </c>
      <c r="Z216" s="21" t="n">
        <f aca="false">Y216*SQRT(252)</f>
        <v>0.104066599611272</v>
      </c>
      <c r="AA216" s="0" t="n">
        <f aca="false">AJ216/AK216</f>
        <v>0.0138196096374409</v>
      </c>
      <c r="AB216" s="0" t="n">
        <f aca="false">_xlfn.COVARIANCE.S($D$4:$D216,s_p!$H$4:$H216)</f>
        <v>-7.49600392171241E-006</v>
      </c>
      <c r="AC216" s="0" t="n">
        <f aca="false">_xlfn.VAR.S(s_p!$H$4:$H216)</f>
        <v>4.29756236295745E-005</v>
      </c>
      <c r="AD216" s="0" t="n">
        <f aca="false">AB216/AC216</f>
        <v>-0.174424552539917</v>
      </c>
      <c r="AE216" s="0" t="n">
        <f aca="false">M216-(AD216*W216)</f>
        <v>0.000527483198714341</v>
      </c>
      <c r="AF216" s="33" t="n">
        <f aca="false">MAX($E$4:E216)</f>
        <v>0.280129884293098</v>
      </c>
      <c r="AG216" s="0" t="n">
        <f aca="false">1 - ((1 + E216) / (1 + AF216))</f>
        <v>0.143724581863335</v>
      </c>
      <c r="AH216" s="0" t="n">
        <f aca="false">MAX($AG$5:AG216)</f>
        <v>0.322303580832179</v>
      </c>
      <c r="AI216" s="19" t="n">
        <f aca="false">D216-s_p!H216</f>
        <v>0.0038232948644814</v>
      </c>
      <c r="AJ216" s="19" t="n">
        <f aca="false">AVERAGE(AI$4:AI216)</f>
        <v>0.000416734382766131</v>
      </c>
      <c r="AK216" s="0" t="n">
        <f aca="false">STDEV(AI$4:AI216)</f>
        <v>0.0301552933620563</v>
      </c>
    </row>
    <row r="217" customFormat="false" ht="13.8" hidden="false" customHeight="false" outlineLevel="0" collapsed="false">
      <c r="A217" s="6" t="n">
        <f aca="false">WORKDAY(A216,1,holiday!$B$2:$B$10)</f>
        <v>39027</v>
      </c>
      <c r="B217" s="24" t="n">
        <v>1125520.40449437</v>
      </c>
      <c r="C217" s="24" t="n">
        <f aca="false">B217-B216</f>
        <v>29376.652552054</v>
      </c>
      <c r="D217" s="31" t="n">
        <f aca="false">C217/B216</f>
        <v>0.0268</v>
      </c>
      <c r="E217" s="31" t="n">
        <f aca="false" t="array" ref="E217:E217">PRODUCT(1+$D$4:D217)-1</f>
        <v>0.125520404494367</v>
      </c>
      <c r="F217" s="0" t="n">
        <f aca="false">IF(ISBLANK(A218),MONTH(A217),IF(MONTH(A218)-MONTH(A217)=1,MONTH(A217),0))</f>
        <v>0</v>
      </c>
      <c r="G217" s="0" t="str">
        <f aca="false">IF(B218&gt;B217,IF(AND(B216&gt;B217,B218&gt;B217),"min",""),IF(AND(B216&gt;B217,B218&gt;B217),"",IF(AND(B216&lt;B217,B218&lt;B217),"max","")))</f>
        <v>max</v>
      </c>
      <c r="H217" s="0" t="n">
        <f aca="false">IF(G217="min",COUNTIF(G$4:G217,"min"),IF(G217="max",COUNTIF(G$4:G217,"max"),""))</f>
        <v>53</v>
      </c>
      <c r="I217" s="24" t="str">
        <f aca="false" t="array" ref="I217:I217">IF($G$3=0,IF(G217="min",INDEX($B$4:$B$254,(MATCH(1,($G$4:$G$254="max")*($H$4:$H$254=(H217-1)),0))),""),IF($G$3=1,IF(G217="min",INDEX($B$4:$B$254,(MATCH(1,($G$4:$G$254="max")*($H$4:$H$254=(H217)),0))),""),""))</f>
        <v/>
      </c>
      <c r="J217" s="29" t="str">
        <f aca="false">IF(AND(G215=0,G217="min",H217=1),B217-B216,IF(G217="min",B217-I217,""))</f>
        <v/>
      </c>
      <c r="K217" s="34" t="str">
        <f aca="false">IF(AND(G215=0,G217="min",H217=1),(B217-B216)/B216,IF(G217="min",(B217-I217)/I217,""))</f>
        <v/>
      </c>
      <c r="L217" s="5"/>
      <c r="M217" s="0" t="n">
        <f aca="false">E217/COUNT($E$4:E217)</f>
        <v>0.000586543946235358</v>
      </c>
      <c r="N217" s="19" t="n">
        <f aca="false">M217*252</f>
        <v>0.14780907445131</v>
      </c>
      <c r="O217" s="20" t="n">
        <f aca="false">STDEV($D$4:$D217)</f>
        <v>0.029163718148287</v>
      </c>
      <c r="P217" s="20" t="n">
        <f aca="false">O217*SQRT(252)</f>
        <v>0.462959673158091</v>
      </c>
      <c r="Q217" s="0" t="n">
        <f aca="false">Treasuries!J215/100</f>
        <v>0.0471</v>
      </c>
      <c r="R217" s="20" t="n">
        <f aca="false">AJ217/AK217*SQRT(252)</f>
        <v>0.256823033820837</v>
      </c>
      <c r="S217" s="32" t="n">
        <f aca="false">IF(D217&lt;s_p!H217, D217-s_p!H217, 0)</f>
        <v>0</v>
      </c>
      <c r="T217" s="0" t="n">
        <f aca="false">S217^2</f>
        <v>0</v>
      </c>
      <c r="U217" s="0" t="n">
        <f aca="false">SQRT(AVERAGE(T$4:T217)) * SQRT(252)</f>
        <v>0.337517073859569</v>
      </c>
      <c r="V217" s="0" t="n">
        <f aca="false">AJ217/U217*252</f>
        <v>0.363608081800632</v>
      </c>
      <c r="W217" s="22" t="n">
        <f aca="false">(s_p!$J217)/COUNT(s_p!$J$4:$J217)</f>
        <v>0.00049222476534816</v>
      </c>
      <c r="X217" s="22" t="n">
        <f aca="false">W217 * 252</f>
        <v>0.124040640867736</v>
      </c>
      <c r="Y217" s="21" t="n">
        <f aca="false">STDEV(s_p!$H$4:$H217)</f>
        <v>0.00658254079219071</v>
      </c>
      <c r="Z217" s="21" t="n">
        <f aca="false">Y217*SQRT(252)</f>
        <v>0.104494595586448</v>
      </c>
      <c r="AA217" s="0" t="n">
        <f aca="false">AJ217/AK217</f>
        <v>0.0161783304391206</v>
      </c>
      <c r="AB217" s="0" t="n">
        <f aca="false">_xlfn.COVARIANCE.S($D$4:$D217,s_p!$H$4:$H217)</f>
        <v>-6.13838681233863E-006</v>
      </c>
      <c r="AC217" s="0" t="n">
        <f aca="false">_xlfn.VAR.S(s_p!$H$4:$H217)</f>
        <v>4.33298432808547E-005</v>
      </c>
      <c r="AD217" s="0" t="n">
        <f aca="false">AB217/AC217</f>
        <v>-0.141666490057463</v>
      </c>
      <c r="AE217" s="0" t="n">
        <f aca="false">M217-(AD217*W217)</f>
        <v>0.00065627570106159</v>
      </c>
      <c r="AF217" s="33" t="n">
        <f aca="false">MAX($E$4:E217)</f>
        <v>0.280129884293098</v>
      </c>
      <c r="AG217" s="0" t="n">
        <f aca="false">1 - ((1 + E217) / (1 + AF217))</f>
        <v>0.120776400657273</v>
      </c>
      <c r="AH217" s="0" t="n">
        <f aca="false">MAX($AG$5:AG217)</f>
        <v>0.322303580832179</v>
      </c>
      <c r="AI217" s="19" t="n">
        <f aca="false">D217-s_p!H217</f>
        <v>0.0154535219526498</v>
      </c>
      <c r="AJ217" s="19" t="n">
        <f aca="false">AVERAGE(AI$4:AI217)</f>
        <v>0.000486999745242223</v>
      </c>
      <c r="AK217" s="0" t="n">
        <f aca="false">STDEV(AI$4:AI217)</f>
        <v>0.0301019778941228</v>
      </c>
    </row>
    <row r="218" customFormat="false" ht="13.8" hidden="false" customHeight="false" outlineLevel="0" collapsed="false">
      <c r="A218" s="6" t="n">
        <f aca="false">WORKDAY(A217,1,holiday!$B$2:$B$10)</f>
        <v>39028</v>
      </c>
      <c r="B218" s="24" t="n">
        <v>1108074.8382247</v>
      </c>
      <c r="C218" s="24" t="n">
        <f aca="false">B218-B217</f>
        <v>-17445.5662696627</v>
      </c>
      <c r="D218" s="31" t="n">
        <f aca="false">C218/B217</f>
        <v>-0.0155</v>
      </c>
      <c r="E218" s="31" t="n">
        <f aca="false" t="array" ref="E218:E218">PRODUCT(1+$D$4:D218)-1</f>
        <v>0.108074838224704</v>
      </c>
      <c r="F218" s="0" t="n">
        <f aca="false">IF(ISBLANK(A219),MONTH(A218),IF(MONTH(A219)-MONTH(A218)=1,MONTH(A218),0))</f>
        <v>0</v>
      </c>
      <c r="G218" s="0" t="str">
        <f aca="false">IF(B219&gt;B218,IF(AND(B217&gt;B218,B219&gt;B218),"min",""),IF(AND(B217&gt;B218,B219&gt;B218),"",IF(AND(B217&lt;B218,B219&lt;B218),"max","")))</f>
        <v/>
      </c>
      <c r="H218" s="0" t="str">
        <f aca="false">IF(G218="min",COUNTIF(G$4:G218,"min"),IF(G218="max",COUNTIF(G$4:G218,"max"),""))</f>
        <v/>
      </c>
      <c r="I218" s="24" t="str">
        <f aca="false" t="array" ref="I218:I218">IF($G$3=0,IF(G218="min",INDEX($B$4:$B$254,(MATCH(1,($G$4:$G$254="max")*($H$4:$H$254=(H218-1)),0))),""),IF($G$3=1,IF(G218="min",INDEX($B$4:$B$254,(MATCH(1,($G$4:$G$254="max")*($H$4:$H$254=(H218)),0))),""),""))</f>
        <v/>
      </c>
      <c r="J218" s="29" t="str">
        <f aca="false">IF(AND(G216=0,G218="min",H218=1),B218-B217,IF(G218="min",B218-I218,""))</f>
        <v/>
      </c>
      <c r="K218" s="34" t="str">
        <f aca="false">IF(AND(G216=0,G218="min",H218=1),(B218-B217)/B217,IF(G218="min",(B218-I218)/I218,""))</f>
        <v/>
      </c>
      <c r="L218" s="5"/>
      <c r="M218" s="0" t="n">
        <f aca="false">E218/COUNT($E$4:E218)</f>
        <v>0.000502673666161413</v>
      </c>
      <c r="N218" s="19" t="n">
        <f aca="false">M218*252</f>
        <v>0.126673763872676</v>
      </c>
      <c r="O218" s="20" t="n">
        <f aca="false">STDEV($D$4:$D218)</f>
        <v>0.0291171898998436</v>
      </c>
      <c r="P218" s="20" t="n">
        <f aca="false">O218*SQRT(252)</f>
        <v>0.462221060112167</v>
      </c>
      <c r="Q218" s="0" t="n">
        <f aca="false">Treasuries!J216/100</f>
        <v>0.0466</v>
      </c>
      <c r="R218" s="20" t="n">
        <f aca="false">AJ218/AK218*SQRT(252)</f>
        <v>0.212485922088067</v>
      </c>
      <c r="S218" s="32" t="n">
        <f aca="false">IF(D218&lt;s_p!H218, D218-s_p!H218, 0)</f>
        <v>-0.017717744857876</v>
      </c>
      <c r="T218" s="0" t="n">
        <f aca="false">S218^2</f>
        <v>0.00031391848284879</v>
      </c>
      <c r="U218" s="0" t="n">
        <f aca="false">SQRT(AVERAGE(T$4:T218)) * SQRT(252)</f>
        <v>0.337277136333583</v>
      </c>
      <c r="V218" s="0" t="n">
        <f aca="false">AJ218/U218*252</f>
        <v>0.300602296270968</v>
      </c>
      <c r="W218" s="22" t="n">
        <f aca="false">(s_p!$J218)/COUNT(s_p!$J$4:$J218)</f>
        <v>0.00050133699179548</v>
      </c>
      <c r="X218" s="22" t="n">
        <f aca="false">W218 * 252</f>
        <v>0.126336921932461</v>
      </c>
      <c r="Y218" s="21" t="n">
        <f aca="false">STDEV(s_p!$H$4:$H218)</f>
        <v>0.00656820047112957</v>
      </c>
      <c r="Z218" s="21" t="n">
        <f aca="false">Y218*SQRT(252)</f>
        <v>0.104266950046957</v>
      </c>
      <c r="AA218" s="0" t="n">
        <f aca="false">AJ218/AK218</f>
        <v>0.0133853549273161</v>
      </c>
      <c r="AB218" s="0" t="n">
        <f aca="false">_xlfn.COVARIANCE.S($D$4:$D218,s_p!$H$4:$H218)</f>
        <v>-6.2421372901372E-006</v>
      </c>
      <c r="AC218" s="0" t="n">
        <f aca="false">_xlfn.VAR.S(s_p!$H$4:$H218)</f>
        <v>4.31412574289468E-005</v>
      </c>
      <c r="AD218" s="0" t="n">
        <f aca="false">AB218/AC218</f>
        <v>-0.144690666479018</v>
      </c>
      <c r="AE218" s="0" t="n">
        <f aca="false">M218-(AD218*W218)</f>
        <v>0.000575212449634887</v>
      </c>
      <c r="AF218" s="33" t="n">
        <f aca="false">MAX($E$4:E218)</f>
        <v>0.280129884293098</v>
      </c>
      <c r="AG218" s="0" t="n">
        <f aca="false">1 - ((1 + E218) / (1 + AF218))</f>
        <v>0.134404366447085</v>
      </c>
      <c r="AH218" s="0" t="n">
        <f aca="false">MAX($AG$5:AG218)</f>
        <v>0.322303580832179</v>
      </c>
      <c r="AI218" s="19" t="n">
        <f aca="false">D218-s_p!H218</f>
        <v>-0.017717744857876</v>
      </c>
      <c r="AJ218" s="19" t="n">
        <f aca="false">AVERAGE(AI$4:AI218)</f>
        <v>0.000402326514530045</v>
      </c>
      <c r="AK218" s="0" t="n">
        <f aca="false">STDEV(AI$4:AI218)</f>
        <v>0.0300572167652425</v>
      </c>
    </row>
    <row r="219" customFormat="false" ht="13.8" hidden="false" customHeight="false" outlineLevel="0" collapsed="false">
      <c r="A219" s="6" t="n">
        <f aca="false">WORKDAY(A218,1,holiday!$B$2:$B$10)</f>
        <v>39029</v>
      </c>
      <c r="B219" s="24" t="n">
        <v>1078156.81759264</v>
      </c>
      <c r="C219" s="24" t="n">
        <f aca="false">B219-B218</f>
        <v>-29918.020632067</v>
      </c>
      <c r="D219" s="31" t="n">
        <f aca="false">C219/B218</f>
        <v>-0.027</v>
      </c>
      <c r="E219" s="31" t="n">
        <f aca="false" t="array" ref="E219:E219">PRODUCT(1+$D$4:D219)-1</f>
        <v>0.0781568175926368</v>
      </c>
      <c r="F219" s="0" t="n">
        <f aca="false">IF(ISBLANK(A220),MONTH(A219),IF(MONTH(A220)-MONTH(A219)=1,MONTH(A219),0))</f>
        <v>0</v>
      </c>
      <c r="G219" s="0" t="str">
        <f aca="false">IF(B220&gt;B219,IF(AND(B218&gt;B219,B220&gt;B219),"min",""),IF(AND(B218&gt;B219,B220&gt;B219),"",IF(AND(B218&lt;B219,B220&lt;B219),"max","")))</f>
        <v>min</v>
      </c>
      <c r="H219" s="0" t="n">
        <f aca="false">IF(G219="min",COUNTIF(G$4:G219,"min"),IF(G219="max",COUNTIF(G$4:G219,"max"),""))</f>
        <v>54</v>
      </c>
      <c r="I219" s="24" t="n">
        <f aca="false" t="array" ref="I219:I219">IF($G$3=0,IF(G219="min",INDEX($B$4:$B$254,(MATCH(1,($G$4:$G$254="max")*($H$4:$H$254=(H219-1)),0))),""),IF($G$3=1,IF(G219="min",INDEX($B$4:$B$254,(MATCH(1,($G$4:$G$254="max")*($H$4:$H$254=(H219)),0))),""),""))</f>
        <v>1125520.40449437</v>
      </c>
      <c r="J219" s="29" t="n">
        <f aca="false">IF(AND(G217=0,G219="min",H219=1),B219-B218,IF(G219="min",B219-I219,""))</f>
        <v>-47363.5869017302</v>
      </c>
      <c r="K219" s="34" t="n">
        <f aca="false">IF(AND(G217=0,G219="min",H219=1),(B219-B218)/B218,IF(G219="min",(B219-I219)/I219,""))</f>
        <v>-0.0420815000000003</v>
      </c>
      <c r="L219" s="5"/>
      <c r="M219" s="0" t="n">
        <f aca="false">E219/COUNT($E$4:E219)</f>
        <v>0.00036183711848443</v>
      </c>
      <c r="N219" s="19" t="n">
        <f aca="false">M219*252</f>
        <v>0.0911829538580763</v>
      </c>
      <c r="O219" s="20" t="n">
        <f aca="false">STDEV($D$4:$D219)</f>
        <v>0.0291113584681386</v>
      </c>
      <c r="P219" s="20" t="n">
        <f aca="false">O219*SQRT(252)</f>
        <v>0.462128489003694</v>
      </c>
      <c r="Q219" s="0" t="n">
        <f aca="false">Treasuries!J217/100</f>
        <v>0.0464</v>
      </c>
      <c r="R219" s="20" t="n">
        <f aca="false">AJ219/AK219*SQRT(252)</f>
        <v>0.140405737968662</v>
      </c>
      <c r="S219" s="32" t="n">
        <f aca="false">IF(D219&lt;s_p!H219, D219-s_p!H219, 0)</f>
        <v>-0.0290826704463279</v>
      </c>
      <c r="T219" s="0" t="n">
        <f aca="false">S219^2</f>
        <v>0.000845801720289716</v>
      </c>
      <c r="U219" s="0" t="n">
        <f aca="false">SQRT(AVERAGE(T$4:T219)) * SQRT(252)</f>
        <v>0.337958559347245</v>
      </c>
      <c r="V219" s="0" t="n">
        <f aca="false">AJ219/U219*252</f>
        <v>0.198211043004662</v>
      </c>
      <c r="W219" s="22" t="n">
        <f aca="false">(s_p!$J219)/COUNT(s_p!$J$4:$J219)</f>
        <v>0.000509697265859702</v>
      </c>
      <c r="X219" s="22" t="n">
        <f aca="false">W219 * 252</f>
        <v>0.128443710996645</v>
      </c>
      <c r="Y219" s="21" t="n">
        <f aca="false">STDEV(s_p!$H$4:$H219)</f>
        <v>0.00655379516344106</v>
      </c>
      <c r="Z219" s="21" t="n">
        <f aca="false">Y219*SQRT(252)</f>
        <v>0.104038272876738</v>
      </c>
      <c r="AA219" s="0" t="n">
        <f aca="false">AJ219/AK219</f>
        <v>0.0088447301264662</v>
      </c>
      <c r="AB219" s="0" t="n">
        <f aca="false">_xlfn.COVARIANCE.S($D$4:$D219,s_p!$H$4:$H219)</f>
        <v>-6.4178328675497E-006</v>
      </c>
      <c r="AC219" s="0" t="n">
        <f aca="false">_xlfn.VAR.S(s_p!$H$4:$H219)</f>
        <v>4.29522310443435E-005</v>
      </c>
      <c r="AD219" s="0" t="n">
        <f aca="false">AB219/AC219</f>
        <v>-0.149417916404016</v>
      </c>
      <c r="AE219" s="0" t="n">
        <f aca="false">M219-(AD219*W219)</f>
        <v>0.00043799502194601</v>
      </c>
      <c r="AF219" s="33" t="n">
        <f aca="false">MAX($E$4:E219)</f>
        <v>0.280129884293098</v>
      </c>
      <c r="AG219" s="0" t="n">
        <f aca="false">1 - ((1 + E219) / (1 + AF219))</f>
        <v>0.157775448553014</v>
      </c>
      <c r="AH219" s="0" t="n">
        <f aca="false">MAX($AG$5:AG219)</f>
        <v>0.322303580832179</v>
      </c>
      <c r="AI219" s="19" t="n">
        <f aca="false">D219-s_p!H219</f>
        <v>-0.0290826704463279</v>
      </c>
      <c r="AJ219" s="19" t="n">
        <f aca="false">AVERAGE(AI$4:AI219)</f>
        <v>0.000265821898970518</v>
      </c>
      <c r="AK219" s="0" t="n">
        <f aca="false">STDEV(AI$4:AI219)</f>
        <v>0.0300542690584866</v>
      </c>
    </row>
    <row r="220" customFormat="false" ht="13.8" hidden="false" customHeight="false" outlineLevel="0" collapsed="false">
      <c r="A220" s="6" t="n">
        <f aca="false">WORKDAY(A219,1,holiday!$B$2:$B$10)</f>
        <v>39030</v>
      </c>
      <c r="B220" s="24" t="n">
        <v>1099719.95394449</v>
      </c>
      <c r="C220" s="24" t="n">
        <f aca="false">B220-B219</f>
        <v>21563.1363518527</v>
      </c>
      <c r="D220" s="31" t="n">
        <f aca="false">C220/B219</f>
        <v>0.02</v>
      </c>
      <c r="E220" s="31" t="n">
        <f aca="false" t="array" ref="E220:E220">PRODUCT(1+$D$4:D220)-1</f>
        <v>0.0997199539444895</v>
      </c>
      <c r="F220" s="0" t="n">
        <f aca="false">IF(ISBLANK(A221),MONTH(A220),IF(MONTH(A221)-MONTH(A220)=1,MONTH(A220),0))</f>
        <v>0</v>
      </c>
      <c r="G220" s="0" t="str">
        <f aca="false">IF(B221&gt;B220,IF(AND(B219&gt;B220,B221&gt;B220),"min",""),IF(AND(B219&gt;B220,B221&gt;B220),"",IF(AND(B219&lt;B220,B221&lt;B220),"max","")))</f>
        <v/>
      </c>
      <c r="H220" s="0" t="str">
        <f aca="false">IF(G220="min",COUNTIF(G$4:G220,"min"),IF(G220="max",COUNTIF(G$4:G220,"max"),""))</f>
        <v/>
      </c>
      <c r="I220" s="24" t="str">
        <f aca="false" t="array" ref="I220:I220">IF($G$3=0,IF(G220="min",INDEX($B$4:$B$254,(MATCH(1,($G$4:$G$254="max")*($H$4:$H$254=(H220-1)),0))),""),IF($G$3=1,IF(G220="min",INDEX($B$4:$B$254,(MATCH(1,($G$4:$G$254="max")*($H$4:$H$254=(H220)),0))),""),""))</f>
        <v/>
      </c>
      <c r="J220" s="29" t="str">
        <f aca="false">IF(AND(G218=0,G220="min",H220=1),B220-B219,IF(G220="min",B220-I220,""))</f>
        <v/>
      </c>
      <c r="K220" s="34" t="str">
        <f aca="false">IF(AND(G218=0,G220="min",H220=1),(B220-B219)/B219,IF(G220="min",(B220-I220)/I220,""))</f>
        <v/>
      </c>
      <c r="L220" s="5"/>
      <c r="M220" s="0" t="n">
        <f aca="false">E220/COUNT($E$4:E220)</f>
        <v>0.000459538958269537</v>
      </c>
      <c r="N220" s="19" t="n">
        <f aca="false">M220*252</f>
        <v>0.115803817483923</v>
      </c>
      <c r="O220" s="20" t="n">
        <f aca="false">STDEV($D$4:$D220)</f>
        <v>0.0290732124329986</v>
      </c>
      <c r="P220" s="20" t="n">
        <f aca="false">O220*SQRT(252)</f>
        <v>0.461522939468792</v>
      </c>
      <c r="Q220" s="0" t="n">
        <f aca="false">Treasuries!J218/100</f>
        <v>0.0462</v>
      </c>
      <c r="R220" s="20" t="n">
        <f aca="false">AJ220/AK220*SQRT(252)</f>
        <v>0.201564655606175</v>
      </c>
      <c r="S220" s="32" t="n">
        <f aca="false">IF(D220&lt;s_p!H220, D220-s_p!H220, 0)</f>
        <v>0</v>
      </c>
      <c r="T220" s="0" t="n">
        <f aca="false">S220^2</f>
        <v>0</v>
      </c>
      <c r="U220" s="0" t="n">
        <f aca="false">SQRT(AVERAGE(T$4:T220)) * SQRT(252)</f>
        <v>0.337178953789076</v>
      </c>
      <c r="V220" s="0" t="n">
        <f aca="false">AJ220/U220*252</f>
        <v>0.285004005419317</v>
      </c>
      <c r="W220" s="22" t="n">
        <f aca="false">(s_p!$J220)/COUNT(s_p!$J$4:$J220)</f>
        <v>0.00048006686972664</v>
      </c>
      <c r="X220" s="22" t="n">
        <f aca="false">W220 * 252</f>
        <v>0.120976851171113</v>
      </c>
      <c r="Y220" s="21" t="n">
        <f aca="false">STDEV(s_p!$H$4:$H220)</f>
        <v>0.00655060592864108</v>
      </c>
      <c r="Z220" s="21" t="n">
        <f aca="false">Y220*SQRT(252)</f>
        <v>0.103987645343818</v>
      </c>
      <c r="AA220" s="0" t="n">
        <f aca="false">AJ220/AK220</f>
        <v>0.0126973798055791</v>
      </c>
      <c r="AB220" s="0" t="n">
        <f aca="false">_xlfn.COVARIANCE.S($D$4:$D220,s_p!$H$4:$H220)</f>
        <v>-6.90544544219105E-006</v>
      </c>
      <c r="AC220" s="0" t="n">
        <f aca="false">_xlfn.VAR.S(s_p!$H$4:$H220)</f>
        <v>4.29104380323478E-005</v>
      </c>
      <c r="AD220" s="0" t="n">
        <f aca="false">AB220/AC220</f>
        <v>-0.160926938964954</v>
      </c>
      <c r="AE220" s="0" t="n">
        <f aca="false">M220-(AD220*W220)</f>
        <v>0.000536794650113132</v>
      </c>
      <c r="AF220" s="33" t="n">
        <f aca="false">MAX($E$4:E220)</f>
        <v>0.280129884293098</v>
      </c>
      <c r="AG220" s="0" t="n">
        <f aca="false">1 - ((1 + E220) / (1 + AF220))</f>
        <v>0.140930957524074</v>
      </c>
      <c r="AH220" s="0" t="n">
        <f aca="false">MAX($AG$5:AG220)</f>
        <v>0.322303580832179</v>
      </c>
      <c r="AI220" s="19" t="n">
        <f aca="false">D220-s_p!H220</f>
        <v>0.0253329676991022</v>
      </c>
      <c r="AJ220" s="19" t="n">
        <f aca="false">AVERAGE(AI$4:AI220)</f>
        <v>0.000381338699892783</v>
      </c>
      <c r="AK220" s="0" t="n">
        <f aca="false">STDEV(AI$4:AI220)</f>
        <v>0.0300328654991659</v>
      </c>
    </row>
    <row r="221" customFormat="false" ht="13.8" hidden="false" customHeight="false" outlineLevel="0" collapsed="false">
      <c r="A221" s="6" t="n">
        <f aca="false">WORKDAY(A220,1,holiday!$B$2:$B$10)</f>
        <v>39031</v>
      </c>
      <c r="B221" s="24" t="n">
        <v>1123473.90494969</v>
      </c>
      <c r="C221" s="24" t="n">
        <f aca="false">B221-B220</f>
        <v>23753.9510052011</v>
      </c>
      <c r="D221" s="31" t="n">
        <f aca="false">C221/B220</f>
        <v>0.0216000000000001</v>
      </c>
      <c r="E221" s="31" t="n">
        <f aca="false" t="array" ref="E221:E221">PRODUCT(1+$D$4:D221)-1</f>
        <v>0.123473904949691</v>
      </c>
      <c r="F221" s="0" t="n">
        <f aca="false">IF(ISBLANK(A222),MONTH(A221),IF(MONTH(A222)-MONTH(A221)=1,MONTH(A221),0))</f>
        <v>0</v>
      </c>
      <c r="G221" s="0" t="str">
        <f aca="false">IF(B222&gt;B221,IF(AND(B220&gt;B221,B222&gt;B221),"min",""),IF(AND(B220&gt;B221,B222&gt;B221),"",IF(AND(B220&lt;B221,B222&lt;B221),"max","")))</f>
        <v>max</v>
      </c>
      <c r="H221" s="0" t="n">
        <f aca="false">IF(G221="min",COUNTIF(G$4:G221,"min"),IF(G221="max",COUNTIF(G$4:G221,"max"),""))</f>
        <v>54</v>
      </c>
      <c r="I221" s="24" t="str">
        <f aca="false" t="array" ref="I221:I221">IF($G$3=0,IF(G221="min",INDEX($B$4:$B$254,(MATCH(1,($G$4:$G$254="max")*($H$4:$H$254=(H221-1)),0))),""),IF($G$3=1,IF(G221="min",INDEX($B$4:$B$254,(MATCH(1,($G$4:$G$254="max")*($H$4:$H$254=(H221)),0))),""),""))</f>
        <v/>
      </c>
      <c r="J221" s="29" t="str">
        <f aca="false">IF(AND(G219=0,G221="min",H221=1),B221-B220,IF(G221="min",B221-I221,""))</f>
        <v/>
      </c>
      <c r="K221" s="34" t="str">
        <f aca="false">IF(AND(G219=0,G221="min",H221=1),(B221-B220)/B220,IF(G221="min",(B221-I221)/I221,""))</f>
        <v/>
      </c>
      <c r="L221" s="5"/>
      <c r="M221" s="0" t="n">
        <f aca="false">E221/COUNT($E$4:E221)</f>
        <v>0.000566394059402251</v>
      </c>
      <c r="N221" s="19" t="n">
        <f aca="false">M221*252</f>
        <v>0.142731302969367</v>
      </c>
      <c r="O221" s="20" t="n">
        <f aca="false">STDEV($D$4:$D221)</f>
        <v>0.029040140693319</v>
      </c>
      <c r="P221" s="20" t="n">
        <f aca="false">O221*SQRT(252)</f>
        <v>0.460997941877093</v>
      </c>
      <c r="Q221" s="0" t="n">
        <f aca="false">Treasuries!J219/100</f>
        <v>0.0459</v>
      </c>
      <c r="R221" s="20" t="n">
        <f aca="false">AJ221/AK221*SQRT(252)</f>
        <v>0.248827873726129</v>
      </c>
      <c r="S221" s="32" t="n">
        <f aca="false">IF(D221&lt;s_p!H221, D221-s_p!H221, 0)</f>
        <v>0</v>
      </c>
      <c r="T221" s="0" t="n">
        <f aca="false">S221^2</f>
        <v>0</v>
      </c>
      <c r="U221" s="0" t="n">
        <f aca="false">SQRT(AVERAGE(T$4:T221)) * SQRT(252)</f>
        <v>0.336404718659908</v>
      </c>
      <c r="V221" s="0" t="n">
        <f aca="false">AJ221/U221*252</f>
        <v>0.352164993644507</v>
      </c>
      <c r="W221" s="22" t="n">
        <f aca="false">(s_p!$J221)/COUNT(s_p!$J$4:$J221)</f>
        <v>0.000487308840328439</v>
      </c>
      <c r="X221" s="22" t="n">
        <f aca="false">W221 * 252</f>
        <v>0.122801827762767</v>
      </c>
      <c r="Y221" s="21" t="n">
        <f aca="false">STDEV(s_p!$H$4:$H221)</f>
        <v>0.0065361695147071</v>
      </c>
      <c r="Z221" s="21" t="n">
        <f aca="false">Y221*SQRT(252)</f>
        <v>0.10375847437726</v>
      </c>
      <c r="AA221" s="0" t="n">
        <f aca="false">AJ221/AK221</f>
        <v>0.0156746826938172</v>
      </c>
      <c r="AB221" s="0" t="n">
        <f aca="false">_xlfn.COVARIANCE.S($D$4:$D221,s_p!$H$4:$H221)</f>
        <v>-6.74171443824032E-006</v>
      </c>
      <c r="AC221" s="0" t="n">
        <f aca="false">_xlfn.VAR.S(s_p!$H$4:$H221)</f>
        <v>4.27215119249865E-005</v>
      </c>
      <c r="AD221" s="0" t="n">
        <f aca="false">AB221/AC221</f>
        <v>-0.157806082567441</v>
      </c>
      <c r="AE221" s="0" t="n">
        <f aca="false">M221-(AD221*W221)</f>
        <v>0.000643294358494964</v>
      </c>
      <c r="AF221" s="33" t="n">
        <f aca="false">MAX($E$4:E221)</f>
        <v>0.280129884293098</v>
      </c>
      <c r="AG221" s="0" t="n">
        <f aca="false">1 - ((1 + E221) / (1 + AF221))</f>
        <v>0.122375066206594</v>
      </c>
      <c r="AH221" s="0" t="n">
        <f aca="false">MAX($AG$5:AG221)</f>
        <v>0.322303580832179</v>
      </c>
      <c r="AI221" s="19" t="n">
        <f aca="false">D221-s_p!H221</f>
        <v>0.0197354247531432</v>
      </c>
      <c r="AJ221" s="19" t="n">
        <f aca="false">AVERAGE(AI$4:AI221)</f>
        <v>0.000470118911146226</v>
      </c>
      <c r="AK221" s="0" t="n">
        <f aca="false">STDEV(AI$4:AI221)</f>
        <v>0.0299922442022805</v>
      </c>
    </row>
    <row r="222" customFormat="false" ht="13.8" hidden="false" customHeight="false" outlineLevel="0" collapsed="false">
      <c r="A222" s="6" t="n">
        <f aca="false">WORKDAY(A221,1,holiday!$B$2:$B$10)</f>
        <v>39034</v>
      </c>
      <c r="B222" s="24" t="n">
        <v>1122462.77843524</v>
      </c>
      <c r="C222" s="24" t="n">
        <f aca="false">B222-B221</f>
        <v>-1011.12651445484</v>
      </c>
      <c r="D222" s="31" t="n">
        <f aca="false">C222/B221</f>
        <v>-0.000900000000000104</v>
      </c>
      <c r="E222" s="31" t="n">
        <f aca="false" t="array" ref="E222:E222">PRODUCT(1+$D$4:D222)-1</f>
        <v>0.122462778435236</v>
      </c>
      <c r="F222" s="0" t="n">
        <f aca="false">IF(ISBLANK(A223),MONTH(A222),IF(MONTH(A223)-MONTH(A222)=1,MONTH(A222),0))</f>
        <v>0</v>
      </c>
      <c r="G222" s="0" t="str">
        <f aca="false">IF(B223&gt;B222,IF(AND(B221&gt;B222,B223&gt;B222),"min",""),IF(AND(B221&gt;B222,B223&gt;B222),"",IF(AND(B221&lt;B222,B223&lt;B222),"max","")))</f>
        <v>min</v>
      </c>
      <c r="H222" s="0" t="n">
        <f aca="false">IF(G222="min",COUNTIF(G$4:G222,"min"),IF(G222="max",COUNTIF(G$4:G222,"max"),""))</f>
        <v>55</v>
      </c>
      <c r="I222" s="24" t="n">
        <f aca="false" t="array" ref="I222:I222">IF($G$3=0,IF(G222="min",INDEX($B$4:$B$254,(MATCH(1,($G$4:$G$254="max")*($H$4:$H$254=(H222-1)),0))),""),IF($G$3=1,IF(G222="min",INDEX($B$4:$B$254,(MATCH(1,($G$4:$G$254="max")*($H$4:$H$254=(H222)),0))),""),""))</f>
        <v>1123473.90494969</v>
      </c>
      <c r="J222" s="29" t="n">
        <f aca="false">IF(AND(G220=0,G222="min",H222=1),B222-B221,IF(G222="min",B222-I222,""))</f>
        <v>-1011.12651444995</v>
      </c>
      <c r="K222" s="34" t="n">
        <f aca="false">IF(AND(G220=0,G222="min",H222=1),(B222-B221)/B221,IF(G222="min",(B222-I222)/I222,""))</f>
        <v>-0.000899999999995752</v>
      </c>
      <c r="L222" s="5"/>
      <c r="M222" s="0" t="n">
        <f aca="false">E222/COUNT($E$4:E222)</f>
        <v>0.000559190769110666</v>
      </c>
      <c r="N222" s="19" t="n">
        <f aca="false">M222*252</f>
        <v>0.140916073815888</v>
      </c>
      <c r="O222" s="20" t="n">
        <f aca="false">STDEV($D$4:$D222)</f>
        <v>0.0289737293379245</v>
      </c>
      <c r="P222" s="20" t="n">
        <f aca="false">O222*SQRT(252)</f>
        <v>0.459943694293467</v>
      </c>
      <c r="Q222" s="0" t="n">
        <f aca="false">Treasuries!J220/100</f>
        <v>0.0461</v>
      </c>
      <c r="R222" s="20" t="n">
        <f aca="false">AJ222/AK222*SQRT(252)</f>
        <v>0.239897337409532</v>
      </c>
      <c r="S222" s="32" t="n">
        <f aca="false">IF(D222&lt;s_p!H222, D222-s_p!H222, 0)</f>
        <v>-0.00344906220580785</v>
      </c>
      <c r="T222" s="0" t="n">
        <f aca="false">S222^2</f>
        <v>1.18960300995321E-005</v>
      </c>
      <c r="U222" s="0" t="n">
        <f aca="false">SQRT(AVERAGE(T$4:T222)) * SQRT(252)</f>
        <v>0.335656183982284</v>
      </c>
      <c r="V222" s="0" t="n">
        <f aca="false">AJ222/U222*252</f>
        <v>0.339514742739667</v>
      </c>
      <c r="W222" s="22" t="n">
        <f aca="false">(s_p!$J222)/COUNT(s_p!$J$4:$J222)</f>
        <v>0.000497959747747711</v>
      </c>
      <c r="X222" s="22" t="n">
        <f aca="false">W222 * 252</f>
        <v>0.125485856432423</v>
      </c>
      <c r="Y222" s="21" t="n">
        <f aca="false">STDEV(s_p!$H$4:$H222)</f>
        <v>0.00652265324674843</v>
      </c>
      <c r="Z222" s="21" t="n">
        <f aca="false">Y222*SQRT(252)</f>
        <v>0.103543910275226</v>
      </c>
      <c r="AA222" s="0" t="n">
        <f aca="false">AJ222/AK222</f>
        <v>0.0151121117850518</v>
      </c>
      <c r="AB222" s="0" t="n">
        <f aca="false">_xlfn.COVARIANCE.S($D$4:$D222,s_p!$H$4:$H222)</f>
        <v>-6.72827302138417E-006</v>
      </c>
      <c r="AC222" s="0" t="n">
        <f aca="false">_xlfn.VAR.S(s_p!$H$4:$H222)</f>
        <v>4.25450053773179E-005</v>
      </c>
      <c r="AD222" s="0" t="n">
        <f aca="false">AB222/AC222</f>
        <v>-0.158144838899732</v>
      </c>
      <c r="AE222" s="0" t="n">
        <f aca="false">M222-(AD222*W222)</f>
        <v>0.000637940533196779</v>
      </c>
      <c r="AF222" s="33" t="n">
        <f aca="false">MAX($E$4:E222)</f>
        <v>0.280129884293098</v>
      </c>
      <c r="AG222" s="0" t="n">
        <f aca="false">1 - ((1 + E222) / (1 + AF222))</f>
        <v>0.123164928647008</v>
      </c>
      <c r="AH222" s="0" t="n">
        <f aca="false">MAX($AG$5:AG222)</f>
        <v>0.322303580832179</v>
      </c>
      <c r="AI222" s="19" t="n">
        <f aca="false">D222-s_p!H222</f>
        <v>-0.00344906220580785</v>
      </c>
      <c r="AJ222" s="19" t="n">
        <f aca="false">AVERAGE(AI$4:AI222)</f>
        <v>0.000452223106959221</v>
      </c>
      <c r="AK222" s="0" t="n">
        <f aca="false">STDEV(AI$4:AI222)</f>
        <v>0.0299245475014643</v>
      </c>
    </row>
    <row r="223" customFormat="false" ht="13.8" hidden="false" customHeight="false" outlineLevel="0" collapsed="false">
      <c r="A223" s="6" t="n">
        <f aca="false">WORKDAY(A222,1,holiday!$B$2:$B$10)</f>
        <v>39035</v>
      </c>
      <c r="B223" s="24" t="n">
        <v>1147156.95956081</v>
      </c>
      <c r="C223" s="24" t="n">
        <f aca="false">B223-B222</f>
        <v>24694.1811255752</v>
      </c>
      <c r="D223" s="31" t="n">
        <f aca="false">C223/B222</f>
        <v>0.022</v>
      </c>
      <c r="E223" s="31" t="n">
        <f aca="false" t="array" ref="E223:E223">PRODUCT(1+$D$4:D223)-1</f>
        <v>0.147156959560811</v>
      </c>
      <c r="F223" s="0" t="n">
        <f aca="false">IF(ISBLANK(A224),MONTH(A223),IF(MONTH(A224)-MONTH(A223)=1,MONTH(A223),0))</f>
        <v>0</v>
      </c>
      <c r="G223" s="0" t="str">
        <f aca="false">IF(B224&gt;B223,IF(AND(B222&gt;B223,B224&gt;B223),"min",""),IF(AND(B222&gt;B223,B224&gt;B223),"",IF(AND(B222&lt;B223,B224&lt;B223),"max","")))</f>
        <v/>
      </c>
      <c r="H223" s="0" t="str">
        <f aca="false">IF(G223="min",COUNTIF(G$4:G223,"min"),IF(G223="max",COUNTIF(G$4:G223,"max"),""))</f>
        <v/>
      </c>
      <c r="I223" s="24" t="str">
        <f aca="false" t="array" ref="I223:I223">IF($G$3=0,IF(G223="min",INDEX($B$4:$B$254,(MATCH(1,($G$4:$G$254="max")*($H$4:$H$254=(H223-1)),0))),""),IF($G$3=1,IF(G223="min",INDEX($B$4:$B$254,(MATCH(1,($G$4:$G$254="max")*($H$4:$H$254=(H223)),0))),""),""))</f>
        <v/>
      </c>
      <c r="J223" s="29" t="str">
        <f aca="false">IF(AND(G221=0,G223="min",H223=1),B223-B222,IF(G223="min",B223-I223,""))</f>
        <v/>
      </c>
      <c r="K223" s="34" t="str">
        <f aca="false">IF(AND(G221=0,G223="min",H223=1),(B223-B222)/B222,IF(G223="min",(B223-I223)/I223,""))</f>
        <v/>
      </c>
      <c r="L223" s="5"/>
      <c r="M223" s="0" t="n">
        <f aca="false">E223/COUNT($E$4:E223)</f>
        <v>0.00066889527073096</v>
      </c>
      <c r="N223" s="19" t="n">
        <f aca="false">M223*252</f>
        <v>0.168561608224202</v>
      </c>
      <c r="O223" s="20" t="n">
        <f aca="false">STDEV($D$4:$D223)</f>
        <v>0.0289423324656336</v>
      </c>
      <c r="P223" s="20" t="n">
        <f aca="false">O223*SQRT(252)</f>
        <v>0.459445284397304</v>
      </c>
      <c r="Q223" s="0" t="n">
        <f aca="false">Treasuries!J221/100</f>
        <v>0.0457</v>
      </c>
      <c r="R223" s="20" t="n">
        <f aca="false">AJ223/AK223*SQRT(252)</f>
        <v>0.276998648105139</v>
      </c>
      <c r="S223" s="32" t="n">
        <f aca="false">IF(D223&lt;s_p!H223, D223-s_p!H223, 0)</f>
        <v>0</v>
      </c>
      <c r="T223" s="0" t="n">
        <f aca="false">S223^2</f>
        <v>0</v>
      </c>
      <c r="U223" s="0" t="n">
        <f aca="false">SQRT(AVERAGE(T$4:T223)) * SQRT(252)</f>
        <v>0.33489246016225</v>
      </c>
      <c r="V223" s="0" t="n">
        <f aca="false">AJ223/U223*252</f>
        <v>0.392248886232865</v>
      </c>
      <c r="W223" s="22" t="n">
        <f aca="false">(s_p!$J223)/COUNT(s_p!$J$4:$J223)</f>
        <v>0.00052774013031646</v>
      </c>
      <c r="X223" s="22" t="n">
        <f aca="false">W223 * 252</f>
        <v>0.132990512839748</v>
      </c>
      <c r="Y223" s="21" t="n">
        <f aca="false">STDEV(s_p!$H$4:$H223)</f>
        <v>0.00651973628917717</v>
      </c>
      <c r="Z223" s="21" t="n">
        <f aca="false">Y223*SQRT(252)</f>
        <v>0.103497605009315</v>
      </c>
      <c r="AA223" s="0" t="n">
        <f aca="false">AJ223/AK223</f>
        <v>0.0174492746758879</v>
      </c>
      <c r="AB223" s="0" t="n">
        <f aca="false">_xlfn.COVARIANCE.S($D$4:$D223,s_p!$H$4:$H223)</f>
        <v>-6.1365067811993E-006</v>
      </c>
      <c r="AC223" s="0" t="n">
        <f aca="false">_xlfn.VAR.S(s_p!$H$4:$H223)</f>
        <v>4.25069612804138E-005</v>
      </c>
      <c r="AD223" s="0" t="n">
        <f aca="false">AB223/AC223</f>
        <v>-0.144364748651814</v>
      </c>
      <c r="AE223" s="0" t="n">
        <f aca="false">M223-(AD223*W223)</f>
        <v>0.000745082341997571</v>
      </c>
      <c r="AF223" s="33" t="n">
        <f aca="false">MAX($E$4:E223)</f>
        <v>0.280129884293098</v>
      </c>
      <c r="AG223" s="0" t="n">
        <f aca="false">1 - ((1 + E223) / (1 + AF223))</f>
        <v>0.103874557077242</v>
      </c>
      <c r="AH223" s="0" t="n">
        <f aca="false">MAX($AG$5:AG223)</f>
        <v>0.322303580832179</v>
      </c>
      <c r="AI223" s="19" t="n">
        <f aca="false">D223-s_p!H223</f>
        <v>0.0156435474783665</v>
      </c>
      <c r="AJ223" s="19" t="n">
        <f aca="false">AVERAGE(AI$4:AI223)</f>
        <v>0.000521274581374709</v>
      </c>
      <c r="AK223" s="0" t="n">
        <f aca="false">STDEV(AI$4:AI223)</f>
        <v>0.0298737105729114</v>
      </c>
    </row>
    <row r="224" customFormat="false" ht="13.8" hidden="false" customHeight="false" outlineLevel="0" collapsed="false">
      <c r="A224" s="6" t="n">
        <f aca="false">WORKDAY(A223,1,holiday!$B$2:$B$10)</f>
        <v>39036</v>
      </c>
      <c r="B224" s="24" t="n">
        <v>1147156.95956081</v>
      </c>
      <c r="C224" s="24" t="n">
        <f aca="false">B224-B223</f>
        <v>0</v>
      </c>
      <c r="D224" s="31" t="n">
        <f aca="false">C224/B223</f>
        <v>0</v>
      </c>
      <c r="E224" s="31" t="n">
        <f aca="false" t="array" ref="E224:E224">PRODUCT(1+$D$4:D224)-1</f>
        <v>0.147156959560811</v>
      </c>
      <c r="F224" s="0" t="n">
        <f aca="false">IF(ISBLANK(A225),MONTH(A224),IF(MONTH(A225)-MONTH(A224)=1,MONTH(A224),0))</f>
        <v>0</v>
      </c>
      <c r="G224" s="0" t="str">
        <f aca="false">IF(B225&gt;B224,IF(AND(B223&gt;B224,B225&gt;B224),"min",""),IF(AND(B223&gt;B224,B225&gt;B224),"",IF(AND(B223&lt;B224,B225&lt;B224),"max","")))</f>
        <v/>
      </c>
      <c r="H224" s="0" t="str">
        <f aca="false">IF(G224="min",COUNTIF(G$4:G224,"min"),IF(G224="max",COUNTIF(G$4:G224,"max"),""))</f>
        <v/>
      </c>
      <c r="I224" s="24" t="str">
        <f aca="false" t="array" ref="I224:I224">IF($G$3=0,IF(G224="min",INDEX($B$4:$B$254,(MATCH(1,($G$4:$G$254="max")*($H$4:$H$254=(H224-1)),0))),""),IF($G$3=1,IF(G224="min",INDEX($B$4:$B$254,(MATCH(1,($G$4:$G$254="max")*($H$4:$H$254=(H224)),0))),""),""))</f>
        <v/>
      </c>
      <c r="J224" s="29" t="str">
        <f aca="false">IF(AND(G222=0,G224="min",H224=1),B224-B223,IF(G224="min",B224-I224,""))</f>
        <v/>
      </c>
      <c r="K224" s="34" t="str">
        <f aca="false">IF(AND(G222=0,G224="min",H224=1),(B224-B223)/B223,IF(G224="min",(B224-I224)/I224,""))</f>
        <v/>
      </c>
      <c r="L224" s="5"/>
      <c r="M224" s="0" t="n">
        <f aca="false">E224/COUNT($E$4:E224)</f>
        <v>0.000665868595297788</v>
      </c>
      <c r="N224" s="19" t="n">
        <f aca="false">M224*252</f>
        <v>0.167798886015043</v>
      </c>
      <c r="O224" s="20" t="n">
        <f aca="false">STDEV($D$4:$D224)</f>
        <v>0.028876564557897</v>
      </c>
      <c r="P224" s="20" t="n">
        <f aca="false">O224*SQRT(252)</f>
        <v>0.458401251228584</v>
      </c>
      <c r="Q224" s="0" t="n">
        <f aca="false">Treasuries!J222/100</f>
        <v>0.0461</v>
      </c>
      <c r="R224" s="20" t="n">
        <f aca="false">AJ224/AK224*SQRT(252)</f>
        <v>0.270573470261485</v>
      </c>
      <c r="S224" s="32" t="n">
        <f aca="false">IF(D224&lt;s_p!H224, D224-s_p!H224, 0)</f>
        <v>-0.00240450180158192</v>
      </c>
      <c r="T224" s="0" t="n">
        <f aca="false">S224^2</f>
        <v>5.7816289138107E-006</v>
      </c>
      <c r="U224" s="0" t="n">
        <f aca="false">SQRT(AVERAGE(T$4:T224)) * SQRT(252)</f>
        <v>0.334143790969872</v>
      </c>
      <c r="V224" s="0" t="n">
        <f aca="false">AJ224/U224*252</f>
        <v>0.383143480624991</v>
      </c>
      <c r="W224" s="22" t="n">
        <f aca="false">(s_p!$J224)/COUNT(s_p!$J$4:$J224)</f>
        <v>0.000537495474805014</v>
      </c>
      <c r="X224" s="22" t="n">
        <f aca="false">W224 * 252</f>
        <v>0.135448859650864</v>
      </c>
      <c r="Y224" s="21" t="n">
        <f aca="false">STDEV(s_p!$H$4:$H224)</f>
        <v>0.00650613618012049</v>
      </c>
      <c r="Z224" s="21" t="n">
        <f aca="false">Y224*SQRT(252)</f>
        <v>0.103281709971111</v>
      </c>
      <c r="AA224" s="0" t="n">
        <f aca="false">AJ224/AK224</f>
        <v>0.0170445265162767</v>
      </c>
      <c r="AB224" s="0" t="n">
        <f aca="false">_xlfn.COVARIANCE.S($D$4:$D224,s_p!$H$4:$H224)</f>
        <v>-6.11749475366034E-006</v>
      </c>
      <c r="AC224" s="0" t="n">
        <f aca="false">_xlfn.VAR.S(s_p!$H$4:$H224)</f>
        <v>4.23298079942729E-005</v>
      </c>
      <c r="AD224" s="0" t="n">
        <f aca="false">AB224/AC224</f>
        <v>-0.144519785076465</v>
      </c>
      <c r="AE224" s="0" t="n">
        <f aca="false">M224-(AD224*W224)</f>
        <v>0.000743547325796181</v>
      </c>
      <c r="AF224" s="33" t="n">
        <f aca="false">MAX($E$4:E224)</f>
        <v>0.280129884293098</v>
      </c>
      <c r="AG224" s="0" t="n">
        <f aca="false">1 - ((1 + E224) / (1 + AF224))</f>
        <v>0.103874557077242</v>
      </c>
      <c r="AH224" s="0" t="n">
        <f aca="false">MAX($AG$5:AG224)</f>
        <v>0.322303580832179</v>
      </c>
      <c r="AI224" s="19" t="n">
        <f aca="false">D224-s_p!H224</f>
        <v>-0.00240450180158192</v>
      </c>
      <c r="AJ224" s="19" t="n">
        <f aca="false">AVERAGE(AI$4:AI224)</f>
        <v>0.000508035774212009</v>
      </c>
      <c r="AK224" s="0" t="n">
        <f aca="false">STDEV(AI$4:AI224)</f>
        <v>0.0298063882107173</v>
      </c>
    </row>
    <row r="225" customFormat="false" ht="13.8" hidden="false" customHeight="false" outlineLevel="0" collapsed="false">
      <c r="A225" s="6" t="n">
        <f aca="false">WORKDAY(A224,1,holiday!$B$2:$B$10)</f>
        <v>39037</v>
      </c>
      <c r="B225" s="24" t="n">
        <v>1194190.3949028</v>
      </c>
      <c r="C225" s="24" t="n">
        <f aca="false">B225-B224</f>
        <v>47033.4353419934</v>
      </c>
      <c r="D225" s="31" t="n">
        <f aca="false">C225/B224</f>
        <v>0.0410000000000001</v>
      </c>
      <c r="E225" s="31" t="n">
        <f aca="false" t="array" ref="E225:E225">PRODUCT(1+$D$4:D225)-1</f>
        <v>0.194190394902805</v>
      </c>
      <c r="F225" s="0" t="n">
        <f aca="false">IF(ISBLANK(A226),MONTH(A225),IF(MONTH(A226)-MONTH(A225)=1,MONTH(A225),0))</f>
        <v>0</v>
      </c>
      <c r="G225" s="0" t="str">
        <f aca="false">IF(B226&gt;B225,IF(AND(B224&gt;B225,B226&gt;B225),"min",""),IF(AND(B224&gt;B225,B226&gt;B225),"",IF(AND(B224&lt;B225,B226&lt;B225),"max","")))</f>
        <v/>
      </c>
      <c r="H225" s="0" t="str">
        <f aca="false">IF(G225="min",COUNTIF(G$4:G225,"min"),IF(G225="max",COUNTIF(G$4:G225,"max"),""))</f>
        <v/>
      </c>
      <c r="I225" s="24" t="str">
        <f aca="false" t="array" ref="I225:I225">IF($G$3=0,IF(G225="min",INDEX($B$4:$B$254,(MATCH(1,($G$4:$G$254="max")*($H$4:$H$254=(H225-1)),0))),""),IF($G$3=1,IF(G225="min",INDEX($B$4:$B$254,(MATCH(1,($G$4:$G$254="max")*($H$4:$H$254=(H225)),0))),""),""))</f>
        <v/>
      </c>
      <c r="J225" s="29" t="str">
        <f aca="false">IF(AND(G223=0,G225="min",H225=1),B225-B224,IF(G225="min",B225-I225,""))</f>
        <v/>
      </c>
      <c r="K225" s="34" t="str">
        <f aca="false">IF(AND(G223=0,G225="min",H225=1),(B225-B224)/B224,IF(G225="min",(B225-I225)/I225,""))</f>
        <v/>
      </c>
      <c r="L225" s="5"/>
      <c r="M225" s="0" t="n">
        <f aca="false">E225/COUNT($E$4:E225)</f>
        <v>0.000874731508571192</v>
      </c>
      <c r="N225" s="19" t="n">
        <f aca="false">M225*252</f>
        <v>0.22043234015994</v>
      </c>
      <c r="O225" s="20" t="n">
        <f aca="false">STDEV($D$4:$D225)</f>
        <v>0.0289357342960774</v>
      </c>
      <c r="P225" s="20" t="n">
        <f aca="false">O225*SQRT(252)</f>
        <v>0.459340541702781</v>
      </c>
      <c r="Q225" s="0" t="n">
        <f aca="false">Treasuries!J223/100</f>
        <v>0.0466</v>
      </c>
      <c r="R225" s="20" t="n">
        <f aca="false">AJ225/AK225*SQRT(252)</f>
        <v>0.361715675152568</v>
      </c>
      <c r="S225" s="32" t="n">
        <f aca="false">IF(D225&lt;s_p!H225, D225-s_p!H225, 0)</f>
        <v>0</v>
      </c>
      <c r="T225" s="0" t="n">
        <f aca="false">S225^2</f>
        <v>0</v>
      </c>
      <c r="U225" s="0" t="n">
        <f aca="false">SQRT(AVERAGE(T$4:T225)) * SQRT(252)</f>
        <v>0.333390365454304</v>
      </c>
      <c r="V225" s="0" t="n">
        <f aca="false">AJ225/U225*252</f>
        <v>0.514100121667586</v>
      </c>
      <c r="W225" s="22" t="n">
        <f aca="false">(s_p!$J225)/COUNT(s_p!$J$4:$J225)</f>
        <v>0.000546585566893354</v>
      </c>
      <c r="X225" s="22" t="n">
        <f aca="false">W225 * 252</f>
        <v>0.137739562857125</v>
      </c>
      <c r="Y225" s="21" t="n">
        <f aca="false">STDEV(s_p!$H$4:$H225)</f>
        <v>0.00649246840259796</v>
      </c>
      <c r="Z225" s="21" t="n">
        <f aca="false">Y225*SQRT(252)</f>
        <v>0.103064740729314</v>
      </c>
      <c r="AA225" s="0" t="n">
        <f aca="false">AJ225/AK225</f>
        <v>0.0227859457563696</v>
      </c>
      <c r="AB225" s="0" t="n">
        <f aca="false">_xlfn.COVARIANCE.S($D$4:$D225,s_p!$H$4:$H225)</f>
        <v>-5.77387300574846E-006</v>
      </c>
      <c r="AC225" s="0" t="n">
        <f aca="false">_xlfn.VAR.S(s_p!$H$4:$H225)</f>
        <v>4.21521459587329E-005</v>
      </c>
      <c r="AD225" s="0" t="n">
        <f aca="false">AB225/AC225</f>
        <v>-0.136976964622421</v>
      </c>
      <c r="AE225" s="0" t="n">
        <f aca="false">M225-(AD225*W225)</f>
        <v>0.000949601140430668</v>
      </c>
      <c r="AF225" s="33" t="n">
        <f aca="false">MAX($E$4:E225)</f>
        <v>0.280129884293098</v>
      </c>
      <c r="AG225" s="0" t="n">
        <f aca="false">1 - ((1 + E225) / (1 + AF225))</f>
        <v>0.067133413917409</v>
      </c>
      <c r="AH225" s="0" t="n">
        <f aca="false">MAX($AG$5:AG225)</f>
        <v>0.322303580832179</v>
      </c>
      <c r="AI225" s="19" t="n">
        <f aca="false">D225-s_p!H225</f>
        <v>0.0387158323607123</v>
      </c>
      <c r="AJ225" s="19" t="n">
        <f aca="false">AVERAGE(AI$4:AI225)</f>
        <v>0.000680142966043091</v>
      </c>
      <c r="AK225" s="0" t="n">
        <f aca="false">STDEV(AI$4:AI225)</f>
        <v>0.0298492313338789</v>
      </c>
    </row>
    <row r="226" customFormat="false" ht="13.8" hidden="false" customHeight="false" outlineLevel="0" collapsed="false">
      <c r="A226" s="6" t="n">
        <f aca="false">WORKDAY(A225,1,holiday!$B$2:$B$10)</f>
        <v>39038</v>
      </c>
      <c r="B226" s="24" t="n">
        <v>1210073.12715501</v>
      </c>
      <c r="C226" s="24" t="n">
        <f aca="false">B226-B225</f>
        <v>15882.7322522074</v>
      </c>
      <c r="D226" s="31" t="n">
        <f aca="false">C226/B225</f>
        <v>0.0133</v>
      </c>
      <c r="E226" s="31" t="n">
        <f aca="false" t="array" ref="E226:E226">PRODUCT(1+$D$4:D226)-1</f>
        <v>0.210073127155012</v>
      </c>
      <c r="F226" s="0" t="n">
        <f aca="false">IF(ISBLANK(A227),MONTH(A226),IF(MONTH(A227)-MONTH(A226)=1,MONTH(A226),0))</f>
        <v>0</v>
      </c>
      <c r="G226" s="0" t="str">
        <f aca="false">IF(B227&gt;B226,IF(AND(B225&gt;B226,B227&gt;B226),"min",""),IF(AND(B225&gt;B226,B227&gt;B226),"",IF(AND(B225&lt;B226,B227&lt;B226),"max","")))</f>
        <v>max</v>
      </c>
      <c r="H226" s="0" t="n">
        <f aca="false">IF(G226="min",COUNTIF(G$4:G226,"min"),IF(G226="max",COUNTIF(G$4:G226,"max"),""))</f>
        <v>55</v>
      </c>
      <c r="I226" s="24" t="str">
        <f aca="false" t="array" ref="I226:I226">IF($G$3=0,IF(G226="min",INDEX($B$4:$B$254,(MATCH(1,($G$4:$G$254="max")*($H$4:$H$254=(H226-1)),0))),""),IF($G$3=1,IF(G226="min",INDEX($B$4:$B$254,(MATCH(1,($G$4:$G$254="max")*($H$4:$H$254=(H226)),0))),""),""))</f>
        <v/>
      </c>
      <c r="J226" s="29" t="str">
        <f aca="false">IF(AND(G224=0,G226="min",H226=1),B226-B225,IF(G226="min",B226-I226,""))</f>
        <v/>
      </c>
      <c r="K226" s="34" t="str">
        <f aca="false">IF(AND(G224=0,G226="min",H226=1),(B226-B225)/B225,IF(G226="min",(B226-I226)/I226,""))</f>
        <v/>
      </c>
      <c r="L226" s="5"/>
      <c r="M226" s="0" t="n">
        <f aca="false">E226/COUNT($E$4:E226)</f>
        <v>0.000942031960336376</v>
      </c>
      <c r="N226" s="19" t="n">
        <f aca="false">M226*252</f>
        <v>0.237392054004767</v>
      </c>
      <c r="O226" s="20" t="n">
        <f aca="false">STDEV($D$4:$D226)</f>
        <v>0.0288818263506008</v>
      </c>
      <c r="P226" s="20" t="n">
        <f aca="false">O226*SQRT(252)</f>
        <v>0.458484779598252</v>
      </c>
      <c r="Q226" s="0" t="n">
        <f aca="false">Treasuries!J224/100</f>
        <v>0.0461</v>
      </c>
      <c r="R226" s="20" t="n">
        <f aca="false">AJ226/AK226*SQRT(252)</f>
        <v>0.390106245279671</v>
      </c>
      <c r="S226" s="32" t="n">
        <f aca="false">IF(D226&lt;s_p!H226, D226-s_p!H226, 0)</f>
        <v>0</v>
      </c>
      <c r="T226" s="0" t="n">
        <f aca="false">S226^2</f>
        <v>0</v>
      </c>
      <c r="U226" s="0" t="n">
        <f aca="false">SQRT(AVERAGE(T$4:T226)) * SQRT(252)</f>
        <v>0.33264201352192</v>
      </c>
      <c r="V226" s="0" t="n">
        <f aca="false">AJ226/U226*252</f>
        <v>0.554633790004787</v>
      </c>
      <c r="W226" s="22" t="n">
        <f aca="false">(s_p!$J226)/COUNT(s_p!$J$4:$J226)</f>
        <v>0.000549307506480531</v>
      </c>
      <c r="X226" s="22" t="n">
        <f aca="false">W226 * 252</f>
        <v>0.138425491633094</v>
      </c>
      <c r="Y226" s="21" t="n">
        <f aca="false">STDEV(s_p!$H$4:$H226)</f>
        <v>0.00647791292914274</v>
      </c>
      <c r="Z226" s="21" t="n">
        <f aca="false">Y226*SQRT(252)</f>
        <v>0.10283367975145</v>
      </c>
      <c r="AA226" s="0" t="n">
        <f aca="false">AJ226/AK226</f>
        <v>0.0245743835691233</v>
      </c>
      <c r="AB226" s="0" t="n">
        <f aca="false">_xlfn.COVARIANCE.S($D$4:$D226,s_p!$H$4:$H226)</f>
        <v>-5.7212186350293E-006</v>
      </c>
      <c r="AC226" s="0" t="n">
        <f aca="false">_xlfn.VAR.S(s_p!$H$4:$H226)</f>
        <v>4.19633559175548E-005</v>
      </c>
      <c r="AD226" s="0" t="n">
        <f aca="false">AB226/AC226</f>
        <v>-0.13633844362376</v>
      </c>
      <c r="AE226" s="0" t="n">
        <f aca="false">M226-(AD226*W226)</f>
        <v>0.00101692369084078</v>
      </c>
      <c r="AF226" s="33" t="n">
        <f aca="false">MAX($E$4:E226)</f>
        <v>0.280129884293098</v>
      </c>
      <c r="AG226" s="0" t="n">
        <f aca="false">1 - ((1 + E226) / (1 + AF226))</f>
        <v>0.0547262883225106</v>
      </c>
      <c r="AH226" s="0" t="n">
        <f aca="false">MAX($AG$5:AG226)</f>
        <v>0.322303580832179</v>
      </c>
      <c r="AI226" s="19" t="n">
        <f aca="false">D226-s_p!H226</f>
        <v>0.0122712522146655</v>
      </c>
      <c r="AJ226" s="19" t="n">
        <f aca="false">AVERAGE(AI$4:AI226)</f>
        <v>0.000732121034422564</v>
      </c>
      <c r="AK226" s="0" t="n">
        <f aca="false">STDEV(AI$4:AI226)</f>
        <v>0.0297920406574285</v>
      </c>
    </row>
    <row r="227" customFormat="false" ht="13.8" hidden="false" customHeight="false" outlineLevel="0" collapsed="false">
      <c r="A227" s="6" t="n">
        <f aca="false">WORKDAY(A226,1,holiday!$B$2:$B$10)</f>
        <v>39041</v>
      </c>
      <c r="B227" s="24" t="n">
        <v>1163848.33369769</v>
      </c>
      <c r="C227" s="24" t="n">
        <f aca="false">B227-B226</f>
        <v>-46224.7934573214</v>
      </c>
      <c r="D227" s="31" t="n">
        <f aca="false">C227/B226</f>
        <v>-0.0381999999999999</v>
      </c>
      <c r="E227" s="31" t="n">
        <f aca="false" t="array" ref="E227:E227">PRODUCT(1+$D$4:D227)-1</f>
        <v>0.163848333697691</v>
      </c>
      <c r="F227" s="0" t="n">
        <f aca="false">IF(ISBLANK(A228),MONTH(A227),IF(MONTH(A228)-MONTH(A227)=1,MONTH(A227),0))</f>
        <v>0</v>
      </c>
      <c r="G227" s="0" t="str">
        <f aca="false">IF(B228&gt;B227,IF(AND(B226&gt;B227,B228&gt;B227),"min",""),IF(AND(B226&gt;B227,B228&gt;B227),"",IF(AND(B226&lt;B227,B228&lt;B227),"max","")))</f>
        <v>min</v>
      </c>
      <c r="H227" s="0" t="n">
        <f aca="false">IF(G227="min",COUNTIF(G$4:G227,"min"),IF(G227="max",COUNTIF(G$4:G227,"max"),""))</f>
        <v>56</v>
      </c>
      <c r="I227" s="24" t="n">
        <f aca="false" t="array" ref="I227:I227">IF($G$3=0,IF(G227="min",INDEX($B$4:$B$254,(MATCH(1,($G$4:$G$254="max")*($H$4:$H$254=(H227-1)),0))),""),IF($G$3=1,IF(G227="min",INDEX($B$4:$B$254,(MATCH(1,($G$4:$G$254="max")*($H$4:$H$254=(H227)),0))),""),""))</f>
        <v>1210073.12715501</v>
      </c>
      <c r="J227" s="29" t="n">
        <f aca="false">IF(AND(G225=0,G227="min",H227=1),B227-B226,IF(G227="min",B227-I227,""))</f>
        <v>-46224.79345732</v>
      </c>
      <c r="K227" s="34" t="n">
        <f aca="false">IF(AND(G225=0,G227="min",H227=1),(B227-B226)/B226,IF(G227="min",(B227-I227)/I227,""))</f>
        <v>-0.0381999999999988</v>
      </c>
      <c r="L227" s="5"/>
      <c r="M227" s="0" t="n">
        <f aca="false">E227/COUNT($E$4:E227)</f>
        <v>0.000731465775436119</v>
      </c>
      <c r="N227" s="19" t="n">
        <f aca="false">M227*252</f>
        <v>0.184329375409902</v>
      </c>
      <c r="O227" s="20" t="n">
        <f aca="false">STDEV($D$4:$D227)</f>
        <v>0.0289374247259112</v>
      </c>
      <c r="P227" s="20" t="n">
        <f aca="false">O227*SQRT(252)</f>
        <v>0.459367376444475</v>
      </c>
      <c r="Q227" s="0" t="n">
        <f aca="false">Treasuries!J225/100</f>
        <v>0.046</v>
      </c>
      <c r="R227" s="20" t="n">
        <f aca="false">AJ227/AK227*SQRT(252)</f>
        <v>0.298245297800727</v>
      </c>
      <c r="S227" s="32" t="n">
        <f aca="false">IF(D227&lt;s_p!H227, D227-s_p!H227, 0)</f>
        <v>-0.0377004282043961</v>
      </c>
      <c r="T227" s="0" t="n">
        <f aca="false">S227^2</f>
        <v>0.00142132228679483</v>
      </c>
      <c r="U227" s="0" t="n">
        <f aca="false">SQRT(AVERAGE(T$4:T227)) * SQRT(252)</f>
        <v>0.334298848864879</v>
      </c>
      <c r="V227" s="0" t="n">
        <f aca="false">AJ227/U227*252</f>
        <v>0.422549713409006</v>
      </c>
      <c r="W227" s="22" t="n">
        <f aca="false">(s_p!$J227)/COUNT(s_p!$J$4:$J227)</f>
        <v>0.000544351816141631</v>
      </c>
      <c r="X227" s="22" t="n">
        <f aca="false">W227 * 252</f>
        <v>0.137176657667691</v>
      </c>
      <c r="Y227" s="21" t="n">
        <f aca="false">STDEV(s_p!$H$4:$H227)</f>
        <v>0.00646374476724594</v>
      </c>
      <c r="Z227" s="21" t="n">
        <f aca="false">Y227*SQRT(252)</f>
        <v>0.102608767153967</v>
      </c>
      <c r="AA227" s="0" t="n">
        <f aca="false">AJ227/AK227</f>
        <v>0.0187876878017887</v>
      </c>
      <c r="AB227" s="0" t="n">
        <f aca="false">_xlfn.COVARIANCE.S($D$4:$D227,s_p!$H$4:$H227)</f>
        <v>-5.51252338766444E-006</v>
      </c>
      <c r="AC227" s="0" t="n">
        <f aca="false">_xlfn.VAR.S(s_p!$H$4:$H227)</f>
        <v>4.17799964160993E-005</v>
      </c>
      <c r="AD227" s="0" t="n">
        <f aca="false">AB227/AC227</f>
        <v>-0.131941691252522</v>
      </c>
      <c r="AE227" s="0" t="n">
        <f aca="false">M227-(AD227*W227)</f>
        <v>0.000803288474694227</v>
      </c>
      <c r="AF227" s="33" t="n">
        <f aca="false">MAX($E$4:E227)</f>
        <v>0.280129884293098</v>
      </c>
      <c r="AG227" s="0" t="n">
        <f aca="false">1 - ((1 + E227) / (1 + AF227))</f>
        <v>0.0908357441085904</v>
      </c>
      <c r="AH227" s="0" t="n">
        <f aca="false">MAX($AG$5:AG227)</f>
        <v>0.322303580832179</v>
      </c>
      <c r="AI227" s="19" t="n">
        <f aca="false">D227-s_p!H227</f>
        <v>-0.0377004282043961</v>
      </c>
      <c r="AJ227" s="19" t="n">
        <f aca="false">AVERAGE(AI$4:AI227)</f>
        <v>0.000560547153892124</v>
      </c>
      <c r="AK227" s="0" t="n">
        <f aca="false">STDEV(AI$4:AI227)</f>
        <v>0.0298358776133568</v>
      </c>
    </row>
    <row r="228" customFormat="false" ht="13.8" hidden="false" customHeight="false" outlineLevel="0" collapsed="false">
      <c r="A228" s="6" t="n">
        <f aca="false">WORKDAY(A227,1,holiday!$B$2:$B$10)</f>
        <v>39042</v>
      </c>
      <c r="B228" s="24" t="n">
        <v>1221458.82621573</v>
      </c>
      <c r="C228" s="24" t="n">
        <f aca="false">B228-B227</f>
        <v>57610.4925180357</v>
      </c>
      <c r="D228" s="31" t="n">
        <f aca="false">C228/B227</f>
        <v>0.0495</v>
      </c>
      <c r="E228" s="31" t="n">
        <f aca="false" t="array" ref="E228:E228">PRODUCT(1+$D$4:D228)-1</f>
        <v>0.221458826215726</v>
      </c>
      <c r="F228" s="0" t="n">
        <f aca="false">IF(ISBLANK(A229),MONTH(A228),IF(MONTH(A229)-MONTH(A228)=1,MONTH(A228),0))</f>
        <v>0</v>
      </c>
      <c r="G228" s="0" t="str">
        <f aca="false">IF(B229&gt;B228,IF(AND(B227&gt;B228,B229&gt;B228),"min",""),IF(AND(B227&gt;B228,B229&gt;B228),"",IF(AND(B227&lt;B228,B229&lt;B228),"max","")))</f>
        <v>max</v>
      </c>
      <c r="H228" s="0" t="n">
        <f aca="false">IF(G228="min",COUNTIF(G$4:G228,"min"),IF(G228="max",COUNTIF(G$4:G228,"max"),""))</f>
        <v>56</v>
      </c>
      <c r="I228" s="24" t="str">
        <f aca="false" t="array" ref="I228:I228">IF($G$3=0,IF(G228="min",INDEX($B$4:$B$254,(MATCH(1,($G$4:$G$254="max")*($H$4:$H$254=(H228-1)),0))),""),IF($G$3=1,IF(G228="min",INDEX($B$4:$B$254,(MATCH(1,($G$4:$G$254="max")*($H$4:$H$254=(H228)),0))),""),""))</f>
        <v/>
      </c>
      <c r="J228" s="29" t="str">
        <f aca="false">IF(AND(G226=0,G228="min",H228=1),B228-B227,IF(G228="min",B228-I228,""))</f>
        <v/>
      </c>
      <c r="K228" s="34" t="str">
        <f aca="false">IF(AND(G226=0,G228="min",H228=1),(B228-B227)/B227,IF(G228="min",(B228-I228)/I228,""))</f>
        <v/>
      </c>
      <c r="L228" s="5"/>
      <c r="M228" s="0" t="n">
        <f aca="false">E228/COUNT($E$4:E228)</f>
        <v>0.000984261449847672</v>
      </c>
      <c r="N228" s="19" t="n">
        <f aca="false">M228*252</f>
        <v>0.248033885361613</v>
      </c>
      <c r="O228" s="20" t="n">
        <f aca="false">STDEV($D$4:$D228)</f>
        <v>0.0290525345040861</v>
      </c>
      <c r="P228" s="20" t="n">
        <f aca="false">O228*SQRT(252)</f>
        <v>0.46119468752361</v>
      </c>
      <c r="Q228" s="0" t="n">
        <f aca="false">Treasuries!J226/100</f>
        <v>0.0458</v>
      </c>
      <c r="R228" s="20" t="n">
        <f aca="false">AJ228/AK228*SQRT(252)</f>
        <v>0.408705671293832</v>
      </c>
      <c r="S228" s="32" t="n">
        <f aca="false">IF(D228&lt;s_p!H228, D228-s_p!H228, 0)</f>
        <v>0</v>
      </c>
      <c r="T228" s="0" t="n">
        <f aca="false">S228^2</f>
        <v>0</v>
      </c>
      <c r="U228" s="0" t="n">
        <f aca="false">SQRT(AVERAGE(T$4:T228)) * SQRT(252)</f>
        <v>0.333555135265413</v>
      </c>
      <c r="V228" s="0" t="n">
        <f aca="false">AJ228/U228*252</f>
        <v>0.582280736221557</v>
      </c>
      <c r="W228" s="22" t="n">
        <f aca="false">(s_p!$J228)/COUNT(s_p!$J$4:$J228)</f>
        <v>0.000550157059301574</v>
      </c>
      <c r="X228" s="22" t="n">
        <f aca="false">W228 * 252</f>
        <v>0.138639578943997</v>
      </c>
      <c r="Y228" s="21" t="n">
        <f aca="false">STDEV(s_p!$H$4:$H228)</f>
        <v>0.00644972888725319</v>
      </c>
      <c r="Z228" s="21" t="n">
        <f aca="false">Y228*SQRT(252)</f>
        <v>0.102386271956768</v>
      </c>
      <c r="AA228" s="0" t="n">
        <f aca="false">AJ228/AK228</f>
        <v>0.0257460372777426</v>
      </c>
      <c r="AB228" s="0" t="n">
        <f aca="false">_xlfn.COVARIANCE.S($D$4:$D228,s_p!$H$4:$H228)</f>
        <v>-5.24806891102889E-006</v>
      </c>
      <c r="AC228" s="0" t="n">
        <f aca="false">_xlfn.VAR.S(s_p!$H$4:$H228)</f>
        <v>4.15990027190683E-005</v>
      </c>
      <c r="AD228" s="0" t="n">
        <f aca="false">AB228/AC228</f>
        <v>-0.126158527079863</v>
      </c>
      <c r="AE228" s="0" t="n">
        <f aca="false">M228-(AD228*W228)</f>
        <v>0.00105366845411175</v>
      </c>
      <c r="AF228" s="33" t="n">
        <f aca="false">MAX($E$4:E228)</f>
        <v>0.280129884293098</v>
      </c>
      <c r="AG228" s="0" t="n">
        <f aca="false">1 - ((1 + E228) / (1 + AF228))</f>
        <v>0.0458321134419657</v>
      </c>
      <c r="AH228" s="0" t="n">
        <f aca="false">MAX($AG$5:AG228)</f>
        <v>0.322303580832179</v>
      </c>
      <c r="AI228" s="19" t="n">
        <f aca="false">D228-s_p!H228</f>
        <v>0.0478505890753304</v>
      </c>
      <c r="AJ228" s="19" t="n">
        <f aca="false">AVERAGE(AI$4:AI228)</f>
        <v>0.000770725117987405</v>
      </c>
      <c r="AK228" s="0" t="n">
        <f aca="false">STDEV(AI$4:AI228)</f>
        <v>0.0299356794085626</v>
      </c>
    </row>
    <row r="229" customFormat="false" ht="13.8" hidden="false" customHeight="false" outlineLevel="0" collapsed="false">
      <c r="A229" s="6" t="n">
        <f aca="false">WORKDAY(A228,1,holiday!$B$2:$B$10)</f>
        <v>39043</v>
      </c>
      <c r="B229" s="24" t="n">
        <v>1194464.58615636</v>
      </c>
      <c r="C229" s="24" t="n">
        <f aca="false">B229-B228</f>
        <v>-26994.2400593676</v>
      </c>
      <c r="D229" s="31" t="n">
        <f aca="false">C229/B228</f>
        <v>-0.0221000000000001</v>
      </c>
      <c r="E229" s="31" t="n">
        <f aca="false" t="array" ref="E229:E229">PRODUCT(1+$D$4:D229)-1</f>
        <v>0.194464586156359</v>
      </c>
      <c r="F229" s="0" t="n">
        <f aca="false">IF(ISBLANK(A230),MONTH(A229),IF(MONTH(A230)-MONTH(A229)=1,MONTH(A229),0))</f>
        <v>0</v>
      </c>
      <c r="G229" s="0" t="str">
        <f aca="false">IF(B230&gt;B229,IF(AND(B228&gt;B229,B230&gt;B229),"min",""),IF(AND(B228&gt;B229,B230&gt;B229),"",IF(AND(B228&lt;B229,B230&lt;B229),"max","")))</f>
        <v/>
      </c>
      <c r="H229" s="0" t="str">
        <f aca="false">IF(G229="min",COUNTIF(G$4:G229,"min"),IF(G229="max",COUNTIF(G$4:G229,"max"),""))</f>
        <v/>
      </c>
      <c r="I229" s="24" t="str">
        <f aca="false" t="array" ref="I229:I229">IF($G$3=0,IF(G229="min",INDEX($B$4:$B$254,(MATCH(1,($G$4:$G$254="max")*($H$4:$H$254=(H229-1)),0))),""),IF($G$3=1,IF(G229="min",INDEX($B$4:$B$254,(MATCH(1,($G$4:$G$254="max")*($H$4:$H$254=(H229)),0))),""),""))</f>
        <v/>
      </c>
      <c r="J229" s="29" t="str">
        <f aca="false">IF(AND(G227=0,G229="min",H229=1),B229-B228,IF(G229="min",B229-I229,""))</f>
        <v/>
      </c>
      <c r="K229" s="34" t="str">
        <f aca="false">IF(AND(G227=0,G229="min",H229=1),(B229-B228)/B228,IF(G229="min",(B229-I229)/I229,""))</f>
        <v/>
      </c>
      <c r="L229" s="5"/>
      <c r="M229" s="0" t="n">
        <f aca="false">E229/COUNT($E$4:E229)</f>
        <v>0.000860462770603356</v>
      </c>
      <c r="N229" s="19" t="n">
        <f aca="false">M229*252</f>
        <v>0.216836618192046</v>
      </c>
      <c r="O229" s="20" t="n">
        <f aca="false">STDEV($D$4:$D229)</f>
        <v>0.0290296982067405</v>
      </c>
      <c r="P229" s="20" t="n">
        <f aca="false">O229*SQRT(252)</f>
        <v>0.460832172541759</v>
      </c>
      <c r="Q229" s="0" t="n">
        <f aca="false">Treasuries!J227/100</f>
        <v>0.0457</v>
      </c>
      <c r="R229" s="20" t="n">
        <f aca="false">AJ229/AK229*SQRT(252)</f>
        <v>0.349784045522795</v>
      </c>
      <c r="S229" s="32" t="n">
        <f aca="false">IF(D229&lt;s_p!H229, D229-s_p!H229, 0)</f>
        <v>-0.024438164113458</v>
      </c>
      <c r="T229" s="0" t="n">
        <f aca="false">S229^2</f>
        <v>0.000597223865236306</v>
      </c>
      <c r="U229" s="0" t="n">
        <f aca="false">SQRT(AVERAGE(T$4:T229)) * SQRT(252)</f>
        <v>0.333815312279517</v>
      </c>
      <c r="V229" s="0" t="n">
        <f aca="false">AJ229/U229*252</f>
        <v>0.49762157903378</v>
      </c>
      <c r="W229" s="22" t="n">
        <f aca="false">(s_p!$J229)/COUNT(s_p!$J$4:$J229)</f>
        <v>0.000559349260584946</v>
      </c>
      <c r="X229" s="22" t="n">
        <f aca="false">W229 * 252</f>
        <v>0.140956013667406</v>
      </c>
      <c r="Y229" s="21" t="n">
        <f aca="false">STDEV(s_p!$H$4:$H229)</f>
        <v>0.00643649231492633</v>
      </c>
      <c r="Z229" s="21" t="n">
        <f aca="false">Y229*SQRT(252)</f>
        <v>0.102176147885241</v>
      </c>
      <c r="AA229" s="0" t="n">
        <f aca="false">AJ229/AK229</f>
        <v>0.0220343237388432</v>
      </c>
      <c r="AB229" s="0" t="n">
        <f aca="false">_xlfn.COVARIANCE.S($D$4:$D229,s_p!$H$4:$H229)</f>
        <v>-5.41105917973662E-006</v>
      </c>
      <c r="AC229" s="0" t="n">
        <f aca="false">_xlfn.VAR.S(s_p!$H$4:$H229)</f>
        <v>4.14284333201058E-005</v>
      </c>
      <c r="AD229" s="0" t="n">
        <f aca="false">AB229/AC229</f>
        <v>-0.130612208719719</v>
      </c>
      <c r="AE229" s="0" t="n">
        <f aca="false">M229-(AD229*W229)</f>
        <v>0.000933520612974098</v>
      </c>
      <c r="AF229" s="33" t="n">
        <f aca="false">MAX($E$4:E229)</f>
        <v>0.280129884293098</v>
      </c>
      <c r="AG229" s="0" t="n">
        <f aca="false">1 - ((1 + E229) / (1 + AF229))</f>
        <v>0.0669192237348983</v>
      </c>
      <c r="AH229" s="0" t="n">
        <f aca="false">MAX($AG$5:AG229)</f>
        <v>0.322303580832179</v>
      </c>
      <c r="AI229" s="19" t="n">
        <f aca="false">D229-s_p!H229</f>
        <v>-0.0244381641134579</v>
      </c>
      <c r="AJ229" s="19" t="n">
        <f aca="false">AVERAGE(AI$4:AI229)</f>
        <v>0.000659181360326142</v>
      </c>
      <c r="AK229" s="0" t="n">
        <f aca="false">STDEV(AI$4:AI229)</f>
        <v>0.0299161148823509</v>
      </c>
    </row>
    <row r="230" customFormat="false" ht="13.8" hidden="false" customHeight="false" outlineLevel="0" collapsed="false">
      <c r="A230" s="6" t="n">
        <f aca="false">WORKDAY(A229,1,holiday!$B$2:$B$10)</f>
        <v>39045</v>
      </c>
      <c r="B230" s="24" t="n">
        <v>1155166.70127181</v>
      </c>
      <c r="C230" s="24" t="n">
        <f aca="false">B230-B229</f>
        <v>-39297.8848845442</v>
      </c>
      <c r="D230" s="31" t="n">
        <f aca="false">C230/B229</f>
        <v>-0.0329</v>
      </c>
      <c r="E230" s="31" t="n">
        <f aca="false" t="array" ref="E230:E230">PRODUCT(1+$D$4:D230)-1</f>
        <v>0.155166701271814</v>
      </c>
      <c r="F230" s="0" t="n">
        <f aca="false">IF(ISBLANK(A231),MONTH(A230),IF(MONTH(A231)-MONTH(A230)=1,MONTH(A230),0))</f>
        <v>0</v>
      </c>
      <c r="G230" s="0" t="str">
        <f aca="false">IF(B231&gt;B230,IF(AND(B229&gt;B230,B231&gt;B230),"min",""),IF(AND(B229&gt;B230,B231&gt;B230),"",IF(AND(B229&lt;B230,B231&lt;B230),"max","")))</f>
        <v/>
      </c>
      <c r="H230" s="0" t="str">
        <f aca="false">IF(G230="min",COUNTIF(G$4:G230,"min"),IF(G230="max",COUNTIF(G$4:G230,"max"),""))</f>
        <v/>
      </c>
      <c r="I230" s="24" t="str">
        <f aca="false" t="array" ref="I230:I230">IF($G$3=0,IF(G230="min",INDEX($B$4:$B$254,(MATCH(1,($G$4:$G$254="max")*($H$4:$H$254=(H230-1)),0))),""),IF($G$3=1,IF(G230="min",INDEX($B$4:$B$254,(MATCH(1,($G$4:$G$254="max")*($H$4:$H$254=(H230)),0))),""),""))</f>
        <v/>
      </c>
      <c r="J230" s="29" t="str">
        <f aca="false">IF(AND(G228=0,G230="min",H230=1),B230-B229,IF(G230="min",B230-I230,""))</f>
        <v/>
      </c>
      <c r="K230" s="34" t="str">
        <f aca="false">IF(AND(G228=0,G230="min",H230=1),(B230-B229)/B229,IF(G230="min",(B230-I230)/I230,""))</f>
        <v/>
      </c>
      <c r="L230" s="5"/>
      <c r="M230" s="0" t="n">
        <f aca="false">E230/COUNT($E$4:E230)</f>
        <v>0.000683553750096098</v>
      </c>
      <c r="N230" s="19" t="n">
        <f aca="false">M230*252</f>
        <v>0.172255545024217</v>
      </c>
      <c r="O230" s="20" t="n">
        <f aca="false">STDEV($D$4:$D230)</f>
        <v>0.0290537264176509</v>
      </c>
      <c r="P230" s="20" t="n">
        <f aca="false">O230*SQRT(252)</f>
        <v>0.461213608564871</v>
      </c>
      <c r="Q230" s="0" t="n">
        <f aca="false">Treasuries!J228/100</f>
        <v>0.0455</v>
      </c>
      <c r="R230" s="20" t="n">
        <f aca="false">AJ230/AK230*SQRT(252)</f>
        <v>0.279884661804764</v>
      </c>
      <c r="S230" s="32" t="n">
        <f aca="false">IF(D230&lt;s_p!H230, D230-s_p!H230, 0)</f>
        <v>-0.029244472971147</v>
      </c>
      <c r="T230" s="0" t="n">
        <f aca="false">S230^2</f>
        <v>0.000855239199360149</v>
      </c>
      <c r="U230" s="0" t="n">
        <f aca="false">SQRT(AVERAGE(T$4:T230)) * SQRT(252)</f>
        <v>0.334501417730164</v>
      </c>
      <c r="V230" s="0" t="n">
        <f aca="false">AJ230/U230*252</f>
        <v>0.397357641624923</v>
      </c>
      <c r="W230" s="22" t="n">
        <f aca="false">(s_p!$J230)/COUNT(s_p!$J$4:$J230)</f>
        <v>0.000538745814847405</v>
      </c>
      <c r="X230" s="22" t="n">
        <f aca="false">W230 * 252</f>
        <v>0.135763945341546</v>
      </c>
      <c r="Y230" s="21" t="n">
        <f aca="false">STDEV(s_p!$H$4:$H230)</f>
        <v>0.00642829225662931</v>
      </c>
      <c r="Z230" s="21" t="n">
        <f aca="false">Y230*SQRT(252)</f>
        <v>0.1020459759953</v>
      </c>
      <c r="AA230" s="0" t="n">
        <f aca="false">AJ230/AK230</f>
        <v>0.0176310764504006</v>
      </c>
      <c r="AB230" s="0" t="n">
        <f aca="false">_xlfn.COVARIANCE.S($D$4:$D230,s_p!$H$4:$H230)</f>
        <v>-4.75562035791439E-006</v>
      </c>
      <c r="AC230" s="0" t="n">
        <f aca="false">_xlfn.VAR.S(s_p!$H$4:$H230)</f>
        <v>4.13229413366404E-005</v>
      </c>
      <c r="AD230" s="0" t="n">
        <f aca="false">AB230/AC230</f>
        <v>-0.115084265642476</v>
      </c>
      <c r="AE230" s="0" t="n">
        <f aca="false">M230-(AD230*W230)</f>
        <v>0.000745554916565769</v>
      </c>
      <c r="AF230" s="33" t="n">
        <f aca="false">MAX($E$4:E230)</f>
        <v>0.280129884293098</v>
      </c>
      <c r="AG230" s="0" t="n">
        <f aca="false">1 - ((1 + E230) / (1 + AF230))</f>
        <v>0.0976175812740202</v>
      </c>
      <c r="AH230" s="0" t="n">
        <f aca="false">MAX($AG$5:AG230)</f>
        <v>0.322303580832179</v>
      </c>
      <c r="AI230" s="19" t="n">
        <f aca="false">D230-s_p!H230</f>
        <v>-0.029244472971147</v>
      </c>
      <c r="AJ230" s="19" t="n">
        <f aca="false">AVERAGE(AI$4:AI230)</f>
        <v>0.0005274472002756</v>
      </c>
      <c r="AK230" s="0" t="n">
        <f aca="false">STDEV(AI$4:AI230)</f>
        <v>0.029915768430782</v>
      </c>
    </row>
    <row r="231" customFormat="false" ht="13.8" hidden="false" customHeight="false" outlineLevel="0" collapsed="false">
      <c r="A231" s="6" t="n">
        <f aca="false">WORKDAY(A230,1,holiday!$B$2:$B$10)</f>
        <v>39048</v>
      </c>
      <c r="B231" s="24" t="n">
        <v>1151354.65115762</v>
      </c>
      <c r="C231" s="24" t="n">
        <f aca="false">B231-B230</f>
        <v>-3812.05011419696</v>
      </c>
      <c r="D231" s="31" t="n">
        <f aca="false">C231/B230</f>
        <v>-0.00329999999999997</v>
      </c>
      <c r="E231" s="31" t="n">
        <f aca="false" t="array" ref="E231:E231">PRODUCT(1+$D$4:D231)-1</f>
        <v>0.151354651157617</v>
      </c>
      <c r="F231" s="0" t="n">
        <f aca="false">IF(ISBLANK(A232),MONTH(A231),IF(MONTH(A232)-MONTH(A231)=1,MONTH(A231),0))</f>
        <v>0</v>
      </c>
      <c r="G231" s="0" t="str">
        <f aca="false">IF(B232&gt;B231,IF(AND(B230&gt;B231,B232&gt;B231),"min",""),IF(AND(B230&gt;B231,B232&gt;B231),"",IF(AND(B230&lt;B231,B232&lt;B231),"max","")))</f>
        <v/>
      </c>
      <c r="H231" s="0" t="str">
        <f aca="false">IF(G231="min",COUNTIF(G$4:G231,"min"),IF(G231="max",COUNTIF(G$4:G231,"max"),""))</f>
        <v/>
      </c>
      <c r="I231" s="24" t="str">
        <f aca="false" t="array" ref="I231:I231">IF($G$3=0,IF(G231="min",INDEX($B$4:$B$254,(MATCH(1,($G$4:$G$254="max")*($H$4:$H$254=(H231-1)),0))),""),IF($G$3=1,IF(G231="min",INDEX($B$4:$B$254,(MATCH(1,($G$4:$G$254="max")*($H$4:$H$254=(H231)),0))),""),""))</f>
        <v/>
      </c>
      <c r="J231" s="29" t="str">
        <f aca="false">IF(AND(G229=0,G231="min",H231=1),B231-B230,IF(G231="min",B231-I231,""))</f>
        <v/>
      </c>
      <c r="K231" s="34" t="str">
        <f aca="false">IF(AND(G229=0,G231="min",H231=1),(B231-B230)/B230,IF(G231="min",(B231-I231)/I231,""))</f>
        <v/>
      </c>
      <c r="L231" s="5"/>
      <c r="M231" s="0" t="n">
        <f aca="false">E231/COUNT($E$4:E231)</f>
        <v>0.000663836189287795</v>
      </c>
      <c r="N231" s="19" t="n">
        <f aca="false">M231*252</f>
        <v>0.167286719700524</v>
      </c>
      <c r="O231" s="20" t="n">
        <f aca="false">STDEV($D$4:$D231)</f>
        <v>0.0289910963936496</v>
      </c>
      <c r="P231" s="20" t="n">
        <f aca="false">O231*SQRT(252)</f>
        <v>0.46021938775619</v>
      </c>
      <c r="Q231" s="0" t="n">
        <f aca="false">Treasuries!J229/100</f>
        <v>0.0454</v>
      </c>
      <c r="R231" s="20" t="n">
        <f aca="false">AJ231/AK231*SQRT(252)</f>
        <v>0.303122445899224</v>
      </c>
      <c r="S231" s="32" t="n">
        <f aca="false">IF(D231&lt;s_p!H231, D231-s_p!H231, 0)</f>
        <v>0</v>
      </c>
      <c r="T231" s="0" t="n">
        <f aca="false">S231^2</f>
        <v>0</v>
      </c>
      <c r="U231" s="0" t="n">
        <f aca="false">SQRT(AVERAGE(T$4:T231)) * SQRT(252)</f>
        <v>0.333767055883345</v>
      </c>
      <c r="V231" s="0" t="n">
        <f aca="false">AJ231/U231*252</f>
        <v>0.430444810250705</v>
      </c>
      <c r="W231" s="22" t="n">
        <f aca="false">(s_p!$J231)/COUNT(s_p!$J$4:$J231)</f>
        <v>0.000469660038792723</v>
      </c>
      <c r="X231" s="22" t="n">
        <f aca="false">W231 * 252</f>
        <v>0.118354329775766</v>
      </c>
      <c r="Y231" s="21" t="n">
        <f aca="false">STDEV(s_p!$H$4:$H231)</f>
        <v>0.00648158169560141</v>
      </c>
      <c r="Z231" s="21" t="n">
        <f aca="false">Y231*SQRT(252)</f>
        <v>0.102891919613458</v>
      </c>
      <c r="AA231" s="0" t="n">
        <f aca="false">AJ231/AK231</f>
        <v>0.0190949192535948</v>
      </c>
      <c r="AB231" s="0" t="n">
        <f aca="false">_xlfn.COVARIANCE.S($D$4:$D231,s_p!$H$4:$H231)</f>
        <v>-4.46556747875235E-006</v>
      </c>
      <c r="AC231" s="0" t="n">
        <f aca="false">_xlfn.VAR.S(s_p!$H$4:$H231)</f>
        <v>4.20109012767553E-005</v>
      </c>
      <c r="AD231" s="0" t="n">
        <f aca="false">AB231/AC231</f>
        <v>-0.106295445778098</v>
      </c>
      <c r="AE231" s="0" t="n">
        <f aca="false">M231-(AD231*W231)</f>
        <v>0.000713758912475427</v>
      </c>
      <c r="AF231" s="33" t="n">
        <f aca="false">MAX($E$4:E231)</f>
        <v>0.280129884293098</v>
      </c>
      <c r="AG231" s="0" t="n">
        <f aca="false">1 - ((1 + E231) / (1 + AF231))</f>
        <v>0.100595443255816</v>
      </c>
      <c r="AH231" s="0" t="n">
        <f aca="false">MAX($AG$5:AG231)</f>
        <v>0.322303580832179</v>
      </c>
      <c r="AI231" s="19" t="n">
        <f aca="false">D231-s_p!H231</f>
        <v>0.0102550876191156</v>
      </c>
      <c r="AJ231" s="19" t="n">
        <f aca="false">AVERAGE(AI$4:AI231)</f>
        <v>0.000570112289831916</v>
      </c>
      <c r="AK231" s="0" t="n">
        <f aca="false">STDEV(AI$4:AI231)</f>
        <v>0.0298567531111496</v>
      </c>
    </row>
    <row r="232" customFormat="false" ht="13.8" hidden="false" customHeight="false" outlineLevel="0" collapsed="false">
      <c r="A232" s="6" t="n">
        <f aca="false">WORKDAY(A231,1,holiday!$B$2:$B$10)</f>
        <v>39049</v>
      </c>
      <c r="B232" s="24" t="n">
        <v>1141107.59476231</v>
      </c>
      <c r="C232" s="24" t="n">
        <f aca="false">B232-B231</f>
        <v>-10247.0563953028</v>
      </c>
      <c r="D232" s="31" t="n">
        <f aca="false">C232/B231</f>
        <v>-0.00889999999999997</v>
      </c>
      <c r="E232" s="31" t="n">
        <f aca="false" t="array" ref="E232:E232">PRODUCT(1+$D$4:D232)-1</f>
        <v>0.141107594762314</v>
      </c>
      <c r="F232" s="0" t="n">
        <f aca="false">IF(ISBLANK(A233),MONTH(A232),IF(MONTH(A233)-MONTH(A232)=1,MONTH(A232),0))</f>
        <v>0</v>
      </c>
      <c r="G232" s="0" t="str">
        <f aca="false">IF(B233&gt;B232,IF(AND(B231&gt;B232,B233&gt;B232),"min",""),IF(AND(B231&gt;B232,B233&gt;B232),"",IF(AND(B231&lt;B232,B233&lt;B232),"max","")))</f>
        <v/>
      </c>
      <c r="H232" s="0" t="str">
        <f aca="false">IF(G232="min",COUNTIF(G$4:G232,"min"),IF(G232="max",COUNTIF(G$4:G232,"max"),""))</f>
        <v/>
      </c>
      <c r="I232" s="24" t="str">
        <f aca="false" t="array" ref="I232:I232">IF($G$3=0,IF(G232="min",INDEX($B$4:$B$254,(MATCH(1,($G$4:$G$254="max")*($H$4:$H$254=(H232-1)),0))),""),IF($G$3=1,IF(G232="min",INDEX($B$4:$B$254,(MATCH(1,($G$4:$G$254="max")*($H$4:$H$254=(H232)),0))),""),""))</f>
        <v/>
      </c>
      <c r="J232" s="29" t="str">
        <f aca="false">IF(AND(G230=0,G232="min",H232=1),B232-B231,IF(G232="min",B232-I232,""))</f>
        <v/>
      </c>
      <c r="K232" s="34" t="str">
        <f aca="false">IF(AND(G230=0,G232="min",H232=1),(B232-B231)/B231,IF(G232="min",(B232-I232)/I232,""))</f>
        <v/>
      </c>
      <c r="L232" s="5"/>
      <c r="M232" s="0" t="n">
        <f aca="false">E232/COUNT($E$4:E232)</f>
        <v>0.000616190370141111</v>
      </c>
      <c r="N232" s="19" t="n">
        <f aca="false">M232*252</f>
        <v>0.15527997327556</v>
      </c>
      <c r="O232" s="20" t="n">
        <f aca="false">STDEV($D$4:$D232)</f>
        <v>0.0289349020898977</v>
      </c>
      <c r="P232" s="20" t="n">
        <f aca="false">O232*SQRT(252)</f>
        <v>0.459327330839234</v>
      </c>
      <c r="Q232" s="0" t="n">
        <f aca="false">Treasuries!J230/100</f>
        <v>0.0451</v>
      </c>
      <c r="R232" s="20" t="n">
        <f aca="false">AJ232/AK232*SQRT(252)</f>
        <v>0.27362646408347</v>
      </c>
      <c r="S232" s="32" t="n">
        <f aca="false">IF(D232&lt;s_p!H232, D232-s_p!H232, 0)</f>
        <v>-0.0123443833396045</v>
      </c>
      <c r="T232" s="0" t="n">
        <f aca="false">S232^2</f>
        <v>0.000152383800035105</v>
      </c>
      <c r="U232" s="0" t="n">
        <f aca="false">SQRT(AVERAGE(T$4:T232)) * SQRT(252)</f>
        <v>0.333289170960545</v>
      </c>
      <c r="V232" s="0" t="n">
        <f aca="false">AJ232/U232*252</f>
        <v>0.38842159784077</v>
      </c>
      <c r="W232" s="22" t="n">
        <f aca="false">(s_p!$J232)/COUNT(s_p!$J$4:$J232)</f>
        <v>0.000484260721942732</v>
      </c>
      <c r="X232" s="22" t="n">
        <f aca="false">W232 * 252</f>
        <v>0.122033701929568</v>
      </c>
      <c r="Y232" s="21" t="n">
        <f aca="false">STDEV(s_p!$H$4:$H232)</f>
        <v>0.00647034384914307</v>
      </c>
      <c r="Z232" s="21" t="n">
        <f aca="false">Y232*SQRT(252)</f>
        <v>0.102713524331454</v>
      </c>
      <c r="AA232" s="0" t="n">
        <f aca="false">AJ232/AK232</f>
        <v>0.0172368470497812</v>
      </c>
      <c r="AB232" s="0" t="n">
        <f aca="false">_xlfn.COVARIANCE.S($D$4:$D232,s_p!$H$4:$H232)</f>
        <v>-4.57517563222311E-006</v>
      </c>
      <c r="AC232" s="0" t="n">
        <f aca="false">_xlfn.VAR.S(s_p!$H$4:$H232)</f>
        <v>4.18653495261437E-005</v>
      </c>
      <c r="AD232" s="0" t="n">
        <f aca="false">AB232/AC232</f>
        <v>-0.109283110830498</v>
      </c>
      <c r="AE232" s="0" t="n">
        <f aca="false">M232-(AD232*W232)</f>
        <v>0.000669111888288036</v>
      </c>
      <c r="AF232" s="33" t="n">
        <f aca="false">MAX($E$4:E232)</f>
        <v>0.280129884293098</v>
      </c>
      <c r="AG232" s="0" t="n">
        <f aca="false">1 - ((1 + E232) / (1 + AF232))</f>
        <v>0.108600143810839</v>
      </c>
      <c r="AH232" s="0" t="n">
        <f aca="false">MAX($AG$5:AG232)</f>
        <v>0.322303580832179</v>
      </c>
      <c r="AI232" s="19" t="n">
        <f aca="false">D232-s_p!H232</f>
        <v>-0.0123443833396045</v>
      </c>
      <c r="AJ232" s="19" t="n">
        <f aca="false">AVERAGE(AI$4:AI232)</f>
        <v>0.000513717112410796</v>
      </c>
      <c r="AK232" s="0" t="n">
        <f aca="false">STDEV(AI$4:AI232)</f>
        <v>0.0298034269798383</v>
      </c>
    </row>
    <row r="233" customFormat="false" ht="13.8" hidden="false" customHeight="false" outlineLevel="0" collapsed="false">
      <c r="A233" s="6" t="n">
        <f aca="false">WORKDAY(A232,1,holiday!$B$2:$B$10)</f>
        <v>39050</v>
      </c>
      <c r="B233" s="24" t="n">
        <v>1126387.30678988</v>
      </c>
      <c r="C233" s="24" t="n">
        <f aca="false">B233-B232</f>
        <v>-14720.287972434</v>
      </c>
      <c r="D233" s="31" t="n">
        <f aca="false">C233/B232</f>
        <v>-0.0129000000000001</v>
      </c>
      <c r="E233" s="31" t="n">
        <f aca="false" t="array" ref="E233:E233">PRODUCT(1+$D$4:D233)-1</f>
        <v>0.12638730678988</v>
      </c>
      <c r="F233" s="0" t="n">
        <f aca="false">IF(ISBLANK(A234),MONTH(A233),IF(MONTH(A234)-MONTH(A233)=1,MONTH(A233),0))</f>
        <v>0</v>
      </c>
      <c r="G233" s="0" t="str">
        <f aca="false">IF(B234&gt;B233,IF(AND(B232&gt;B233,B234&gt;B233),"min",""),IF(AND(B232&gt;B233,B234&gt;B233),"",IF(AND(B232&lt;B233,B234&lt;B233),"max","")))</f>
        <v/>
      </c>
      <c r="H233" s="0" t="str">
        <f aca="false">IF(G233="min",COUNTIF(G$4:G233,"min"),IF(G233="max",COUNTIF(G$4:G233,"max"),""))</f>
        <v/>
      </c>
      <c r="I233" s="24" t="str">
        <f aca="false" t="array" ref="I233:I233">IF($G$3=0,IF(G233="min",INDEX($B$4:$B$254,(MATCH(1,($G$4:$G$254="max")*($H$4:$H$254=(H233-1)),0))),""),IF($G$3=1,IF(G233="min",INDEX($B$4:$B$254,(MATCH(1,($G$4:$G$254="max")*($H$4:$H$254=(H233)),0))),""),""))</f>
        <v/>
      </c>
      <c r="J233" s="29" t="str">
        <f aca="false">IF(AND(G231=0,G233="min",H233=1),B233-B232,IF(G233="min",B233-I233,""))</f>
        <v/>
      </c>
      <c r="K233" s="34" t="str">
        <f aca="false">IF(AND(G231=0,G233="min",H233=1),(B233-B232)/B232,IF(G233="min",(B233-I233)/I233,""))</f>
        <v/>
      </c>
      <c r="L233" s="5"/>
      <c r="M233" s="0" t="n">
        <f aca="false">E233/COUNT($E$4:E233)</f>
        <v>0.000549510029521219</v>
      </c>
      <c r="N233" s="19" t="n">
        <f aca="false">M233*252</f>
        <v>0.138476527439347</v>
      </c>
      <c r="O233" s="20" t="n">
        <f aca="false">STDEV($D$4:$D233)</f>
        <v>0.0288861877675831</v>
      </c>
      <c r="P233" s="20" t="n">
        <f aca="false">O233*SQRT(252)</f>
        <v>0.458554014946446</v>
      </c>
      <c r="Q233" s="0" t="n">
        <f aca="false">Treasuries!J231/100</f>
        <v>0.0452</v>
      </c>
      <c r="R233" s="20" t="n">
        <f aca="false">AJ233/AK233*SQRT(252)</f>
        <v>0.221459782339611</v>
      </c>
      <c r="S233" s="32" t="n">
        <f aca="false">IF(D233&lt;s_p!H233, D233-s_p!H233, 0)</f>
        <v>-0.0221015691704167</v>
      </c>
      <c r="T233" s="0" t="n">
        <f aca="false">S233^2</f>
        <v>0.000488479359794713</v>
      </c>
      <c r="U233" s="0" t="n">
        <f aca="false">SQRT(AVERAGE(T$4:T233)) * SQRT(252)</f>
        <v>0.333367531656874</v>
      </c>
      <c r="V233" s="0" t="n">
        <f aca="false">AJ233/U233*252</f>
        <v>0.314002459171151</v>
      </c>
      <c r="W233" s="22" t="n">
        <f aca="false">(s_p!$J233)/COUNT(s_p!$J$4:$J233)</f>
        <v>0.000526598647819788</v>
      </c>
      <c r="X233" s="22" t="n">
        <f aca="false">W233 * 252</f>
        <v>0.132702859250587</v>
      </c>
      <c r="Y233" s="21" t="n">
        <f aca="false">STDEV(s_p!$H$4:$H233)</f>
        <v>0.00648176205182364</v>
      </c>
      <c r="Z233" s="21" t="n">
        <f aca="false">Y233*SQRT(252)</f>
        <v>0.102894782679727</v>
      </c>
      <c r="AA233" s="0" t="n">
        <f aca="false">AJ233/AK233</f>
        <v>0.0139506549874549</v>
      </c>
      <c r="AB233" s="0" t="n">
        <f aca="false">_xlfn.COVARIANCE.S($D$4:$D233,s_p!$H$4:$H233)</f>
        <v>-5.08204078148661E-006</v>
      </c>
      <c r="AC233" s="0" t="n">
        <f aca="false">_xlfn.VAR.S(s_p!$H$4:$H233)</f>
        <v>4.2013239296461E-005</v>
      </c>
      <c r="AD233" s="0" t="n">
        <f aca="false">AB233/AC233</f>
        <v>-0.120962840918451</v>
      </c>
      <c r="AE233" s="0" t="n">
        <f aca="false">M233-(AD233*W233)</f>
        <v>0.000613208897985315</v>
      </c>
      <c r="AF233" s="33" t="n">
        <f aca="false">MAX($E$4:E233)</f>
        <v>0.280129884293098</v>
      </c>
      <c r="AG233" s="0" t="n">
        <f aca="false">1 - ((1 + E233) / (1 + AF233))</f>
        <v>0.12009920195568</v>
      </c>
      <c r="AH233" s="0" t="n">
        <f aca="false">MAX($AG$5:AG233)</f>
        <v>0.322303580832179</v>
      </c>
      <c r="AI233" s="19" t="n">
        <f aca="false">D233-s_p!H233</f>
        <v>-0.0221015691704167</v>
      </c>
      <c r="AJ233" s="19" t="n">
        <f aca="false">AVERAGE(AI$4:AI233)</f>
        <v>0.000415389780746329</v>
      </c>
      <c r="AK233" s="0" t="n">
        <f aca="false">STDEV(AI$4:AI233)</f>
        <v>0.029775647173546</v>
      </c>
    </row>
    <row r="234" customFormat="false" ht="13.8" hidden="false" customHeight="false" outlineLevel="0" collapsed="false">
      <c r="A234" s="6" t="n">
        <f aca="false">WORKDAY(A233,1,holiday!$B$2:$B$10)</f>
        <v>39051</v>
      </c>
      <c r="B234" s="24" t="n">
        <v>1098002.34665878</v>
      </c>
      <c r="C234" s="24" t="n">
        <f aca="false">B234-B233</f>
        <v>-28384.960131105</v>
      </c>
      <c r="D234" s="31" t="n">
        <f aca="false">C234/B233</f>
        <v>-0.0252</v>
      </c>
      <c r="E234" s="31" t="n">
        <f aca="false" t="array" ref="E234:E234">PRODUCT(1+$D$4:D234)-1</f>
        <v>0.0980023466587754</v>
      </c>
      <c r="F234" s="0" t="n">
        <f aca="false">IF(ISBLANK(A235),MONTH(A234),IF(MONTH(A235)-MONTH(A234)=1,MONTH(A234),0))</f>
        <v>11</v>
      </c>
      <c r="G234" s="0" t="str">
        <f aca="false">IF(B235&gt;B234,IF(AND(B233&gt;B234,B235&gt;B234),"min",""),IF(AND(B233&gt;B234,B235&gt;B234),"",IF(AND(B233&lt;B234,B235&lt;B234),"max","")))</f>
        <v>min</v>
      </c>
      <c r="H234" s="0" t="n">
        <f aca="false">IF(G234="min",COUNTIF(G$4:G234,"min"),IF(G234="max",COUNTIF(G$4:G234,"max"),""))</f>
        <v>57</v>
      </c>
      <c r="I234" s="24" t="n">
        <f aca="false" t="array" ref="I234:I234">IF($G$3=0,IF(G234="min",INDEX($B$4:$B$254,(MATCH(1,($G$4:$G$254="max")*($H$4:$H$254=(H234-1)),0))),""),IF($G$3=1,IF(G234="min",INDEX($B$4:$B$254,(MATCH(1,($G$4:$G$254="max")*($H$4:$H$254=(H234)),0))),""),""))</f>
        <v>1221458.82621573</v>
      </c>
      <c r="J234" s="29" t="n">
        <f aca="false">IF(AND(G232=0,G234="min",H234=1),B234-B233,IF(G234="min",B234-I234,""))</f>
        <v>-123456.47955695</v>
      </c>
      <c r="K234" s="34" t="n">
        <f aca="false">IF(AND(G232=0,G234="min",H234=1),(B234-B233)/B233,IF(G234="min",(B234-I234)/I234,""))</f>
        <v>-0.10107297676127</v>
      </c>
      <c r="L234" s="5"/>
      <c r="M234" s="0" t="n">
        <f aca="false">E234/COUNT($E$4:E234)</f>
        <v>0.000424252582938422</v>
      </c>
      <c r="N234" s="19" t="n">
        <f aca="false">M234*252</f>
        <v>0.106911650900482</v>
      </c>
      <c r="O234" s="20" t="n">
        <f aca="false">STDEV($D$4:$D234)</f>
        <v>0.0288745648845285</v>
      </c>
      <c r="P234" s="20" t="n">
        <f aca="false">O234*SQRT(252)</f>
        <v>0.458369507397965</v>
      </c>
      <c r="Q234" s="0" t="n">
        <f aca="false">Treasuries!J232/100</f>
        <v>0.0446</v>
      </c>
      <c r="R234" s="20" t="n">
        <f aca="false">AJ234/AK234*SQRT(252)</f>
        <v>0.16051919976638</v>
      </c>
      <c r="S234" s="32" t="n">
        <f aca="false">IF(D234&lt;s_p!H234, D234-s_p!H234, 0)</f>
        <v>-0.0260217337868353</v>
      </c>
      <c r="T234" s="0" t="n">
        <f aca="false">S234^2</f>
        <v>0.000677130629272923</v>
      </c>
      <c r="U234" s="0" t="n">
        <f aca="false">SQRT(AVERAGE(T$4:T234)) * SQRT(252)</f>
        <v>0.33375365157505</v>
      </c>
      <c r="V234" s="0" t="n">
        <f aca="false">AJ234/U234*252</f>
        <v>0.227226656406064</v>
      </c>
      <c r="W234" s="22" t="n">
        <f aca="false">(s_p!$J234)/COUNT(s_p!$J$4:$J234)</f>
        <v>0.000528307139751602</v>
      </c>
      <c r="X234" s="22" t="n">
        <f aca="false">W234 * 252</f>
        <v>0.133133399217404</v>
      </c>
      <c r="Y234" s="21" t="n">
        <f aca="false">STDEV(s_p!$H$4:$H234)</f>
        <v>0.00646768677155086</v>
      </c>
      <c r="Z234" s="21" t="n">
        <f aca="false">Y234*SQRT(252)</f>
        <v>0.102671344532315</v>
      </c>
      <c r="AA234" s="0" t="n">
        <f aca="false">AJ234/AK234</f>
        <v>0.0101117591245938</v>
      </c>
      <c r="AB234" s="0" t="n">
        <f aca="false">_xlfn.COVARIANCE.S($D$4:$D234,s_p!$H$4:$H234)</f>
        <v>-5.094296934781E-006</v>
      </c>
      <c r="AC234" s="0" t="n">
        <f aca="false">_xlfn.VAR.S(s_p!$H$4:$H234)</f>
        <v>4.1830972174894E-005</v>
      </c>
      <c r="AD234" s="0" t="n">
        <f aca="false">AB234/AC234</f>
        <v>-0.12178289601977</v>
      </c>
      <c r="AE234" s="0" t="n">
        <f aca="false">M234-(AD234*W234)</f>
        <v>0.000488591356405293</v>
      </c>
      <c r="AF234" s="33" t="n">
        <f aca="false">MAX($E$4:E234)</f>
        <v>0.280129884293098</v>
      </c>
      <c r="AG234" s="0" t="n">
        <f aca="false">1 - ((1 + E234) / (1 + AF234))</f>
        <v>0.142272702066397</v>
      </c>
      <c r="AH234" s="0" t="n">
        <f aca="false">MAX($AG$5:AG234)</f>
        <v>0.322303580832179</v>
      </c>
      <c r="AI234" s="19" t="n">
        <f aca="false">D234-s_p!H234</f>
        <v>-0.0260217337868353</v>
      </c>
      <c r="AJ234" s="19" t="n">
        <f aca="false">AVERAGE(AI$4:AI234)</f>
        <v>0.000300943358375845</v>
      </c>
      <c r="AK234" s="0" t="n">
        <f aca="false">STDEV(AI$4:AI234)</f>
        <v>0.0297617214440849</v>
      </c>
    </row>
    <row r="235" customFormat="false" ht="13.8" hidden="false" customHeight="false" outlineLevel="0" collapsed="false">
      <c r="A235" s="6" t="n">
        <f aca="false">WORKDAY(A234,1,holiday!$B$2:$B$10)</f>
        <v>39052</v>
      </c>
      <c r="B235" s="24" t="n">
        <v>1150706.4592984</v>
      </c>
      <c r="C235" s="24" t="n">
        <f aca="false">B235-B234</f>
        <v>52704.1126396211</v>
      </c>
      <c r="D235" s="31" t="n">
        <f aca="false">C235/B234</f>
        <v>0.0479999999999999</v>
      </c>
      <c r="E235" s="31" t="n">
        <f aca="false" t="array" ref="E235:E235">PRODUCT(1+$D$4:D235)-1</f>
        <v>0.150706459298396</v>
      </c>
      <c r="F235" s="0" t="n">
        <f aca="false">IF(ISBLANK(A236),MONTH(A235),IF(MONTH(A236)-MONTH(A235)=1,MONTH(A235),0))</f>
        <v>0</v>
      </c>
      <c r="G235" s="0" t="str">
        <f aca="false">IF(B236&gt;B235,IF(AND(B234&gt;B235,B236&gt;B235),"min",""),IF(AND(B234&gt;B235,B236&gt;B235),"",IF(AND(B234&lt;B235,B236&lt;B235),"max","")))</f>
        <v>max</v>
      </c>
      <c r="H235" s="0" t="n">
        <f aca="false">IF(G235="min",COUNTIF(G$4:G235,"min"),IF(G235="max",COUNTIF(G$4:G235,"max"),""))</f>
        <v>57</v>
      </c>
      <c r="I235" s="24" t="str">
        <f aca="false" t="array" ref="I235:I235">IF($G$3=0,IF(G235="min",INDEX($B$4:$B$254,(MATCH(1,($G$4:$G$254="max")*($H$4:$H$254=(H235-1)),0))),""),IF($G$3=1,IF(G235="min",INDEX($B$4:$B$254,(MATCH(1,($G$4:$G$254="max")*($H$4:$H$254=(H235)),0))),""),""))</f>
        <v/>
      </c>
      <c r="J235" s="29" t="str">
        <f aca="false">IF(AND(G233=0,G235="min",H235=1),B235-B234,IF(G235="min",B235-I235,""))</f>
        <v/>
      </c>
      <c r="K235" s="34" t="str">
        <f aca="false">IF(AND(G233=0,G235="min",H235=1),(B235-B234)/B234,IF(G235="min",(B235-I235)/I235,""))</f>
        <v/>
      </c>
      <c r="L235" s="5"/>
      <c r="M235" s="0" t="n">
        <f aca="false">E235/COUNT($E$4:E235)</f>
        <v>0.000649596807320674</v>
      </c>
      <c r="N235" s="19" t="n">
        <f aca="false">M235*252</f>
        <v>0.16369839544481</v>
      </c>
      <c r="O235" s="20" t="n">
        <f aca="false">STDEV($D$4:$D235)</f>
        <v>0.0289780211989425</v>
      </c>
      <c r="P235" s="20" t="n">
        <f aca="false">O235*SQRT(252)</f>
        <v>0.460011825474958</v>
      </c>
      <c r="Q235" s="0" t="n">
        <f aca="false">Treasuries!J233/100</f>
        <v>0.0443</v>
      </c>
      <c r="R235" s="20" t="n">
        <f aca="false">AJ235/AK235*SQRT(252)</f>
        <v>0.27550689303307</v>
      </c>
      <c r="S235" s="32" t="n">
        <f aca="false">IF(D235&lt;s_p!H235, D235-s_p!H235, 0)</f>
        <v>0</v>
      </c>
      <c r="T235" s="0" t="n">
        <f aca="false">S235^2</f>
        <v>0</v>
      </c>
      <c r="U235" s="0" t="n">
        <f aca="false">SQRT(AVERAGE(T$4:T235)) * SQRT(252)</f>
        <v>0.333033578133013</v>
      </c>
      <c r="V235" s="0" t="n">
        <f aca="false">AJ235/U235*252</f>
        <v>0.392419234816368</v>
      </c>
      <c r="W235" s="22" t="n">
        <f aca="false">(s_p!$J235)/COUNT(s_p!$J$4:$J235)</f>
        <v>0.000512494195507737</v>
      </c>
      <c r="X235" s="22" t="n">
        <f aca="false">W235 * 252</f>
        <v>0.12914853726795</v>
      </c>
      <c r="Y235" s="21" t="n">
        <f aca="false">STDEV(s_p!$H$4:$H235)</f>
        <v>0.00645734798051468</v>
      </c>
      <c r="Z235" s="21" t="n">
        <f aca="false">Y235*SQRT(252)</f>
        <v>0.102507221312682</v>
      </c>
      <c r="AA235" s="0" t="n">
        <f aca="false">AJ235/AK235</f>
        <v>0.0173553029392757</v>
      </c>
      <c r="AB235" s="0" t="n">
        <f aca="false">_xlfn.COVARIANCE.S($D$4:$D235,s_p!$H$4:$H235)</f>
        <v>-5.74702328122891E-006</v>
      </c>
      <c r="AC235" s="0" t="n">
        <f aca="false">_xlfn.VAR.S(s_p!$H$4:$H235)</f>
        <v>4.1697342941457E-005</v>
      </c>
      <c r="AD235" s="0" t="n">
        <f aca="false">AB235/AC235</f>
        <v>-0.137827086231795</v>
      </c>
      <c r="AE235" s="0" t="n">
        <f aca="false">M235-(AD235*W235)</f>
        <v>0.000720232388998213</v>
      </c>
      <c r="AF235" s="33" t="n">
        <f aca="false">MAX($E$4:E235)</f>
        <v>0.280129884293098</v>
      </c>
      <c r="AG235" s="0" t="n">
        <f aca="false">1 - ((1 + E235) / (1 + AF235))</f>
        <v>0.101101791765584</v>
      </c>
      <c r="AH235" s="0" t="n">
        <f aca="false">MAX($AG$5:AG235)</f>
        <v>0.322303580832179</v>
      </c>
      <c r="AI235" s="19" t="n">
        <f aca="false">D235-s_p!H235</f>
        <v>0.0507987405667449</v>
      </c>
      <c r="AJ235" s="19" t="n">
        <f aca="false">AVERAGE(AI$4:AI235)</f>
        <v>0.000518606277377436</v>
      </c>
      <c r="AK235" s="0" t="n">
        <f aca="false">STDEV(AI$4:AI235)</f>
        <v>0.0298817185267225</v>
      </c>
    </row>
    <row r="236" customFormat="false" ht="13.8" hidden="false" customHeight="false" outlineLevel="0" collapsed="false">
      <c r="A236" s="6" t="n">
        <f aca="false">WORKDAY(A235,1,holiday!$B$2:$B$10)</f>
        <v>39055</v>
      </c>
      <c r="B236" s="24" t="n">
        <v>1115379.77099794</v>
      </c>
      <c r="C236" s="24" t="n">
        <f aca="false">B236-B235</f>
        <v>-35326.6883004608</v>
      </c>
      <c r="D236" s="31" t="n">
        <f aca="false">C236/B235</f>
        <v>-0.0307</v>
      </c>
      <c r="E236" s="31" t="n">
        <f aca="false" t="array" ref="E236:E236">PRODUCT(1+$D$4:D236)-1</f>
        <v>0.115379770997936</v>
      </c>
      <c r="F236" s="0" t="n">
        <f aca="false">IF(ISBLANK(A237),MONTH(A236),IF(MONTH(A237)-MONTH(A236)=1,MONTH(A236),0))</f>
        <v>0</v>
      </c>
      <c r="G236" s="0" t="str">
        <f aca="false">IF(B237&gt;B236,IF(AND(B235&gt;B236,B237&gt;B236),"min",""),IF(AND(B235&gt;B236,B237&gt;B236),"",IF(AND(B235&lt;B236,B237&lt;B236),"max","")))</f>
        <v/>
      </c>
      <c r="H236" s="0" t="str">
        <f aca="false">IF(G236="min",COUNTIF(G$4:G236,"min"),IF(G236="max",COUNTIF(G$4:G236,"max"),""))</f>
        <v/>
      </c>
      <c r="I236" s="24" t="str">
        <f aca="false" t="array" ref="I236:I236">IF($G$3=0,IF(G236="min",INDEX($B$4:$B$254,(MATCH(1,($G$4:$G$254="max")*($H$4:$H$254=(H236-1)),0))),""),IF($G$3=1,IF(G236="min",INDEX($B$4:$B$254,(MATCH(1,($G$4:$G$254="max")*($H$4:$H$254=(H236)),0))),""),""))</f>
        <v/>
      </c>
      <c r="J236" s="29" t="str">
        <f aca="false">IF(AND(G234=0,G236="min",H236=1),B236-B235,IF(G236="min",B236-I236,""))</f>
        <v/>
      </c>
      <c r="K236" s="34" t="str">
        <f aca="false">IF(AND(G234=0,G236="min",H236=1),(B236-B235)/B235,IF(G236="min",(B236-I236)/I236,""))</f>
        <v/>
      </c>
      <c r="L236" s="5"/>
      <c r="M236" s="0" t="n">
        <f aca="false">E236/COUNT($E$4:E236)</f>
        <v>0.000495192150205733</v>
      </c>
      <c r="N236" s="19" t="n">
        <f aca="false">M236*252</f>
        <v>0.124788421851845</v>
      </c>
      <c r="O236" s="20" t="n">
        <f aca="false">STDEV($D$4:$D236)</f>
        <v>0.0289900929797116</v>
      </c>
      <c r="P236" s="20" t="n">
        <f aca="false">O236*SQRT(252)</f>
        <v>0.460203459053739</v>
      </c>
      <c r="Q236" s="0" t="n">
        <f aca="false">Treasuries!J234/100</f>
        <v>0.0443</v>
      </c>
      <c r="R236" s="20" t="n">
        <f aca="false">AJ236/AK236*SQRT(252)</f>
        <v>0.183755503677886</v>
      </c>
      <c r="S236" s="32" t="n">
        <f aca="false">IF(D236&lt;s_p!H236, D236-s_p!H236, 0)</f>
        <v>-0.0395851658540425</v>
      </c>
      <c r="T236" s="0" t="n">
        <f aca="false">S236^2</f>
        <v>0.00156698535569205</v>
      </c>
      <c r="U236" s="0" t="n">
        <f aca="false">SQRT(AVERAGE(T$4:T236)) * SQRT(252)</f>
        <v>0.334858350654431</v>
      </c>
      <c r="V236" s="0" t="n">
        <f aca="false">AJ236/U236*252</f>
        <v>0.260751284585872</v>
      </c>
      <c r="W236" s="22" t="n">
        <f aca="false">(s_p!$J236)/COUNT(s_p!$J$4:$J236)</f>
        <v>0.00055296246123066</v>
      </c>
      <c r="X236" s="22" t="n">
        <f aca="false">W236 * 252</f>
        <v>0.139346540230126</v>
      </c>
      <c r="Y236" s="21" t="n">
        <f aca="false">STDEV(s_p!$H$4:$H236)</f>
        <v>0.00646676193949587</v>
      </c>
      <c r="Z236" s="21" t="n">
        <f aca="false">Y236*SQRT(252)</f>
        <v>0.102656663278583</v>
      </c>
      <c r="AA236" s="0" t="n">
        <f aca="false">AJ236/AK236</f>
        <v>0.0115755086850262</v>
      </c>
      <c r="AB236" s="0" t="n">
        <f aca="false">_xlfn.COVARIANCE.S($D$4:$D236,s_p!$H$4:$H236)</f>
        <v>-6.86322473338188E-006</v>
      </c>
      <c r="AC236" s="0" t="n">
        <f aca="false">_xlfn.VAR.S(s_p!$H$4:$H236)</f>
        <v>4.18190099821125E-005</v>
      </c>
      <c r="AD236" s="0" t="n">
        <f aca="false">AB236/AC236</f>
        <v>-0.164117341283726</v>
      </c>
      <c r="AE236" s="0" t="n">
        <f aca="false">M236-(AD236*W236)</f>
        <v>0.000585942879172614</v>
      </c>
      <c r="AF236" s="33" t="n">
        <f aca="false">MAX($E$4:E236)</f>
        <v>0.280129884293098</v>
      </c>
      <c r="AG236" s="0" t="n">
        <f aca="false">1 - ((1 + E236) / (1 + AF236))</f>
        <v>0.12869796675838</v>
      </c>
      <c r="AH236" s="0" t="n">
        <f aca="false">MAX($AG$5:AG236)</f>
        <v>0.322303580832179</v>
      </c>
      <c r="AI236" s="19" t="n">
        <f aca="false">D236-s_p!H236</f>
        <v>-0.0395851658540426</v>
      </c>
      <c r="AJ236" s="19" t="n">
        <f aca="false">AVERAGE(AI$4:AI236)</f>
        <v>0.000346487083680354</v>
      </c>
      <c r="AK236" s="0" t="n">
        <f aca="false">STDEV(AI$4:AI236)</f>
        <v>0.0299327738511017</v>
      </c>
    </row>
    <row r="237" customFormat="false" ht="13.8" hidden="false" customHeight="false" outlineLevel="0" collapsed="false">
      <c r="A237" s="6" t="n">
        <f aca="false">WORKDAY(A236,1,holiday!$B$2:$B$10)</f>
        <v>39056</v>
      </c>
      <c r="B237" s="24" t="n">
        <v>1075560.71317331</v>
      </c>
      <c r="C237" s="24" t="n">
        <f aca="false">B237-B236</f>
        <v>-39819.0578246263</v>
      </c>
      <c r="D237" s="31" t="n">
        <f aca="false">C237/B236</f>
        <v>-0.0357</v>
      </c>
      <c r="E237" s="31" t="n">
        <f aca="false" t="array" ref="E237:E237">PRODUCT(1+$D$4:D237)-1</f>
        <v>0.0755607131733096</v>
      </c>
      <c r="F237" s="0" t="n">
        <f aca="false">IF(ISBLANK(A238),MONTH(A237),IF(MONTH(A238)-MONTH(A237)=1,MONTH(A237),0))</f>
        <v>0</v>
      </c>
      <c r="G237" s="0" t="str">
        <f aca="false">IF(B238&gt;B237,IF(AND(B236&gt;B237,B238&gt;B237),"min",""),IF(AND(B236&gt;B237,B238&gt;B237),"",IF(AND(B236&lt;B237,B238&lt;B237),"max","")))</f>
        <v>min</v>
      </c>
      <c r="H237" s="0" t="n">
        <f aca="false">IF(G237="min",COUNTIF(G$4:G237,"min"),IF(G237="max",COUNTIF(G$4:G237,"max"),""))</f>
        <v>58</v>
      </c>
      <c r="I237" s="24" t="n">
        <f aca="false" t="array" ref="I237:I237">IF($G$3=0,IF(G237="min",INDEX($B$4:$B$254,(MATCH(1,($G$4:$G$254="max")*($H$4:$H$254=(H237-1)),0))),""),IF($G$3=1,IF(G237="min",INDEX($B$4:$B$254,(MATCH(1,($G$4:$G$254="max")*($H$4:$H$254=(H237)),0))),""),""))</f>
        <v>1150706.4592984</v>
      </c>
      <c r="J237" s="29" t="n">
        <f aca="false">IF(AND(G235=0,G237="min",H237=1),B237-B236,IF(G237="min",B237-I237,""))</f>
        <v>-75145.7461250899</v>
      </c>
      <c r="K237" s="34" t="n">
        <f aca="false">IF(AND(G235=0,G237="min",H237=1),(B237-B236)/B236,IF(G237="min",(B237-I237)/I237,""))</f>
        <v>-0.0653040100000023</v>
      </c>
      <c r="L237" s="5"/>
      <c r="M237" s="0" t="n">
        <f aca="false">E237/COUNT($E$4:E237)</f>
        <v>0.000322909030655169</v>
      </c>
      <c r="N237" s="19" t="n">
        <f aca="false">M237*252</f>
        <v>0.0813730757251026</v>
      </c>
      <c r="O237" s="20" t="n">
        <f aca="false">STDEV($D$4:$D237)</f>
        <v>0.0290265264402866</v>
      </c>
      <c r="P237" s="20" t="n">
        <f aca="false">O237*SQRT(252)</f>
        <v>0.460781822310236</v>
      </c>
      <c r="Q237" s="0" t="n">
        <f aca="false">Treasuries!J235/100</f>
        <v>0.0445</v>
      </c>
      <c r="R237" s="20" t="n">
        <f aca="false">AJ237/AK237*SQRT(252)</f>
        <v>0.092832546465625</v>
      </c>
      <c r="S237" s="32" t="n">
        <f aca="false">IF(D237&lt;s_p!H237, D237-s_p!H237, 0)</f>
        <v>-0.0397024980129443</v>
      </c>
      <c r="T237" s="0" t="n">
        <f aca="false">S237^2</f>
        <v>0.00157628834846784</v>
      </c>
      <c r="U237" s="0" t="n">
        <f aca="false">SQRT(AVERAGE(T$4:T237)) * SQRT(252)</f>
        <v>0.336672641858085</v>
      </c>
      <c r="V237" s="0" t="n">
        <f aca="false">AJ237/U237*252</f>
        <v>0.131240449433877</v>
      </c>
      <c r="W237" s="22" t="n">
        <f aca="false">(s_p!$J237)/COUNT(s_p!$J$4:$J237)</f>
        <v>0.000569907839052034</v>
      </c>
      <c r="X237" s="22" t="n">
        <f aca="false">W237 * 252</f>
        <v>0.143616775441113</v>
      </c>
      <c r="Y237" s="21" t="n">
        <f aca="false">STDEV(s_p!$H$4:$H237)</f>
        <v>0.00645683608873721</v>
      </c>
      <c r="Z237" s="21" t="n">
        <f aca="false">Y237*SQRT(252)</f>
        <v>0.102499095282634</v>
      </c>
      <c r="AA237" s="0" t="n">
        <f aca="false">AJ237/AK237</f>
        <v>0.00584790075049747</v>
      </c>
      <c r="AB237" s="0" t="n">
        <f aca="false">_xlfn.COVARIANCE.S($D$4:$D237,s_p!$H$4:$H237)</f>
        <v>-7.37498810171362E-006</v>
      </c>
      <c r="AC237" s="0" t="n">
        <f aca="false">_xlfn.VAR.S(s_p!$H$4:$H237)</f>
        <v>4.16907322768193E-005</v>
      </c>
      <c r="AD237" s="0" t="n">
        <f aca="false">AB237/AC237</f>
        <v>-0.176897542905818</v>
      </c>
      <c r="AE237" s="0" t="n">
        <f aca="false">M237-(AD237*W237)</f>
        <v>0.000423724327066238</v>
      </c>
      <c r="AF237" s="33" t="n">
        <f aca="false">MAX($E$4:E237)</f>
        <v>0.280129884293098</v>
      </c>
      <c r="AG237" s="0" t="n">
        <f aca="false">1 - ((1 + E237) / (1 + AF237))</f>
        <v>0.159803449345106</v>
      </c>
      <c r="AH237" s="0" t="n">
        <f aca="false">MAX($AG$5:AG237)</f>
        <v>0.322303580832179</v>
      </c>
      <c r="AI237" s="19" t="n">
        <f aca="false">D237-s_p!H237</f>
        <v>-0.0397024980129443</v>
      </c>
      <c r="AJ237" s="19" t="n">
        <f aca="false">AVERAGE(AI$4:AI237)</f>
        <v>0.00017533757472042</v>
      </c>
      <c r="AK237" s="0" t="n">
        <f aca="false">STDEV(AI$4:AI237)</f>
        <v>0.0299829942745701</v>
      </c>
    </row>
    <row r="238" customFormat="false" ht="13.8" hidden="false" customHeight="false" outlineLevel="0" collapsed="false">
      <c r="A238" s="6" t="n">
        <f aca="false">WORKDAY(A237,1,holiday!$B$2:$B$10)</f>
        <v>39057</v>
      </c>
      <c r="B238" s="24" t="n">
        <v>1079110.06352678</v>
      </c>
      <c r="C238" s="24" t="n">
        <f aca="false">B238-B237</f>
        <v>3549.35035347193</v>
      </c>
      <c r="D238" s="31" t="n">
        <f aca="false">C238/B237</f>
        <v>0.00330000000000001</v>
      </c>
      <c r="E238" s="31" t="n">
        <f aca="false" t="array" ref="E238:E238">PRODUCT(1+$D$4:D238)-1</f>
        <v>0.0791100635267816</v>
      </c>
      <c r="F238" s="0" t="n">
        <f aca="false">IF(ISBLANK(A239),MONTH(A238),IF(MONTH(A239)-MONTH(A238)=1,MONTH(A238),0))</f>
        <v>0</v>
      </c>
      <c r="G238" s="0" t="str">
        <f aca="false">IF(B239&gt;B238,IF(AND(B237&gt;B238,B239&gt;B238),"min",""),IF(AND(B237&gt;B238,B239&gt;B238),"",IF(AND(B237&lt;B238,B239&lt;B238),"max","")))</f>
        <v>max</v>
      </c>
      <c r="H238" s="0" t="n">
        <f aca="false">IF(G238="min",COUNTIF(G$4:G238,"min"),IF(G238="max",COUNTIF(G$4:G238,"max"),""))</f>
        <v>58</v>
      </c>
      <c r="I238" s="24" t="str">
        <f aca="false" t="array" ref="I238:I238">IF($G$3=0,IF(G238="min",INDEX($B$4:$B$254,(MATCH(1,($G$4:$G$254="max")*($H$4:$H$254=(H238-1)),0))),""),IF($G$3=1,IF(G238="min",INDEX($B$4:$B$254,(MATCH(1,($G$4:$G$254="max")*($H$4:$H$254=(H238)),0))),""),""))</f>
        <v/>
      </c>
      <c r="J238" s="29" t="str">
        <f aca="false">IF(AND(G236=0,G238="min",H238=1),B238-B237,IF(G238="min",B238-I238,""))</f>
        <v/>
      </c>
      <c r="K238" s="34" t="str">
        <f aca="false">IF(AND(G236=0,G238="min",H238=1),(B238-B237)/B237,IF(G238="min",(B238-I238)/I238,""))</f>
        <v/>
      </c>
      <c r="L238" s="5"/>
      <c r="M238" s="0" t="n">
        <f aca="false">E238/COUNT($E$4:E238)</f>
        <v>0.000336638568199071</v>
      </c>
      <c r="N238" s="19" t="n">
        <f aca="false">M238*252</f>
        <v>0.0848329191861658</v>
      </c>
      <c r="O238" s="20" t="n">
        <f aca="false">STDEV($D$4:$D238)</f>
        <v>0.0289649222672778</v>
      </c>
      <c r="P238" s="20" t="n">
        <f aca="false">O238*SQRT(252)</f>
        <v>0.459803886381205</v>
      </c>
      <c r="Q238" s="0" t="n">
        <f aca="false">Treasuries!J236/100</f>
        <v>0.0448</v>
      </c>
      <c r="R238" s="20" t="n">
        <f aca="false">AJ238/AK238*SQRT(252)</f>
        <v>0.103049977925475</v>
      </c>
      <c r="S238" s="32" t="n">
        <f aca="false">IF(D238&lt;s_p!H238, D238-s_p!H238, 0)</f>
        <v>0</v>
      </c>
      <c r="T238" s="0" t="n">
        <f aca="false">S238^2</f>
        <v>0</v>
      </c>
      <c r="U238" s="0" t="n">
        <f aca="false">SQRT(AVERAGE(T$4:T238)) * SQRT(252)</f>
        <v>0.335955553414843</v>
      </c>
      <c r="V238" s="0" t="n">
        <f aca="false">AJ238/U238*252</f>
        <v>0.145690665074494</v>
      </c>
      <c r="W238" s="22" t="n">
        <f aca="false">(s_p!$J238)/COUNT(s_p!$J$4:$J238)</f>
        <v>0.000561142110492265</v>
      </c>
      <c r="X238" s="22" t="n">
        <f aca="false">W238 * 252</f>
        <v>0.141407811844051</v>
      </c>
      <c r="Y238" s="21" t="n">
        <f aca="false">STDEV(s_p!$H$4:$H238)</f>
        <v>0.00644418002904658</v>
      </c>
      <c r="Z238" s="21" t="n">
        <f aca="false">Y238*SQRT(252)</f>
        <v>0.102298186563517</v>
      </c>
      <c r="AA238" s="0" t="n">
        <f aca="false">AJ238/AK238</f>
        <v>0.00649153843336914</v>
      </c>
      <c r="AB238" s="0" t="n">
        <f aca="false">_xlfn.COVARIANCE.S($D$4:$D238,s_p!$H$4:$H238)</f>
        <v>-7.3639184017673E-006</v>
      </c>
      <c r="AC238" s="0" t="n">
        <f aca="false">_xlfn.VAR.S(s_p!$H$4:$H238)</f>
        <v>4.15274562467627E-005</v>
      </c>
      <c r="AD238" s="0" t="n">
        <f aca="false">AB238/AC238</f>
        <v>-0.177326498353516</v>
      </c>
      <c r="AE238" s="0" t="n">
        <f aca="false">M238-(AD238*W238)</f>
        <v>0.000436143933731366</v>
      </c>
      <c r="AF238" s="33" t="n">
        <f aca="false">MAX($E$4:E238)</f>
        <v>0.280129884293098</v>
      </c>
      <c r="AG238" s="0" t="n">
        <f aca="false">1 - ((1 + E238) / (1 + AF238))</f>
        <v>0.157030800727945</v>
      </c>
      <c r="AH238" s="0" t="n">
        <f aca="false">MAX($AG$5:AG238)</f>
        <v>0.322303580832179</v>
      </c>
      <c r="AI238" s="19" t="n">
        <f aca="false">D238-s_p!H238</f>
        <v>0.00461471062229628</v>
      </c>
      <c r="AJ238" s="19" t="n">
        <f aca="false">AVERAGE(AI$4:AI238)</f>
        <v>0.000194228523859041</v>
      </c>
      <c r="AK238" s="0" t="n">
        <f aca="false">STDEV(AI$4:AI238)</f>
        <v>0.0299202609447134</v>
      </c>
    </row>
    <row r="239" customFormat="false" ht="13.8" hidden="false" customHeight="false" outlineLevel="0" collapsed="false">
      <c r="A239" s="6" t="n">
        <f aca="false">WORKDAY(A238,1,holiday!$B$2:$B$10)</f>
        <v>39058</v>
      </c>
      <c r="B239" s="24" t="n">
        <v>1034650.72890948</v>
      </c>
      <c r="C239" s="24" t="n">
        <f aca="false">B239-B238</f>
        <v>-44459.3346173035</v>
      </c>
      <c r="D239" s="31" t="n">
        <f aca="false">C239/B238</f>
        <v>-0.0412</v>
      </c>
      <c r="E239" s="31" t="n">
        <f aca="false" t="array" ref="E239:E239">PRODUCT(1+$D$4:D239)-1</f>
        <v>0.0346507289094782</v>
      </c>
      <c r="F239" s="0" t="n">
        <f aca="false">IF(ISBLANK(A240),MONTH(A239),IF(MONTH(A240)-MONTH(A239)=1,MONTH(A239),0))</f>
        <v>0</v>
      </c>
      <c r="G239" s="0" t="str">
        <f aca="false">IF(B240&gt;B239,IF(AND(B238&gt;B239,B240&gt;B239),"min",""),IF(AND(B238&gt;B239,B240&gt;B239),"",IF(AND(B238&lt;B239,B240&lt;B239),"max","")))</f>
        <v/>
      </c>
      <c r="H239" s="0" t="str">
        <f aca="false">IF(G239="min",COUNTIF(G$4:G239,"min"),IF(G239="max",COUNTIF(G$4:G239,"max"),""))</f>
        <v/>
      </c>
      <c r="I239" s="24" t="str">
        <f aca="false" t="array" ref="I239:I239">IF($G$3=0,IF(G239="min",INDEX($B$4:$B$254,(MATCH(1,($G$4:$G$254="max")*($H$4:$H$254=(H239-1)),0))),""),IF($G$3=1,IF(G239="min",INDEX($B$4:$B$254,(MATCH(1,($G$4:$G$254="max")*($H$4:$H$254=(H239)),0))),""),""))</f>
        <v/>
      </c>
      <c r="J239" s="29" t="str">
        <f aca="false">IF(AND(G237=0,G239="min",H239=1),B239-B238,IF(G239="min",B239-I239,""))</f>
        <v/>
      </c>
      <c r="K239" s="34" t="str">
        <f aca="false">IF(AND(G237=0,G239="min",H239=1),(B239-B238)/B238,IF(G239="min",(B239-I239)/I239,""))</f>
        <v/>
      </c>
      <c r="L239" s="5"/>
      <c r="M239" s="0" t="n">
        <f aca="false">E239/COUNT($E$4:E239)</f>
        <v>0.000146825122497789</v>
      </c>
      <c r="N239" s="19" t="n">
        <f aca="false">M239*252</f>
        <v>0.0369999308694428</v>
      </c>
      <c r="O239" s="20" t="n">
        <f aca="false">STDEV($D$4:$D239)</f>
        <v>0.0290318900973622</v>
      </c>
      <c r="P239" s="20" t="n">
        <f aca="false">O239*SQRT(252)</f>
        <v>0.460866967726675</v>
      </c>
      <c r="Q239" s="0" t="n">
        <f aca="false">Treasuries!J237/100</f>
        <v>0.0449</v>
      </c>
      <c r="R239" s="20" t="n">
        <f aca="false">AJ239/AK239*SQRT(252)</f>
        <v>0.0188940034393261</v>
      </c>
      <c r="S239" s="32" t="n">
        <f aca="false">IF(D239&lt;s_p!H239, D239-s_p!H239, 0)</f>
        <v>-0.0372294429895957</v>
      </c>
      <c r="T239" s="0" t="n">
        <f aca="false">S239^2</f>
        <v>0.00138603142531556</v>
      </c>
      <c r="U239" s="0" t="n">
        <f aca="false">SQRT(AVERAGE(T$4:T239)) * SQRT(252)</f>
        <v>0.337443161432937</v>
      </c>
      <c r="V239" s="0" t="n">
        <f aca="false">AJ239/U239*252</f>
        <v>0.0266258720199319</v>
      </c>
      <c r="W239" s="22" t="n">
        <f aca="false">(s_p!$J239)/COUNT(s_p!$J$4:$J239)</f>
        <v>0.000539721389708584</v>
      </c>
      <c r="X239" s="22" t="n">
        <f aca="false">W239 * 252</f>
        <v>0.136009790206563</v>
      </c>
      <c r="Y239" s="21" t="n">
        <f aca="false">STDEV(s_p!$H$4:$H239)</f>
        <v>0.00643717748948718</v>
      </c>
      <c r="Z239" s="21" t="n">
        <f aca="false">Y239*SQRT(252)</f>
        <v>0.102187024694197</v>
      </c>
      <c r="AA239" s="0" t="n">
        <f aca="false">AJ239/AK239</f>
        <v>0.00119021034216328</v>
      </c>
      <c r="AB239" s="0" t="n">
        <f aca="false">_xlfn.COVARIANCE.S($D$4:$D239,s_p!$H$4:$H239)</f>
        <v>-6.52955857664232E-006</v>
      </c>
      <c r="AC239" s="0" t="n">
        <f aca="false">_xlfn.VAR.S(s_p!$H$4:$H239)</f>
        <v>4.14372540311605E-005</v>
      </c>
      <c r="AD239" s="0" t="n">
        <f aca="false">AB239/AC239</f>
        <v>-0.157577009609086</v>
      </c>
      <c r="AE239" s="0" t="n">
        <f aca="false">M239-(AD239*W239)</f>
        <v>0.000231872805110128</v>
      </c>
      <c r="AF239" s="33" t="n">
        <f aca="false">MAX($E$4:E239)</f>
        <v>0.280129884293098</v>
      </c>
      <c r="AG239" s="0" t="n">
        <f aca="false">1 - ((1 + E239) / (1 + AF239))</f>
        <v>0.191761131737953</v>
      </c>
      <c r="AH239" s="0" t="n">
        <f aca="false">MAX($AG$5:AG239)</f>
        <v>0.322303580832179</v>
      </c>
      <c r="AI239" s="19" t="n">
        <f aca="false">D239-s_p!H239</f>
        <v>-0.0372294429895958</v>
      </c>
      <c r="AJ239" s="19" t="n">
        <f aca="false">AVERAGE(AI$4:AI239)</f>
        <v>3.56536445647405E-005</v>
      </c>
      <c r="AK239" s="0" t="n">
        <f aca="false">STDEV(AI$4:AI239)</f>
        <v>0.0299557509304935</v>
      </c>
    </row>
    <row r="240" customFormat="false" ht="13.8" hidden="false" customHeight="false" outlineLevel="0" collapsed="false">
      <c r="A240" s="6" t="n">
        <f aca="false">WORKDAY(A239,1,holiday!$B$2:$B$10)</f>
        <v>39059</v>
      </c>
      <c r="B240" s="24" t="n">
        <v>992540.444242862</v>
      </c>
      <c r="C240" s="24" t="n">
        <f aca="false">B240-B239</f>
        <v>-42110.2846666158</v>
      </c>
      <c r="D240" s="31" t="n">
        <f aca="false">C240/B239</f>
        <v>-0.0407</v>
      </c>
      <c r="E240" s="31" t="n">
        <f aca="false" t="array" ref="E240:E240">PRODUCT(1+$D$4:D240)-1</f>
        <v>-0.00745955575713742</v>
      </c>
      <c r="F240" s="0" t="n">
        <f aca="false">IF(ISBLANK(A241),MONTH(A240),IF(MONTH(A241)-MONTH(A240)=1,MONTH(A240),0))</f>
        <v>0</v>
      </c>
      <c r="G240" s="0" t="str">
        <f aca="false">IF(B241&gt;B240,IF(AND(B239&gt;B240,B241&gt;B240),"min",""),IF(AND(B239&gt;B240,B241&gt;B240),"",IF(AND(B239&lt;B240,B241&lt;B240),"max","")))</f>
        <v>min</v>
      </c>
      <c r="H240" s="0" t="n">
        <f aca="false">IF(G240="min",COUNTIF(G$4:G240,"min"),IF(G240="max",COUNTIF(G$4:G240,"max"),""))</f>
        <v>59</v>
      </c>
      <c r="I240" s="24" t="n">
        <f aca="false" t="array" ref="I240:I240">IF($G$3=0,IF(G240="min",INDEX($B$4:$B$254,(MATCH(1,($G$4:$G$254="max")*($H$4:$H$254=(H240-1)),0))),""),IF($G$3=1,IF(G240="min",INDEX($B$4:$B$254,(MATCH(1,($G$4:$G$254="max")*($H$4:$H$254=(H240)),0))),""),""))</f>
        <v>1079110.06352678</v>
      </c>
      <c r="J240" s="29" t="n">
        <f aca="false">IF(AND(G238=0,G240="min",H240=1),B240-B239,IF(G240="min",B240-I240,""))</f>
        <v>-86569.6192839181</v>
      </c>
      <c r="K240" s="34" t="n">
        <f aca="false">IF(AND(G238=0,G240="min",H240=1),(B240-B239)/B239,IF(G240="min",(B240-I240)/I240,""))</f>
        <v>-0.0802231599999991</v>
      </c>
      <c r="L240" s="5"/>
      <c r="M240" s="0" t="n">
        <f aca="false">E240/COUNT($E$4:E240)</f>
        <v>-3.1474918806487E-005</v>
      </c>
      <c r="N240" s="19" t="n">
        <f aca="false">M240*252</f>
        <v>-0.00793167953923472</v>
      </c>
      <c r="O240" s="20" t="n">
        <f aca="false">STDEV($D$4:$D240)</f>
        <v>0.0290940517305314</v>
      </c>
      <c r="P240" s="20" t="n">
        <f aca="false">O240*SQRT(252)</f>
        <v>0.461853753061406</v>
      </c>
      <c r="Q240" s="0" t="n">
        <f aca="false">Treasuries!J238/100</f>
        <v>0.0456</v>
      </c>
      <c r="R240" s="20" t="n">
        <f aca="false">AJ240/AK240*SQRT(252)</f>
        <v>-0.0760800715021356</v>
      </c>
      <c r="S240" s="32" t="n">
        <f aca="false">IF(D240&lt;s_p!H240, D240-s_p!H240, 0)</f>
        <v>-0.0425119932636485</v>
      </c>
      <c r="T240" s="0" t="n">
        <f aca="false">S240^2</f>
        <v>0.00180726957124849</v>
      </c>
      <c r="U240" s="0" t="n">
        <f aca="false">SQRT(AVERAGE(T$4:T240)) * SQRT(252)</f>
        <v>0.339571915356583</v>
      </c>
      <c r="V240" s="0" t="n">
        <f aca="false">AJ240/U240*252</f>
        <v>-0.106769187565615</v>
      </c>
      <c r="W240" s="22" t="n">
        <f aca="false">(s_p!$J240)/COUNT(s_p!$J$4:$J240)</f>
        <v>0.000546063470523883</v>
      </c>
      <c r="X240" s="22" t="n">
        <f aca="false">W240 * 252</f>
        <v>0.137607994572019</v>
      </c>
      <c r="Y240" s="21" t="n">
        <f aca="false">STDEV(s_p!$H$4:$H240)</f>
        <v>0.00642406573515602</v>
      </c>
      <c r="Z240" s="21" t="n">
        <f aca="false">Y240*SQRT(252)</f>
        <v>0.101978882046925</v>
      </c>
      <c r="AA240" s="0" t="n">
        <f aca="false">AJ240/AK240</f>
        <v>-0.00479259402196813</v>
      </c>
      <c r="AB240" s="0" t="n">
        <f aca="false">_xlfn.COVARIANCE.S($D$4:$D240,s_p!$H$4:$H240)</f>
        <v>-6.7253177178357E-006</v>
      </c>
      <c r="AC240" s="0" t="n">
        <f aca="false">_xlfn.VAR.S(s_p!$H$4:$H240)</f>
        <v>4.12686205696056E-005</v>
      </c>
      <c r="AD240" s="0" t="n">
        <f aca="false">AB240/AC240</f>
        <v>-0.162964441869155</v>
      </c>
      <c r="AE240" s="0" t="n">
        <f aca="false">M240-(AD240*W240)</f>
        <v>5.75140098925712E-005</v>
      </c>
      <c r="AF240" s="33" t="n">
        <f aca="false">MAX($E$4:E240)</f>
        <v>0.280129884293098</v>
      </c>
      <c r="AG240" s="0" t="n">
        <f aca="false">1 - ((1 + E240) / (1 + AF240))</f>
        <v>0.224656453676219</v>
      </c>
      <c r="AH240" s="0" t="n">
        <f aca="false">MAX($AG$5:AG240)</f>
        <v>0.322303580832179</v>
      </c>
      <c r="AI240" s="19" t="n">
        <f aca="false">D240-s_p!H240</f>
        <v>-0.0425119932636485</v>
      </c>
      <c r="AJ240" s="19" t="n">
        <f aca="false">AVERAGE(AI$4:AI240)</f>
        <v>-0.000143872291756834</v>
      </c>
      <c r="AK240" s="0" t="n">
        <f aca="false">STDEV(AI$4:AI240)</f>
        <v>0.0300197118924235</v>
      </c>
    </row>
    <row r="241" customFormat="false" ht="13.8" hidden="false" customHeight="false" outlineLevel="0" collapsed="false">
      <c r="A241" s="6" t="n">
        <f aca="false">WORKDAY(A240,1,holiday!$B$2:$B$10)</f>
        <v>39062</v>
      </c>
      <c r="B241" s="24" t="n">
        <v>1037701.03445591</v>
      </c>
      <c r="C241" s="24" t="n">
        <f aca="false">B241-B240</f>
        <v>45160.5902130503</v>
      </c>
      <c r="D241" s="31" t="n">
        <f aca="false">C241/B240</f>
        <v>0.0455</v>
      </c>
      <c r="E241" s="31" t="n">
        <f aca="false" t="array" ref="E241:E241">PRODUCT(1+$D$4:D241)-1</f>
        <v>0.0377010344559128</v>
      </c>
      <c r="F241" s="0" t="n">
        <f aca="false">IF(ISBLANK(A242),MONTH(A241),IF(MONTH(A242)-MONTH(A241)=1,MONTH(A241),0))</f>
        <v>0</v>
      </c>
      <c r="G241" s="0" t="str">
        <f aca="false">IF(B242&gt;B241,IF(AND(B240&gt;B241,B242&gt;B241),"min",""),IF(AND(B240&gt;B241,B242&gt;B241),"",IF(AND(B240&lt;B241,B242&lt;B241),"max","")))</f>
        <v/>
      </c>
      <c r="H241" s="0" t="str">
        <f aca="false">IF(G241="min",COUNTIF(G$4:G241,"min"),IF(G241="max",COUNTIF(G$4:G241,"max"),""))</f>
        <v/>
      </c>
      <c r="I241" s="24" t="str">
        <f aca="false" t="array" ref="I241:I241">IF($G$3=0,IF(G241="min",INDEX($B$4:$B$254,(MATCH(1,($G$4:$G$254="max")*($H$4:$H$254=(H241-1)),0))),""),IF($G$3=1,IF(G241="min",INDEX($B$4:$B$254,(MATCH(1,($G$4:$G$254="max")*($H$4:$H$254=(H241)),0))),""),""))</f>
        <v/>
      </c>
      <c r="J241" s="29" t="str">
        <f aca="false">IF(AND(G239=0,G241="min",H241=1),B241-B240,IF(G241="min",B241-I241,""))</f>
        <v/>
      </c>
      <c r="K241" s="34" t="str">
        <f aca="false">IF(AND(G239=0,G241="min",H241=1),(B241-B240)/B240,IF(G241="min",(B241-I241)/I241,""))</f>
        <v/>
      </c>
      <c r="L241" s="5"/>
      <c r="M241" s="0" t="n">
        <f aca="false">E241/COUNT($E$4:E241)</f>
        <v>0.000158407707797953</v>
      </c>
      <c r="N241" s="19" t="n">
        <f aca="false">M241*252</f>
        <v>0.0399187423650841</v>
      </c>
      <c r="O241" s="20" t="n">
        <f aca="false">STDEV($D$4:$D241)</f>
        <v>0.0291794826473427</v>
      </c>
      <c r="P241" s="20" t="n">
        <f aca="false">O241*SQRT(252)</f>
        <v>0.46320992682236</v>
      </c>
      <c r="Q241" s="0" t="n">
        <f aca="false">Treasuries!J239/100</f>
        <v>0.0452</v>
      </c>
      <c r="R241" s="20" t="n">
        <f aca="false">AJ241/AK241*SQRT(252)</f>
        <v>0.0202451280673082</v>
      </c>
      <c r="S241" s="32" t="n">
        <f aca="false">IF(D241&lt;s_p!H241, D241-s_p!H241, 0)</f>
        <v>0</v>
      </c>
      <c r="T241" s="0" t="n">
        <f aca="false">S241^2</f>
        <v>0</v>
      </c>
      <c r="U241" s="0" t="n">
        <f aca="false">SQRT(AVERAGE(T$4:T241)) * SQRT(252)</f>
        <v>0.338857778045924</v>
      </c>
      <c r="V241" s="0" t="n">
        <f aca="false">AJ241/U241*252</f>
        <v>0.0285361959878889</v>
      </c>
      <c r="W241" s="22" t="n">
        <f aca="false">(s_p!$J241)/COUNT(s_p!$J$4:$J241)</f>
        <v>0.000554540123493986</v>
      </c>
      <c r="X241" s="22" t="n">
        <f aca="false">W241 * 252</f>
        <v>0.139744111120484</v>
      </c>
      <c r="Y241" s="21" t="n">
        <f aca="false">STDEV(s_p!$H$4:$H241)</f>
        <v>0.00641148563338313</v>
      </c>
      <c r="Z241" s="21" t="n">
        <f aca="false">Y241*SQRT(252)</f>
        <v>0.101779179122371</v>
      </c>
      <c r="AA241" s="0" t="n">
        <f aca="false">AJ241/AK241</f>
        <v>0.00127532319349412</v>
      </c>
      <c r="AB241" s="0" t="n">
        <f aca="false">_xlfn.COVARIANCE.S($D$4:$D241,s_p!$H$4:$H241)</f>
        <v>-6.36798241187245E-006</v>
      </c>
      <c r="AC241" s="0" t="n">
        <f aca="false">_xlfn.VAR.S(s_p!$H$4:$H241)</f>
        <v>4.11071480270783E-005</v>
      </c>
      <c r="AD241" s="0" t="n">
        <f aca="false">AB241/AC241</f>
        <v>-0.154911802873741</v>
      </c>
      <c r="AE241" s="0" t="n">
        <f aca="false">M241-(AD241*W241)</f>
        <v>0.000244312518094233</v>
      </c>
      <c r="AF241" s="33" t="n">
        <f aca="false">MAX($E$4:E241)</f>
        <v>0.280129884293098</v>
      </c>
      <c r="AG241" s="0" t="n">
        <f aca="false">1 - ((1 + E241) / (1 + AF241))</f>
        <v>0.189378322318487</v>
      </c>
      <c r="AH241" s="0" t="n">
        <f aca="false">MAX($AG$5:AG241)</f>
        <v>0.322303580832179</v>
      </c>
      <c r="AI241" s="19" t="n">
        <f aca="false">D241-s_p!H241</f>
        <v>0.0432302388923566</v>
      </c>
      <c r="AJ241" s="19" t="n">
        <f aca="false">AVERAGE(AI$4:AI241)</f>
        <v>3.83718728822978E-005</v>
      </c>
      <c r="AK241" s="0" t="n">
        <f aca="false">STDEV(AI$4:AI241)</f>
        <v>0.0300879597250693</v>
      </c>
    </row>
    <row r="242" customFormat="false" ht="13.8" hidden="false" customHeight="false" outlineLevel="0" collapsed="false">
      <c r="A242" s="6" t="n">
        <f aca="false">WORKDAY(A241,1,holiday!$B$2:$B$10)</f>
        <v>39063</v>
      </c>
      <c r="B242" s="24" t="n">
        <v>1054200.48090376</v>
      </c>
      <c r="C242" s="24" t="n">
        <f aca="false">B242-B241</f>
        <v>16499.4464478489</v>
      </c>
      <c r="D242" s="31" t="n">
        <f aca="false">C242/B241</f>
        <v>0.0158999999999999</v>
      </c>
      <c r="E242" s="31" t="n">
        <f aca="false" t="array" ref="E242:E242">PRODUCT(1+$D$4:D242)-1</f>
        <v>0.0542004809037617</v>
      </c>
      <c r="F242" s="0" t="n">
        <f aca="false">IF(ISBLANK(A243),MONTH(A242),IF(MONTH(A243)-MONTH(A242)=1,MONTH(A242),0))</f>
        <v>0</v>
      </c>
      <c r="G242" s="0" t="str">
        <f aca="false">IF(B243&gt;B242,IF(AND(B241&gt;B242,B243&gt;B242),"min",""),IF(AND(B241&gt;B242,B243&gt;B242),"",IF(AND(B241&lt;B242,B243&lt;B242),"max","")))</f>
        <v>max</v>
      </c>
      <c r="H242" s="0" t="n">
        <f aca="false">IF(G242="min",COUNTIF(G$4:G242,"min"),IF(G242="max",COUNTIF(G$4:G242,"max"),""))</f>
        <v>59</v>
      </c>
      <c r="I242" s="24" t="str">
        <f aca="false" t="array" ref="I242:I242">IF($G$3=0,IF(G242="min",INDEX($B$4:$B$254,(MATCH(1,($G$4:$G$254="max")*($H$4:$H$254=(H242-1)),0))),""),IF($G$3=1,IF(G242="min",INDEX($B$4:$B$254,(MATCH(1,($G$4:$G$254="max")*($H$4:$H$254=(H242)),0))),""),""))</f>
        <v/>
      </c>
      <c r="J242" s="29" t="str">
        <f aca="false">IF(AND(G240=0,G242="min",H242=1),B242-B241,IF(G242="min",B242-I242,""))</f>
        <v/>
      </c>
      <c r="K242" s="34" t="str">
        <f aca="false">IF(AND(G240=0,G242="min",H242=1),(B242-B241)/B241,IF(G242="min",(B242-I242)/I242,""))</f>
        <v/>
      </c>
      <c r="L242" s="5"/>
      <c r="M242" s="0" t="n">
        <f aca="false">E242/COUNT($E$4:E242)</f>
        <v>0.000226780254827455</v>
      </c>
      <c r="N242" s="19" t="n">
        <f aca="false">M242*252</f>
        <v>0.0571486242165186</v>
      </c>
      <c r="O242" s="20" t="n">
        <f aca="false">STDEV($D$4:$D242)</f>
        <v>0.0291349748456388</v>
      </c>
      <c r="P242" s="20" t="n">
        <f aca="false">O242*SQRT(252)</f>
        <v>0.462503387374096</v>
      </c>
      <c r="Q242" s="0" t="n">
        <f aca="false">Treasuries!J240/100</f>
        <v>0.0449</v>
      </c>
      <c r="R242" s="20" t="n">
        <f aca="false">AJ242/AK242*SQRT(252)</f>
        <v>0.0576556363055303</v>
      </c>
      <c r="S242" s="32" t="n">
        <f aca="false">IF(D242&lt;s_p!H242, D242-s_p!H242, 0)</f>
        <v>0</v>
      </c>
      <c r="T242" s="0" t="n">
        <f aca="false">S242^2</f>
        <v>0</v>
      </c>
      <c r="U242" s="0" t="n">
        <f aca="false">SQRT(AVERAGE(T$4:T242)) * SQRT(252)</f>
        <v>0.338148127470048</v>
      </c>
      <c r="V242" s="0" t="n">
        <f aca="false">AJ242/U242*252</f>
        <v>0.0813207653337582</v>
      </c>
      <c r="W242" s="22" t="n">
        <f aca="false">(s_p!$J242)/COUNT(s_p!$J$4:$J242)</f>
        <v>0.000547259110714508</v>
      </c>
      <c r="X242" s="22" t="n">
        <f aca="false">W242 * 252</f>
        <v>0.137909295900056</v>
      </c>
      <c r="Y242" s="21" t="n">
        <f aca="false">STDEV(s_p!$H$4:$H242)</f>
        <v>0.0063988273464557</v>
      </c>
      <c r="Z242" s="21" t="n">
        <f aca="false">Y242*SQRT(252)</f>
        <v>0.101578235046967</v>
      </c>
      <c r="AA242" s="0" t="n">
        <f aca="false">AJ242/AK242</f>
        <v>0.00363196369870528</v>
      </c>
      <c r="AB242" s="0" t="n">
        <f aca="false">_xlfn.COVARIANCE.S($D$4:$D242,s_p!$H$4:$H242)</f>
        <v>-6.44307307428104E-006</v>
      </c>
      <c r="AC242" s="0" t="n">
        <f aca="false">_xlfn.VAR.S(s_p!$H$4:$H242)</f>
        <v>4.09449914097493E-005</v>
      </c>
      <c r="AD242" s="0" t="n">
        <f aca="false">AB242/AC242</f>
        <v>-0.157359248407289</v>
      </c>
      <c r="AE242" s="0" t="n">
        <f aca="false">M242-(AD242*W242)</f>
        <v>0.000312896537173531</v>
      </c>
      <c r="AF242" s="33" t="n">
        <f aca="false">MAX($E$4:E242)</f>
        <v>0.280129884293098</v>
      </c>
      <c r="AG242" s="0" t="n">
        <f aca="false">1 - ((1 + E242) / (1 + AF242))</f>
        <v>0.17648943764335</v>
      </c>
      <c r="AH242" s="0" t="n">
        <f aca="false">MAX($AG$5:AG242)</f>
        <v>0.322303580832179</v>
      </c>
      <c r="AI242" s="19" t="n">
        <f aca="false">D242-s_p!H242</f>
        <v>0.0169473871935684</v>
      </c>
      <c r="AJ242" s="19" t="n">
        <f aca="false">AVERAGE(AI$4:AI242)</f>
        <v>0.000109120890960482</v>
      </c>
      <c r="AK242" s="0" t="n">
        <f aca="false">STDEV(AI$4:AI242)</f>
        <v>0.0300445984631899</v>
      </c>
    </row>
    <row r="243" customFormat="false" ht="13.8" hidden="false" customHeight="false" outlineLevel="0" collapsed="false">
      <c r="A243" s="6" t="n">
        <f aca="false">WORKDAY(A242,1,holiday!$B$2:$B$10)</f>
        <v>39064</v>
      </c>
      <c r="B243" s="24" t="n">
        <v>1048824.05845115</v>
      </c>
      <c r="C243" s="24" t="n">
        <f aca="false">B243-B242</f>
        <v>-5376.42245260929</v>
      </c>
      <c r="D243" s="31" t="n">
        <f aca="false">C243/B242</f>
        <v>-0.0051000000000001</v>
      </c>
      <c r="E243" s="31" t="n">
        <f aca="false" t="array" ref="E243:E243">PRODUCT(1+$D$4:D243)-1</f>
        <v>0.0488240584511523</v>
      </c>
      <c r="F243" s="0" t="n">
        <f aca="false">IF(ISBLANK(A244),MONTH(A243),IF(MONTH(A244)-MONTH(A243)=1,MONTH(A243),0))</f>
        <v>0</v>
      </c>
      <c r="G243" s="0" t="str">
        <f aca="false">IF(B244&gt;B243,IF(AND(B242&gt;B243,B244&gt;B243),"min",""),IF(AND(B242&gt;B243,B244&gt;B243),"",IF(AND(B242&lt;B243,B244&lt;B243),"max","")))</f>
        <v/>
      </c>
      <c r="H243" s="0" t="str">
        <f aca="false">IF(G243="min",COUNTIF(G$4:G243,"min"),IF(G243="max",COUNTIF(G$4:G243,"max"),""))</f>
        <v/>
      </c>
      <c r="I243" s="24" t="str">
        <f aca="false" t="array" ref="I243:I243">IF($G$3=0,IF(G243="min",INDEX($B$4:$B$254,(MATCH(1,($G$4:$G$254="max")*($H$4:$H$254=(H243-1)),0))),""),IF($G$3=1,IF(G243="min",INDEX($B$4:$B$254,(MATCH(1,($G$4:$G$254="max")*($H$4:$H$254=(H243)),0))),""),""))</f>
        <v/>
      </c>
      <c r="J243" s="29" t="str">
        <f aca="false">IF(AND(G241=0,G243="min",H243=1),B243-B242,IF(G243="min",B243-I243,""))</f>
        <v/>
      </c>
      <c r="K243" s="34" t="str">
        <f aca="false">IF(AND(G241=0,G243="min",H243=1),(B243-B242)/B242,IF(G243="min",(B243-I243)/I243,""))</f>
        <v/>
      </c>
      <c r="L243" s="5"/>
      <c r="M243" s="0" t="n">
        <f aca="false">E243/COUNT($E$4:E243)</f>
        <v>0.000203433576879801</v>
      </c>
      <c r="N243" s="19" t="n">
        <f aca="false">M243*252</f>
        <v>0.05126526137371</v>
      </c>
      <c r="O243" s="20" t="n">
        <f aca="false">STDEV($D$4:$D243)</f>
        <v>0.0290763231691639</v>
      </c>
      <c r="P243" s="20" t="n">
        <f aca="false">O243*SQRT(252)</f>
        <v>0.461572320874519</v>
      </c>
      <c r="Q243" s="0" t="n">
        <f aca="false">Treasuries!J241/100</f>
        <v>0.0458</v>
      </c>
      <c r="R243" s="20" t="n">
        <f aca="false">AJ243/AK243*SQRT(252)</f>
        <v>0.0437016637065269</v>
      </c>
      <c r="S243" s="32" t="n">
        <f aca="false">IF(D243&lt;s_p!H243, D243-s_p!H243, 0)</f>
        <v>-0.00626891949332675</v>
      </c>
      <c r="T243" s="0" t="n">
        <f aca="false">S243^2</f>
        <v>3.92993516138121E-005</v>
      </c>
      <c r="U243" s="0" t="n">
        <f aca="false">SQRT(AVERAGE(T$4:T243)) * SQRT(252)</f>
        <v>0.337504053971054</v>
      </c>
      <c r="V243" s="0" t="n">
        <f aca="false">AJ243/U243*252</f>
        <v>0.0616333992845134</v>
      </c>
      <c r="W243" s="22" t="n">
        <f aca="false">(s_p!$J243)/COUNT(s_p!$J$4:$J243)</f>
        <v>0.000550486398726796</v>
      </c>
      <c r="X243" s="22" t="n">
        <f aca="false">W243 * 252</f>
        <v>0.138722572479153</v>
      </c>
      <c r="Y243" s="21" t="n">
        <f aca="false">STDEV(s_p!$H$4:$H243)</f>
        <v>0.00638555783294101</v>
      </c>
      <c r="Z243" s="21" t="n">
        <f aca="false">Y243*SQRT(252)</f>
        <v>0.101367588050295</v>
      </c>
      <c r="AA243" s="0" t="n">
        <f aca="false">AJ243/AK243</f>
        <v>0.00275294604874403</v>
      </c>
      <c r="AB243" s="0" t="n">
        <f aca="false">_xlfn.COVARIANCE.S($D$4:$D243,s_p!$H$4:$H243)</f>
        <v>-6.43129073475264E-006</v>
      </c>
      <c r="AC243" s="0" t="n">
        <f aca="false">_xlfn.VAR.S(s_p!$H$4:$H243)</f>
        <v>4.07753488378343E-005</v>
      </c>
      <c r="AD243" s="0" t="n">
        <f aca="false">AB243/AC243</f>
        <v>-0.1577249715344</v>
      </c>
      <c r="AE243" s="0" t="n">
        <f aca="false">M243-(AD243*W243)</f>
        <v>0.00029025902844906</v>
      </c>
      <c r="AF243" s="33" t="n">
        <f aca="false">MAX($E$4:E243)</f>
        <v>0.280129884293098</v>
      </c>
      <c r="AG243" s="0" t="n">
        <f aca="false">1 - ((1 + E243) / (1 + AF243))</f>
        <v>0.18068934151137</v>
      </c>
      <c r="AH243" s="0" t="n">
        <f aca="false">MAX($AG$5:AG243)</f>
        <v>0.322303580832179</v>
      </c>
      <c r="AI243" s="19" t="n">
        <f aca="false">D243-s_p!H243</f>
        <v>-0.00626891949332675</v>
      </c>
      <c r="AJ243" s="19" t="n">
        <f aca="false">AVERAGE(AI$4:AI243)</f>
        <v>8.25457226926188E-005</v>
      </c>
      <c r="AK243" s="0" t="n">
        <f aca="false">STDEV(AI$4:AI243)</f>
        <v>0.0299845043204819</v>
      </c>
    </row>
    <row r="244" customFormat="false" ht="13.8" hidden="false" customHeight="false" outlineLevel="0" collapsed="false">
      <c r="A244" s="6" t="n">
        <f aca="false">WORKDAY(A243,1,holiday!$B$2:$B$10)</f>
        <v>39065</v>
      </c>
      <c r="B244" s="24" t="n">
        <v>1020086.27924959</v>
      </c>
      <c r="C244" s="24" t="n">
        <f aca="false">B244-B243</f>
        <v>-28737.7792015616</v>
      </c>
      <c r="D244" s="31" t="n">
        <f aca="false">C244/B243</f>
        <v>-0.0274</v>
      </c>
      <c r="E244" s="31" t="n">
        <f aca="false" t="array" ref="E244:E244">PRODUCT(1+$D$4:D244)-1</f>
        <v>0.0200862792495908</v>
      </c>
      <c r="F244" s="0" t="n">
        <f aca="false">IF(ISBLANK(A245),MONTH(A244),IF(MONTH(A245)-MONTH(A244)=1,MONTH(A244),0))</f>
        <v>0</v>
      </c>
      <c r="G244" s="0" t="str">
        <f aca="false">IF(B245&gt;B244,IF(AND(B243&gt;B244,B245&gt;B244),"min",""),IF(AND(B243&gt;B244,B245&gt;B244),"",IF(AND(B243&lt;B244,B245&lt;B244),"max","")))</f>
        <v/>
      </c>
      <c r="H244" s="0" t="str">
        <f aca="false">IF(G244="min",COUNTIF(G$4:G244,"min"),IF(G244="max",COUNTIF(G$4:G244,"max"),""))</f>
        <v/>
      </c>
      <c r="I244" s="24" t="str">
        <f aca="false" t="array" ref="I244:I244">IF($G$3=0,IF(G244="min",INDEX($B$4:$B$254,(MATCH(1,($G$4:$G$254="max")*($H$4:$H$254=(H244-1)),0))),""),IF($G$3=1,IF(G244="min",INDEX($B$4:$B$254,(MATCH(1,($G$4:$G$254="max")*($H$4:$H$254=(H244)),0))),""),""))</f>
        <v/>
      </c>
      <c r="J244" s="29" t="str">
        <f aca="false">IF(AND(G242=0,G244="min",H244=1),B244-B243,IF(G244="min",B244-I244,""))</f>
        <v/>
      </c>
      <c r="K244" s="34" t="str">
        <f aca="false">IF(AND(G242=0,G244="min",H244=1),(B244-B243)/B243,IF(G244="min",(B244-I244)/I244,""))</f>
        <v/>
      </c>
      <c r="L244" s="5"/>
      <c r="M244" s="0" t="n">
        <f aca="false">E244/COUNT($E$4:E244)</f>
        <v>8.33455570522441E-005</v>
      </c>
      <c r="N244" s="19" t="n">
        <f aca="false">M244*252</f>
        <v>0.0210030803771655</v>
      </c>
      <c r="O244" s="20" t="n">
        <f aca="false">STDEV($D$4:$D244)</f>
        <v>0.0290717679945542</v>
      </c>
      <c r="P244" s="20" t="n">
        <f aca="false">O244*SQRT(252)</f>
        <v>0.461500009719344</v>
      </c>
      <c r="Q244" s="0" t="n">
        <f aca="false">Treasuries!J242/100</f>
        <v>0.046</v>
      </c>
      <c r="R244" s="20" t="n">
        <f aca="false">AJ244/AK244*SQRT(252)</f>
        <v>-0.0357267640272963</v>
      </c>
      <c r="S244" s="32" t="n">
        <f aca="false">IF(D244&lt;s_p!H244, D244-s_p!H244, 0)</f>
        <v>-0.0360894375216704</v>
      </c>
      <c r="T244" s="0" t="n">
        <f aca="false">S244^2</f>
        <v>0.00130244750063055</v>
      </c>
      <c r="U244" s="0" t="n">
        <f aca="false">SQRT(AVERAGE(T$4:T244)) * SQRT(252)</f>
        <v>0.33881887545223</v>
      </c>
      <c r="V244" s="0" t="n">
        <f aca="false">AJ244/U244*252</f>
        <v>-0.0502376512751882</v>
      </c>
      <c r="W244" s="22" t="n">
        <f aca="false">(s_p!$J244)/COUNT(s_p!$J$4:$J244)</f>
        <v>0.000589021549114046</v>
      </c>
      <c r="X244" s="22" t="n">
        <f aca="false">W244 * 252</f>
        <v>0.14843343037674</v>
      </c>
      <c r="Y244" s="21" t="n">
        <f aca="false">STDEV(s_p!$H$4:$H244)</f>
        <v>0.00639384060928719</v>
      </c>
      <c r="Z244" s="21" t="n">
        <f aca="false">Y244*SQRT(252)</f>
        <v>0.101499073048558</v>
      </c>
      <c r="AA244" s="0" t="n">
        <f aca="false">AJ244/AK244</f>
        <v>-0.0022505745896503</v>
      </c>
      <c r="AB244" s="0" t="n">
        <f aca="false">_xlfn.COVARIANCE.S($D$4:$D244,s_p!$H$4:$H244)</f>
        <v>-7.35228858839401E-006</v>
      </c>
      <c r="AC244" s="0" t="n">
        <f aca="false">_xlfn.VAR.S(s_p!$H$4:$H244)</f>
        <v>4.088119773697E-005</v>
      </c>
      <c r="AD244" s="0" t="n">
        <f aca="false">AB244/AC244</f>
        <v>-0.179845234371525</v>
      </c>
      <c r="AE244" s="0" t="n">
        <f aca="false">M244-(AD244*W244)</f>
        <v>0.000189278275602538</v>
      </c>
      <c r="AF244" s="33" t="n">
        <f aca="false">MAX($E$4:E244)</f>
        <v>0.280129884293098</v>
      </c>
      <c r="AG244" s="0" t="n">
        <f aca="false">1 - ((1 + E244) / (1 + AF244))</f>
        <v>0.203138453553958</v>
      </c>
      <c r="AH244" s="0" t="n">
        <f aca="false">MAX($AG$5:AG244)</f>
        <v>0.322303580832179</v>
      </c>
      <c r="AI244" s="19" t="n">
        <f aca="false">D244-s_p!H244</f>
        <v>-0.0360894375216704</v>
      </c>
      <c r="AJ244" s="19" t="n">
        <f aca="false">AVERAGE(AI$4:AI244)</f>
        <v>-6.75454940889705E-005</v>
      </c>
      <c r="AK244" s="0" t="n">
        <f aca="false">STDEV(AI$4:AI244)</f>
        <v>0.030012555193501</v>
      </c>
    </row>
    <row r="245" customFormat="false" ht="13.8" hidden="false" customHeight="false" outlineLevel="0" collapsed="false">
      <c r="A245" s="6" t="n">
        <f aca="false">WORKDAY(A244,1,holiday!$B$2:$B$10)</f>
        <v>39066</v>
      </c>
      <c r="B245" s="24" t="n">
        <v>998358.441501574</v>
      </c>
      <c r="C245" s="24" t="n">
        <f aca="false">B245-B244</f>
        <v>-21727.8377480162</v>
      </c>
      <c r="D245" s="31" t="n">
        <f aca="false">C245/B244</f>
        <v>-0.0212999999999999</v>
      </c>
      <c r="E245" s="31" t="n">
        <f aca="false" t="array" ref="E245:E245">PRODUCT(1+$D$4:D245)-1</f>
        <v>-0.00164155849842529</v>
      </c>
      <c r="F245" s="0" t="n">
        <f aca="false">IF(ISBLANK(A246),MONTH(A245),IF(MONTH(A246)-MONTH(A245)=1,MONTH(A245),0))</f>
        <v>0</v>
      </c>
      <c r="G245" s="0" t="str">
        <f aca="false">IF(B246&gt;B245,IF(AND(B244&gt;B245,B246&gt;B245),"min",""),IF(AND(B244&gt;B245,B246&gt;B245),"",IF(AND(B244&lt;B245,B246&lt;B245),"max","")))</f>
        <v>min</v>
      </c>
      <c r="H245" s="0" t="n">
        <f aca="false">IF(G245="min",COUNTIF(G$4:G245,"min"),IF(G245="max",COUNTIF(G$4:G245,"max"),""))</f>
        <v>60</v>
      </c>
      <c r="I245" s="24" t="n">
        <f aca="false" t="array" ref="I245:I245">IF($G$3=0,IF(G245="min",INDEX($B$4:$B$254,(MATCH(1,($G$4:$G$254="max")*($H$4:$H$254=(H245-1)),0))),""),IF($G$3=1,IF(G245="min",INDEX($B$4:$B$254,(MATCH(1,($G$4:$G$254="max")*($H$4:$H$254=(H245)),0))),""),""))</f>
        <v>1054200.48090376</v>
      </c>
      <c r="J245" s="29" t="n">
        <f aca="false">IF(AND(G243=0,G245="min",H245=1),B245-B244,IF(G245="min",B245-I245,""))</f>
        <v>-55842.0394021861</v>
      </c>
      <c r="K245" s="34" t="n">
        <f aca="false">IF(AND(G243=0,G245="min",H245=1),(B245-B244)/B244,IF(G245="min",(B245-I245)/I245,""))</f>
        <v>-0.0529709864619991</v>
      </c>
      <c r="L245" s="5"/>
      <c r="M245" s="0" t="n">
        <f aca="false">E245/COUNT($E$4:E245)</f>
        <v>-6.78329958026979E-006</v>
      </c>
      <c r="N245" s="19" t="n">
        <f aca="false">M245*252</f>
        <v>-0.00170939149422799</v>
      </c>
      <c r="O245" s="20" t="n">
        <f aca="false">STDEV($D$4:$D245)</f>
        <v>0.0290452276452201</v>
      </c>
      <c r="P245" s="20" t="n">
        <f aca="false">O245*SQRT(252)</f>
        <v>0.461078694735063</v>
      </c>
      <c r="Q245" s="0" t="n">
        <f aca="false">Treasuries!J243/100</f>
        <v>0.046</v>
      </c>
      <c r="R245" s="20" t="n">
        <f aca="false">AJ245/AK245*SQRT(252)</f>
        <v>-0.0846654859500534</v>
      </c>
      <c r="S245" s="32" t="n">
        <f aca="false">IF(D245&lt;s_p!H245, D245-s_p!H245, 0)</f>
        <v>-0.022422421062231</v>
      </c>
      <c r="T245" s="0" t="n">
        <f aca="false">S245^2</f>
        <v>0.000502764966291983</v>
      </c>
      <c r="U245" s="0" t="n">
        <f aca="false">SQRT(AVERAGE(T$4:T245)) * SQRT(252)</f>
        <v>0.338891424925591</v>
      </c>
      <c r="V245" s="0" t="n">
        <f aca="false">AJ245/U245*252</f>
        <v>-0.11891742399849</v>
      </c>
      <c r="W245" s="22" t="n">
        <f aca="false">(s_p!$J245)/COUNT(s_p!$J$4:$J245)</f>
        <v>0.000591884077583426</v>
      </c>
      <c r="X245" s="22" t="n">
        <f aca="false">W245 * 252</f>
        <v>0.149154787551023</v>
      </c>
      <c r="Y245" s="21" t="n">
        <f aca="false">STDEV(s_p!$H$4:$H245)</f>
        <v>0.0063806599504611</v>
      </c>
      <c r="Z245" s="21" t="n">
        <f aca="false">Y245*SQRT(252)</f>
        <v>0.101289836576339</v>
      </c>
      <c r="AA245" s="0" t="n">
        <f aca="false">AJ245/AK245</f>
        <v>-0.0053334242965303</v>
      </c>
      <c r="AB245" s="0" t="n">
        <f aca="false">_xlfn.COVARIANCE.S($D$4:$D245,s_p!$H$4:$H245)</f>
        <v>-7.37143792223938E-006</v>
      </c>
      <c r="AC245" s="0" t="n">
        <f aca="false">_xlfn.VAR.S(s_p!$H$4:$H245)</f>
        <v>4.07128214034182E-005</v>
      </c>
      <c r="AD245" s="0" t="n">
        <f aca="false">AB245/AC245</f>
        <v>-0.181059373144316</v>
      </c>
      <c r="AE245" s="0" t="n">
        <f aca="false">M245-(AD245*W245)</f>
        <v>0.000100382860481087</v>
      </c>
      <c r="AF245" s="33" t="n">
        <f aca="false">MAX($E$4:E245)</f>
        <v>0.280129884293098</v>
      </c>
      <c r="AG245" s="0" t="n">
        <f aca="false">1 - ((1 + E245) / (1 + AF245))</f>
        <v>0.220111604493259</v>
      </c>
      <c r="AH245" s="0" t="n">
        <f aca="false">MAX($AG$5:AG245)</f>
        <v>0.322303580832179</v>
      </c>
      <c r="AI245" s="19" t="n">
        <f aca="false">D245-s_p!H245</f>
        <v>-0.0224224210622311</v>
      </c>
      <c r="AJ245" s="19" t="n">
        <f aca="false">AVERAGE(AI$4:AI245)</f>
        <v>-0.000159921012965591</v>
      </c>
      <c r="AK245" s="0" t="n">
        <f aca="false">STDEV(AI$4:AI245)</f>
        <v>0.0299846785243823</v>
      </c>
    </row>
    <row r="246" customFormat="false" ht="13.8" hidden="false" customHeight="false" outlineLevel="0" collapsed="false">
      <c r="A246" s="6" t="n">
        <f aca="false">WORKDAY(A245,1,holiday!$B$2:$B$10)</f>
        <v>39069</v>
      </c>
      <c r="B246" s="24" t="n">
        <v>1034399.18123978</v>
      </c>
      <c r="C246" s="24" t="n">
        <f aca="false">B246-B245</f>
        <v>36040.7397382068</v>
      </c>
      <c r="D246" s="31" t="n">
        <f aca="false">C246/B245</f>
        <v>0.0361</v>
      </c>
      <c r="E246" s="31" t="n">
        <f aca="false" t="array" ref="E246:E246">PRODUCT(1+$D$4:D246)-1</f>
        <v>0.0343991812397815</v>
      </c>
      <c r="F246" s="0" t="n">
        <f aca="false">IF(ISBLANK(A247),MONTH(A246),IF(MONTH(A247)-MONTH(A246)=1,MONTH(A246),0))</f>
        <v>0</v>
      </c>
      <c r="G246" s="0" t="str">
        <f aca="false">IF(B247&gt;B246,IF(AND(B245&gt;B246,B247&gt;B246),"min",""),IF(AND(B245&gt;B246,B247&gt;B246),"",IF(AND(B245&lt;B246,B247&lt;B246),"max","")))</f>
        <v/>
      </c>
      <c r="H246" s="0" t="str">
        <f aca="false">IF(G246="min",COUNTIF(G$4:G246,"min"),IF(G246="max",COUNTIF(G$4:G246,"max"),""))</f>
        <v/>
      </c>
      <c r="I246" s="24" t="str">
        <f aca="false" t="array" ref="I246:I246">IF($G$3=0,IF(G246="min",INDEX($B$4:$B$254,(MATCH(1,($G$4:$G$254="max")*($H$4:$H$254=(H246-1)),0))),""),IF($G$3=1,IF(G246="min",INDEX($B$4:$B$254,(MATCH(1,($G$4:$G$254="max")*($H$4:$H$254=(H246)),0))),""),""))</f>
        <v/>
      </c>
      <c r="J246" s="29" t="str">
        <f aca="false">IF(AND(G244=0,G246="min",H246=1),B246-B245,IF(G246="min",B246-I246,""))</f>
        <v/>
      </c>
      <c r="K246" s="34" t="str">
        <f aca="false">IF(AND(G244=0,G246="min",H246=1),(B246-B245)/B245,IF(G246="min",(B246-I246)/I246,""))</f>
        <v/>
      </c>
      <c r="L246" s="5"/>
      <c r="M246" s="0" t="n">
        <f aca="false">E246/COUNT($E$4:E246)</f>
        <v>0.000141560416624615</v>
      </c>
      <c r="N246" s="19" t="n">
        <f aca="false">M246*252</f>
        <v>0.035673224989403</v>
      </c>
      <c r="O246" s="20" t="n">
        <f aca="false">STDEV($D$4:$D246)</f>
        <v>0.0290754192241645</v>
      </c>
      <c r="P246" s="20" t="n">
        <f aca="false">O246*SQRT(252)</f>
        <v>0.461557971192515</v>
      </c>
      <c r="Q246" s="0" t="n">
        <f aca="false">Treasuries!J244/100</f>
        <v>0.046</v>
      </c>
      <c r="R246" s="20" t="n">
        <f aca="false">AJ246/AK246*SQRT(252)</f>
        <v>0.00136934945645518</v>
      </c>
      <c r="S246" s="32" t="n">
        <f aca="false">IF(D246&lt;s_p!H246, D246-s_p!H246, 0)</f>
        <v>0</v>
      </c>
      <c r="T246" s="0" t="n">
        <f aca="false">S246^2</f>
        <v>0</v>
      </c>
      <c r="U246" s="0" t="n">
        <f aca="false">SQRT(AVERAGE(T$4:T246)) * SQRT(252)</f>
        <v>0.338193398592464</v>
      </c>
      <c r="V246" s="0" t="n">
        <f aca="false">AJ246/U246*252</f>
        <v>0.00193019215209674</v>
      </c>
      <c r="W246" s="22" t="n">
        <f aca="false">(s_p!$J246)/COUNT(s_p!$J$4:$J246)</f>
        <v>0.000574250595390629</v>
      </c>
      <c r="X246" s="22" t="n">
        <f aca="false">W246 * 252</f>
        <v>0.144711150038439</v>
      </c>
      <c r="Y246" s="21" t="n">
        <f aca="false">STDEV(s_p!$H$4:$H246)</f>
        <v>0.006372137218972</v>
      </c>
      <c r="Z246" s="21" t="n">
        <f aca="false">Y246*SQRT(252)</f>
        <v>0.101154542408272</v>
      </c>
      <c r="AA246" s="0" t="n">
        <f aca="false">AJ246/AK246</f>
        <v>8.62609076124671E-005</v>
      </c>
      <c r="AB246" s="0" t="n">
        <f aca="false">_xlfn.COVARIANCE.S($D$4:$D246,s_p!$H$4:$H246)</f>
        <v>-7.89960960508827E-006</v>
      </c>
      <c r="AC246" s="0" t="n">
        <f aca="false">_xlfn.VAR.S(s_p!$H$4:$H246)</f>
        <v>4.06041327374083E-005</v>
      </c>
      <c r="AD246" s="0" t="n">
        <f aca="false">AB246/AC246</f>
        <v>-0.194551861412137</v>
      </c>
      <c r="AE246" s="0" t="n">
        <f aca="false">M246-(AD246*W246)</f>
        <v>0.00025328193887489</v>
      </c>
      <c r="AF246" s="33" t="n">
        <f aca="false">MAX($E$4:E246)</f>
        <v>0.280129884293098</v>
      </c>
      <c r="AG246" s="0" t="n">
        <f aca="false">1 - ((1 + E246) / (1 + AF246))</f>
        <v>0.191957633415465</v>
      </c>
      <c r="AH246" s="0" t="n">
        <f aca="false">MAX($AG$5:AG246)</f>
        <v>0.322303580832179</v>
      </c>
      <c r="AI246" s="19" t="n">
        <f aca="false">D246-s_p!H246</f>
        <v>0.039330349872818</v>
      </c>
      <c r="AJ246" s="19" t="n">
        <f aca="false">AVERAGE(AI$4:AI246)</f>
        <v>2.59038985656389E-006</v>
      </c>
      <c r="AK246" s="0" t="n">
        <f aca="false">STDEV(AI$4:AI246)</f>
        <v>0.0300297078741785</v>
      </c>
    </row>
    <row r="247" customFormat="false" ht="13.8" hidden="false" customHeight="false" outlineLevel="0" collapsed="false">
      <c r="A247" s="6" t="n">
        <f aca="false">WORKDAY(A246,1,holiday!$B$2:$B$10)</f>
        <v>39070</v>
      </c>
      <c r="B247" s="24" t="n">
        <v>1039674.6170641</v>
      </c>
      <c r="C247" s="24" t="n">
        <f aca="false">B247-B246</f>
        <v>5275.43582432286</v>
      </c>
      <c r="D247" s="31" t="n">
        <f aca="false">C247/B246</f>
        <v>0.00509999999999998</v>
      </c>
      <c r="E247" s="31" t="n">
        <f aca="false" t="array" ref="E247:E247">PRODUCT(1+$D$4:D247)-1</f>
        <v>0.0396746170641042</v>
      </c>
      <c r="F247" s="0" t="n">
        <f aca="false">IF(ISBLANK(A248),MONTH(A247),IF(MONTH(A248)-MONTH(A247)=1,MONTH(A247),0))</f>
        <v>0</v>
      </c>
      <c r="G247" s="0" t="str">
        <f aca="false">IF(B248&gt;B247,IF(AND(B246&gt;B247,B248&gt;B247),"min",""),IF(AND(B246&gt;B247,B248&gt;B247),"",IF(AND(B246&lt;B247,B248&lt;B247),"max","")))</f>
        <v>max</v>
      </c>
      <c r="H247" s="0" t="n">
        <f aca="false">IF(G247="min",COUNTIF(G$4:G247,"min"),IF(G247="max",COUNTIF(G$4:G247,"max"),""))</f>
        <v>60</v>
      </c>
      <c r="I247" s="24" t="str">
        <f aca="false" t="array" ref="I247:I247">IF($G$3=0,IF(G247="min",INDEX($B$4:$B$254,(MATCH(1,($G$4:$G$254="max")*($H$4:$H$254=(H247-1)),0))),""),IF($G$3=1,IF(G247="min",INDEX($B$4:$B$254,(MATCH(1,($G$4:$G$254="max")*($H$4:$H$254=(H247)),0))),""),""))</f>
        <v/>
      </c>
      <c r="J247" s="29" t="str">
        <f aca="false">IF(AND(G245=0,G247="min",H247=1),B247-B246,IF(G247="min",B247-I247,""))</f>
        <v/>
      </c>
      <c r="K247" s="34" t="str">
        <f aca="false">IF(AND(G245=0,G247="min",H247=1),(B247-B246)/B246,IF(G247="min",(B247-I247)/I247,""))</f>
        <v/>
      </c>
      <c r="L247" s="5"/>
      <c r="M247" s="0" t="n">
        <f aca="false">E247/COUNT($E$4:E247)</f>
        <v>0.000162600889606985</v>
      </c>
      <c r="N247" s="19" t="n">
        <f aca="false">M247*252</f>
        <v>0.0409754241809601</v>
      </c>
      <c r="O247" s="20" t="n">
        <f aca="false">STDEV($D$4:$D247)</f>
        <v>0.029016986893918</v>
      </c>
      <c r="P247" s="20" t="n">
        <f aca="false">O247*SQRT(252)</f>
        <v>0.460630386706366</v>
      </c>
      <c r="Q247" s="0" t="n">
        <f aca="false">Treasuries!J245/100</f>
        <v>0.046</v>
      </c>
      <c r="R247" s="20" t="n">
        <f aca="false">AJ247/AK247*SQRT(252)</f>
        <v>0.00775296747200707</v>
      </c>
      <c r="S247" s="32" t="n">
        <f aca="false">IF(D247&lt;s_p!H247, D247-s_p!H247, 0)</f>
        <v>0</v>
      </c>
      <c r="T247" s="0" t="n">
        <f aca="false">S247^2</f>
        <v>0</v>
      </c>
      <c r="U247" s="0" t="n">
        <f aca="false">SQRT(AVERAGE(T$4:T247)) * SQRT(252)</f>
        <v>0.337499667813556</v>
      </c>
      <c r="V247" s="0" t="n">
        <f aca="false">AJ247/U247*252</f>
        <v>0.0109284632659296</v>
      </c>
      <c r="W247" s="22" t="n">
        <f aca="false">(s_p!$J247)/COUNT(s_p!$J$4:$J247)</f>
        <v>0.000581976471682116</v>
      </c>
      <c r="X247" s="22" t="n">
        <f aca="false">W247 * 252</f>
        <v>0.146658070863893</v>
      </c>
      <c r="Y247" s="21" t="n">
        <f aca="false">STDEV(s_p!$H$4:$H247)</f>
        <v>0.00635983751897256</v>
      </c>
      <c r="Z247" s="21" t="n">
        <f aca="false">Y247*SQRT(252)</f>
        <v>0.100959290723877</v>
      </c>
      <c r="AA247" s="0" t="n">
        <f aca="false">AJ247/AK247</f>
        <v>0.000488391044135847</v>
      </c>
      <c r="AB247" s="0" t="n">
        <f aca="false">_xlfn.COVARIANCE.S($D$4:$D247,s_p!$H$4:$H247)</f>
        <v>-7.83732810466159E-006</v>
      </c>
      <c r="AC247" s="0" t="n">
        <f aca="false">_xlfn.VAR.S(s_p!$H$4:$H247)</f>
        <v>4.04475332677311E-005</v>
      </c>
      <c r="AD247" s="0" t="n">
        <f aca="false">AB247/AC247</f>
        <v>-0.193765292256133</v>
      </c>
      <c r="AE247" s="0" t="n">
        <f aca="false">M247-(AD247*W247)</f>
        <v>0.000275367730728663</v>
      </c>
      <c r="AF247" s="33" t="n">
        <f aca="false">MAX($E$4:E247)</f>
        <v>0.280129884293098</v>
      </c>
      <c r="AG247" s="0" t="n">
        <f aca="false">1 - ((1 + E247) / (1 + AF247))</f>
        <v>0.187836617345884</v>
      </c>
      <c r="AH247" s="0" t="n">
        <f aca="false">MAX($AG$5:AG247)</f>
        <v>0.322303580832179</v>
      </c>
      <c r="AI247" s="19" t="n">
        <f aca="false">D247-s_p!H247</f>
        <v>0.00294179742421684</v>
      </c>
      <c r="AJ247" s="19" t="n">
        <f aca="false">AVERAGE(AI$4:AI247)</f>
        <v>1.46363203252535E-005</v>
      </c>
      <c r="AK247" s="0" t="n">
        <f aca="false">STDEV(AI$4:AI247)</f>
        <v>0.0299684453697362</v>
      </c>
    </row>
    <row r="248" customFormat="false" ht="13.8" hidden="false" customHeight="false" outlineLevel="0" collapsed="false">
      <c r="A248" s="6" t="n">
        <f aca="false">WORKDAY(A247,1,holiday!$B$2:$B$10)</f>
        <v>39071</v>
      </c>
      <c r="B248" s="24" t="n">
        <v>1000374.91653908</v>
      </c>
      <c r="C248" s="24" t="n">
        <f aca="false">B248-B247</f>
        <v>-39299.7005250232</v>
      </c>
      <c r="D248" s="31" t="n">
        <f aca="false">C248/B247</f>
        <v>-0.0378</v>
      </c>
      <c r="E248" s="31" t="n">
        <f aca="false" t="array" ref="E248:E248">PRODUCT(1+$D$4:D248)-1</f>
        <v>0.000374916539081171</v>
      </c>
      <c r="F248" s="0" t="n">
        <f aca="false">IF(ISBLANK(A249),MONTH(A248),IF(MONTH(A249)-MONTH(A248)=1,MONTH(A248),0))</f>
        <v>0</v>
      </c>
      <c r="G248" s="0" t="str">
        <f aca="false">IF(B249&gt;B248,IF(AND(B247&gt;B248,B249&gt;B248),"min",""),IF(AND(B247&gt;B248,B249&gt;B248),"",IF(AND(B247&lt;B248,B249&lt;B248),"max","")))</f>
        <v>min</v>
      </c>
      <c r="H248" s="0" t="n">
        <f aca="false">IF(G248="min",COUNTIF(G$4:G248,"min"),IF(G248="max",COUNTIF(G$4:G248,"max"),""))</f>
        <v>61</v>
      </c>
      <c r="I248" s="24" t="n">
        <f aca="false" t="array" ref="I248:I248">IF($G$3=0,IF(G248="min",INDEX($B$4:$B$254,(MATCH(1,($G$4:$G$254="max")*($H$4:$H$254=(H248-1)),0))),""),IF($G$3=1,IF(G248="min",INDEX($B$4:$B$254,(MATCH(1,($G$4:$G$254="max")*($H$4:$H$254=(H248)),0))),""),""))</f>
        <v>1039674.6170641</v>
      </c>
      <c r="J248" s="29" t="n">
        <f aca="false">IF(AND(G246=0,G248="min",H248=1),B248-B247,IF(G248="min",B248-I248,""))</f>
        <v>-39299.70052502</v>
      </c>
      <c r="K248" s="34" t="n">
        <f aca="false">IF(AND(G246=0,G248="min",H248=1),(B248-B247)/B247,IF(G248="min",(B248-I248)/I248,""))</f>
        <v>-0.0377999999999971</v>
      </c>
      <c r="L248" s="5"/>
      <c r="M248" s="0" t="n">
        <f aca="false">E248/COUNT($E$4:E248)</f>
        <v>1.53027158808641E-006</v>
      </c>
      <c r="N248" s="19" t="n">
        <f aca="false">M248*252</f>
        <v>0.000385628440197776</v>
      </c>
      <c r="O248" s="20" t="n">
        <f aca="false">STDEV($D$4:$D248)</f>
        <v>0.0290610879019264</v>
      </c>
      <c r="P248" s="20" t="n">
        <f aca="false">O248*SQRT(252)</f>
        <v>0.461330468504911</v>
      </c>
      <c r="Q248" s="0" t="n">
        <f aca="false">Treasuries!J246/100</f>
        <v>0.046</v>
      </c>
      <c r="R248" s="20" t="n">
        <f aca="false">AJ248/AK248*SQRT(252)</f>
        <v>-0.0708732258269621</v>
      </c>
      <c r="S248" s="32" t="n">
        <f aca="false">IF(D248&lt;s_p!H248, D248-s_p!H248, 0)</f>
        <v>-0.0363830030514539</v>
      </c>
      <c r="T248" s="0" t="n">
        <f aca="false">S248^2</f>
        <v>0.0013237229110421</v>
      </c>
      <c r="U248" s="0" t="n">
        <f aca="false">SQRT(AVERAGE(T$4:T248)) * SQRT(252)</f>
        <v>0.338825392769968</v>
      </c>
      <c r="V248" s="0" t="n">
        <f aca="false">AJ248/U248*252</f>
        <v>-0.0996065227797354</v>
      </c>
      <c r="W248" s="22" t="n">
        <f aca="false">(s_p!$J248)/COUNT(s_p!$J$4:$J248)</f>
        <v>0.000572996103567642</v>
      </c>
      <c r="X248" s="22" t="n">
        <f aca="false">W248 * 252</f>
        <v>0.144395018099046</v>
      </c>
      <c r="Y248" s="21" t="n">
        <f aca="false">STDEV(s_p!$H$4:$H248)</f>
        <v>0.0063480540256153</v>
      </c>
      <c r="Z248" s="21" t="n">
        <f aca="false">Y248*SQRT(252)</f>
        <v>0.100772233565883</v>
      </c>
      <c r="AA248" s="0" t="n">
        <f aca="false">AJ248/AK248</f>
        <v>-0.00446459357502524</v>
      </c>
      <c r="AB248" s="0" t="n">
        <f aca="false">_xlfn.COVARIANCE.S($D$4:$D248,s_p!$H$4:$H248)</f>
        <v>-7.49481358330032E-006</v>
      </c>
      <c r="AC248" s="0" t="n">
        <f aca="false">_xlfn.VAR.S(s_p!$H$4:$H248)</f>
        <v>4.02977899121307E-005</v>
      </c>
      <c r="AD248" s="0" t="n">
        <f aca="false">AB248/AC248</f>
        <v>-0.185985722781392</v>
      </c>
      <c r="AE248" s="0" t="n">
        <f aca="false">M248-(AD248*W248)</f>
        <v>0.000108099366061036</v>
      </c>
      <c r="AF248" s="33" t="n">
        <f aca="false">MAX($E$4:E248)</f>
        <v>0.280129884293098</v>
      </c>
      <c r="AG248" s="0" t="n">
        <f aca="false">1 - ((1 + E248) / (1 + AF248))</f>
        <v>0.21853639321021</v>
      </c>
      <c r="AH248" s="0" t="n">
        <f aca="false">MAX($AG$5:AG248)</f>
        <v>0.322303580832179</v>
      </c>
      <c r="AI248" s="19" t="n">
        <f aca="false">D248-s_p!H248</f>
        <v>-0.0363830030514539</v>
      </c>
      <c r="AJ248" s="19" t="n">
        <f aca="false">AVERAGE(AI$4:AI248)</f>
        <v>-0.000133925473028947</v>
      </c>
      <c r="AK248" s="0" t="n">
        <f aca="false">STDEV(AI$4:AI248)</f>
        <v>0.0299972373248308</v>
      </c>
    </row>
    <row r="249" customFormat="false" ht="13.8" hidden="false" customHeight="false" outlineLevel="0" collapsed="false">
      <c r="A249" s="6" t="n">
        <f aca="false">WORKDAY(A248,1,holiday!$B$2:$B$10)</f>
        <v>39072</v>
      </c>
      <c r="B249" s="24" t="n">
        <v>1008778.06583801</v>
      </c>
      <c r="C249" s="24" t="n">
        <f aca="false">B249-B248</f>
        <v>8403.14929892833</v>
      </c>
      <c r="D249" s="31" t="n">
        <f aca="false">C249/B248</f>
        <v>0.00840000000000005</v>
      </c>
      <c r="E249" s="31" t="n">
        <f aca="false" t="array" ref="E249:E249">PRODUCT(1+$D$4:D249)-1</f>
        <v>0.00877806583800944</v>
      </c>
      <c r="F249" s="0" t="n">
        <f aca="false">IF(ISBLANK(A250),MONTH(A249),IF(MONTH(A250)-MONTH(A249)=1,MONTH(A249),0))</f>
        <v>0</v>
      </c>
      <c r="G249" s="0" t="str">
        <f aca="false">IF(B250&gt;B249,IF(AND(B248&gt;B249,B250&gt;B249),"min",""),IF(AND(B248&gt;B249,B250&gt;B249),"",IF(AND(B248&lt;B249,B250&lt;B249),"max","")))</f>
        <v/>
      </c>
      <c r="H249" s="0" t="str">
        <f aca="false">IF(G249="min",COUNTIF(G$4:G249,"min"),IF(G249="max",COUNTIF(G$4:G249,"max"),""))</f>
        <v/>
      </c>
      <c r="I249" s="24" t="str">
        <f aca="false" t="array" ref="I249:I249">IF($G$3=0,IF(G249="min",INDEX($B$4:$B$254,(MATCH(1,($G$4:$G$254="max")*($H$4:$H$254=(H249-1)),0))),""),IF($G$3=1,IF(G249="min",INDEX($B$4:$B$254,(MATCH(1,($G$4:$G$254="max")*($H$4:$H$254=(H249)),0))),""),""))</f>
        <v/>
      </c>
      <c r="J249" s="29" t="str">
        <f aca="false">IF(AND(G247=0,G249="min",H249=1),B249-B248,IF(G249="min",B249-I249,""))</f>
        <v/>
      </c>
      <c r="K249" s="34" t="str">
        <f aca="false">IF(AND(G247=0,G249="min",H249=1),(B249-B248)/B248,IF(G249="min",(B249-I249)/I249,""))</f>
        <v/>
      </c>
      <c r="L249" s="5"/>
      <c r="M249" s="0" t="n">
        <f aca="false">E249/COUNT($E$4:E249)</f>
        <v>3.5683194463453E-005</v>
      </c>
      <c r="N249" s="19" t="n">
        <f aca="false">M249*252</f>
        <v>0.00899216500479016</v>
      </c>
      <c r="O249" s="20" t="n">
        <f aca="false">STDEV($D$4:$D249)</f>
        <v>0.0290061787327967</v>
      </c>
      <c r="P249" s="20" t="n">
        <f aca="false">O249*SQRT(252)</f>
        <v>0.460458812467624</v>
      </c>
      <c r="Q249" s="0" t="n">
        <f aca="false">Treasuries!J247/100</f>
        <v>0.0455</v>
      </c>
      <c r="R249" s="20" t="n">
        <f aca="false">AJ249/AK249*SQRT(252)</f>
        <v>-0.0446876436099394</v>
      </c>
      <c r="S249" s="32" t="n">
        <f aca="false">IF(D249&lt;s_p!H249, D249-s_p!H249, 0)</f>
        <v>0</v>
      </c>
      <c r="T249" s="0" t="n">
        <f aca="false">S249^2</f>
        <v>0</v>
      </c>
      <c r="U249" s="0" t="n">
        <f aca="false">SQRT(AVERAGE(T$4:T249)) * SQRT(252)</f>
        <v>0.338136021978974</v>
      </c>
      <c r="V249" s="0" t="n">
        <f aca="false">AJ249/U249*252</f>
        <v>-0.0628255302272792</v>
      </c>
      <c r="W249" s="22" t="n">
        <f aca="false">(s_p!$J249)/COUNT(s_p!$J$4:$J249)</f>
        <v>0.000553635422037837</v>
      </c>
      <c r="X249" s="22" t="n">
        <f aca="false">W249 * 252</f>
        <v>0.139516126353535</v>
      </c>
      <c r="Y249" s="21" t="n">
        <f aca="false">STDEV(s_p!$H$4:$H249)</f>
        <v>0.00634082456717906</v>
      </c>
      <c r="Z249" s="21" t="n">
        <f aca="false">Y249*SQRT(252)</f>
        <v>0.100657469471067</v>
      </c>
      <c r="AA249" s="0" t="n">
        <f aca="false">AJ249/AK249</f>
        <v>-0.00281505694450911</v>
      </c>
      <c r="AB249" s="0" t="n">
        <f aca="false">_xlfn.COVARIANCE.S($D$4:$D249,s_p!$H$4:$H249)</f>
        <v>-7.60140849199995E-006</v>
      </c>
      <c r="AC249" s="0" t="n">
        <f aca="false">_xlfn.VAR.S(s_p!$H$4:$H249)</f>
        <v>4.02060561917416E-005</v>
      </c>
      <c r="AD249" s="0" t="n">
        <f aca="false">AB249/AC249</f>
        <v>-0.189061281110215</v>
      </c>
      <c r="AE249" s="0" t="n">
        <f aca="false">M249-(AD249*W249)</f>
        <v>0.000140354216621921</v>
      </c>
      <c r="AF249" s="33" t="n">
        <f aca="false">MAX($E$4:E249)</f>
        <v>0.280129884293098</v>
      </c>
      <c r="AG249" s="0" t="n">
        <f aca="false">1 - ((1 + E249) / (1 + AF249))</f>
        <v>0.211972098913175</v>
      </c>
      <c r="AH249" s="0" t="n">
        <f aca="false">MAX($AG$5:AG249)</f>
        <v>0.322303580832179</v>
      </c>
      <c r="AI249" s="19" t="n">
        <f aca="false">D249-s_p!H249</f>
        <v>0.0120739654239813</v>
      </c>
      <c r="AJ249" s="19" t="n">
        <f aca="false">AVERAGE(AI$4:AI249)</f>
        <v>-8.42999002768729E-005</v>
      </c>
      <c r="AK249" s="0" t="n">
        <f aca="false">STDEV(AI$4:AI249)</f>
        <v>0.0299460728285811</v>
      </c>
    </row>
    <row r="250" customFormat="false" ht="13.8" hidden="false" customHeight="false" outlineLevel="0" collapsed="false">
      <c r="A250" s="6" t="n">
        <f aca="false">WORKDAY(A249,1,holiday!$B$2:$B$10)</f>
        <v>39073</v>
      </c>
      <c r="B250" s="24" t="n">
        <v>1015436.00107254</v>
      </c>
      <c r="C250" s="24" t="n">
        <f aca="false">B250-B249</f>
        <v>6657.93523453083</v>
      </c>
      <c r="D250" s="31" t="n">
        <f aca="false">C250/B249</f>
        <v>0.00659999999999997</v>
      </c>
      <c r="E250" s="31" t="n">
        <f aca="false" t="array" ref="E250:E250">PRODUCT(1+$D$4:D250)-1</f>
        <v>0.0154360010725403</v>
      </c>
      <c r="F250" s="0" t="n">
        <f aca="false">IF(ISBLANK(A251),MONTH(A250),IF(MONTH(A251)-MONTH(A250)=1,MONTH(A250),0))</f>
        <v>0</v>
      </c>
      <c r="G250" s="0" t="str">
        <f aca="false">IF(B251&gt;B250,IF(AND(B249&gt;B250,B251&gt;B250),"min",""),IF(AND(B249&gt;B250,B251&gt;B250),"",IF(AND(B249&lt;B250,B251&lt;B250),"max","")))</f>
        <v>max</v>
      </c>
      <c r="H250" s="0" t="n">
        <f aca="false">IF(G250="min",COUNTIF(G$4:G250,"min"),IF(G250="max",COUNTIF(G$4:G250,"max"),""))</f>
        <v>61</v>
      </c>
      <c r="I250" s="24" t="str">
        <f aca="false" t="array" ref="I250:I250">IF($G$3=0,IF(G250="min",INDEX($B$4:$B$254,(MATCH(1,($G$4:$G$254="max")*($H$4:$H$254=(H250-1)),0))),""),IF($G$3=1,IF(G250="min",INDEX($B$4:$B$254,(MATCH(1,($G$4:$G$254="max")*($H$4:$H$254=(H250)),0))),""),""))</f>
        <v/>
      </c>
      <c r="J250" s="29" t="str">
        <f aca="false">IF(AND(G248=0,G250="min",H250=1),B250-B249,IF(G250="min",B250-I250,""))</f>
        <v/>
      </c>
      <c r="K250" s="34" t="str">
        <f aca="false">IF(AND(G248=0,G250="min",H250=1),(B250-B249)/B249,IF(G250="min",(B250-I250)/I250,""))</f>
        <v/>
      </c>
      <c r="L250" s="5"/>
      <c r="M250" s="0" t="n">
        <f aca="false">E250/COUNT($E$4:E250)</f>
        <v>6.24939314677744E-005</v>
      </c>
      <c r="N250" s="19" t="n">
        <f aca="false">M250*252</f>
        <v>0.0157484707298792</v>
      </c>
      <c r="O250" s="20" t="n">
        <f aca="false">STDEV($D$4:$D250)</f>
        <v>0.0289498036828246</v>
      </c>
      <c r="P250" s="20" t="n">
        <f aca="false">O250*SQRT(252)</f>
        <v>0.459563886293375</v>
      </c>
      <c r="Q250" s="0" t="n">
        <f aca="false">Treasuries!J248/100</f>
        <v>0.0463</v>
      </c>
      <c r="R250" s="20" t="n">
        <f aca="false">AJ250/AK250*SQRT(252)</f>
        <v>-0.0189649293910538</v>
      </c>
      <c r="S250" s="32" t="n">
        <f aca="false">IF(D250&lt;s_p!H250, D250-s_p!H250, 0)</f>
        <v>0</v>
      </c>
      <c r="T250" s="0" t="n">
        <f aca="false">S250^2</f>
        <v>0</v>
      </c>
      <c r="U250" s="0" t="n">
        <f aca="false">SQRT(AVERAGE(T$4:T250)) * SQRT(252)</f>
        <v>0.337450841899068</v>
      </c>
      <c r="V250" s="0" t="n">
        <f aca="false">AJ250/U250*252</f>
        <v>-0.0266709239571458</v>
      </c>
      <c r="W250" s="22" t="n">
        <f aca="false">(s_p!$J250)/COUNT(s_p!$J$4:$J250)</f>
        <v>0.00052693947668589</v>
      </c>
      <c r="X250" s="22" t="n">
        <f aca="false">W250 * 252</f>
        <v>0.132788748124844</v>
      </c>
      <c r="Y250" s="21" t="n">
        <f aca="false">STDEV(s_p!$H$4:$H250)</f>
        <v>0.00633888204289686</v>
      </c>
      <c r="Z250" s="21" t="n">
        <f aca="false">Y250*SQRT(252)</f>
        <v>0.100626632854069</v>
      </c>
      <c r="AA250" s="0" t="n">
        <f aca="false">AJ250/AK250</f>
        <v>-0.00119467825715777</v>
      </c>
      <c r="AB250" s="0" t="n">
        <f aca="false">_xlfn.COVARIANCE.S($D$4:$D250,s_p!$H$4:$H250)</f>
        <v>-7.71618520601186E-006</v>
      </c>
      <c r="AC250" s="0" t="n">
        <f aca="false">_xlfn.VAR.S(s_p!$H$4:$H250)</f>
        <v>4.01814255537602E-005</v>
      </c>
      <c r="AD250" s="0" t="n">
        <f aca="false">AB250/AC250</f>
        <v>-0.192033634936324</v>
      </c>
      <c r="AE250" s="0" t="n">
        <f aca="false">M250-(AD250*W250)</f>
        <v>0.00016368403456721</v>
      </c>
      <c r="AF250" s="33" t="n">
        <f aca="false">MAX($E$4:E250)</f>
        <v>0.280129884293098</v>
      </c>
      <c r="AG250" s="0" t="n">
        <f aca="false">1 - ((1 + E250) / (1 + AF250))</f>
        <v>0.206771114766003</v>
      </c>
      <c r="AH250" s="0" t="n">
        <f aca="false">MAX($AG$5:AG250)</f>
        <v>0.322303580832179</v>
      </c>
      <c r="AI250" s="19" t="n">
        <f aca="false">D250-s_p!H250</f>
        <v>0.0119162236480293</v>
      </c>
      <c r="AJ250" s="19" t="n">
        <f aca="false">AVERAGE(AI$4:AI250)</f>
        <v>-3.5714784696686E-005</v>
      </c>
      <c r="AK250" s="0" t="n">
        <f aca="false">STDEV(AI$4:AI250)</f>
        <v>0.0298948980469891</v>
      </c>
    </row>
    <row r="251" customFormat="false" ht="13.8" hidden="false" customHeight="false" outlineLevel="0" collapsed="false">
      <c r="A251" s="6" t="n">
        <f aca="false">WORKDAY(A250,1,holiday!$B$2:$B$10)</f>
        <v>39077</v>
      </c>
      <c r="B251" s="24" t="n">
        <v>1004977.01026149</v>
      </c>
      <c r="C251" s="24" t="n">
        <f aca="false">B251-B250</f>
        <v>-10458.9908110471</v>
      </c>
      <c r="D251" s="31" t="n">
        <f aca="false">C251/B250</f>
        <v>-0.0103</v>
      </c>
      <c r="E251" s="31" t="n">
        <f aca="false" t="array" ref="E251:E251">PRODUCT(1+$D$4:D251)-1</f>
        <v>0.00497701026149322</v>
      </c>
      <c r="F251" s="0" t="n">
        <f aca="false">IF(ISBLANK(A252),MONTH(A251),IF(MONTH(A252)-MONTH(A251)=1,MONTH(A251),0))</f>
        <v>0</v>
      </c>
      <c r="G251" s="0" t="str">
        <f aca="false">IF(B252&gt;B251,IF(AND(B250&gt;B251,B252&gt;B251),"min",""),IF(AND(B250&gt;B251,B252&gt;B251),"",IF(AND(B250&lt;B251,B252&lt;B251),"max","")))</f>
        <v/>
      </c>
      <c r="H251" s="0" t="str">
        <f aca="false">IF(G251="min",COUNTIF(G$4:G251,"min"),IF(G251="max",COUNTIF(G$4:G251,"max"),""))</f>
        <v/>
      </c>
      <c r="I251" s="24" t="str">
        <f aca="false" t="array" ref="I251:I251">IF($G$3=0,IF(G251="min",INDEX($B$4:$B$254,(MATCH(1,($G$4:$G$254="max")*($H$4:$H$254=(H251-1)),0))),""),IF($G$3=1,IF(G251="min",INDEX($B$4:$B$254,(MATCH(1,($G$4:$G$254="max")*($H$4:$H$254=(H251)),0))),""),""))</f>
        <v/>
      </c>
      <c r="J251" s="29" t="str">
        <f aca="false">IF(AND(G249=0,G251="min",H251=1),B251-B250,IF(G251="min",B251-I251,""))</f>
        <v/>
      </c>
      <c r="K251" s="34" t="str">
        <f aca="false">IF(AND(G249=0,G251="min",H251=1),(B251-B250)/B250,IF(G251="min",(B251-I251)/I251,""))</f>
        <v/>
      </c>
      <c r="L251" s="5"/>
      <c r="M251" s="0" t="n">
        <f aca="false">E251/COUNT($E$4:E251)</f>
        <v>2.00685897640856E-005</v>
      </c>
      <c r="N251" s="19" t="n">
        <f aca="false">M251*252</f>
        <v>0.00505728462054956</v>
      </c>
      <c r="O251" s="20" t="n">
        <f aca="false">STDEV($D$4:$D251)</f>
        <v>0.0288992493484386</v>
      </c>
      <c r="P251" s="20" t="n">
        <f aca="false">O251*SQRT(252)</f>
        <v>0.458761361114483</v>
      </c>
      <c r="Q251" s="0" t="n">
        <f aca="false">Treasuries!J249/100</f>
        <v>0.0461</v>
      </c>
      <c r="R251" s="20" t="n">
        <f aca="false">AJ251/AK251*SQRT(252)</f>
        <v>-0.0503391717929422</v>
      </c>
      <c r="S251" s="32" t="n">
        <f aca="false">IF(D251&lt;s_p!H251, D251-s_p!H251, 0)</f>
        <v>-0.0146522640278999</v>
      </c>
      <c r="T251" s="0" t="n">
        <f aca="false">S251^2</f>
        <v>0.000214688841143289</v>
      </c>
      <c r="U251" s="0" t="n">
        <f aca="false">SQRT(AVERAGE(T$4:T251)) * SQRT(252)</f>
        <v>0.337093542885535</v>
      </c>
      <c r="V251" s="0" t="n">
        <f aca="false">AJ251/U251*252</f>
        <v>-0.0707590705441448</v>
      </c>
      <c r="W251" s="22" t="n">
        <f aca="false">(s_p!$J251)/COUNT(s_p!$J$4:$J251)</f>
        <v>0.000544648304687266</v>
      </c>
      <c r="X251" s="22" t="n">
        <f aca="false">W251 * 252</f>
        <v>0.137251372781191</v>
      </c>
      <c r="Y251" s="21" t="n">
        <f aca="false">STDEV(s_p!$H$4:$H251)</f>
        <v>0.00633072716865146</v>
      </c>
      <c r="Z251" s="21" t="n">
        <f aca="false">Y251*SQRT(252)</f>
        <v>0.100497178238711</v>
      </c>
      <c r="AA251" s="0" t="n">
        <f aca="false">AJ251/AK251</f>
        <v>-0.00317106975640669</v>
      </c>
      <c r="AB251" s="0" t="n">
        <f aca="false">_xlfn.COVARIANCE.S($D$4:$D251,s_p!$H$4:$H251)</f>
        <v>-7.85171852306305E-006</v>
      </c>
      <c r="AC251" s="0" t="n">
        <f aca="false">_xlfn.VAR.S(s_p!$H$4:$H251)</f>
        <v>4.00781064839017E-005</v>
      </c>
      <c r="AD251" s="0" t="n">
        <f aca="false">AB251/AC251</f>
        <v>-0.195910416232285</v>
      </c>
      <c r="AE251" s="0" t="n">
        <f aca="false">M251-(AD251*W251)</f>
        <v>0.000126770865835576</v>
      </c>
      <c r="AF251" s="33" t="n">
        <f aca="false">MAX($E$4:E251)</f>
        <v>0.280129884293098</v>
      </c>
      <c r="AG251" s="0" t="n">
        <f aca="false">1 - ((1 + E251) / (1 + AF251))</f>
        <v>0.214941372283913</v>
      </c>
      <c r="AH251" s="0" t="n">
        <f aca="false">MAX($AG$5:AG251)</f>
        <v>0.322303580832179</v>
      </c>
      <c r="AI251" s="19" t="n">
        <f aca="false">D251-s_p!H251</f>
        <v>-0.0146522640278999</v>
      </c>
      <c r="AJ251" s="19" t="n">
        <f aca="false">AVERAGE(AI$4:AI251)</f>
        <v>-9.46524832579893E-005</v>
      </c>
      <c r="AK251" s="0" t="n">
        <f aca="false">STDEV(AI$4:AI251)</f>
        <v>0.0298487546881483</v>
      </c>
    </row>
    <row r="252" customFormat="false" ht="13.8" hidden="false" customHeight="false" outlineLevel="0" collapsed="false">
      <c r="A252" s="6" t="n">
        <f aca="false">WORKDAY(A251,1,holiday!$B$2:$B$10)</f>
        <v>39078</v>
      </c>
      <c r="B252" s="24" t="n">
        <v>1001258.59532353</v>
      </c>
      <c r="C252" s="24" t="n">
        <f aca="false">B252-B251</f>
        <v>-3718.41493796755</v>
      </c>
      <c r="D252" s="31" t="n">
        <f aca="false">C252/B251</f>
        <v>-0.00370000000000003</v>
      </c>
      <c r="E252" s="31" t="n">
        <f aca="false" t="array" ref="E252:E252">PRODUCT(1+$D$4:D252)-1</f>
        <v>0.00125859532352557</v>
      </c>
      <c r="F252" s="0" t="n">
        <f aca="false">IF(ISBLANK(A253),MONTH(A252),IF(MONTH(A253)-MONTH(A252)=1,MONTH(A252),0))</f>
        <v>0</v>
      </c>
      <c r="G252" s="0" t="str">
        <f aca="false">IF(B253&gt;B252,IF(AND(B251&gt;B252,B253&gt;B252),"min",""),IF(AND(B251&gt;B252,B253&gt;B252),"",IF(AND(B251&lt;B252,B253&lt;B252),"max","")))</f>
        <v>min</v>
      </c>
      <c r="H252" s="0" t="n">
        <f aca="false">IF(G252="min",COUNTIF(G$4:G252,"min"),IF(G252="max",COUNTIF(G$4:G252,"max"),""))</f>
        <v>62</v>
      </c>
      <c r="I252" s="24" t="n">
        <f aca="false" t="array" ref="I252:I252">IF($G$3=0,IF(G252="min",INDEX($B$4:$B$254,(MATCH(1,($G$4:$G$254="max")*($H$4:$H$254=(H252-1)),0))),""),IF($G$3=1,IF(G252="min",INDEX($B$4:$B$254,(MATCH(1,($G$4:$G$254="max")*($H$4:$H$254=(H252)),0))),""),""))</f>
        <v>1015436.00107254</v>
      </c>
      <c r="J252" s="29" t="n">
        <f aca="false">IF(AND(G250=0,G252="min",H252=1),B252-B251,IF(G252="min",B252-I252,""))</f>
        <v>-14177.4057490099</v>
      </c>
      <c r="K252" s="34" t="n">
        <f aca="false">IF(AND(G250=0,G252="min",H252=1),(B252-B251)/B251,IF(G252="min",(B252-I252)/I252,""))</f>
        <v>-0.0139618899999953</v>
      </c>
      <c r="L252" s="5"/>
      <c r="M252" s="0" t="n">
        <f aca="false">E252/COUNT($E$4:E252)</f>
        <v>5.05459969287377E-006</v>
      </c>
      <c r="N252" s="19" t="n">
        <f aca="false">M252*252</f>
        <v>0.00127375912260419</v>
      </c>
      <c r="O252" s="20" t="n">
        <f aca="false">STDEV($D$4:$D252)</f>
        <v>0.0288421170517248</v>
      </c>
      <c r="P252" s="20" t="n">
        <f aca="false">O252*SQRT(252)</f>
        <v>0.457854414020875</v>
      </c>
      <c r="Q252" s="0" t="n">
        <f aca="false">Treasuries!J250/100</f>
        <v>0.0466</v>
      </c>
      <c r="R252" s="20" t="n">
        <f aca="false">AJ252/AK252*SQRT(252)</f>
        <v>-0.0731525221339188</v>
      </c>
      <c r="S252" s="32" t="n">
        <f aca="false">IF(D252&lt;s_p!H252, D252-s_p!H252, 0)</f>
        <v>-0.0107153151245676</v>
      </c>
      <c r="T252" s="0" t="n">
        <f aca="false">S252^2</f>
        <v>0.000114817978218787</v>
      </c>
      <c r="U252" s="0" t="n">
        <f aca="false">SQRT(AVERAGE(T$4:T252)) * SQRT(252)</f>
        <v>0.33658862776584</v>
      </c>
      <c r="V252" s="0" t="n">
        <f aca="false">AJ252/U252*252</f>
        <v>-0.102799219459231</v>
      </c>
      <c r="W252" s="22" t="n">
        <f aca="false">(s_p!$J252)/COUNT(s_p!$J$4:$J252)</f>
        <v>0.00057444045301362</v>
      </c>
      <c r="X252" s="22" t="n">
        <f aca="false">W252 * 252</f>
        <v>0.144758994159432</v>
      </c>
      <c r="Y252" s="21" t="n">
        <f aca="false">STDEV(s_p!$H$4:$H252)</f>
        <v>0.00633130042001354</v>
      </c>
      <c r="Z252" s="21" t="n">
        <f aca="false">Y252*SQRT(252)</f>
        <v>0.100506278321968</v>
      </c>
      <c r="AA252" s="0" t="n">
        <f aca="false">AJ252/AK252</f>
        <v>-0.00460817574627371</v>
      </c>
      <c r="AB252" s="0" t="n">
        <f aca="false">_xlfn.COVARIANCE.S($D$4:$D252,s_p!$H$4:$H252)</f>
        <v>-7.9277742170051E-006</v>
      </c>
      <c r="AC252" s="0" t="n">
        <f aca="false">_xlfn.VAR.S(s_p!$H$4:$H252)</f>
        <v>4.00853650084636E-005</v>
      </c>
      <c r="AD252" s="0" t="n">
        <f aca="false">AB252/AC252</f>
        <v>-0.197772284606395</v>
      </c>
      <c r="AE252" s="0" t="n">
        <f aca="false">M252-(AD252*W252)</f>
        <v>0.00011866300045571</v>
      </c>
      <c r="AF252" s="33" t="n">
        <f aca="false">MAX($E$4:E252)</f>
        <v>0.280129884293098</v>
      </c>
      <c r="AG252" s="0" t="n">
        <f aca="false">1 - ((1 + E252) / (1 + AF252))</f>
        <v>0.217846089206462</v>
      </c>
      <c r="AH252" s="0" t="n">
        <f aca="false">MAX($AG$5:AG252)</f>
        <v>0.322303580832179</v>
      </c>
      <c r="AI252" s="19" t="n">
        <f aca="false">D252-s_p!H252</f>
        <v>-0.0107153151245676</v>
      </c>
      <c r="AJ252" s="19" t="n">
        <f aca="false">AVERAGE(AI$4:AI252)</f>
        <v>-0.000137305746877707</v>
      </c>
      <c r="AK252" s="0" t="n">
        <f aca="false">STDEV(AI$4:AI252)</f>
        <v>0.0297961176912004</v>
      </c>
    </row>
    <row r="253" customFormat="false" ht="13.8" hidden="false" customHeight="false" outlineLevel="0" collapsed="false">
      <c r="A253" s="6" t="n">
        <f aca="false">WORKDAY(A252,1,holiday!$B$2:$B$10)</f>
        <v>39079</v>
      </c>
      <c r="B253" s="24" t="n">
        <v>1049118.75617999</v>
      </c>
      <c r="C253" s="24" t="n">
        <f aca="false">B253-B252</f>
        <v>47860.1608564644</v>
      </c>
      <c r="D253" s="31" t="n">
        <f aca="false">C253/B252</f>
        <v>0.0477999999999999</v>
      </c>
      <c r="E253" s="31" t="n">
        <f aca="false" t="array" ref="E253:E253">PRODUCT(1+$D$4:D253)-1</f>
        <v>0.04911875617999</v>
      </c>
      <c r="F253" s="0" t="n">
        <f aca="false">IF(ISBLANK(A254),MONTH(A253),IF(MONTH(A254)-MONTH(A253)=1,MONTH(A253),0))</f>
        <v>0</v>
      </c>
      <c r="G253" s="0" t="str">
        <f aca="false">IF(B254&gt;B253,IF(AND(B252&gt;B253,B254&gt;B253),"min",""),IF(AND(B252&gt;B253,B254&gt;B253),"",IF(AND(B252&lt;B253,B254&lt;B253),"max","")))</f>
        <v>max</v>
      </c>
      <c r="H253" s="0" t="n">
        <f aca="false">IF(G253="min",COUNTIF(G$4:G253,"min"),IF(G253="max",COUNTIF(G$4:G253,"max"),""))</f>
        <v>62</v>
      </c>
      <c r="I253" s="24" t="str">
        <f aca="false" t="array" ref="I253:I253">IF($G$3=0,IF(G253="min",INDEX($B$4:$B$254,(MATCH(1,($G$4:$G$254="max")*($H$4:$H$254=(H253-1)),0))),""),IF($G$3=1,IF(G253="min",INDEX($B$4:$B$254,(MATCH(1,($G$4:$G$254="max")*($H$4:$H$254=(H253)),0))),""),""))</f>
        <v/>
      </c>
      <c r="J253" s="29" t="str">
        <f aca="false">IF(AND(G251=0,G253="min",H253=1),B253-B252,IF(G253="min",B253-I253,""))</f>
        <v/>
      </c>
      <c r="K253" s="34" t="str">
        <f aca="false">IF(AND(G251=0,G253="min",H253=1),(B253-B252)/B252,IF(G253="min",(B253-I253)/I253,""))</f>
        <v/>
      </c>
      <c r="L253" s="5"/>
      <c r="M253" s="0" t="n">
        <f aca="false">E253/COUNT($E$4:E253)</f>
        <v>0.00019647502471996</v>
      </c>
      <c r="N253" s="19" t="n">
        <f aca="false">M253*252</f>
        <v>0.0495117062294299</v>
      </c>
      <c r="O253" s="20" t="n">
        <f aca="false">STDEV($D$4:$D253)</f>
        <v>0.028939703889377</v>
      </c>
      <c r="P253" s="20" t="n">
        <f aca="false">O253*SQRT(252)</f>
        <v>0.459403557042841</v>
      </c>
      <c r="Q253" s="0" t="n">
        <f aca="false">Treasuries!J251/100</f>
        <v>0.047</v>
      </c>
      <c r="R253" s="20" t="n">
        <f aca="false">AJ253/AK253*SQRT(252)</f>
        <v>0.0320455949158147</v>
      </c>
      <c r="S253" s="32" t="n">
        <f aca="false">IF(D253&lt;s_p!H253, D253-s_p!H253, 0)</f>
        <v>0</v>
      </c>
      <c r="T253" s="0" t="n">
        <f aca="false">S253^2</f>
        <v>0</v>
      </c>
      <c r="U253" s="0" t="n">
        <f aca="false">SQRT(AVERAGE(T$4:T253)) * SQRT(252)</f>
        <v>0.335914775983323</v>
      </c>
      <c r="V253" s="0" t="n">
        <f aca="false">AJ253/U253*252</f>
        <v>0.0452804690409297</v>
      </c>
      <c r="W253" s="22" t="n">
        <f aca="false">(s_p!$J253)/COUNT(s_p!$J$4:$J253)</f>
        <v>0.000565381441812401</v>
      </c>
      <c r="X253" s="22" t="n">
        <f aca="false">W253 * 252</f>
        <v>0.142476123336725</v>
      </c>
      <c r="Y253" s="21" t="n">
        <f aca="false">STDEV(s_p!$H$4:$H253)</f>
        <v>0.00631988584982805</v>
      </c>
      <c r="Z253" s="21" t="n">
        <f aca="false">Y253*SQRT(252)</f>
        <v>0.100325077637767</v>
      </c>
      <c r="AA253" s="0" t="n">
        <f aca="false">AJ253/AK253</f>
        <v>0.00201868273243722</v>
      </c>
      <c r="AB253" s="0" t="n">
        <f aca="false">_xlfn.COVARIANCE.S($D$4:$D253,s_p!$H$4:$H253)</f>
        <v>-8.28175879376987E-006</v>
      </c>
      <c r="AC253" s="0" t="n">
        <f aca="false">_xlfn.VAR.S(s_p!$H$4:$H253)</f>
        <v>3.99409571548569E-005</v>
      </c>
      <c r="AD253" s="0" t="n">
        <f aca="false">AB253/AC253</f>
        <v>-0.207350033241825</v>
      </c>
      <c r="AE253" s="0" t="n">
        <f aca="false">M253-(AD253*W253)</f>
        <v>0.000313706885474072</v>
      </c>
      <c r="AF253" s="33" t="n">
        <f aca="false">MAX($E$4:E253)</f>
        <v>0.280129884293098</v>
      </c>
      <c r="AG253" s="0" t="n">
        <f aca="false">1 - ((1 + E253) / (1 + AF253))</f>
        <v>0.180459132270531</v>
      </c>
      <c r="AH253" s="0" t="n">
        <f aca="false">MAX($AG$5:AG253)</f>
        <v>0.322303580832179</v>
      </c>
      <c r="AI253" s="19" t="n">
        <f aca="false">D253-s_p!H253</f>
        <v>0.0492787922962629</v>
      </c>
      <c r="AJ253" s="19" t="n">
        <f aca="false">AVERAGE(AI$4:AI253)</f>
        <v>6.03586452948559E-005</v>
      </c>
      <c r="AK253" s="0" t="n">
        <f aca="false">STDEV(AI$4:AI253)</f>
        <v>0.0299000156512871</v>
      </c>
    </row>
    <row r="254" customFormat="false" ht="13.8" hidden="false" customHeight="false" outlineLevel="0" collapsed="false">
      <c r="A254" s="6" t="n">
        <f aca="false">WORKDAY(A253,1,holiday!$B$2:$B$10)</f>
        <v>39080</v>
      </c>
      <c r="B254" s="24" t="n">
        <v>1019953.25475819</v>
      </c>
      <c r="C254" s="24" t="n">
        <f aca="false">B254-B253</f>
        <v>-29165.5014218037</v>
      </c>
      <c r="D254" s="31" t="n">
        <f aca="false">C254/B253</f>
        <v>-0.0278</v>
      </c>
      <c r="E254" s="31" t="n">
        <f aca="false" t="array" ref="E254:E254">PRODUCT(1+$D$4:D254)-1</f>
        <v>0.019953254758186</v>
      </c>
      <c r="F254" s="0" t="n">
        <f aca="false">IF(ISBLANK(A255),MONTH(A254),IF(MONTH(A255)-MONTH(A254)=1,MONTH(A254),0))</f>
        <v>12</v>
      </c>
      <c r="G254" s="0" t="str">
        <f aca="false">IF(B255&gt;B254,IF(AND(B253&gt;B254,B255&gt;B254),"min",""),IF(AND(B253&gt;B254,B255&gt;B254),"",IF(AND(B253&lt;B254,B255&lt;B254),"max","")))</f>
        <v/>
      </c>
      <c r="H254" s="0" t="str">
        <f aca="false">IF(G254="min",COUNTIF(G$4:G254,"min"),IF(G254="max",COUNTIF(G$4:G254,"max"),""))</f>
        <v/>
      </c>
      <c r="I254" s="24" t="str">
        <f aca="false" t="array" ref="I254:I254">IF($G$3=0,IF(G254="min",INDEX($B$4:$B$254,(MATCH(1,($G$4:$G$254="max")*($H$4:$H$254=(H254-1)),0))),""),IF($G$3=1,IF(G254="min",INDEX($B$4:$B$254,(MATCH(1,($G$4:$G$254="max")*($H$4:$H$254=(H254)),0))),""),""))</f>
        <v/>
      </c>
      <c r="J254" s="29" t="str">
        <f aca="false">IF(AND(G252=0,G254="min",H254=1),B254-B253,IF(G254="min",B254-I254,""))</f>
        <v/>
      </c>
      <c r="K254" s="34" t="str">
        <f aca="false">IF(AND(G252=0,G254="min",H254=1),(B254-B253)/B253,IF(G254="min",(B254-I254)/I254,""))</f>
        <v/>
      </c>
      <c r="L254" s="5"/>
      <c r="M254" s="0" t="n">
        <f aca="false">E254/COUNT($E$4:E254)</f>
        <v>7.9495038877235E-005</v>
      </c>
      <c r="N254" s="19" t="n">
        <f aca="false">M254*252</f>
        <v>0.0200327497970632</v>
      </c>
      <c r="O254" s="20" t="n">
        <f aca="false">STDEV($D$4:$D254)</f>
        <v>0.0289373790116476</v>
      </c>
      <c r="P254" s="20" t="n">
        <f aca="false">O254*SQRT(252)</f>
        <v>0.459366650753038</v>
      </c>
      <c r="Q254" s="0" t="n">
        <f aca="false">Treasuries!J252/100</f>
        <v>0.0471</v>
      </c>
      <c r="R254" s="20" t="n">
        <f aca="false">AJ254/AK254*SQRT(252)</f>
        <v>-0.0173525054831328</v>
      </c>
      <c r="S254" s="32" t="n">
        <f aca="false">IF(D254&lt;s_p!H254, D254-s_p!H254, 0)</f>
        <v>-0.023286864177774</v>
      </c>
      <c r="T254" s="0" t="n">
        <f aca="false">S254^2</f>
        <v>0.000542278043234094</v>
      </c>
      <c r="U254" s="0" t="n">
        <f aca="false">SQRT(AVERAGE(T$4:T254)) * SQRT(252)</f>
        <v>0.336055975274114</v>
      </c>
      <c r="V254" s="0" t="n">
        <f aca="false">AJ254/U254*252</f>
        <v>-0.0244895542358636</v>
      </c>
      <c r="W254" s="22" t="n">
        <f aca="false">(s_p!$J254)/COUNT(s_p!$J$4:$J254)</f>
        <v>0.000542606827973339</v>
      </c>
      <c r="X254" s="22" t="n">
        <f aca="false">W254 * 252</f>
        <v>0.136736920649281</v>
      </c>
      <c r="Y254" s="21" t="n">
        <f aca="false">STDEV(s_p!$H$4:$H254)</f>
        <v>0.00631532100795891</v>
      </c>
      <c r="Z254" s="21" t="n">
        <f aca="false">Y254*SQRT(252)</f>
        <v>0.100252613019606</v>
      </c>
      <c r="AA254" s="0" t="n">
        <f aca="false">AJ254/AK254</f>
        <v>-0.00109310509838697</v>
      </c>
      <c r="AB254" s="0" t="n">
        <f aca="false">_xlfn.COVARIANCE.S($D$4:$D254,s_p!$H$4:$H254)</f>
        <v>-7.67569661112518E-006</v>
      </c>
      <c r="AC254" s="0" t="n">
        <f aca="false">_xlfn.VAR.S(s_p!$H$4:$H254)</f>
        <v>3.98832794335673E-005</v>
      </c>
      <c r="AD254" s="0" t="n">
        <f aca="false">AB254/AC254</f>
        <v>-0.192453998771852</v>
      </c>
      <c r="AE254" s="0" t="n">
        <f aca="false">M254-(AD254*W254)</f>
        <v>0.000183921892681615</v>
      </c>
      <c r="AF254" s="33" t="n">
        <f aca="false">MAX($E$4:E254)</f>
        <v>0.280129884293098</v>
      </c>
      <c r="AG254" s="0" t="n">
        <f aca="false">1 - ((1 + E254) / (1 + AF254))</f>
        <v>0.203242368393411</v>
      </c>
      <c r="AH254" s="0" t="n">
        <f aca="false">MAX($AG$5:AG254)</f>
        <v>0.322303580832179</v>
      </c>
      <c r="AI254" s="19" t="n">
        <f aca="false">D254-s_p!H254</f>
        <v>-0.023286864177774</v>
      </c>
      <c r="AJ254" s="19" t="n">
        <f aca="false">AVERAGE(AI$4:AI254)</f>
        <v>-3.26581787014344E-005</v>
      </c>
      <c r="AK254" s="0" t="n">
        <f aca="false">STDEV(AI$4:AI254)</f>
        <v>0.0298765221657335</v>
      </c>
    </row>
    <row r="255" customFormat="false" ht="14.1" hidden="false" customHeight="false" outlineLevel="0" collapsed="false">
      <c r="A255" s="6"/>
      <c r="B255" s="24"/>
      <c r="C255" s="24"/>
      <c r="D255" s="31"/>
      <c r="E255" s="31"/>
      <c r="I255" s="24" t="str">
        <f aca="false" t="array" ref="I255:I255">IF($G$3=0,IF(G255="min",INDEX($B$4:$B$254,(MATCH(1,($G$4:$G$254="max")*($H$4:$H$254=(H255-1)),0))),""),IF($G$3=1,IF(G255="min",INDEX($B$4:$B$254,(MATCH(1,($G$4:$G$254="max")*($H$4:$H$254=(H255)),0))),""),""))</f>
        <v/>
      </c>
      <c r="J255" s="29" t="str">
        <f aca="false">IF(AND(G253=0,G255="min",H255=1),B255-B254,IF(G255="min",B255-I255,""))</f>
        <v/>
      </c>
      <c r="K255" s="30" t="str">
        <f aca="false">IF(AND(G253=0,G255="min",H255=1),(B255-B254)/B254,IF(G255="min",(B255-I255)/I255,""))</f>
        <v/>
      </c>
      <c r="S255" s="32" t="str">
        <f aca="false">IF(D255 &lt; M255, D255 - M255, "")</f>
        <v/>
      </c>
      <c r="AF255" s="33" t="n">
        <f aca="false">MAX($E$4:E255)</f>
        <v>0.280129884293098</v>
      </c>
      <c r="AG255" s="0" t="n">
        <f aca="false">1 - ((1 + E255) / (1 + AF255))</f>
        <v>0.218829267037843</v>
      </c>
      <c r="AH255" s="0" t="n">
        <f aca="false">MAX($AG$5:AG255)</f>
        <v>0.322303580832179</v>
      </c>
    </row>
    <row r="256" customFormat="false" ht="14.1" hidden="false" customHeight="false" outlineLevel="0" collapsed="false">
      <c r="A256" s="6"/>
      <c r="B256" s="24"/>
      <c r="C256" s="24"/>
      <c r="D256" s="31"/>
      <c r="E256" s="31"/>
      <c r="I256" s="24"/>
      <c r="J256" s="29"/>
      <c r="K256" s="30"/>
      <c r="AB256" s="36"/>
      <c r="AC256" s="37"/>
      <c r="AF256" s="33" t="n">
        <f aca="false">MAX($E$4:E256)</f>
        <v>0.280129884293098</v>
      </c>
      <c r="AG256" s="0" t="n">
        <f aca="false">1 - ((1 + E256) / (1 + AF256))</f>
        <v>0.218829267037843</v>
      </c>
      <c r="AH256" s="0" t="n">
        <f aca="false">MAX($AG$5:AG256)</f>
        <v>0.322303580832179</v>
      </c>
    </row>
    <row r="257" customFormat="false" ht="14.1" hidden="false" customHeight="false" outlineLevel="0" collapsed="false">
      <c r="A257" s="6"/>
      <c r="B257" s="19"/>
      <c r="C257" s="24"/>
      <c r="D257" s="31"/>
      <c r="E257" s="31"/>
      <c r="I257" s="24"/>
      <c r="J257" s="29"/>
      <c r="K257" s="3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D254"/>
  <sheetViews>
    <sheetView windowProtection="false" showFormulas="false" showGridLines="true" showRowColHeaders="true" showZeros="true" rightToLeft="false" tabSelected="false" showOutlineSymbols="true" defaultGridColor="true" view="normal" topLeftCell="AN2" colorId="64" zoomScale="80" zoomScaleNormal="80" zoomScalePageLayoutView="100" workbookViewId="0">
      <pane xSplit="0" ySplit="1716" topLeftCell="V21" activePane="bottomLeft" state="split"/>
      <selection pane="topLeft" activeCell="AN2" activeCellId="0" sqref="AN2"/>
      <selection pane="bottomLeft" activeCell="BA43" activeCellId="0" sqref="BA43"/>
    </sheetView>
  </sheetViews>
  <sheetFormatPr defaultRowHeight="13.8"/>
  <cols>
    <col collapsed="false" hidden="false" max="1" min="1" style="0" width="10.7551020408163"/>
    <col collapsed="false" hidden="false" max="2" min="2" style="24" width="11.4489795918367"/>
    <col collapsed="false" hidden="false" max="3" min="3" style="24" width="8.82142857142857"/>
    <col collapsed="false" hidden="false" max="4" min="4" style="0" width="8.82142857142857"/>
    <col collapsed="false" hidden="false" max="5" min="5" style="0" width="10.0714285714286"/>
    <col collapsed="false" hidden="false" max="6" min="6" style="38" width="14.0561224489796"/>
    <col collapsed="false" hidden="false" max="8" min="7" style="0" width="14.0561224489796"/>
    <col collapsed="false" hidden="false" max="9" min="9" style="39" width="14.0561224489796"/>
    <col collapsed="false" hidden="false" max="10" min="10" style="0" width="8.82142857142857"/>
    <col collapsed="false" hidden="false" max="11" min="11" style="0" width="7.44387755102041"/>
    <col collapsed="false" hidden="false" max="12" min="12" style="0" width="5.38265306122449"/>
    <col collapsed="false" hidden="false" max="13" min="13" style="24" width="11.4489795918367"/>
    <col collapsed="false" hidden="false" max="14" min="14" style="29" width="11.4489795918367"/>
    <col collapsed="false" hidden="false" max="15" min="15" style="30" width="8.82142857142857"/>
    <col collapsed="false" hidden="false" max="16" min="16" style="0" width="13.7857142857143"/>
    <col collapsed="false" hidden="false" max="20" min="17" style="0" width="14.3367346938776"/>
    <col collapsed="false" hidden="false" max="23" min="21" style="0" width="8.82142857142857"/>
    <col collapsed="false" hidden="false" max="24" min="24" style="0" width="20.5357142857143"/>
    <col collapsed="false" hidden="false" max="25" min="25" style="0" width="9.92857142857143"/>
    <col collapsed="false" hidden="false" max="27" min="26" style="0" width="8.82142857142857"/>
    <col collapsed="false" hidden="false" max="28" min="28" style="0" width="11.4489795918367"/>
    <col collapsed="false" hidden="false" max="32" min="29" style="0" width="8.82142857142857"/>
    <col collapsed="false" hidden="false" max="33" min="33" style="0" width="10.7551020408163"/>
    <col collapsed="false" hidden="false" max="37" min="34" style="0" width="8.82142857142857"/>
    <col collapsed="false" hidden="false" max="38" min="38" style="0" width="11.0357142857143"/>
    <col collapsed="false" hidden="false" max="40" min="39" style="0" width="9.64795918367347"/>
    <col collapsed="false" hidden="false" max="41" min="41" style="0" width="11.9948979591837"/>
    <col collapsed="false" hidden="false" max="42" min="42" style="0" width="9.64795918367347"/>
    <col collapsed="false" hidden="false" max="57" min="43" style="0" width="8.82142857142857"/>
    <col collapsed="false" hidden="false" max="58" min="58" style="0" width="10.4744897959184"/>
    <col collapsed="false" hidden="false" max="1025" min="59" style="0" width="8.82142857142857"/>
  </cols>
  <sheetData>
    <row r="1" customFormat="false" ht="13.8" hidden="false" customHeight="false" outlineLevel="0" collapsed="false">
      <c r="A1" s="23" t="str">
        <f aca="false">INDEX(map!$B$1:$B$26,MATCH(COLUMN(),map!$A$1:$A$26,0))</f>
        <v>A</v>
      </c>
      <c r="B1" s="23" t="str">
        <f aca="false">INDEX(map!$B$1:$B$26,MATCH(COLUMN(),map!$A$1:$A$26,0))</f>
        <v>B</v>
      </c>
      <c r="C1" s="23" t="str">
        <f aca="false">INDEX(map!$B$1:$B$26,MATCH(COLUMN(),map!$A$1:$A$26,0))</f>
        <v>C</v>
      </c>
      <c r="D1" s="23" t="str">
        <f aca="false">INDEX(map!$B$1:$B$26,MATCH(COLUMN(),map!$A$1:$A$26,0))</f>
        <v>D</v>
      </c>
      <c r="E1" s="23" t="str">
        <f aca="false">INDEX(map!$B$1:$B$26,MATCH(COLUMN(),map!$A$1:$A$26,0))</f>
        <v>E</v>
      </c>
      <c r="F1" s="40" t="s">
        <v>410</v>
      </c>
      <c r="G1" s="23" t="s">
        <v>411</v>
      </c>
      <c r="H1" s="23" t="s">
        <v>412</v>
      </c>
      <c r="I1" s="41" t="s">
        <v>413</v>
      </c>
      <c r="J1" s="23" t="str">
        <f aca="false">INDEX(map!$B$1:$B$26,MATCH(COLUMN(),map!$A$1:$A$26,0))</f>
        <v>J</v>
      </c>
      <c r="K1" s="23" t="str">
        <f aca="false">INDEX(map!$B$1:$B$26,MATCH(COLUMN(),map!$A$1:$A$26,0))</f>
        <v>K</v>
      </c>
      <c r="L1" s="23" t="str">
        <f aca="false">INDEX(map!$B$1:$B$26,MATCH(COLUMN(),map!$A$1:$A$26,0))</f>
        <v>L</v>
      </c>
      <c r="M1" s="23" t="str">
        <f aca="false">INDEX(map!$B$1:$B$26,MATCH(COLUMN(),map!$A$1:$A$26,0))</f>
        <v>M</v>
      </c>
      <c r="N1" s="23" t="str">
        <f aca="false">INDEX(map!$B$1:$B$26,MATCH(COLUMN(),map!$A$1:$A$26,0))</f>
        <v>N</v>
      </c>
      <c r="O1" s="23" t="str">
        <f aca="false">INDEX(map!$B$1:$B$26,MATCH(COLUMN(),map!$A$1:$A$26,0))</f>
        <v>O</v>
      </c>
      <c r="P1" s="23" t="str">
        <f aca="false">INDEX(map!$B$1:$B$26,MATCH(COLUMN(),map!$A$1:$A$26,0))</f>
        <v>P</v>
      </c>
      <c r="Q1" s="23" t="s">
        <v>414</v>
      </c>
    </row>
    <row r="2" customFormat="false" ht="13.8" hidden="false" customHeight="false" outlineLevel="0" collapsed="false">
      <c r="B2" s="24" t="s">
        <v>415</v>
      </c>
      <c r="C2" s="0"/>
      <c r="F2" s="0"/>
      <c r="I2" s="0"/>
      <c r="K2" s="25" t="s">
        <v>382</v>
      </c>
      <c r="L2" s="25"/>
      <c r="M2" s="25"/>
      <c r="N2" s="26"/>
      <c r="O2" s="26"/>
      <c r="P2" s="27"/>
      <c r="Q2" s="27"/>
      <c r="R2" s="27"/>
      <c r="S2" s="27"/>
      <c r="T2" s="27"/>
      <c r="U2" s="27"/>
      <c r="V2" s="27"/>
    </row>
    <row r="3" customFormat="false" ht="24.6" hidden="false" customHeight="false" outlineLevel="0" collapsed="false">
      <c r="B3" s="24" t="n">
        <v>1000000</v>
      </c>
      <c r="C3" s="24" t="s">
        <v>416</v>
      </c>
      <c r="D3" s="0" t="s">
        <v>383</v>
      </c>
      <c r="E3" s="0" t="s">
        <v>384</v>
      </c>
      <c r="F3" s="42" t="s">
        <v>387</v>
      </c>
      <c r="G3" s="43" t="s">
        <v>417</v>
      </c>
      <c r="H3" s="43" t="s">
        <v>418</v>
      </c>
      <c r="I3" s="44" t="s">
        <v>419</v>
      </c>
      <c r="J3" s="0" t="s">
        <v>385</v>
      </c>
      <c r="K3" s="0" t="n">
        <f aca="false" t="array" ref="K3:K3">IF(ROW(INDEX(L4:L254,MATCH(1,(K4:K254="min")*(L4:L254=1),0)))&lt;ROW(INDEX(L3:L253,MATCH(1,(K4:K254="max")*(L4:L254=1),0))),0,1)</f>
        <v>0</v>
      </c>
      <c r="M3" s="24" t="s">
        <v>386</v>
      </c>
      <c r="N3" s="0"/>
      <c r="O3" s="0"/>
      <c r="P3" s="13" t="s">
        <v>420</v>
      </c>
      <c r="Q3" s="13" t="s">
        <v>421</v>
      </c>
    </row>
    <row r="4" customFormat="false" ht="13.8" hidden="false" customHeight="false" outlineLevel="0" collapsed="false">
      <c r="A4" s="6" t="n">
        <v>38720</v>
      </c>
      <c r="B4" s="24" t="n">
        <v>1009300</v>
      </c>
      <c r="C4" s="24" t="n">
        <f aca="false">B4-B3</f>
        <v>9300</v>
      </c>
      <c r="D4" s="5" t="n">
        <f aca="false">C4/B3</f>
        <v>0.0093</v>
      </c>
      <c r="E4" s="5" t="n">
        <f aca="false" t="array" ref="E4:E4">PRODUCT(1+$D$4:D4)-1</f>
        <v>0.00930000000000009</v>
      </c>
      <c r="F4" s="45" t="n">
        <f aca="false">E4/COUNT($E$4:E4)</f>
        <v>0.00930000000000009</v>
      </c>
      <c r="G4" s="5" t="n">
        <f aca="false">F4*252</f>
        <v>2.34360000000002</v>
      </c>
      <c r="H4" s="5"/>
      <c r="I4" s="46"/>
      <c r="J4" s="0" t="n">
        <v>0</v>
      </c>
      <c r="M4" s="0"/>
      <c r="N4" s="0"/>
      <c r="O4" s="0"/>
      <c r="P4" s="19" t="n">
        <f aca="false">D4-s_p!H4</f>
        <v>-0.00713047689238886</v>
      </c>
      <c r="Q4" s="19" t="n">
        <f aca="false">IF(P4&lt;0, P4^2, 0)</f>
        <v>5.08437007128915E-005</v>
      </c>
      <c r="R4" s="24" t="n">
        <f aca="false">B3</f>
        <v>1000000</v>
      </c>
      <c r="S4" s="24" t="n">
        <f aca="false">MAX(B6:B17)</f>
        <v>1160095.78150824</v>
      </c>
      <c r="X4" s="24" t="s">
        <v>422</v>
      </c>
      <c r="Y4" s="31" t="s">
        <v>423</v>
      </c>
      <c r="Z4" s="24"/>
    </row>
    <row r="5" customFormat="false" ht="13.8" hidden="false" customHeight="false" outlineLevel="0" collapsed="false">
      <c r="A5" s="6" t="n">
        <f aca="false">WORKDAY(A4,1,holiday!$B$2:$B$10)</f>
        <v>38721</v>
      </c>
      <c r="B5" s="24" t="n">
        <v>989820.51</v>
      </c>
      <c r="C5" s="24" t="n">
        <f aca="false">B5-B4</f>
        <v>-19479.49</v>
      </c>
      <c r="D5" s="5" t="n">
        <f aca="false">C5/B4</f>
        <v>-0.0193</v>
      </c>
      <c r="E5" s="5" t="n">
        <f aca="false" t="array" ref="E5:E5">PRODUCT(1+$D$4:D5)-1</f>
        <v>-0.0101794899999998</v>
      </c>
      <c r="F5" s="45" t="n">
        <f aca="false">E5/COUNT($E$4:E5)</f>
        <v>-0.00508974499999992</v>
      </c>
      <c r="G5" s="5" t="n">
        <f aca="false">F5*252</f>
        <v>-1.28261573999998</v>
      </c>
      <c r="H5" s="46" t="n">
        <f aca="false">IF(D5&lt;F5,D5-F5,"")</f>
        <v>-0.0142102550000001</v>
      </c>
      <c r="I5" s="46" t="n">
        <f aca="false">IF(D5&lt;(AVERAGE($D$4:D5)),D5-AVERAGE($D$4:D5),"")</f>
        <v>-0.0143</v>
      </c>
      <c r="J5" s="0" t="n">
        <f aca="false">IF(ISBLANK(A6),MONTH(A5),IF(MONTH(A6)-MONTH(A5)=1,MONTH(A5),0))</f>
        <v>0</v>
      </c>
      <c r="K5" s="0" t="str">
        <f aca="false">IF(B6&gt;B5,IF(AND(B4&gt;B5,B6&gt;B5),"min",""),IF(AND(B4&gt;B5,B6&gt;B5),"",IF(AND(B4&lt;B5,B6&lt;B5),"max","")))</f>
        <v>min</v>
      </c>
      <c r="L5" s="0" t="n">
        <f aca="false">IF(K5="min",COUNTIF(K$4:K5,"min"),IF(K5="max",COUNTIF(K$4:K5,"max"),""))</f>
        <v>1</v>
      </c>
      <c r="M5" s="24" t="e">
        <f aca="false">IF($K$3=0,IF(K5="min",INDEX($B$4:$B$254,(MATCH(1,($K$4:$K$254="max")*($L$4:$L$254=(L5-1)),0))),""),IF($K$3=1,IF(K5="min",INDEX($B$4:$B$254,(MATCH(1,($K$4:$K$254="max")*($L$4:$L$254=(L5)),0))),""),""))-B5</f>
        <v>#N/A</v>
      </c>
      <c r="N5" s="29" t="n">
        <f aca="false">IF(AND(K3=0,K5="min",L5=1),B5-B4,IF(K5="min",B5-M5,""))</f>
        <v>-19479.49</v>
      </c>
      <c r="O5" s="34" t="n">
        <f aca="false">IF(AND(K3=0,K5="min",L5=1),(B5-B4)/B4,IF(K5="min",(B5-M5)/M5,""))</f>
        <v>-0.0193</v>
      </c>
      <c r="P5" s="19" t="n">
        <f aca="false">D5-s_p!H5</f>
        <v>-0.0229727616645651</v>
      </c>
      <c r="Q5" s="19" t="n">
        <f aca="false">IF(P5&lt;0, P5^2, 0)</f>
        <v>0.000527747778496912</v>
      </c>
      <c r="R5" s="24" t="n">
        <f aca="false">MAX(B4:B23)</f>
        <v>1208819.80433158</v>
      </c>
      <c r="S5" s="24" t="n">
        <f aca="false">MIN(B6:B17)</f>
        <v>1024563.209901</v>
      </c>
      <c r="T5" s="24"/>
      <c r="U5" s="24"/>
      <c r="V5" s="5"/>
      <c r="X5" s="24" t="s">
        <v>424</v>
      </c>
      <c r="Y5" s="5" t="n">
        <f aca="false">STDEV(D4:D254)</f>
        <v>0.0289373790116476</v>
      </c>
      <c r="Z5" s="24"/>
    </row>
    <row r="6" customFormat="false" ht="13.8" hidden="false" customHeight="false" outlineLevel="0" collapsed="false">
      <c r="A6" s="6" t="n">
        <f aca="false">WORKDAY(A5,1,holiday!$B$2:$B$10)</f>
        <v>38722</v>
      </c>
      <c r="B6" s="24" t="n">
        <v>1024563.209901</v>
      </c>
      <c r="C6" s="24" t="n">
        <f aca="false">B6-B5</f>
        <v>34742.699901</v>
      </c>
      <c r="D6" s="5" t="n">
        <f aca="false">C6/B5</f>
        <v>0.0351</v>
      </c>
      <c r="E6" s="5" t="n">
        <f aca="false" t="array" ref="E6:E6">PRODUCT(1+$D$4:D6)-1</f>
        <v>0.024563209901</v>
      </c>
      <c r="F6" s="45" t="n">
        <f aca="false">E6/COUNT($E$4:E6)</f>
        <v>0.00818773663366668</v>
      </c>
      <c r="G6" s="5" t="n">
        <f aca="false">F6*252</f>
        <v>2.063309631684</v>
      </c>
      <c r="H6" s="46" t="str">
        <f aca="false">IF(D6&lt;F6,D6-F6,"")</f>
        <v/>
      </c>
      <c r="I6" s="46" t="str">
        <f aca="false">IF(D6&lt;(AVERAGE($D$4:D6)),D6-AVERAGE($D$4:D6),"")</f>
        <v/>
      </c>
      <c r="J6" s="0" t="n">
        <f aca="false">IF(ISBLANK(A7),MONTH(A6),IF(MONTH(A7)-MONTH(A6)=1,MONTH(A6),0))</f>
        <v>0</v>
      </c>
      <c r="K6" s="0" t="str">
        <f aca="false">IF(B7&gt;B6,IF(AND(B5&gt;B6,B7&gt;B6),"min",""),IF(AND(B5&gt;B6,B7&gt;B6),"",IF(AND(B5&lt;B6,B7&lt;B6),"max","")))</f>
        <v/>
      </c>
      <c r="L6" s="0" t="str">
        <f aca="false">IF(K6="min",COUNTIF(K$4:K6,"min"),IF(K6="max",COUNTIF(K$4:K6,"max"),""))</f>
        <v/>
      </c>
      <c r="M6" s="24" t="str">
        <f aca="false" t="array" ref="M6:M6">IF($K$3=0,IF(K6="min",INDEX($B$4:$B$254,(MATCH(1,($K$4:$K$254="max")*($L$4:$L$254=(L6-1)),0))),""),IF($K$3=1,IF(K6="min",INDEX($B$4:$B$254,(MATCH(1,($K$4:$K$254="max")*($L$4:$L$254=(L6)),0))),""),""))</f>
        <v/>
      </c>
      <c r="N6" s="29" t="str">
        <f aca="false">IF(AND(K4=0,K6="min",L6=1),B6-B5,IF(K6="min",B6-M6,""))</f>
        <v/>
      </c>
      <c r="O6" s="34" t="str">
        <f aca="false">IF(AND(K4=0,K6="min",L6=1),(B6-B5)/B5,IF(K6="min",(B6-M6)/M6,""))</f>
        <v/>
      </c>
      <c r="P6" s="19" t="n">
        <f aca="false">D6-s_p!H6</f>
        <v>0.0350842947560191</v>
      </c>
      <c r="Q6" s="19" t="n">
        <f aca="false">IF(P6&lt;0, P6^2, 0)</f>
        <v>0</v>
      </c>
      <c r="R6" s="24" t="n">
        <f aca="false">MIN(B4:B23)</f>
        <v>989820.51</v>
      </c>
      <c r="S6" s="24"/>
      <c r="T6" s="24"/>
      <c r="U6" s="24"/>
      <c r="V6" s="5"/>
      <c r="X6" s="24"/>
      <c r="Y6" s="5"/>
      <c r="Z6" s="24"/>
    </row>
    <row r="7" customFormat="false" ht="13.8" hidden="false" customHeight="false" outlineLevel="0" collapsed="false">
      <c r="A7" s="6" t="n">
        <f aca="false">WORKDAY(A6,1,holiday!$B$2:$B$10)</f>
        <v>38723</v>
      </c>
      <c r="B7" s="24" t="n">
        <v>1065135.91301308</v>
      </c>
      <c r="C7" s="24" t="n">
        <f aca="false">B7-B6</f>
        <v>40572.7031120796</v>
      </c>
      <c r="D7" s="5" t="n">
        <f aca="false">C7/B6</f>
        <v>0.0396</v>
      </c>
      <c r="E7" s="5" t="n">
        <f aca="false" t="array" ref="E7:E7">PRODUCT(1+$D$4:D7)-1</f>
        <v>0.0651359130130798</v>
      </c>
      <c r="F7" s="45" t="n">
        <f aca="false">E7/COUNT($E$4:E7)</f>
        <v>0.0162839782532699</v>
      </c>
      <c r="G7" s="5" t="n">
        <f aca="false">F7*252</f>
        <v>4.10356251982402</v>
      </c>
      <c r="H7" s="46" t="str">
        <f aca="false">IF(D7&lt;F7,D7-F7,"")</f>
        <v/>
      </c>
      <c r="I7" s="46" t="str">
        <f aca="false">IF(D7&lt;(AVERAGE($D$4:D7)),D7-AVERAGE($D$4:D7),"")</f>
        <v/>
      </c>
      <c r="J7" s="0" t="n">
        <f aca="false">IF(ISBLANK(A8),MONTH(A7),IF(MONTH(A8)-MONTH(A7)=1,MONTH(A7),0))</f>
        <v>0</v>
      </c>
      <c r="K7" s="0" t="str">
        <f aca="false">IF(B8&gt;B7,IF(AND(B6&gt;B7,B8&gt;B7),"min",""),IF(AND(B6&gt;B7,B8&gt;B7),"",IF(AND(B6&lt;B7,B8&lt;B7),"max","")))</f>
        <v/>
      </c>
      <c r="L7" s="0" t="str">
        <f aca="false">IF(K7="min",COUNTIF(K$4:K7,"min"),IF(K7="max",COUNTIF(K$4:K7,"max"),""))</f>
        <v/>
      </c>
      <c r="M7" s="24" t="str">
        <f aca="false" t="array" ref="M7:M7">IF($K$3=0,IF(K7="min",INDEX($B$4:$B$254,(MATCH(1,($K$4:$K$254="max")*($L$4:$L$254=(L7-1)),0))),""),IF($K$3=1,IF(K7="min",INDEX($B$4:$B$254,(MATCH(1,($K$4:$K$254="max")*($L$4:$L$254=(L7)),0))),""),""))</f>
        <v/>
      </c>
      <c r="N7" s="29" t="str">
        <f aca="false">IF(AND(K5=0,K7="min",L7=1),B7-B6,IF(K7="min",B7-M7,""))</f>
        <v/>
      </c>
      <c r="O7" s="34" t="str">
        <f aca="false">IF(AND(K5=0,K7="min",L7=1),(B7-B6)/B6,IF(K7="min",(B7-M7)/M7,""))</f>
        <v/>
      </c>
      <c r="P7" s="19" t="n">
        <f aca="false">D7-s_p!H7</f>
        <v>0.0302005590979051</v>
      </c>
      <c r="Q7" s="19" t="n">
        <f aca="false">IF(P7&lt;0, P7^2, 0)</f>
        <v>0</v>
      </c>
      <c r="R7" s="24" t="n">
        <f aca="false">B23</f>
        <v>1100936.66725872</v>
      </c>
      <c r="S7" s="24"/>
      <c r="T7" s="24"/>
      <c r="U7" s="24"/>
      <c r="V7" s="5"/>
      <c r="X7" s="24"/>
      <c r="Y7" s="5"/>
      <c r="Z7" s="24"/>
    </row>
    <row r="8" customFormat="false" ht="13.8" hidden="false" customHeight="false" outlineLevel="0" collapsed="false">
      <c r="A8" s="6" t="n">
        <f aca="false">WORKDAY(A7,1,holiday!$B$2:$B$10)</f>
        <v>38726</v>
      </c>
      <c r="B8" s="24" t="n">
        <v>1101137.50687292</v>
      </c>
      <c r="C8" s="24" t="n">
        <f aca="false">B8-B7</f>
        <v>36001.593859842</v>
      </c>
      <c r="D8" s="5" t="n">
        <f aca="false">C8/B7</f>
        <v>0.0338</v>
      </c>
      <c r="E8" s="5" t="n">
        <f aca="false" t="array" ref="E8:E8">PRODUCT(1+$D$4:D8)-1</f>
        <v>0.101137506872922</v>
      </c>
      <c r="F8" s="45" t="n">
        <f aca="false">E8/COUNT($E$4:E8)</f>
        <v>0.0202275013745844</v>
      </c>
      <c r="G8" s="5" t="n">
        <f aca="false">F8*252</f>
        <v>5.09733034639526</v>
      </c>
      <c r="H8" s="46" t="str">
        <f aca="false">IF(D8&lt;F8,D8-F8,"")</f>
        <v/>
      </c>
      <c r="I8" s="46" t="str">
        <f aca="false">IF(D8&lt;(AVERAGE($D$4:D8)),D8-AVERAGE($D$4:D8),"")</f>
        <v/>
      </c>
      <c r="J8" s="0" t="n">
        <f aca="false">IF(ISBLANK(A9),MONTH(A8),IF(MONTH(A9)-MONTH(A8)=1,MONTH(A8),0))</f>
        <v>0</v>
      </c>
      <c r="K8" s="0" t="str">
        <f aca="false">IF(B9&gt;B8,IF(AND(B7&gt;B8,B9&gt;B8),"min",""),IF(AND(B7&gt;B8,B9&gt;B8),"",IF(AND(B7&lt;B8,B9&lt;B8),"max","")))</f>
        <v>max</v>
      </c>
      <c r="L8" s="0" t="n">
        <f aca="false">IF(K8="min",COUNTIF(K$4:K8,"min"),IF(K8="max",COUNTIF(K$4:K8,"max"),""))</f>
        <v>1</v>
      </c>
      <c r="M8" s="24" t="str">
        <f aca="false" t="array" ref="M8:M8">IF($K$3=0,IF(K8="min",INDEX($B$4:$B$254,(MATCH(1,($K$4:$K$254="max")*($L$4:$L$254=(L8-1)),0))),""),IF($K$3=1,IF(K8="min",INDEX($B$4:$B$254,(MATCH(1,($K$4:$K$254="max")*($L$4:$L$254=(L8)),0))),""),""))</f>
        <v/>
      </c>
      <c r="N8" s="29" t="str">
        <f aca="false">IF(AND(K6=0,K8="min",L8=1),B8-B7,IF(K8="min",B8-M8,""))</f>
        <v/>
      </c>
      <c r="O8" s="34" t="str">
        <f aca="false">IF(AND(K6=0,K8="min",L8=1),(B8-B7)/B7,IF(K8="min",(B8-M8)/M8,""))</f>
        <v/>
      </c>
      <c r="P8" s="19" t="n">
        <f aca="false">D8-s_p!H8</f>
        <v>0.0301436928702009</v>
      </c>
      <c r="Q8" s="19" t="n">
        <f aca="false">IF(P8&lt;0, P8^2, 0)</f>
        <v>0</v>
      </c>
      <c r="R8" s="24"/>
      <c r="S8" s="24"/>
      <c r="T8" s="24"/>
      <c r="U8" s="24"/>
      <c r="V8" s="5"/>
      <c r="X8" s="47"/>
      <c r="Y8" s="48" t="s">
        <v>425</v>
      </c>
      <c r="Z8" s="48"/>
      <c r="AA8" s="48"/>
      <c r="AB8" s="48"/>
      <c r="AC8" s="48"/>
      <c r="AD8" s="48"/>
      <c r="AE8" s="49" t="s">
        <v>426</v>
      </c>
      <c r="AF8" s="49"/>
      <c r="AG8" s="49"/>
      <c r="AH8" s="49"/>
      <c r="AI8" s="49"/>
      <c r="AJ8" s="49"/>
    </row>
    <row r="9" customFormat="false" ht="13.8" hidden="false" customHeight="false" outlineLevel="0" collapsed="false">
      <c r="A9" s="6" t="n">
        <f aca="false">WORKDAY(A8,1,holiday!$B$2:$B$10)</f>
        <v>38727</v>
      </c>
      <c r="B9" s="24" t="n">
        <v>1077903.5054779</v>
      </c>
      <c r="C9" s="24" t="n">
        <f aca="false">B9-B8</f>
        <v>-23234.0013950185</v>
      </c>
      <c r="D9" s="5" t="n">
        <f aca="false">C9/B8</f>
        <v>-0.0210999999999999</v>
      </c>
      <c r="E9" s="5" t="n">
        <f aca="false" t="array" ref="E9:E9">PRODUCT(1+$D$4:D9)-1</f>
        <v>0.0779035054779034</v>
      </c>
      <c r="F9" s="45" t="n">
        <f aca="false">E9/COUNT($E$4:E9)</f>
        <v>0.0129839175796506</v>
      </c>
      <c r="G9" s="5" t="n">
        <f aca="false">F9*252</f>
        <v>3.27194723007194</v>
      </c>
      <c r="H9" s="46" t="n">
        <f aca="false">IF(D9&lt;F9,D9-F9,"")</f>
        <v>-0.0340839175796505</v>
      </c>
      <c r="I9" s="46" t="n">
        <f aca="false">IF(D9&lt;(AVERAGE($D$4:D9)),D9-AVERAGE($D$4:D9),"")</f>
        <v>-0.0339999999999999</v>
      </c>
      <c r="J9" s="0" t="n">
        <f aca="false">IF(ISBLANK(A10),MONTH(A9),IF(MONTH(A10)-MONTH(A9)=1,MONTH(A9),0))</f>
        <v>0</v>
      </c>
      <c r="K9" s="0" t="str">
        <f aca="false">IF(B10&gt;B9,IF(AND(B8&gt;B9,B10&gt;B9),"min",""),IF(AND(B8&gt;B9,B10&gt;B9),"",IF(AND(B8&lt;B9,B10&lt;B9),"max","")))</f>
        <v>min</v>
      </c>
      <c r="L9" s="0" t="n">
        <f aca="false">IF(K9="min",COUNTIF(K$4:K9,"min"),IF(K9="max",COUNTIF(K$4:K9,"max"),""))</f>
        <v>2</v>
      </c>
      <c r="M9" s="24" t="n">
        <f aca="false" t="array" ref="M9:M9">IF($K$3=0,IF(K9="min",INDEX($B$4:$B$254,(MATCH(1,($K$4:$K$254="max")*($L$4:$L$254=(L9-1)),0))),""),IF($K$3=1,IF(K9="min",INDEX($B$4:$B$254,(MATCH(1,($K$4:$K$254="max")*($L$4:$L$254=(L9)),0))),""),""))</f>
        <v>1101137.50687292</v>
      </c>
      <c r="N9" s="29" t="n">
        <f aca="false">IF(AND(K7=0,K9="min",L9=1),B9-B8,IF(K9="min",B9-M9,""))</f>
        <v>-23234.0013950202</v>
      </c>
      <c r="O9" s="34" t="n">
        <f aca="false">IF(AND(K7=0,K9="min",L9=1),(B9-B8)/B8,IF(K9="min",(B9-M9)/M9,""))</f>
        <v>-0.0211000000000014</v>
      </c>
      <c r="P9" s="19" t="n">
        <f aca="false">D9-s_p!H9</f>
        <v>-0.0207434523117466</v>
      </c>
      <c r="Q9" s="19" t="n">
        <f aca="false">IF(P9&lt;0, P9^2, 0)</f>
        <v>0.000430290813809705</v>
      </c>
      <c r="R9" s="24" t="n">
        <f aca="false">IF(INDEX(A4:A23,MATCH(MIN(B3:B23),B3:B23,0))&gt;INDEX(A4:A23,MATCH(MAX(B3:B23),B3:B23,0)),MIN(B3:B23)-MAX(B3:B23),MIN(B19:B23)-MAX(B3:B23))</f>
        <v>-107883.13707286</v>
      </c>
      <c r="S9" s="24" t="s">
        <v>427</v>
      </c>
      <c r="T9" s="24"/>
      <c r="U9" s="24"/>
      <c r="V9" s="5"/>
      <c r="X9" s="50"/>
      <c r="Y9" s="51" t="s">
        <v>428</v>
      </c>
      <c r="Z9" s="51" t="s">
        <v>429</v>
      </c>
      <c r="AA9" s="51" t="s">
        <v>430</v>
      </c>
      <c r="AB9" s="51" t="s">
        <v>431</v>
      </c>
      <c r="AC9" s="51" t="s">
        <v>432</v>
      </c>
      <c r="AD9" s="52" t="s">
        <v>433</v>
      </c>
      <c r="AE9" s="51" t="s">
        <v>428</v>
      </c>
      <c r="AF9" s="51" t="s">
        <v>429</v>
      </c>
      <c r="AG9" s="51" t="s">
        <v>430</v>
      </c>
      <c r="AH9" s="51" t="s">
        <v>431</v>
      </c>
      <c r="AI9" s="51" t="s">
        <v>432</v>
      </c>
      <c r="AJ9" s="53" t="s">
        <v>433</v>
      </c>
    </row>
    <row r="10" customFormat="false" ht="13.8" hidden="false" customHeight="false" outlineLevel="0" collapsed="false">
      <c r="A10" s="6" t="n">
        <f aca="false">WORKDAY(A9,1,holiday!$B$2:$B$10)</f>
        <v>38728</v>
      </c>
      <c r="B10" s="24" t="n">
        <v>1119833.95184099</v>
      </c>
      <c r="C10" s="24" t="n">
        <f aca="false">B10-B9</f>
        <v>41930.4463630905</v>
      </c>
      <c r="D10" s="5" t="n">
        <f aca="false">C10/B9</f>
        <v>0.0389000000000001</v>
      </c>
      <c r="E10" s="5" t="n">
        <f aca="false" t="array" ref="E10:E10">PRODUCT(1+$D$4:D10)-1</f>
        <v>0.119833951840994</v>
      </c>
      <c r="F10" s="45" t="n">
        <f aca="false">E10/COUNT($E$4:E10)</f>
        <v>0.0171191359772849</v>
      </c>
      <c r="G10" s="5" t="n">
        <f aca="false">F10*252</f>
        <v>4.31402226627579</v>
      </c>
      <c r="H10" s="46" t="str">
        <f aca="false">IF(D10&lt;F10,D10-F10,"")</f>
        <v/>
      </c>
      <c r="I10" s="46" t="str">
        <f aca="false">IF(D10&lt;(AVERAGE($D$4:D10)),D10-AVERAGE($D$4:D10),"")</f>
        <v/>
      </c>
      <c r="J10" s="0" t="n">
        <f aca="false">IF(ISBLANK(A11),MONTH(A10),IF(MONTH(A11)-MONTH(A10)=1,MONTH(A10),0))</f>
        <v>0</v>
      </c>
      <c r="K10" s="0" t="str">
        <f aca="false">IF(B11&gt;B10,IF(AND(B9&gt;B10,B11&gt;B10),"min",""),IF(AND(B9&gt;B10,B11&gt;B10),"",IF(AND(B9&lt;B10,B11&lt;B10),"max","")))</f>
        <v/>
      </c>
      <c r="L10" s="0" t="str">
        <f aca="false">IF(K10="min",COUNTIF(K$4:K10,"min"),IF(K10="max",COUNTIF(K$4:K10,"max"),""))</f>
        <v/>
      </c>
      <c r="M10" s="24" t="str">
        <f aca="false" t="array" ref="M10:M10">IF($K$3=0,IF(K10="min",INDEX($B$4:$B$254,(MATCH(1,($K$4:$K$254="max")*($L$4:$L$254=(L10-1)),0))),""),IF($K$3=1,IF(K10="min",INDEX($B$4:$B$254,(MATCH(1,($K$4:$K$254="max")*($L$4:$L$254=(L10)),0))),""),""))</f>
        <v/>
      </c>
      <c r="N10" s="29" t="str">
        <f aca="false">IF(AND(K8=0,K10="min",L10=1),B10-B9,IF(K10="min",B10-M10,""))</f>
        <v/>
      </c>
      <c r="O10" s="34" t="str">
        <f aca="false">IF(AND(K8=0,K10="min",L10=1),(B10-B9)/B9,IF(K10="min",(B10-M10)/M10,""))</f>
        <v/>
      </c>
      <c r="P10" s="19" t="n">
        <f aca="false">D10-s_p!H10</f>
        <v>0.0354185432158116</v>
      </c>
      <c r="Q10" s="19" t="n">
        <f aca="false">IF(P10&lt;0, P10^2, 0)</f>
        <v>0</v>
      </c>
      <c r="R10" s="24" t="n">
        <f aca="false">MIN(B3:B23)-MAX(B3:B4)</f>
        <v>-19479.49</v>
      </c>
      <c r="S10" s="24"/>
      <c r="T10" s="24"/>
      <c r="U10" s="24"/>
      <c r="V10" s="5"/>
      <c r="X10" s="54" t="s">
        <v>326</v>
      </c>
      <c r="Y10" s="55" t="n">
        <f aca="false">MAX(AA23:AA34)</f>
        <v>0.134597009587626</v>
      </c>
      <c r="Z10" s="55" t="n">
        <f aca="false">MAX(AB23:AB34)</f>
        <v>0.188224379214058</v>
      </c>
      <c r="AA10" s="55" t="n">
        <f aca="false">MAX(AC23:AC34)</f>
        <v>0.10825130207443</v>
      </c>
      <c r="AB10" s="55" t="n">
        <f aca="false">MAX(AD23:AD34)</f>
        <v>0.0199532547581898</v>
      </c>
      <c r="AC10" s="56"/>
      <c r="AD10" s="57"/>
      <c r="AE10" s="55" t="n">
        <f aca="false">MIN(AA23:AA34)</f>
        <v>-0.250298186478788</v>
      </c>
      <c r="AF10" s="55" t="n">
        <f aca="false">MIN(AB23:AB34)</f>
        <v>-0.195731560119165</v>
      </c>
      <c r="AG10" s="55" t="n">
        <f aca="false">MIN(AC23:AC34)</f>
        <v>-0.105562885784198</v>
      </c>
      <c r="AH10" s="55" t="n">
        <f aca="false">MIN(AD23:AD34)</f>
        <v>0.0199532547581898</v>
      </c>
      <c r="AI10" s="56"/>
      <c r="AJ10" s="58"/>
    </row>
    <row r="11" customFormat="false" ht="13.8" hidden="false" customHeight="false" outlineLevel="0" collapsed="false">
      <c r="A11" s="6" t="n">
        <f aca="false">WORKDAY(A10,1,holiday!$B$2:$B$10)</f>
        <v>38729</v>
      </c>
      <c r="B11" s="24" t="n">
        <v>1156340.53867101</v>
      </c>
      <c r="C11" s="24" t="n">
        <f aca="false">B11-B10</f>
        <v>36506.5868300165</v>
      </c>
      <c r="D11" s="5" t="n">
        <f aca="false">C11/B10</f>
        <v>0.0326000000000001</v>
      </c>
      <c r="E11" s="5" t="n">
        <f aca="false" t="array" ref="E11:E11">PRODUCT(1+$D$4:D11)-1</f>
        <v>0.156340538671011</v>
      </c>
      <c r="F11" s="45" t="n">
        <f aca="false">E11/COUNT($E$4:E11)</f>
        <v>0.0195425673338764</v>
      </c>
      <c r="G11" s="5" t="n">
        <f aca="false">F11*252</f>
        <v>4.92472696813684</v>
      </c>
      <c r="H11" s="46" t="str">
        <f aca="false">IF(D11&lt;F11,D11-F11,"")</f>
        <v/>
      </c>
      <c r="I11" s="46" t="str">
        <f aca="false">IF(D11&lt;(AVERAGE($D$4:D11)),D11-AVERAGE($D$4:D11),"")</f>
        <v/>
      </c>
      <c r="J11" s="0" t="n">
        <f aca="false">IF(ISBLANK(A12),MONTH(A11),IF(MONTH(A12)-MONTH(A11)=1,MONTH(A11),0))</f>
        <v>0</v>
      </c>
      <c r="K11" s="0" t="str">
        <f aca="false">IF(B12&gt;B11,IF(AND(B10&gt;B11,B12&gt;B11),"min",""),IF(AND(B10&gt;B11,B12&gt;B11),"",IF(AND(B10&lt;B11,B12&lt;B11),"max","")))</f>
        <v>max</v>
      </c>
      <c r="L11" s="0" t="n">
        <f aca="false">IF(K11="min",COUNTIF(K$4:K11,"min"),IF(K11="max",COUNTIF(K$4:K11,"max"),""))</f>
        <v>2</v>
      </c>
      <c r="M11" s="24" t="str">
        <f aca="false" t="array" ref="M11:M11">IF($K$3=0,IF(K11="min",INDEX($B$4:$B$254,(MATCH(1,($K$4:$K$254="max")*($L$4:$L$254=(L11-1)),0))),""),IF($K$3=1,IF(K11="min",INDEX($B$4:$B$254,(MATCH(1,($K$4:$K$254="max")*($L$4:$L$254=(L11)),0))),""),""))</f>
        <v/>
      </c>
      <c r="N11" s="29" t="str">
        <f aca="false">IF(AND(K9=0,K11="min",L11=1),B11-B10,IF(K11="min",B11-M11,""))</f>
        <v/>
      </c>
      <c r="O11" s="34" t="str">
        <f aca="false">IF(AND(K9=0,K11="min",L11=1),(B11-B10)/B10,IF(K11="min",(B11-M11)/M11,""))</f>
        <v/>
      </c>
      <c r="P11" s="19" t="n">
        <f aca="false">D11-s_p!H11</f>
        <v>0.0388742431501029</v>
      </c>
      <c r="Q11" s="19" t="n">
        <f aca="false">IF(P11&lt;0, P11^2, 0)</f>
        <v>0</v>
      </c>
      <c r="R11" s="24" t="str">
        <f aca="false">IF(AND(MATCH(MAX(B86:B92),$B$85:B$106,0)=MATCH(MAX($B$85:B$106),$B$85:B$106,0)-1,MATCH(MIN(B86:B92),$B$85:B$106,0)=MATCH(MIN($B$85:B$106),$B$85:B$106,0)+1),MIN(IF(INDEX($A$85:$A$106,MATCH(MIN($B$85:B$106),$B$85:B$106,0))&gt;INDEX($A$85:$A$106,MATCH(MAX($B$85:B$106),$B$85:B$106,0)),MIN($B$85:B$106)-MAX($B$85:B$106),MIN(B94:B106)-MAX($B$85:B$106)),MIN($B$85:B$106)-MAX($B$85:B106)),"more")</f>
        <v>more</v>
      </c>
      <c r="S11" s="24" t="n">
        <f aca="false">MATCH(MAX(B3:B23),B3:B23,0)+ROW(B3:B23)</f>
        <v>19</v>
      </c>
      <c r="T11" s="24" t="n">
        <v>84</v>
      </c>
      <c r="U11" s="24"/>
      <c r="V11" s="5"/>
      <c r="X11" s="54" t="s">
        <v>327</v>
      </c>
      <c r="Y11" s="55" t="n">
        <f aca="false">MAX(s_p!R8:R19)</f>
        <v>0.0315080285960251</v>
      </c>
      <c r="Z11" s="55" t="n">
        <f aca="false">MAX(s_p!S8:S19)</f>
        <v>0.0793320069556498</v>
      </c>
      <c r="AA11" s="55" t="n">
        <f aca="false">MAX(s_p!T8:T19)</f>
        <v>0.116595811683199</v>
      </c>
      <c r="AB11" s="55" t="n">
        <f aca="false">MAX(s_p!U8:U19)</f>
        <v>0.136194313821308</v>
      </c>
      <c r="AC11" s="56"/>
      <c r="AD11" s="57"/>
      <c r="AE11" s="55" t="n">
        <f aca="false">MIN(s_p!R8:R19)</f>
        <v>-0.0309169012902389</v>
      </c>
      <c r="AF11" s="55" t="n">
        <f aca="false">MIN(s_p!S8:S19)</f>
        <v>-0.0259039683811352</v>
      </c>
      <c r="AG11" s="55" t="n">
        <f aca="false">MIN(s_p!T8:T19)</f>
        <v>-0.00267170801824856</v>
      </c>
      <c r="AH11" s="55" t="n">
        <f aca="false">MIN(s_p!U8:U19)</f>
        <v>0.136194313821308</v>
      </c>
      <c r="AI11" s="56"/>
      <c r="AJ11" s="58"/>
    </row>
    <row r="12" customFormat="false" ht="13.8" hidden="false" customHeight="false" outlineLevel="0" collapsed="false">
      <c r="A12" s="6" t="n">
        <f aca="false">WORKDAY(A11,1,holiday!$B$2:$B$10)</f>
        <v>38730</v>
      </c>
      <c r="B12" s="24" t="n">
        <v>1140498.67329122</v>
      </c>
      <c r="C12" s="24" t="n">
        <f aca="false">B12-B11</f>
        <v>-15841.8653797929</v>
      </c>
      <c r="D12" s="5" t="n">
        <f aca="false">C12/B11</f>
        <v>-0.0137</v>
      </c>
      <c r="E12" s="5" t="n">
        <f aca="false" t="array" ref="E12:E12">PRODUCT(1+$D$4:D12)-1</f>
        <v>0.140498673291218</v>
      </c>
      <c r="F12" s="45" t="n">
        <f aca="false">E12/COUNT($E$4:E12)</f>
        <v>0.0156109636990242</v>
      </c>
      <c r="G12" s="5" t="n">
        <f aca="false">F12*252</f>
        <v>3.9339628521541</v>
      </c>
      <c r="H12" s="46" t="n">
        <f aca="false">IF(D12&lt;F12,D12-F12,"")</f>
        <v>-0.0293109636990242</v>
      </c>
      <c r="I12" s="46" t="n">
        <f aca="false">IF(D12&lt;(AVERAGE($D$4:D12)),D12-AVERAGE($D$4:D12),"")</f>
        <v>-0.0287222222222223</v>
      </c>
      <c r="J12" s="0" t="n">
        <f aca="false">IF(ISBLANK(A13),MONTH(A12),IF(MONTH(A13)-MONTH(A12)=1,MONTH(A12),0))</f>
        <v>0</v>
      </c>
      <c r="K12" s="0" t="str">
        <f aca="false">IF(B13&gt;B12,IF(AND(B11&gt;B12,B13&gt;B12),"min",""),IF(AND(B11&gt;B12,B13&gt;B12),"",IF(AND(B11&lt;B12,B13&lt;B12),"max","")))</f>
        <v/>
      </c>
      <c r="L12" s="0" t="str">
        <f aca="false">IF(K12="min",COUNTIF(K$4:K12,"min"),IF(K12="max",COUNTIF(K$4:K12,"max"),""))</f>
        <v/>
      </c>
      <c r="M12" s="24" t="str">
        <f aca="false" t="array" ref="M12:M12">IF($K$3=0,IF(K12="min",INDEX($B$4:$B$254,(MATCH(1,($K$4:$K$254="max")*($L$4:$L$254=(L12-1)),0))),""),IF($K$3=1,IF(K12="min",INDEX($B$4:$B$254,(MATCH(1,($K$4:$K$254="max")*($L$4:$L$254=(L12)),0))),""),""))</f>
        <v/>
      </c>
      <c r="N12" s="29" t="str">
        <f aca="false">IF(AND(K10=0,K12="min",L12=1),B12-B11,IF(K12="min",B12-M12,""))</f>
        <v/>
      </c>
      <c r="O12" s="34" t="str">
        <f aca="false">IF(AND(K10=0,K12="min",L12=1),(B12-B11)/B11,IF(K12="min",(B12-M12)/M12,""))</f>
        <v/>
      </c>
      <c r="P12" s="19" t="n">
        <f aca="false">D12-s_p!H12</f>
        <v>-0.0149052314822013</v>
      </c>
      <c r="Q12" s="19" t="n">
        <f aca="false">IF(P12&lt;0, P12^2, 0)</f>
        <v>0.000222165925538005</v>
      </c>
      <c r="R12" s="24"/>
      <c r="S12" s="24" t="n">
        <f aca="false">MATCH(MIN(B3:B23),B3:B23,0)+ROW(B3:B23)-2</f>
        <v>4</v>
      </c>
      <c r="T12" s="24" t="n">
        <v>105</v>
      </c>
      <c r="U12" s="24"/>
      <c r="V12" s="5"/>
      <c r="X12" s="54" t="s">
        <v>328</v>
      </c>
      <c r="Y12" s="55" t="n">
        <f aca="false">MIN(AI23:AI34)</f>
        <v>0.11668575748565</v>
      </c>
      <c r="Z12" s="55" t="n">
        <f aca="false">MIN(AJ23:AJ34)</f>
        <v>0.221672562023581</v>
      </c>
      <c r="AA12" s="55" t="n">
        <f aca="false">MIN(AK23:AK34)</f>
        <v>0.321471574979811</v>
      </c>
      <c r="AB12" s="55" t="n">
        <f aca="false">MIN(AL23:AL34)</f>
        <v>0.458454302979043</v>
      </c>
      <c r="AC12" s="56"/>
      <c r="AD12" s="57"/>
      <c r="AE12" s="55" t="n">
        <f aca="false">MAX(AI23:AI34)</f>
        <v>0.144126440851014</v>
      </c>
      <c r="AF12" s="55" t="n">
        <f aca="false">MAX(AJ23:AJ34)</f>
        <v>0.243417728036765</v>
      </c>
      <c r="AG12" s="55" t="n">
        <f aca="false">MAX(AK23:AK34)</f>
        <v>0.334312750280333</v>
      </c>
      <c r="AH12" s="55" t="n">
        <f aca="false">MAX(AL23:AL34)</f>
        <v>0.458454302979043</v>
      </c>
      <c r="AI12" s="56"/>
      <c r="AJ12" s="58"/>
    </row>
    <row r="13" customFormat="false" ht="13.8" hidden="false" customHeight="false" outlineLevel="0" collapsed="false">
      <c r="A13" s="6" t="n">
        <f aca="false">WORKDAY(A12,1,holiday!$B$2:$B$10)</f>
        <v>38734</v>
      </c>
      <c r="B13" s="24" t="n">
        <v>1093624.17781895</v>
      </c>
      <c r="C13" s="24" t="n">
        <f aca="false">B13-B12</f>
        <v>-46874.4954722691</v>
      </c>
      <c r="D13" s="5" t="n">
        <f aca="false">C13/B12</f>
        <v>-0.0411000000000001</v>
      </c>
      <c r="E13" s="5" t="n">
        <f aca="false" t="array" ref="E13:E13">PRODUCT(1+$D$4:D13)-1</f>
        <v>0.0936241778189488</v>
      </c>
      <c r="F13" s="45" t="n">
        <f aca="false">E13/COUNT($E$4:E13)</f>
        <v>0.00936241778189488</v>
      </c>
      <c r="G13" s="5" t="n">
        <f aca="false">F13*252</f>
        <v>2.35932928103751</v>
      </c>
      <c r="H13" s="46" t="n">
        <f aca="false">IF(D13&lt;F13,D13-F13,"")</f>
        <v>-0.050462417781895</v>
      </c>
      <c r="I13" s="46" t="n">
        <f aca="false">IF(D13&lt;(AVERAGE($D$4:D13)),D13-AVERAGE($D$4:D13),"")</f>
        <v>-0.0505100000000001</v>
      </c>
      <c r="J13" s="0" t="n">
        <f aca="false">IF(ISBLANK(A14),MONTH(A13),IF(MONTH(A14)-MONTH(A13)=1,MONTH(A13),0))</f>
        <v>0</v>
      </c>
      <c r="K13" s="0" t="str">
        <f aca="false">IF(B14&gt;B13,IF(AND(B12&gt;B13,B14&gt;B13),"min",""),IF(AND(B12&gt;B13,B14&gt;B13),"",IF(AND(B12&lt;B13,B14&lt;B13),"max","")))</f>
        <v/>
      </c>
      <c r="L13" s="0" t="str">
        <f aca="false">IF(K13="min",COUNTIF(K$4:K13,"min"),IF(K13="max",COUNTIF(K$4:K13,"max"),""))</f>
        <v/>
      </c>
      <c r="M13" s="24" t="str">
        <f aca="false" t="array" ref="M13:M13">IF($K$3=0,IF(K13="min",INDEX($B$4:$B$254,(MATCH(1,($K$4:$K$254="max")*($L$4:$L$254=(L13-1)),0))),""),IF($K$3=1,IF(K13="min",INDEX($B$4:$B$254,(MATCH(1,($K$4:$K$254="max")*($L$4:$L$254=(L13)),0))),""),""))</f>
        <v/>
      </c>
      <c r="N13" s="29" t="str">
        <f aca="false">IF(AND(K11=0,K13="min",L13=1),B13-B12,IF(K13="min",B13-M13,""))</f>
        <v/>
      </c>
      <c r="O13" s="34" t="str">
        <f aca="false">IF(AND(K11=0,K13="min",L13=1),(B13-B12)/B12,IF(K13="min",(B13-M13)/M13,""))</f>
        <v/>
      </c>
      <c r="P13" s="19" t="n">
        <f aca="false">D13-s_p!H13</f>
        <v>-0.0375430223437223</v>
      </c>
      <c r="Q13" s="19" t="n">
        <f aca="false">IF(P13&lt;0, P13^2, 0)</f>
        <v>0.00140947852670123</v>
      </c>
      <c r="R13" s="24" t="str">
        <f aca="true">IF(INDEX(INDIRECT("A"&amp;T11&amp;":A"&amp;T12),MATCH(MIN(INDIRECT("B"&amp;T11&amp;":B"&amp;T12)),INDIRECT("B"&amp;T11&amp;":B"&amp;T12),0))&gt;INDEX(INDIRECT("A"&amp;T11&amp;":A"&amp;T12),MATCH(MAX(INDIRECT("B"&amp;T11&amp;":B"&amp;T12)),INDIRECT("B"&amp;T11&amp;":B"&amp;T12),0)),MIN(INDIRECT("B"&amp;T11&amp;":B"&amp;T12))-MAX(INDIRECT("B"&amp;T11&amp;":B"&amp;T12)),IF(AND(MATCH(MAX(INDIRECT("B"&amp;MATCH(MIN(INDIRECT("B"&amp;T11&amp;":B"&amp;T12)),INDIRECT("B"&amp;T11&amp;":B"&amp;T12),0)+ROW(INDIRECT("B"&amp;T11&amp;":B"&amp;T12))&amp;":B"&amp;MATCH(MAX(INDIRECT("B"&amp;T11&amp;":B"&amp;T12)),INDIRECT("B"&amp;T11&amp;":B"&amp;T12),0)+ROW(INDIRECT("B"&amp;T11&amp;":B"&amp;T12))-2)),INDIRECT("B"&amp;T11&amp;":B"&amp;T12),0)=MATCH(MAX(INDIRECT("B"&amp;T11&amp;":B"&amp;T12)),INDIRECT("B"&amp;T11&amp;":B"&amp;T12),0)-1,MATCH(MIN(INDIRECT("b"&amp;MATCH(MIN(INDIRECT("B"&amp;T11&amp;":B"&amp;T12)),INDIRECT("B"&amp;T11&amp;":B"&amp;T12),0)+ROW(INDIRECT("B"&amp;T11&amp;":B"&amp;T12))&amp;":B"&amp;MATCH(MAX(INDIRECT("B"&amp;T11&amp;":B"&amp;T12)),INDIRECT("B"&amp;T11&amp;":B"&amp;T12),0)+ROW(INDIRECT("B"&amp;T11&amp;":B"&amp;T12))-2)),INDIRECT("B"&amp;T11&amp;":B"&amp;T12),0)=MATCH(MIN(INDIRECT("B"&amp;T11&amp;":B"&amp;T12)),INDIRECT("B"&amp;T11&amp;":B"&amp;T12),0)+1),MIN(MIN(INDIRECT("B"&amp;MATCH(MAX(INDIRECT("B"&amp;T11&amp;":B"&amp;T12)),INDIRECT("B"&amp;T11&amp;":B"&amp;T12),0)+ROW(INDIRECT("B"&amp;T11&amp;":B"&amp;T12))&amp;":B22"))-MAX(INDIRECT("B"&amp;T11&amp;":B"&amp;T12)),MIN(INDIRECT("B"&amp;T11&amp;":B"&amp;T12))-MAX(INDIRECT("B2:B"&amp;MATCH(MIN(INDIRECT("B"&amp;T11&amp;":B"&amp;T12)),INDIRECT("B"&amp;T11&amp;":B"&amp;T12),0)+ROW(INDIRECT("B"&amp;T11&amp;":B"&amp;T12))-2))),"more"))</f>
        <v>more</v>
      </c>
      <c r="S13" s="24"/>
      <c r="T13" s="24"/>
      <c r="U13" s="24"/>
      <c r="V13" s="5"/>
      <c r="X13" s="54" t="s">
        <v>330</v>
      </c>
      <c r="Y13" s="55" t="n">
        <f aca="false">MIN(s_p!V8:V19)</f>
        <v>0.019179129896774</v>
      </c>
      <c r="Z13" s="55" t="n">
        <f aca="false">MIN(s_p!W8:W19)</f>
        <v>0.0369026769110258</v>
      </c>
      <c r="AA13" s="55" t="n">
        <f aca="false">MIN(s_p!X8:X19)</f>
        <v>0.0613255698029983</v>
      </c>
      <c r="AB13" s="55" t="n">
        <f aca="false">MIN(s_p!Y8:Y19)</f>
        <v>0.10005350137714</v>
      </c>
      <c r="AC13" s="56"/>
      <c r="AD13" s="57"/>
      <c r="AE13" s="55" t="n">
        <f aca="false">MAX(s_p!V8:V19)</f>
        <v>0.0469074795076168</v>
      </c>
      <c r="AF13" s="55" t="n">
        <f aca="false">MAX(s_p!W8:W19)</f>
        <v>0.070497479356684</v>
      </c>
      <c r="AG13" s="55" t="n">
        <f aca="false">MAX(s_p!X8:X19)</f>
        <v>0.0820870772076853</v>
      </c>
      <c r="AH13" s="55" t="n">
        <f aca="false">MAX(s_p!Y8:Y19)</f>
        <v>0.10005350137714</v>
      </c>
      <c r="AI13" s="56"/>
      <c r="AJ13" s="58"/>
    </row>
    <row r="14" customFormat="false" ht="13.8" hidden="false" customHeight="false" outlineLevel="0" collapsed="false">
      <c r="A14" s="6" t="n">
        <f aca="false">WORKDAY(A13,1,holiday!$B$2:$B$10)</f>
        <v>38735</v>
      </c>
      <c r="B14" s="24" t="n">
        <v>1090124.58044993</v>
      </c>
      <c r="C14" s="24" t="n">
        <f aca="false">B14-B13</f>
        <v>-3499.59736902057</v>
      </c>
      <c r="D14" s="5" t="n">
        <f aca="false">C14/B13</f>
        <v>-0.00319999999999994</v>
      </c>
      <c r="E14" s="5" t="n">
        <f aca="false" t="array" ref="E14:E14">PRODUCT(1+$D$4:D14)-1</f>
        <v>0.090124580449928</v>
      </c>
      <c r="F14" s="45" t="n">
        <f aca="false">E14/COUNT($E$4:E14)</f>
        <v>0.00819314367726618</v>
      </c>
      <c r="G14" s="5" t="n">
        <f aca="false">F14*252</f>
        <v>2.06467220667108</v>
      </c>
      <c r="H14" s="46" t="n">
        <f aca="false">IF(D14&lt;F14,D14-F14,"")</f>
        <v>-0.0113931436772661</v>
      </c>
      <c r="I14" s="46" t="n">
        <f aca="false">IF(D14&lt;(AVERAGE($D$4:D14)),D14-AVERAGE($D$4:D14),"")</f>
        <v>-0.0114636363636363</v>
      </c>
      <c r="J14" s="0" t="n">
        <f aca="false">IF(ISBLANK(A15),MONTH(A14),IF(MONTH(A15)-MONTH(A14)=1,MONTH(A14),0))</f>
        <v>0</v>
      </c>
      <c r="K14" s="0" t="str">
        <f aca="false">IF(B15&gt;B14,IF(AND(B13&gt;B14,B15&gt;B14),"min",""),IF(AND(B13&gt;B14,B15&gt;B14),"",IF(AND(B13&lt;B14,B15&lt;B14),"max","")))</f>
        <v>min</v>
      </c>
      <c r="L14" s="0" t="n">
        <f aca="false">IF(K14="min",COUNTIF(K$4:K14,"min"),IF(K14="max",COUNTIF(K$4:K14,"max"),""))</f>
        <v>3</v>
      </c>
      <c r="M14" s="24" t="n">
        <f aca="false" t="array" ref="M14:M14">IF($K$3=0,IF(K14="min",INDEX($B$4:$B$254,(MATCH(1,($K$4:$K$254="max")*($L$4:$L$254=(L14-1)),0))),""),IF($K$3=1,IF(K14="min",INDEX($B$4:$B$254,(MATCH(1,($K$4:$K$254="max")*($L$4:$L$254=(L14)),0))),""),""))</f>
        <v>1156340.53867101</v>
      </c>
      <c r="N14" s="29" t="n">
        <f aca="false">IF(AND(K12=0,K14="min",L14=1),B14-B13,IF(K14="min",B14-M14,""))</f>
        <v>-66215.95822108</v>
      </c>
      <c r="O14" s="34" t="n">
        <f aca="false">IF(AND(K12=0,K14="min",L14=1),(B14-B13)/B13,IF(K14="min",(B14-M14)/M14,""))</f>
        <v>-0.0572633718239979</v>
      </c>
      <c r="P14" s="19" t="n">
        <f aca="false">D14-s_p!H14</f>
        <v>0.000774965511328645</v>
      </c>
      <c r="Q14" s="19" t="n">
        <f aca="false">IF(P14&lt;0, P14^2, 0)</f>
        <v>0</v>
      </c>
      <c r="R14" s="24"/>
      <c r="S14" s="24"/>
      <c r="T14" s="24"/>
      <c r="U14" s="24"/>
      <c r="V14" s="5"/>
      <c r="X14" s="54" t="s">
        <v>332</v>
      </c>
      <c r="Y14" s="59" t="n">
        <f aca="false">MAX(AM23:AM34)</f>
        <v>4.78483701655318</v>
      </c>
      <c r="Z14" s="59" t="n">
        <f aca="false">MAX(AN23:AN34)</f>
        <v>1.75926421023761</v>
      </c>
      <c r="AA14" s="59" t="n">
        <f aca="false">MAX(AO23:AO34)</f>
        <v>0.176315334684776</v>
      </c>
      <c r="AB14" s="59" t="n">
        <f aca="false">MAX(AP23:AP34)</f>
        <v>-0.0173525054831322</v>
      </c>
      <c r="AC14" s="56"/>
      <c r="AD14" s="57"/>
      <c r="AE14" s="59" t="n">
        <f aca="false">MIN(AM23:AM34)</f>
        <v>-6.14844335606626</v>
      </c>
      <c r="AF14" s="59" t="n">
        <f aca="false">MIN(AN23:AN34)</f>
        <v>-1.70852768865401</v>
      </c>
      <c r="AG14" s="59" t="n">
        <f aca="false">MIN(AO23:AO34)</f>
        <v>-0.643181308012986</v>
      </c>
      <c r="AH14" s="59" t="n">
        <f aca="false">MIN(AP23:AP34)</f>
        <v>-0.0173525054831322</v>
      </c>
      <c r="AI14" s="56"/>
      <c r="AJ14" s="58"/>
    </row>
    <row r="15" customFormat="false" ht="13.8" hidden="false" customHeight="false" outlineLevel="0" collapsed="false">
      <c r="A15" s="6" t="n">
        <f aca="false">WORKDAY(A14,1,holiday!$B$2:$B$10)</f>
        <v>38736</v>
      </c>
      <c r="B15" s="24" t="n">
        <v>1106367.43669863</v>
      </c>
      <c r="C15" s="24" t="n">
        <f aca="false">B15-B14</f>
        <v>16242.856248704</v>
      </c>
      <c r="D15" s="5" t="n">
        <f aca="false">C15/B14</f>
        <v>0.0149000000000001</v>
      </c>
      <c r="E15" s="5" t="n">
        <f aca="false" t="array" ref="E15:E15">PRODUCT(1+$D$4:D15)-1</f>
        <v>0.106367436698632</v>
      </c>
      <c r="F15" s="45" t="n">
        <f aca="false">E15/COUNT($E$4:E15)</f>
        <v>0.00886395305821933</v>
      </c>
      <c r="G15" s="5" t="n">
        <f aca="false">F15*252</f>
        <v>2.23371617067127</v>
      </c>
      <c r="H15" s="46" t="str">
        <f aca="false">IF(D15&lt;F15,D15-F15,"")</f>
        <v/>
      </c>
      <c r="I15" s="46" t="str">
        <f aca="false">IF(D15&lt;(AVERAGE($D$4:D15)),D15-AVERAGE($D$4:D15),"")</f>
        <v/>
      </c>
      <c r="J15" s="0" t="n">
        <f aca="false">IF(ISBLANK(A16),MONTH(A15),IF(MONTH(A16)-MONTH(A15)=1,MONTH(A15),0))</f>
        <v>0</v>
      </c>
      <c r="K15" s="0" t="str">
        <f aca="false">IF(B16&gt;B15,IF(AND(B14&gt;B15,B16&gt;B15),"min",""),IF(AND(B14&gt;B15,B16&gt;B15),"",IF(AND(B14&lt;B15,B16&lt;B15),"max","")))</f>
        <v/>
      </c>
      <c r="L15" s="0" t="str">
        <f aca="false">IF(K15="min",COUNTIF(K$4:K15,"min"),IF(K15="max",COUNTIF(K$4:K15,"max"),""))</f>
        <v/>
      </c>
      <c r="M15" s="24" t="str">
        <f aca="false" t="array" ref="M15:M15">IF($K$3=0,IF(K15="min",INDEX($B$4:$B$254,(MATCH(1,($K$4:$K$254="max")*($L$4:$L$254=(L15-1)),0))),""),IF($K$3=1,IF(K15="min",INDEX($B$4:$B$254,(MATCH(1,($K$4:$K$254="max")*($L$4:$L$254=(L15)),0))),""),""))</f>
        <v/>
      </c>
      <c r="N15" s="29" t="str">
        <f aca="false">IF(AND(K13=0,K15="min",L15=1),B15-B14,IF(K15="min",B15-M15,""))</f>
        <v/>
      </c>
      <c r="O15" s="34" t="str">
        <f aca="false">IF(AND(K13=0,K15="min",L15=1),(B15-B14)/B14,IF(K15="min",(B15-M15)/M15,""))</f>
        <v/>
      </c>
      <c r="P15" s="19" t="n">
        <f aca="false">D15-s_p!H15</f>
        <v>0.00933631497812888</v>
      </c>
      <c r="Q15" s="19" t="n">
        <f aca="false">IF(P15&lt;0, P15^2, 0)</f>
        <v>0</v>
      </c>
      <c r="R15" s="24"/>
      <c r="S15" s="24"/>
      <c r="T15" s="24"/>
      <c r="U15" s="24"/>
      <c r="V15" s="5"/>
      <c r="X15" s="54" t="s">
        <v>333</v>
      </c>
      <c r="Y15" s="56"/>
      <c r="Z15" s="56"/>
      <c r="AA15" s="56"/>
      <c r="AB15" s="56"/>
      <c r="AC15" s="56"/>
      <c r="AD15" s="57"/>
      <c r="AE15" s="56"/>
      <c r="AF15" s="56"/>
      <c r="AG15" s="56"/>
      <c r="AH15" s="56"/>
      <c r="AI15" s="56"/>
      <c r="AJ15" s="58"/>
    </row>
    <row r="16" customFormat="false" ht="13.8" hidden="false" customHeight="false" outlineLevel="0" collapsed="false">
      <c r="A16" s="6" t="n">
        <f aca="false">WORKDAY(A15,1,holiday!$B$2:$B$10)</f>
        <v>38737</v>
      </c>
      <c r="B16" s="24" t="n">
        <v>1121082.12360672</v>
      </c>
      <c r="C16" s="24" t="n">
        <f aca="false">B16-B15</f>
        <v>14714.6869080919</v>
      </c>
      <c r="D16" s="5" t="n">
        <f aca="false">C16/B15</f>
        <v>0.0133000000000001</v>
      </c>
      <c r="E16" s="5" t="n">
        <f aca="false" t="array" ref="E16:E16">PRODUCT(1+$D$4:D16)-1</f>
        <v>0.121082123606724</v>
      </c>
      <c r="F16" s="45" t="n">
        <f aca="false">E16/COUNT($E$4:E16)</f>
        <v>0.00931400950820953</v>
      </c>
      <c r="G16" s="5" t="n">
        <f aca="false">F16*252</f>
        <v>2.3471303960688</v>
      </c>
      <c r="H16" s="46" t="str">
        <f aca="false">IF(D16&lt;F16,D16-F16,"")</f>
        <v/>
      </c>
      <c r="I16" s="46" t="str">
        <f aca="false">IF(D16&lt;(AVERAGE($D$4:D16)),D16-AVERAGE($D$4:D16),"")</f>
        <v/>
      </c>
      <c r="J16" s="0" t="n">
        <f aca="false">IF(ISBLANK(A17),MONTH(A16),IF(MONTH(A17)-MONTH(A16)=1,MONTH(A16),0))</f>
        <v>0</v>
      </c>
      <c r="K16" s="0" t="str">
        <f aca="false">IF(B17&gt;B16,IF(AND(B15&gt;B16,B17&gt;B16),"min",""),IF(AND(B15&gt;B16,B17&gt;B16),"",IF(AND(B15&lt;B16,B17&lt;B16),"max","")))</f>
        <v/>
      </c>
      <c r="L16" s="0" t="str">
        <f aca="false">IF(K16="min",COUNTIF(K$4:K16,"min"),IF(K16="max",COUNTIF(K$4:K16,"max"),""))</f>
        <v/>
      </c>
      <c r="M16" s="24" t="str">
        <f aca="false" t="array" ref="M16:M16">IF($K$3=0,IF(K16="min",INDEX($B$4:$B$254,(MATCH(1,($K$4:$K$254="max")*($L$4:$L$254=(L16-1)),0))),""),IF($K$3=1,IF(K16="min",INDEX($B$4:$B$254,(MATCH(1,($K$4:$K$254="max")*($L$4:$L$254=(L16)),0))),""),""))</f>
        <v/>
      </c>
      <c r="N16" s="29" t="str">
        <f aca="false">IF(AND(K14=0,K16="min",L16=1),B16-B15,IF(K16="min",B16-M16,""))</f>
        <v/>
      </c>
      <c r="O16" s="34" t="str">
        <f aca="false">IF(AND(K14=0,K16="min",L16=1),(B16-B15)/B15,IF(K16="min",(B16-M16)/M16,""))</f>
        <v/>
      </c>
      <c r="P16" s="19" t="n">
        <f aca="false">D16-s_p!H16</f>
        <v>0.0316262777812364</v>
      </c>
      <c r="Q16" s="19" t="n">
        <f aca="false">IF(P16&lt;0, P16^2, 0)</f>
        <v>0</v>
      </c>
      <c r="R16" s="24"/>
      <c r="S16" s="24"/>
      <c r="T16" s="24"/>
      <c r="U16" s="24"/>
      <c r="V16" s="5"/>
      <c r="X16" s="54" t="s">
        <v>334</v>
      </c>
      <c r="Y16" s="55" t="n">
        <f aca="false">MAX(AU23:AU34)</f>
        <v>0.00825248239920703</v>
      </c>
      <c r="Z16" s="55" t="n">
        <f aca="false">MAX(AV23:AV34)</f>
        <v>0.00312757574954322</v>
      </c>
      <c r="AA16" s="55" t="n">
        <f aca="false">MAX(AW23:AW34)</f>
        <v>0.00191805578473746</v>
      </c>
      <c r="AB16" s="55" t="n">
        <f aca="false">MAX(AX23:AX34)</f>
        <v>0.000597761383725516</v>
      </c>
      <c r="AC16" s="56"/>
      <c r="AD16" s="57"/>
      <c r="AE16" s="55" t="n">
        <f aca="false">MIN(AU23:AU34)</f>
        <v>-0.0125643780671462</v>
      </c>
      <c r="AF16" s="55" t="n">
        <f aca="false">MIN(AV23:AV34)</f>
        <v>-0.00270575523199234</v>
      </c>
      <c r="AG16" s="55" t="n">
        <f aca="false">MIN(AW23:AW34)</f>
        <v>-0.000414539715063746</v>
      </c>
      <c r="AH16" s="55" t="n">
        <f aca="false">MIN(AX23:AX34)</f>
        <v>0.000597761383725516</v>
      </c>
      <c r="AI16" s="56"/>
      <c r="AJ16" s="58"/>
    </row>
    <row r="17" customFormat="false" ht="13.8" hidden="false" customHeight="false" outlineLevel="0" collapsed="false">
      <c r="A17" s="6" t="n">
        <f aca="false">WORKDAY(A16,1,holiday!$B$2:$B$10)</f>
        <v>38740</v>
      </c>
      <c r="B17" s="24" t="n">
        <v>1160095.78150824</v>
      </c>
      <c r="C17" s="24" t="n">
        <f aca="false">B17-B16</f>
        <v>39013.6579015141</v>
      </c>
      <c r="D17" s="5" t="n">
        <f aca="false">C17/B16</f>
        <v>0.0348000000000001</v>
      </c>
      <c r="E17" s="5" t="n">
        <f aca="false" t="array" ref="E17:E17">PRODUCT(1+$D$4:D17)-1</f>
        <v>0.160095781508238</v>
      </c>
      <c r="F17" s="45" t="n">
        <f aca="false">E17/COUNT($E$4:E17)</f>
        <v>0.0114354129648742</v>
      </c>
      <c r="G17" s="5" t="n">
        <f aca="false">F17*252</f>
        <v>2.88172406714829</v>
      </c>
      <c r="H17" s="46" t="str">
        <f aca="false">IF(D17&lt;F17,D17-F17,"")</f>
        <v/>
      </c>
      <c r="I17" s="46" t="str">
        <f aca="false">IF(D17&lt;(AVERAGE($D$4:D17)),D17-AVERAGE($D$4:D17),"")</f>
        <v/>
      </c>
      <c r="J17" s="0" t="n">
        <f aca="false">IF(ISBLANK(A18),MONTH(A17),IF(MONTH(A18)-MONTH(A17)=1,MONTH(A17),0))</f>
        <v>0</v>
      </c>
      <c r="K17" s="0" t="str">
        <f aca="false">IF(B18&gt;B17,IF(AND(B16&gt;B17,B18&gt;B17),"min",""),IF(AND(B16&gt;B17,B18&gt;B17),"",IF(AND(B16&lt;B17,B18&lt;B17),"max","")))</f>
        <v/>
      </c>
      <c r="L17" s="0" t="str">
        <f aca="false">IF(K17="min",COUNTIF(K$4:K17,"min"),IF(K17="max",COUNTIF(K$4:K17,"max"),""))</f>
        <v/>
      </c>
      <c r="M17" s="24" t="str">
        <f aca="false" t="array" ref="M17:M17">IF($K$3=0,IF(K17="min",INDEX($B$4:$B$254,(MATCH(1,($K$4:$K$254="max")*($L$4:$L$254=(L17-1)),0))),""),IF($K$3=1,IF(K17="min",INDEX($B$4:$B$254,(MATCH(1,($K$4:$K$254="max")*($L$4:$L$254=(L17)),0))),""),""))</f>
        <v/>
      </c>
      <c r="N17" s="29" t="str">
        <f aca="false">IF(AND(K15=0,K17="min",L17=1),B17-B16,IF(K17="min",B17-M17,""))</f>
        <v/>
      </c>
      <c r="O17" s="34" t="str">
        <f aca="false">IF(AND(K15=0,K17="min",L17=1),(B17-B16)/B16,IF(K17="min",(B17-M17)/M17,""))</f>
        <v/>
      </c>
      <c r="P17" s="19" t="n">
        <f aca="false">D17-s_p!H17</f>
        <v>0.032952977827807</v>
      </c>
      <c r="Q17" s="19" t="n">
        <f aca="false">IF(P17&lt;0, P17^2, 0)</f>
        <v>0</v>
      </c>
      <c r="R17" s="24" t="str">
        <f aca="true">IF(INDEX(INDIRECT($A$1&amp;$W23&amp;":"&amp;$A$1&amp;$W24-1),MATCH(MIN(INDIRECT($B$1&amp;$W23&amp;":"&amp;$B$1&amp;$W24-1)),INDIRECT($B$1&amp;$W23&amp;":"&amp;$B$1&amp;$W24-1),0))&gt;INDEX(INDIRECT($A$1&amp;$W23&amp;":"&amp;$A$1&amp;$W24-1),MATCH(MAX(INDIRECT($B$1&amp;$W23&amp;":"&amp;$B$1&amp;$W24-1)),INDIRECT($B$1&amp;$W23&amp;":"&amp;$B$1&amp;$W24-1),0)),MIN(INDIRECT($B$1&amp;$W23&amp;":"&amp;$B$1&amp;$W24-1))-MAX(INDIRECT($B$1&amp;$W23&amp;":"&amp;$B$1&amp;$W24-1)),IF(INDEX(INDIRECT($A$1&amp;$W23&amp;":"&amp;$A$1&amp;$W24-1),MATCH(MIN(INDIRECT($B$1&amp;MATCH(MIN(INDIRECT($B$1&amp;$W23&amp;":"&amp;$B$1&amp;$W24-1)),INDIRECT($B$1&amp;$W23&amp;":"&amp;$B$1&amp;$W24-1),0)+ROW(INDIRECT($B$1&amp;$W23&amp;":"&amp;$B$1&amp;$W24-1))&amp;":"&amp;$B$1&amp;MATCH(MAX(INDIRECT($B$1&amp;$W23&amp;":"&amp;$B$1&amp;$W24-1)),INDIRECT($B$1&amp;$W23&amp;":"&amp;$B$1&amp;$W24-1),0)+ROW(INDIRECT($B$1&amp;$W23&amp;":"&amp;$B$1&amp;$W24-1))-2)),INDIRECT($B$1&amp;$W23&amp;":"&amp;$B$1&amp;$W24-1),0))&gt;INDEX(INDIRECT($A$1&amp;$W23&amp;":"&amp;$A$1&amp;$W24-1),MATCH(MAX(INDIRECT($B$1&amp;MATCH(MIN(INDIRECT($B$1&amp;$W23&amp;":"&amp;$B$1&amp;$W24-1)),INDIRECT($B$1&amp;$W23&amp;":"&amp;$B$1&amp;$W24-1),0)+ROW(INDIRECT($B$1&amp;$W23&amp;":"&amp;$B$1&amp;$W24-1))&amp;":"&amp;$B$1&amp;MATCH(MAX(INDIRECT($B$1&amp;$W23&amp;":"&amp;$B$1&amp;$W24-1)),INDIRECT($B$1&amp;$W23&amp;":"&amp;$B$1&amp;$W24-1),0)+ROW(INDIRECT($B$1&amp;$W23&amp;":"&amp;$B$1&amp;$W24-1))-2)),INDIRECT($B$1&amp;$W23&amp;":"&amp;$B$1&amp;$W24-1),0)),MIN(MIN(INDIRECT($B$1&amp;$W23&amp;":"&amp;$B$1&amp;$W24-1))-MAX(INDIRECT($B$1&amp;W23&amp;":"&amp;$B$1&amp;MATCH(MIN(INDIRECT($B$1&amp;$W23&amp;":"&amp;$B$1&amp;$W24-1)),INDIRECT($B$1&amp;$W23&amp;":"&amp;$B$1&amp;$W24-1),0)+ROW(INDIRECT($B$1&amp;$W23&amp;":"&amp;$B$1&amp;$W24-1))-2)),MIN(INDIRECT($B$1&amp;MATCH(MAX(INDIRECT($B$1&amp;$W23&amp;":"&amp;$B$1&amp;$W24-1)),INDIRECT($B$1&amp;$W23&amp;":"&amp;$B$1&amp;$W24-1),0)+ROW(INDIRECT($B$1&amp;$W23&amp;":"&amp;$B$1&amp;$W24-1))&amp;":"&amp;$B$1&amp;W24-1))-MAX(INDIRECT($B$1&amp;$W23&amp;":"&amp;$B$1&amp;$W24-1)),MIN(INDIRECT($B$1&amp;MATCH(MIN(INDIRECT($B$1&amp;$W23&amp;":"&amp;$B$1&amp;$W24-1)),INDIRECT($B$1&amp;$W23&amp;":"&amp;$B$1&amp;$W24-1),0)+ROW(INDIRECT($B$1&amp;$W23&amp;":"&amp;$B$1&amp;$W24-1))&amp;":"&amp;$B$1&amp;MATCH(MAX(INDIRECT($B$1&amp;$W23&amp;":"&amp;$B$1&amp;$W24-1)),INDIRECT($B$1&amp;$W23&amp;":"&amp;$B$1&amp;$W24-1),0)+ROW(INDIRECT($B$1&amp;$W23&amp;":"&amp;$B$1&amp;$W24-1))-2))-MAX(INDIRECT($B$1&amp;MATCH(MIN(INDIRECT($B$1&amp;$W23&amp;":"&amp;$B$1&amp;$W24-1)),INDIRECT($B$1&amp;$W23&amp;":"&amp;$B$1&amp;$W24-1),0)+ROW(INDIRECT($B$1&amp;$W23&amp;":"&amp;$B$1&amp;$W24-1))&amp;":"&amp;$B$1&amp;MATCH(MAX(INDIRECT($B$1&amp;$W23&amp;":"&amp;$B$1&amp;$W24-1)),INDIRECT($B$1&amp;$W23&amp;":"&amp;$B$1&amp;$W24-1),0)+ROW(INDIRECT($B$1&amp;$W23&amp;":"&amp;$B$1&amp;$W24-1))-2))),"more0"))</f>
        <v>more0</v>
      </c>
      <c r="S17" s="24" t="str">
        <f aca="true">IF(INDEX(INDIRECT($A$1&amp;$W23&amp;":"&amp;$A$1&amp;$W24-1),MATCH(MIN(INDIRECT($B$1&amp;MATCH(MIN(INDIRECT($B$1&amp;$W23&amp;":"&amp;$B$1&amp;$W24-1)),INDIRECT($B$1&amp;$W23&amp;":"&amp;$B$1&amp;$W24-1),0)+ROW(INDIRECT($B$1&amp;$W23&amp;":"&amp;$B$1&amp;$W24-1))&amp;":"&amp;$B$1&amp;MATCH(MAX(INDIRECT($B$1&amp;$W23&amp;":"&amp;$B$1&amp;$W24-1)),INDIRECT($B$1&amp;$W23&amp;":"&amp;$B$1&amp;$W24-1),0)+ROW(INDIRECT($B$1&amp;$W23&amp;":"&amp;$B$1&amp;$W24-1))-2)),INDIRECT($B$1&amp;$W23&amp;":"&amp;$B$1&amp;$W24-1),0))&gt;INDEX(INDIRECT($A$1&amp;$W23&amp;":"&amp;$A$1&amp;$W24-1),MATCH(MAX(INDIRECT($B$1&amp;MATCH(MIN(INDIRECT($B$1&amp;$W23&amp;":"&amp;$B$1&amp;$W24-1)),INDIRECT($B$1&amp;$W23&amp;":"&amp;$B$1&amp;$W24-1),0)+ROW(INDIRECT($B$1&amp;$W23&amp;":"&amp;$B$1&amp;$W24-1))&amp;":"&amp;$B$1&amp;MATCH(MAX(INDIRECT($B$1&amp;$W23&amp;":"&amp;$B$1&amp;$W24-1)),INDIRECT($B$1&amp;$W23&amp;":"&amp;$B$1&amp;$W24-1),0)+ROW(INDIRECT($B$1&amp;$W23&amp;":"&amp;$B$1&amp;$W24-1))-2)),INDIRECT($B$1&amp;$W23&amp;":"&amp;$B$1&amp;$W24-1),0)),MIN(INDIRECT($B$1&amp;MATCH(MIN(INDIRECT($B$1&amp;$W23&amp;":"&amp;$B$1&amp;$W24-1)),INDIRECT($B$1&amp;$W23&amp;":"&amp;$B$1&amp;$W24-1),0)+ROW(INDIRECT($B$1&amp;$W23&amp;":"&amp;$B$1&amp;$W24-1))&amp;":"&amp;$B$1&amp;MATCH(MAX(INDIRECT($B$1&amp;$W23&amp;":"&amp;$B$1&amp;$W24-1)),INDIRECT($B$1&amp;$W23&amp;":"&amp;$B$1&amp;$W24-1),0)+ROW(INDIRECT($B$1&amp;$W23&amp;":"&amp;$B$1&amp;$W24-1))-2))-MAX(INDIRECT($B$1&amp;MATCH(MIN(INDIRECT($B$1&amp;$W23&amp;":"&amp;$B$1&amp;$W24-1)),INDIRECT($B$1&amp;$W23&amp;":"&amp;$B$1&amp;$W24-1),0)+ROW(INDIRECT($B$1&amp;$W23&amp;":"&amp;$B$1&amp;$W24-1))&amp;":"&amp;$B$1&amp;MATCH(MAX(INDIRECT($B$1&amp;$W23&amp;":"&amp;$B$1&amp;$W24-1)),INDIRECT($B$1&amp;$W23&amp;":"&amp;$B$1&amp;$W24-1),0)+ROW(INDIRECT($B$1&amp;$W23&amp;":"&amp;$B$1&amp;$W24-1))-2)),"more0")</f>
        <v>more0</v>
      </c>
      <c r="T17" s="24" t="n">
        <f aca="true">MATCH(MAX(INDIRECT($B$1&amp;MATCH(MIN(INDIRECT($B$1&amp;$W23&amp;":"&amp;$B$1&amp;$W24-1)),INDIRECT($B$1&amp;$W23&amp;":"&amp;$B$1&amp;$W24-1),0)+ROW(INDIRECT($B$1&amp;$W23&amp;":"&amp;$B$1&amp;$W24-1))&amp;":"&amp;$B$1&amp;MATCH(MAX(INDIRECT($B$1&amp;$W23&amp;":"&amp;$B$1&amp;$W24-1)),INDIRECT($B$1&amp;$W23&amp;":"&amp;$B$1&amp;$W24-1),0)+ROW(INDIRECT($B$1&amp;$W23&amp;":"&amp;$B$1&amp;$W24-1))-2)),INDIRECT($B$1&amp;$W23&amp;":"&amp;$B$1&amp;$W24-1),0)+ROW(INDIRECT($B$1&amp;$W23&amp;":"&amp;$B$1&amp;$W24-1))-1</f>
        <v>17</v>
      </c>
      <c r="U17" s="24" t="n">
        <f aca="true">MATCH(MIN(INDIRECT($B$1&amp;MATCH(MIN(INDIRECT($B$1&amp;$W23&amp;":"&amp;$B$1&amp;$W24-1)),INDIRECT($B$1&amp;$W23&amp;":"&amp;$B$1&amp;$W24-1),0)+ROW(INDIRECT($B$1&amp;$W23&amp;":"&amp;$B$1&amp;$W24-1))&amp;":"&amp;$B$1&amp;MATCH(MAX(INDIRECT($B$1&amp;$W23&amp;":"&amp;$B$1&amp;$W24-1)),INDIRECT($B$1&amp;$W23&amp;":"&amp;$B$1&amp;$W24-1),0)+ROW(INDIRECT($B$1&amp;$W23&amp;":"&amp;$B$1&amp;$W24-1))-2)),INDIRECT($B$1&amp;$W23&amp;":"&amp;$B$1&amp;$W24-1),0)+ROW(INDIRECT($B$1&amp;$W23&amp;":"&amp;$B$1&amp;$W24-1))-1</f>
        <v>6</v>
      </c>
      <c r="V17" s="24"/>
      <c r="X17" s="60" t="s">
        <v>434</v>
      </c>
      <c r="Y17" s="61" t="n">
        <f aca="false">MAX(BC23:BC34)</f>
        <v>0</v>
      </c>
      <c r="Z17" s="61" t="n">
        <f aca="false">MAX(BD23:BD34)</f>
        <v>0</v>
      </c>
      <c r="AA17" s="61" t="n">
        <f aca="false">MAX(BE23:BE34)</f>
        <v>0</v>
      </c>
      <c r="AB17" s="61" t="n">
        <f aca="false">MAX(BF23:BF34)</f>
        <v>0</v>
      </c>
      <c r="AC17" s="62"/>
      <c r="AD17" s="63"/>
      <c r="AE17" s="61" t="n">
        <f aca="false">MIN(BC23:BC34)</f>
        <v>0</v>
      </c>
      <c r="AF17" s="61" t="n">
        <f aca="false">MIN(BD23:BD34)</f>
        <v>0</v>
      </c>
      <c r="AG17" s="61" t="n">
        <f aca="false">MIN(BE23:BE34)</f>
        <v>0</v>
      </c>
      <c r="AH17" s="61" t="n">
        <f aca="false">MIN(BF23:BF34)</f>
        <v>0</v>
      </c>
      <c r="AI17" s="62"/>
      <c r="AJ17" s="64"/>
    </row>
    <row r="18" customFormat="false" ht="13.8" hidden="false" customHeight="false" outlineLevel="0" collapsed="false">
      <c r="A18" s="6" t="n">
        <f aca="false">WORKDAY(A17,1,holiday!$B$2:$B$10)</f>
        <v>38741</v>
      </c>
      <c r="B18" s="24" t="n">
        <v>1208819.80433158</v>
      </c>
      <c r="C18" s="24" t="n">
        <f aca="false">B18-B17</f>
        <v>48724.0228233461</v>
      </c>
      <c r="D18" s="5" t="n">
        <f aca="false">C18/B17</f>
        <v>0.0420000000000001</v>
      </c>
      <c r="E18" s="5" t="n">
        <f aca="false" t="array" ref="E18:E18">PRODUCT(1+$D$4:D18)-1</f>
        <v>0.208819804331584</v>
      </c>
      <c r="F18" s="45" t="n">
        <f aca="false">E18/COUNT($E$4:E18)</f>
        <v>0.0139213202887723</v>
      </c>
      <c r="G18" s="5" t="n">
        <f aca="false">F18*252</f>
        <v>3.50817271277062</v>
      </c>
      <c r="H18" s="46" t="str">
        <f aca="false">IF(D18&lt;F18,D18-F18,"")</f>
        <v/>
      </c>
      <c r="I18" s="46" t="str">
        <f aca="false">IF(D18&lt;(AVERAGE($D$4:D18)),D18-AVERAGE($D$4:D18),"")</f>
        <v/>
      </c>
      <c r="J18" s="0" t="n">
        <f aca="false">IF(ISBLANK(A19),MONTH(A18),IF(MONTH(A19)-MONTH(A18)=1,MONTH(A18),0))</f>
        <v>0</v>
      </c>
      <c r="K18" s="0" t="str">
        <f aca="false">IF(B19&gt;B18,IF(AND(B17&gt;B18,B19&gt;B18),"min",""),IF(AND(B17&gt;B18,B19&gt;B18),"",IF(AND(B17&lt;B18,B19&lt;B18),"max","")))</f>
        <v>max</v>
      </c>
      <c r="L18" s="0" t="n">
        <f aca="false">IF(K18="min",COUNTIF(K$4:K18,"min"),IF(K18="max",COUNTIF(K$4:K18,"max"),""))</f>
        <v>3</v>
      </c>
      <c r="M18" s="24" t="str">
        <f aca="false" t="array" ref="M18:M18">IF($K$3=0,IF(K18="min",INDEX($B$4:$B$254,(MATCH(1,($K$4:$K$254="max")*($L$4:$L$254=(L18-1)),0))),""),IF($K$3=1,IF(K18="min",INDEX($B$4:$B$254,(MATCH(1,($K$4:$K$254="max")*($L$4:$L$254=(L18)),0))),""),""))</f>
        <v/>
      </c>
      <c r="N18" s="29" t="str">
        <f aca="false">IF(AND(K16=0,K18="min",L18=1),B18-B17,IF(K18="min",B18-M18,""))</f>
        <v/>
      </c>
      <c r="O18" s="34" t="str">
        <f aca="false">IF(AND(K16=0,K18="min",L18=1),(B18-B17)/B17,IF(K18="min",(B18-M18)/M18,""))</f>
        <v/>
      </c>
      <c r="P18" s="19" t="n">
        <f aca="false">D18-s_p!H18</f>
        <v>0.039594594166891</v>
      </c>
      <c r="Q18" s="19" t="n">
        <f aca="false">IF(P18&lt;0, P18^2, 0)</f>
        <v>0</v>
      </c>
      <c r="R18" s="5"/>
      <c r="S18" s="65" t="n">
        <f aca="true">INDEX(INDIRECT($A$1&amp;$W23&amp;":"&amp;$A$1&amp;$W24-1),MATCH(MIN(INDIRECT($B$1&amp;MATCH(MIN(INDIRECT($B$1&amp;$W23&amp;":"&amp;$B$1&amp;$W24-1)),INDIRECT($B$1&amp;$W23&amp;":"&amp;$B$1&amp;$W24-1),0)+ROW(INDIRECT($B$1&amp;$W23&amp;":"&amp;$B$1&amp;$W24-1))&amp;":"&amp;$B$1&amp;MATCH(MAX(INDIRECT($B$1&amp;$W23&amp;":"&amp;$B$1&amp;$W24-1)),INDIRECT($B$1&amp;$W23&amp;":"&amp;$B$1&amp;$W24-1),0)+ROW(INDIRECT($B$1&amp;$W23&amp;":"&amp;$B$1&amp;$W24-1))-2)),INDIRECT($B$1&amp;$W23&amp;":"&amp;$B$1&amp;$W24-1),0))</f>
        <v>38722</v>
      </c>
      <c r="T18" s="24" t="n">
        <f aca="true">MIN(MIN(INDIRECT($B$1&amp;MATCH(MAX(INDIRECT($B$1&amp;$W23&amp;":"&amp;$B$1&amp;$W24-1)),INDIRECT($B$1&amp;$W23&amp;":"&amp;$B$1&amp;$W24-1),0)+ROW(INDIRECT($B$1&amp;$W23&amp;":"&amp;$B$1&amp;$W24-1))&amp;":"&amp;$B$1&amp;W24-1))-MAX(INDIRECT($B$1&amp;$W23&amp;":"&amp;$B$1&amp;$W24-1)),MIN(INDIRECT($B$1&amp;$W23&amp;":"&amp;$B$1&amp;$W24-1))-MAX(INDIRECT($B$1&amp;W23&amp;":"&amp;$B$1&amp;MATCH(MIN(INDIRECT($B$1&amp;$W23&amp;":"&amp;$B$1&amp;$W24-1)),INDIRECT($B$1&amp;$W23&amp;":"&amp;$B$1&amp;$W24-1),0)+ROW(INDIRECT($B$1&amp;$W23&amp;":"&amp;$B$1&amp;$W24-1))-2)))</f>
        <v>-107883.13707286</v>
      </c>
      <c r="U18" s="24"/>
      <c r="V18" s="24"/>
      <c r="X18" s="56"/>
      <c r="Y18" s="56"/>
      <c r="Z18" s="56"/>
      <c r="AA18" s="56"/>
      <c r="AB18" s="56"/>
      <c r="AC18" s="56"/>
      <c r="AD18" s="56"/>
      <c r="AE18" s="56"/>
      <c r="AF18" s="56"/>
      <c r="AG18" s="56"/>
      <c r="AH18" s="56"/>
      <c r="AI18" s="66"/>
      <c r="AJ18" s="56"/>
      <c r="AK18" s="56"/>
      <c r="AL18" s="56"/>
      <c r="AM18" s="56"/>
      <c r="AN18" s="56"/>
    </row>
    <row r="19" customFormat="false" ht="13.8" hidden="false" customHeight="false" outlineLevel="0" collapsed="false">
      <c r="A19" s="6" t="n">
        <f aca="false">WORKDAY(A18,1,holiday!$B$2:$B$10)</f>
        <v>38742</v>
      </c>
      <c r="B19" s="24" t="n">
        <v>1153818.5032345</v>
      </c>
      <c r="C19" s="24" t="n">
        <f aca="false">B19-B18</f>
        <v>-55001.3010970871</v>
      </c>
      <c r="D19" s="5" t="n">
        <f aca="false">C19/B18</f>
        <v>-0.0455</v>
      </c>
      <c r="E19" s="5" t="n">
        <f aca="false" t="array" ref="E19:E19">PRODUCT(1+$D$4:D19)-1</f>
        <v>0.153818503234497</v>
      </c>
      <c r="F19" s="45" t="n">
        <f aca="false">E19/COUNT($E$4:E19)</f>
        <v>0.00961365645215609</v>
      </c>
      <c r="G19" s="5" t="n">
        <f aca="false">F19*252</f>
        <v>2.42264142594333</v>
      </c>
      <c r="H19" s="46" t="n">
        <f aca="false">IF(D19&lt;F19,D19-F19,"")</f>
        <v>-0.0551136564521561</v>
      </c>
      <c r="I19" s="46" t="n">
        <f aca="false">IF(D19&lt;(AVERAGE($D$4:D19)),D19-AVERAGE($D$4:D19),"")</f>
        <v>-0.0549000000000001</v>
      </c>
      <c r="J19" s="0" t="n">
        <f aca="false">IF(ISBLANK(A20),MONTH(A19),IF(MONTH(A20)-MONTH(A19)=1,MONTH(A19),0))</f>
        <v>0</v>
      </c>
      <c r="K19" s="0" t="str">
        <f aca="false">IF(B20&gt;B19,IF(AND(B18&gt;B19,B20&gt;B19),"min",""),IF(AND(B18&gt;B19,B20&gt;B19),"",IF(AND(B18&lt;B19,B20&lt;B19),"max","")))</f>
        <v>min</v>
      </c>
      <c r="L19" s="0" t="n">
        <f aca="false">IF(K19="min",COUNTIF(K$4:K19,"min"),IF(K19="max",COUNTIF(K$4:K19,"max"),""))</f>
        <v>4</v>
      </c>
      <c r="M19" s="24" t="n">
        <f aca="false" t="array" ref="M19:M19">IF($K$3=0,IF(K19="min",INDEX($B$4:$B$254,(MATCH(1,($K$4:$K$254="max")*($L$4:$L$254=(L19-1)),0))),""),IF($K$3=1,IF(K19="min",INDEX($B$4:$B$254,(MATCH(1,($K$4:$K$254="max")*($L$4:$L$254=(L19)),0))),""),""))</f>
        <v>1208819.80433158</v>
      </c>
      <c r="N19" s="29" t="n">
        <f aca="false">IF(AND(K17=0,K19="min",L19=1),B19-B18,IF(K19="min",B19-M19,""))</f>
        <v>-55001.3010970799</v>
      </c>
      <c r="O19" s="34" t="n">
        <f aca="false">IF(AND(K17=0,K19="min",L19=1),(B19-B18)/B18,IF(K19="min",(B19-M19)/M19,""))</f>
        <v>-0.0454999999999942</v>
      </c>
      <c r="P19" s="19" t="n">
        <f aca="false">D19-s_p!H19</f>
        <v>-0.0437792100153136</v>
      </c>
      <c r="Q19" s="19" t="n">
        <f aca="false">IF(P19&lt;0, P19^2, 0)</f>
        <v>0.00191661922956493</v>
      </c>
      <c r="R19" s="5"/>
      <c r="S19" s="65" t="n">
        <f aca="true">INDEX(INDIRECT($A$1&amp;$W23&amp;":"&amp;$A$1&amp;$W24-1),MATCH(MAX(INDIRECT($B$1&amp;MATCH(MIN(INDIRECT($B$1&amp;$W23&amp;":"&amp;$B$1&amp;$W24-1)),INDIRECT($B$1&amp;$W23&amp;":"&amp;$B$1&amp;$W24-1),0)+ROW(INDIRECT($B$1&amp;$W23&amp;":"&amp;$B$1&amp;$W24-1))&amp;":"&amp;$B$1&amp;MATCH(MAX(INDIRECT($B$1&amp;$W23&amp;":"&amp;$B$1&amp;$W24-1)),INDIRECT($B$1&amp;$W23&amp;":"&amp;$B$1&amp;$W24-1),0)+ROW(INDIRECT($B$1&amp;$W23&amp;":"&amp;$B$1&amp;$W24-1))-2)),INDIRECT($B$1&amp;$W23&amp;":"&amp;$B$1&amp;$W24-1),0))</f>
        <v>38740</v>
      </c>
      <c r="T19" s="24" t="n">
        <f aca="true">MIN(INDIRECT($B$1&amp;MATCH(MAX(INDIRECT($B$1&amp;$W23&amp;":"&amp;$B$1&amp;$W24-1)),INDIRECT($B$1&amp;$W23&amp;":"&amp;$B$1&amp;$W24-1),0)+ROW(INDIRECT($B$1&amp;$W23&amp;":"&amp;$B$1&amp;$W24-1))&amp;":"&amp;$B$1&amp;W24-1))</f>
        <v>1100936.66725872</v>
      </c>
      <c r="U19" s="24" t="n">
        <f aca="true">MATCH(MAX(INDIRECT($B$1&amp;$W23&amp;":"&amp;$B$1&amp;$W24-1)),INDIRECT($B$1&amp;$W23&amp;":"&amp;$B$1&amp;$W24-1),0)</f>
        <v>15</v>
      </c>
      <c r="V19" s="24" t="n">
        <f aca="true">ROW(INDIRECT($B$1&amp;$W23&amp;":"&amp;$B$1&amp;$W24-1))</f>
        <v>4</v>
      </c>
      <c r="AM19" s="0" t="n">
        <f aca="false">(AA23-(Treasuries!I252/100))/AI23</f>
        <v>0.738204180422661</v>
      </c>
    </row>
    <row r="20" customFormat="false" ht="13.8" hidden="false" customHeight="false" outlineLevel="0" collapsed="false">
      <c r="A20" s="6" t="n">
        <f aca="false">WORKDAY(A19,1,holiday!$B$2:$B$10)</f>
        <v>38743</v>
      </c>
      <c r="B20" s="24" t="n">
        <v>1184048.54801924</v>
      </c>
      <c r="C20" s="24" t="n">
        <f aca="false">B20-B19</f>
        <v>30230.0447847438</v>
      </c>
      <c r="D20" s="5" t="n">
        <f aca="false">C20/B19</f>
        <v>0.0262</v>
      </c>
      <c r="E20" s="5" t="n">
        <f aca="false" t="array" ref="E20:E20">PRODUCT(1+$D$4:D20)-1</f>
        <v>0.184048548019241</v>
      </c>
      <c r="F20" s="45" t="n">
        <f aca="false">E20/COUNT($E$4:E20)</f>
        <v>0.0108263851776024</v>
      </c>
      <c r="G20" s="5" t="n">
        <f aca="false">F20*252</f>
        <v>2.72824906475581</v>
      </c>
      <c r="H20" s="46" t="str">
        <f aca="false">IF(D20&lt;F20,D20-F20,"")</f>
        <v/>
      </c>
      <c r="I20" s="46" t="str">
        <f aca="false">IF(D20&lt;(AVERAGE($D$4:D20)),D20-AVERAGE($D$4:D20),"")</f>
        <v/>
      </c>
      <c r="J20" s="0" t="n">
        <f aca="false">IF(ISBLANK(A21),MONTH(A20),IF(MONTH(A21)-MONTH(A20)=1,MONTH(A20),0))</f>
        <v>0</v>
      </c>
      <c r="K20" s="0" t="str">
        <f aca="false">IF(B21&gt;B20,IF(AND(B19&gt;B20,B21&gt;B20),"min",""),IF(AND(B19&gt;B20,B21&gt;B20),"",IF(AND(B19&lt;B20,B21&lt;B20),"max","")))</f>
        <v>max</v>
      </c>
      <c r="L20" s="0" t="n">
        <f aca="false">IF(K20="min",COUNTIF(K$4:K20,"min"),IF(K20="max",COUNTIF(K$4:K20,"max"),""))</f>
        <v>4</v>
      </c>
      <c r="M20" s="24" t="str">
        <f aca="false" t="array" ref="M20:M20">IF($K$3=0,IF(K20="min",INDEX($B$4:$B$254,(MATCH(1,($K$4:$K$254="max")*($L$4:$L$254=(L20-1)),0))),""),IF($K$3=1,IF(K20="min",INDEX($B$4:$B$254,(MATCH(1,($K$4:$K$254="max")*($L$4:$L$254=(L20)),0))),""),""))</f>
        <v/>
      </c>
      <c r="N20" s="29" t="str">
        <f aca="false">IF(AND(K18=0,K20="min",L20=1),B20-B19,IF(K20="min",B20-M20,""))</f>
        <v/>
      </c>
      <c r="O20" s="34" t="str">
        <f aca="false">IF(AND(K18=0,K20="min",L20=1),(B20-B19)/B19,IF(K20="min",(B20-M20)/M20,""))</f>
        <v/>
      </c>
      <c r="P20" s="19" t="n">
        <f aca="false">D20-s_p!H20</f>
        <v>0.0189649682133031</v>
      </c>
      <c r="Q20" s="19" t="n">
        <f aca="false">IF(P20&lt;0, P20^2, 0)</f>
        <v>0</v>
      </c>
      <c r="R20" s="5"/>
      <c r="S20" s="7" t="n">
        <f aca="true">MIN(INDIRECT($B$1&amp;MATCH(MIN(INDIRECT($B$1&amp;$W23&amp;":"&amp;$B$1&amp;$W24-1)),INDIRECT($B$1&amp;$W23&amp;":"&amp;$B$1&amp;$W24-1),0)+ROW(INDIRECT($B$1&amp;$W23&amp;":"&amp;$B$1&amp;$W24-1))&amp;":"&amp;$B$1&amp;MATCH(MAX(INDIRECT($B$1&amp;$W23&amp;":"&amp;$B$1&amp;$W24-1)),INDIRECT($B$1&amp;$W23&amp;":"&amp;$B$1&amp;$W24-1),0)+ROW(INDIRECT($B$1&amp;$W23&amp;":"&amp;$B$1&amp;$W24-1))-2))</f>
        <v>1024563.209901</v>
      </c>
      <c r="T20" s="24" t="n">
        <f aca="true">MIN(INDIRECT($B$1&amp;$W23&amp;":"&amp;$B$1&amp;$W24-1))-MAX(INDIRECT($B$1&amp;W23&amp;":"&amp;$B$1&amp;MATCH(MIN(INDIRECT($B$1&amp;$W23&amp;":"&amp;$B$1&amp;$W24-1)),INDIRECT($B$1&amp;$W23&amp;":"&amp;$B$1&amp;$W24-1),0)+ROW(INDIRECT($B$1&amp;$W23&amp;":"&amp;$B$1&amp;$W24-1))-2))</f>
        <v>-19479.49</v>
      </c>
      <c r="U20" s="24"/>
      <c r="V20" s="24"/>
      <c r="X20" s="58"/>
      <c r="Z20" s="67"/>
      <c r="AA20" s="68" t="s">
        <v>435</v>
      </c>
      <c r="AB20" s="68"/>
      <c r="AC20" s="68"/>
      <c r="AD20" s="68"/>
      <c r="AE20" s="69" t="s">
        <v>436</v>
      </c>
      <c r="AF20" s="69"/>
      <c r="AG20" s="69"/>
      <c r="AH20" s="69"/>
      <c r="AI20" s="68" t="s">
        <v>437</v>
      </c>
      <c r="AJ20" s="68"/>
      <c r="AK20" s="68"/>
      <c r="AL20" s="68"/>
      <c r="AM20" s="68" t="s">
        <v>392</v>
      </c>
      <c r="AN20" s="68"/>
      <c r="AO20" s="68"/>
      <c r="AP20" s="68"/>
      <c r="AQ20" s="68" t="s">
        <v>333</v>
      </c>
      <c r="AR20" s="68"/>
      <c r="AS20" s="68"/>
      <c r="AT20" s="68"/>
      <c r="AU20" s="68" t="s">
        <v>334</v>
      </c>
      <c r="AV20" s="68"/>
      <c r="AW20" s="68"/>
      <c r="AX20" s="68"/>
      <c r="AY20" s="68" t="s">
        <v>405</v>
      </c>
      <c r="AZ20" s="68"/>
      <c r="BA20" s="68"/>
      <c r="BB20" s="68"/>
      <c r="BC20" s="69" t="s">
        <v>438</v>
      </c>
      <c r="BD20" s="69"/>
      <c r="BE20" s="69"/>
      <c r="BF20" s="69"/>
      <c r="BG20" s="68" t="s">
        <v>402</v>
      </c>
      <c r="BH20" s="68"/>
      <c r="BI20" s="68"/>
      <c r="BJ20" s="68"/>
      <c r="BK20" s="68" t="s">
        <v>403</v>
      </c>
      <c r="BL20" s="68"/>
      <c r="BM20" s="68"/>
      <c r="BN20" s="68"/>
      <c r="BO20" s="68" t="s">
        <v>439</v>
      </c>
      <c r="BP20" s="68"/>
      <c r="BQ20" s="68"/>
      <c r="BR20" s="68"/>
      <c r="BS20" s="68" t="s">
        <v>396</v>
      </c>
      <c r="BT20" s="68"/>
      <c r="BU20" s="68"/>
      <c r="BV20" s="68"/>
      <c r="BW20" s="68" t="s">
        <v>440</v>
      </c>
      <c r="BX20" s="68"/>
      <c r="BY20" s="68"/>
      <c r="BZ20" s="68"/>
      <c r="CA20" s="68" t="s">
        <v>441</v>
      </c>
      <c r="CB20" s="68"/>
      <c r="CC20" s="68"/>
      <c r="CD20" s="68"/>
    </row>
    <row r="21" customFormat="false" ht="13.8" hidden="false" customHeight="false" outlineLevel="0" collapsed="false">
      <c r="A21" s="6" t="n">
        <f aca="false">WORKDAY(A20,1,holiday!$B$2:$B$10)</f>
        <v>38744</v>
      </c>
      <c r="B21" s="24" t="n">
        <v>1129463.90995555</v>
      </c>
      <c r="C21" s="24" t="n">
        <f aca="false">B21-B20</f>
        <v>-54584.6380636869</v>
      </c>
      <c r="D21" s="5" t="n">
        <f aca="false">C21/B20</f>
        <v>-0.0460999999999999</v>
      </c>
      <c r="E21" s="5" t="n">
        <f aca="false" t="array" ref="E21:E21">PRODUCT(1+$D$4:D21)-1</f>
        <v>0.129463909955554</v>
      </c>
      <c r="F21" s="45" t="n">
        <f aca="false">E21/COUNT($E$4:E21)</f>
        <v>0.00719243944197524</v>
      </c>
      <c r="G21" s="5" t="n">
        <f aca="false">F21*252</f>
        <v>1.81249473937776</v>
      </c>
      <c r="H21" s="46" t="n">
        <f aca="false">IF(D21&lt;F21,D21-F21,"")</f>
        <v>-0.0532924394419751</v>
      </c>
      <c r="I21" s="46" t="n">
        <f aca="false">IF(D21&lt;(AVERAGE($D$4:D21)),D21-AVERAGE($D$4:D21),"")</f>
        <v>-0.05335</v>
      </c>
      <c r="J21" s="0" t="n">
        <f aca="false">IF(ISBLANK(A22),MONTH(A21),IF(MONTH(A22)-MONTH(A21)=1,MONTH(A21),0))</f>
        <v>0</v>
      </c>
      <c r="K21" s="0" t="str">
        <f aca="false">IF(B22&gt;B21,IF(AND(B20&gt;B21,B22&gt;B21),"min",""),IF(AND(B20&gt;B21,B22&gt;B21),"",IF(AND(B20&lt;B21,B22&lt;B21),"max","")))</f>
        <v>min</v>
      </c>
      <c r="L21" s="0" t="n">
        <f aca="false">IF(K21="min",COUNTIF(K$4:K21,"min"),IF(K21="max",COUNTIF(K$4:K21,"max"),""))</f>
        <v>5</v>
      </c>
      <c r="M21" s="24" t="n">
        <f aca="false" t="array" ref="M21:M21">IF($K$3=0,IF(K21="min",INDEX($B$4:$B$254,(MATCH(1,($K$4:$K$254="max")*($L$4:$L$254=(L21-1)),0))),""),IF($K$3=1,IF(K21="min",INDEX($B$4:$B$254,(MATCH(1,($K$4:$K$254="max")*($L$4:$L$254=(L21)),0))),""),""))</f>
        <v>1184048.54801924</v>
      </c>
      <c r="N21" s="29" t="n">
        <f aca="false">IF(AND(K19=0,K21="min",L21=1),B21-B20,IF(K21="min",B21-M21,""))</f>
        <v>-54584.6380636899</v>
      </c>
      <c r="O21" s="34" t="n">
        <f aca="false">IF(AND(K19=0,K21="min",L21=1),(B21-B20)/B20,IF(K21="min",(B21-M21)/M21,""))</f>
        <v>-0.0461000000000025</v>
      </c>
      <c r="P21" s="19" t="n">
        <f aca="false">D21-s_p!H21</f>
        <v>-0.0538639873452501</v>
      </c>
      <c r="Q21" s="19" t="n">
        <f aca="false">IF(P21&lt;0, P21^2, 0)</f>
        <v>0.00290132913272926</v>
      </c>
      <c r="R21" s="5"/>
      <c r="S21" s="7" t="n">
        <f aca="true">MAX(INDIRECT($B$1&amp;MATCH(MIN(INDIRECT($B$1&amp;$W23&amp;":"&amp;$B$1&amp;$W24-1)),INDIRECT($B$1&amp;$W23&amp;":"&amp;$B$1&amp;$W24-1),0)+ROW(INDIRECT($B$1&amp;$W23&amp;":"&amp;$B$1&amp;$W24-1))&amp;":"&amp;$B$1&amp;MATCH(MAX(INDIRECT($B$1&amp;$W23&amp;":"&amp;$B$1&amp;$W24-1)),INDIRECT($B$1&amp;$W23&amp;":"&amp;$B$1&amp;$W24-1),0)+ROW(INDIRECT($B$1&amp;$W23&amp;":"&amp;$B$1&amp;$W24-1))-2))</f>
        <v>1160095.78150824</v>
      </c>
      <c r="T21" s="24" t="n">
        <f aca="true">MAX(INDIRECT($B$1&amp;W23&amp;":"&amp;$B$1&amp;MATCH(MIN(INDIRECT($B$1&amp;$W23&amp;":"&amp;$B$1&amp;$W24-1)),INDIRECT($B$1&amp;$W23&amp;":"&amp;$B$1&amp;$W24-1),0)+ROW(INDIRECT($B$1&amp;$W23&amp;":"&amp;$B$1&amp;$W24-1))-2))</f>
        <v>1009300</v>
      </c>
      <c r="U21" s="24" t="n">
        <f aca="true">MATCH(MIN(INDIRECT($B$1&amp;$W23&amp;":"&amp;$B$1&amp;$W24-1)),INDIRECT($B$1&amp;$W23&amp;":"&amp;$B$1&amp;$W24-1),0)</f>
        <v>2</v>
      </c>
      <c r="V21" s="24" t="n">
        <f aca="true">ROW(INDIRECT($B$1&amp;$W23&amp;":"&amp;$B$1&amp;$W24-1))-2</f>
        <v>2</v>
      </c>
      <c r="X21" s="64"/>
      <c r="Y21" s="70" t="s">
        <v>1</v>
      </c>
      <c r="Z21" s="71" t="s">
        <v>2</v>
      </c>
      <c r="AA21" s="70" t="s">
        <v>442</v>
      </c>
      <c r="AB21" s="70" t="s">
        <v>443</v>
      </c>
      <c r="AC21" s="70" t="s">
        <v>444</v>
      </c>
      <c r="AD21" s="71" t="s">
        <v>445</v>
      </c>
      <c r="AE21" s="70"/>
      <c r="AF21" s="70"/>
      <c r="AG21" s="70"/>
      <c r="AH21" s="70"/>
      <c r="AI21" s="70" t="s">
        <v>442</v>
      </c>
      <c r="AJ21" s="70" t="s">
        <v>443</v>
      </c>
      <c r="AK21" s="70" t="s">
        <v>444</v>
      </c>
      <c r="AL21" s="71" t="s">
        <v>445</v>
      </c>
      <c r="AM21" s="70" t="s">
        <v>442</v>
      </c>
      <c r="AN21" s="70" t="s">
        <v>443</v>
      </c>
      <c r="AO21" s="70" t="s">
        <v>444</v>
      </c>
      <c r="AP21" s="71" t="s">
        <v>445</v>
      </c>
      <c r="AQ21" s="70" t="s">
        <v>442</v>
      </c>
      <c r="AR21" s="70" t="s">
        <v>443</v>
      </c>
      <c r="AS21" s="70" t="s">
        <v>444</v>
      </c>
      <c r="AT21" s="71" t="s">
        <v>445</v>
      </c>
      <c r="AU21" s="70" t="s">
        <v>442</v>
      </c>
      <c r="AV21" s="70" t="s">
        <v>443</v>
      </c>
      <c r="AW21" s="70" t="s">
        <v>444</v>
      </c>
      <c r="AX21" s="71" t="s">
        <v>445</v>
      </c>
      <c r="AY21" s="70" t="s">
        <v>442</v>
      </c>
      <c r="AZ21" s="70" t="s">
        <v>443</v>
      </c>
      <c r="BA21" s="70" t="s">
        <v>444</v>
      </c>
      <c r="BB21" s="71" t="s">
        <v>445</v>
      </c>
      <c r="BC21" s="70" t="s">
        <v>442</v>
      </c>
      <c r="BD21" s="70" t="s">
        <v>443</v>
      </c>
      <c r="BE21" s="70" t="s">
        <v>444</v>
      </c>
      <c r="BF21" s="71" t="s">
        <v>445</v>
      </c>
      <c r="BG21" s="70" t="s">
        <v>442</v>
      </c>
      <c r="BH21" s="70" t="s">
        <v>443</v>
      </c>
      <c r="BI21" s="70" t="s">
        <v>444</v>
      </c>
      <c r="BJ21" s="71" t="s">
        <v>445</v>
      </c>
      <c r="BK21" s="70" t="s">
        <v>442</v>
      </c>
      <c r="BL21" s="70" t="s">
        <v>443</v>
      </c>
      <c r="BM21" s="70" t="s">
        <v>444</v>
      </c>
      <c r="BN21" s="71" t="s">
        <v>445</v>
      </c>
      <c r="BO21" s="70" t="s">
        <v>442</v>
      </c>
      <c r="BP21" s="70" t="s">
        <v>443</v>
      </c>
      <c r="BQ21" s="70" t="s">
        <v>444</v>
      </c>
      <c r="BR21" s="71" t="s">
        <v>445</v>
      </c>
      <c r="BS21" s="70" t="s">
        <v>442</v>
      </c>
      <c r="BT21" s="70" t="s">
        <v>443</v>
      </c>
      <c r="BU21" s="70" t="s">
        <v>444</v>
      </c>
      <c r="BV21" s="71" t="s">
        <v>445</v>
      </c>
      <c r="BW21" s="70" t="s">
        <v>442</v>
      </c>
      <c r="BX21" s="70" t="s">
        <v>443</v>
      </c>
      <c r="BY21" s="70" t="s">
        <v>444</v>
      </c>
      <c r="BZ21" s="71" t="s">
        <v>445</v>
      </c>
      <c r="CA21" s="70" t="s">
        <v>442</v>
      </c>
      <c r="CB21" s="70" t="s">
        <v>443</v>
      </c>
      <c r="CC21" s="70" t="s">
        <v>444</v>
      </c>
      <c r="CD21" s="71" t="s">
        <v>445</v>
      </c>
    </row>
    <row r="22" customFormat="false" ht="13.8" hidden="false" customHeight="false" outlineLevel="0" collapsed="false">
      <c r="A22" s="6" t="n">
        <f aca="false">WORKDAY(A21,1,holiday!$B$2:$B$10)</f>
        <v>38747</v>
      </c>
      <c r="B22" s="24" t="n">
        <v>1131835.78416646</v>
      </c>
      <c r="C22" s="24" t="n">
        <f aca="false">B22-B21</f>
        <v>2371.87421090668</v>
      </c>
      <c r="D22" s="5" t="n">
        <f aca="false">C22/B21</f>
        <v>0.00210000000000002</v>
      </c>
      <c r="E22" s="5" t="n">
        <f aca="false" t="array" ref="E22:E22">PRODUCT(1+$D$4:D22)-1</f>
        <v>0.131835784166461</v>
      </c>
      <c r="F22" s="45" t="n">
        <f aca="false">E22/COUNT($E$4:E22)</f>
        <v>0.00693872548244531</v>
      </c>
      <c r="G22" s="5" t="n">
        <f aca="false">F22*252</f>
        <v>1.74855882157622</v>
      </c>
      <c r="H22" s="46" t="n">
        <f aca="false">IF(D22&lt;F22,D22-F22,"")</f>
        <v>-0.00483872548244529</v>
      </c>
      <c r="I22" s="46" t="n">
        <f aca="false">IF(D22&lt;(AVERAGE($D$4:D22)),D22-AVERAGE($D$4:D22),"")</f>
        <v>-0.00487894736842107</v>
      </c>
      <c r="J22" s="0" t="n">
        <f aca="false">IF(ISBLANK(A23),MONTH(A22),IF(MONTH(A23)-MONTH(A22)=1,MONTH(A22),0))</f>
        <v>0</v>
      </c>
      <c r="K22" s="0" t="str">
        <f aca="false">IF(B23&gt;B22,IF(AND(B21&gt;B22,B23&gt;B22),"min",""),IF(AND(B21&gt;B22,B23&gt;B22),"",IF(AND(B21&lt;B22,B23&lt;B22),"max","")))</f>
        <v>max</v>
      </c>
      <c r="L22" s="0" t="n">
        <f aca="false">IF(K22="min",COUNTIF(K$4:K22,"min"),IF(K22="max",COUNTIF(K$4:K22,"max"),""))</f>
        <v>5</v>
      </c>
      <c r="M22" s="24" t="str">
        <f aca="false" t="array" ref="M22:M22">IF($K$3=0,IF(K22="min",INDEX($B$4:$B$254,(MATCH(1,($K$4:$K$254="max")*($L$4:$L$254=(L22-1)),0))),""),IF($K$3=1,IF(K22="min",INDEX($B$4:$B$254,(MATCH(1,($K$4:$K$254="max")*($L$4:$L$254=(L22)),0))),""),""))</f>
        <v/>
      </c>
      <c r="N22" s="29" t="str">
        <f aca="false">IF(AND(K20=0,K22="min",L22=1),B22-B21,IF(K22="min",B22-M22,""))</f>
        <v/>
      </c>
      <c r="O22" s="34" t="str">
        <f aca="false">IF(AND(K20=0,K22="min",L22=1),(B22-B21)/B21,IF(K22="min",(B22-M22)/M22,""))</f>
        <v/>
      </c>
      <c r="P22" s="19" t="n">
        <f aca="false">D22-s_p!H22</f>
        <v>0.000954890474558238</v>
      </c>
      <c r="Q22" s="19" t="n">
        <f aca="false">IF(P22&lt;0, P22^2, 0)</f>
        <v>0</v>
      </c>
      <c r="R22" s="5"/>
      <c r="S22" s="7" t="n">
        <f aca="true">IF(INDEX(INDIRECT($A$1&amp;$W23&amp;":"&amp;$A$1&amp;$W24-1),MATCH(MIN(INDIRECT($B$1&amp;MATCH(MIN(INDIRECT($B$1&amp;$W23&amp;":"&amp;$B$1&amp;$W24-1)),INDIRECT($B$1&amp;$W23&amp;":"&amp;$B$1&amp;$W24-1),0)+ROW(INDIRECT($B$1&amp;$W23&amp;":"&amp;$B$1&amp;$W24-1))&amp;":"&amp;$B$1&amp;MATCH(MAX(INDIRECT($B$1&amp;$W23&amp;":"&amp;$B$1&amp;$W24-1)),INDIRECT($B$1&amp;$W23&amp;":"&amp;$B$1&amp;$W24-1),0)+ROW(INDIRECT($B$1&amp;$W23&amp;":"&amp;$B$1&amp;$W24-1))-2)),INDIRECT($B$1&amp;$W23&amp;":"&amp;$B$1&amp;$W24-1),0))&gt;INDEX(INDIRECT($A$1&amp;$W23&amp;":"&amp;$A$1&amp;$W24-1),MATCH(MAX(INDIRECT($B$1&amp;MATCH(MIN(INDIRECT($B$1&amp;$W23&amp;":"&amp;$B$1&amp;$W24-1)),INDIRECT($B$1&amp;$W23&amp;":"&amp;$B$1&amp;$W24-1),0)+ROW(INDIRECT($B$1&amp;$W23&amp;":"&amp;$B$1&amp;$W24-1))&amp;":"&amp;$B$1&amp;MATCH(MAX(INDIRECT($B$1&amp;$W23&amp;":"&amp;$B$1&amp;$W24-1)),INDIRECT($B$1&amp;$W23&amp;":"&amp;$B$1&amp;$W24-1),0)+ROW(INDIRECT($B$1&amp;$W23&amp;":"&amp;$B$1&amp;$W24-1))-2)),INDIRECT($B$1&amp;$W23&amp;":"&amp;$B$1&amp;$W24-1),0)),MIN(INDIRECT($B$1&amp;MATCH(MIN(INDIRECT($B$1&amp;$W23&amp;":"&amp;$B$1&amp;$W24-1)),INDIRECT($B$1&amp;$W23&amp;":"&amp;$B$1&amp;$W24-1),0)+ROW(INDIRECT($B$1&amp;$W23&amp;":"&amp;$B$1&amp;$W24-1))&amp;":"&amp;$B$1&amp;MATCH(MAX(INDIRECT($B$1&amp;$W23&amp;":"&amp;$B$1&amp;$W24-1)),INDIRECT($B$1&amp;$W23&amp;":"&amp;$B$1&amp;$W24-1),0)+ROW(INDIRECT($B$1&amp;$W23&amp;":"&amp;$B$1&amp;$W24-1))-2))-MAX(INDIRECT($B$1&amp;MATCH(MIN(INDIRECT($B$1&amp;$W23&amp;":"&amp;$B$1&amp;$W24-1)),INDIRECT($B$1&amp;$W23&amp;":"&amp;$B$1&amp;$W24-1),0)+ROW(INDIRECT($B$1&amp;$W23&amp;":"&amp;$B$1&amp;$W24-1))&amp;":"&amp;$B$1&amp;MATCH(MAX(INDIRECT($B$1&amp;$W23&amp;":"&amp;$B$1&amp;$W24-1)),INDIRECT($B$1&amp;$W23&amp;":"&amp;$B$1&amp;$W24-1),0)+ROW(INDIRECT($B$1&amp;$W23&amp;":"&amp;$B$1&amp;$W24-1))-2)),)</f>
        <v>0</v>
      </c>
      <c r="T22" s="24" t="n">
        <f aca="true">ROW(INDIRECT($B$1&amp;$W23&amp;":"&amp;$B$1&amp;$W24-1))</f>
        <v>4</v>
      </c>
      <c r="U22" s="24" t="str">
        <f aca="true">$B$1&amp;MATCH(MIN(INDIRECT($B$1&amp;$W23&amp;":"&amp;$B$1&amp;$W24-1)),INDIRECT($B$1&amp;$W23&amp;":"&amp;$B$1&amp;$W24-1),0)+ROW(INDIRECT($B$1&amp;$W23&amp;":"&amp;$B$1&amp;$W24-1))</f>
        <v>B6</v>
      </c>
      <c r="V22" s="24" t="n">
        <f aca="true">MATCH(MAX(INDIRECT($B$1&amp;$W23&amp;":"&amp;$B$1&amp;$W24-1)),INDIRECT($B$1&amp;$W23&amp;":"&amp;$B$1&amp;$W24-1),0)+ROW(INDIRECT($B$1&amp;$W23&amp;":"&amp;$B$1&amp;$W24-1))-2</f>
        <v>17</v>
      </c>
      <c r="X22" s="72" t="n">
        <f aca="false">EOMONTH(A4,-1)</f>
        <v>38717</v>
      </c>
      <c r="Y22" s="24" t="n">
        <f aca="false">B3</f>
        <v>1000000</v>
      </c>
      <c r="Z22" s="67"/>
      <c r="AD22" s="67"/>
      <c r="AE22" s="56"/>
      <c r="AF22" s="56"/>
      <c r="AG22" s="56"/>
      <c r="AH22" s="56"/>
      <c r="AL22" s="67"/>
      <c r="AP22" s="67"/>
      <c r="AT22" s="67"/>
      <c r="AX22" s="67"/>
      <c r="BB22" s="67"/>
      <c r="BJ22" s="67"/>
      <c r="BN22" s="67"/>
      <c r="BO22" s="56"/>
      <c r="BP22" s="56"/>
      <c r="BQ22" s="56"/>
      <c r="BR22" s="56"/>
      <c r="BV22" s="67"/>
      <c r="BZ22" s="67"/>
      <c r="CD22" s="67"/>
    </row>
    <row r="23" customFormat="false" ht="13.8" hidden="false" customHeight="false" outlineLevel="0" collapsed="false">
      <c r="A23" s="6" t="n">
        <f aca="false">WORKDAY(A22,1,holiday!$B$2:$B$10)</f>
        <v>38748</v>
      </c>
      <c r="B23" s="24" t="n">
        <v>1100936.66725872</v>
      </c>
      <c r="C23" s="24" t="n">
        <f aca="false">B23-B22</f>
        <v>-30899.1169077444</v>
      </c>
      <c r="D23" s="5" t="n">
        <f aca="false">C23/B22</f>
        <v>-0.0273000000000001</v>
      </c>
      <c r="E23" s="5" t="n">
        <f aca="false" t="array" ref="E23:E23">PRODUCT(1+$D$4:D23)-1</f>
        <v>0.100936667258716</v>
      </c>
      <c r="F23" s="45" t="n">
        <f aca="false">E23/COUNT($E$4:E23)</f>
        <v>0.00504683336293582</v>
      </c>
      <c r="G23" s="5" t="n">
        <f aca="false">F23*252</f>
        <v>1.27180200745983</v>
      </c>
      <c r="H23" s="46" t="n">
        <f aca="false">IF(D23&lt;F23,D23-F23,"")</f>
        <v>-0.0323468333629359</v>
      </c>
      <c r="I23" s="46" t="n">
        <f aca="false">IF(D23&lt;(AVERAGE($D$4:D23)),D23-AVERAGE($D$4:D23),"")</f>
        <v>-0.0325650000000001</v>
      </c>
      <c r="J23" s="0" t="n">
        <f aca="false">IF(ISBLANK(A24),MONTH(A23),IF(MONTH(A24)-MONTH(A23)=1,MONTH(A23),0))</f>
        <v>1</v>
      </c>
      <c r="K23" s="0" t="str">
        <f aca="false">IF(B24&gt;B23,IF(AND(B22&gt;B23,B24&gt;B23),"min",""),IF(AND(B22&gt;B23,B24&gt;B23),"",IF(AND(B22&lt;B23,B24&lt;B23),"max","")))</f>
        <v/>
      </c>
      <c r="L23" s="0" t="str">
        <f aca="false">IF(K23="min",COUNTIF(K$4:K23,"min"),IF(K23="max",COUNTIF(K$4:K23,"max"),""))</f>
        <v/>
      </c>
      <c r="M23" s="24" t="str">
        <f aca="false" t="array" ref="M23:M23">IF($K$3=0,IF(K23="min",INDEX($B$4:$B$254,(MATCH(1,($K$4:$K$254="max")*($L$4:$L$254=(L23-1)),0))),""),IF($K$3=1,IF(K23="min",INDEX($B$4:$B$254,(MATCH(1,($K$4:$K$254="max")*($L$4:$L$254=(L23)),0))),""),""))</f>
        <v/>
      </c>
      <c r="N23" s="29" t="str">
        <f aca="false">IF(AND(K21=0,K23="min",L23=1),B23-B22,IF(K23="min",B23-M23,""))</f>
        <v/>
      </c>
      <c r="O23" s="34" t="str">
        <f aca="false">IF(AND(K21=0,K23="min",L23=1),(B23-B22)/B22,IF(K23="min",(B23-M23)/M23,""))</f>
        <v/>
      </c>
      <c r="P23" s="19" t="n">
        <f aca="false">D23-s_p!H23</f>
        <v>-0.023323934204281</v>
      </c>
      <c r="Q23" s="19" t="n">
        <f aca="false">IF(P23&lt;0, P23^2, 0)</f>
        <v>0.000544005906765629</v>
      </c>
      <c r="R23" s="5"/>
      <c r="S23" s="7" t="n">
        <f aca="true">IF(INDEX(INDIRECT($A$1&amp;$W23&amp;":"&amp;$A$1&amp;$W24-1),MATCH(MIN(INDIRECT($B$1&amp;MATCH(MIN(INDIRECT($B$1&amp;$W23&amp;":"&amp;$B$1&amp;$W24-1)),INDIRECT($B$1&amp;$W23&amp;":"&amp;$B$1&amp;$W24-1),0)+ROW(INDIRECT($B$1&amp;$W23&amp;":"&amp;$B$1&amp;$W24-1))&amp;":"&amp;$B$1&amp;MATCH(MAX(INDIRECT($B$1&amp;$W23&amp;":"&amp;$B$1&amp;$W24-1)),INDIRECT($B$1&amp;$W23&amp;":"&amp;$B$1&amp;$W24-1),0)+ROW(INDIRECT($B$1&amp;$W23&amp;":"&amp;$B$1&amp;$W24-1))-2)),INDIRECT($B$1&amp;$W23&amp;":"&amp;$B$1&amp;$W24-1),0))&gt;INDEX(INDIRECT($A$1&amp;$W23&amp;":"&amp;$A$1&amp;$W24-1),MATCH(MAX(INDIRECT($B$1&amp;MATCH(MIN(INDIRECT($B$1&amp;$W23&amp;":"&amp;$B$1&amp;$W24-1)),INDIRECT($B$1&amp;$W23&amp;":"&amp;$B$1&amp;$W24-1),0)+ROW(INDIRECT($B$1&amp;$W23&amp;":"&amp;$B$1&amp;$W24-1))&amp;":"&amp;$B$1&amp;MATCH(MAX(INDIRECT($B$1&amp;$W23&amp;":"&amp;$B$1&amp;$W24-1)),INDIRECT($B$1&amp;$W23&amp;":"&amp;$B$1&amp;$W24-1),0)+ROW(INDIRECT($B$1&amp;$W23&amp;":"&amp;$B$1&amp;$W24-1))-2)),INDIRECT($B$1&amp;$W23&amp;":"&amp;$B$1&amp;$W24-1),0)),MIN(1,1,MIN(INDIRECT($B$1&amp;MATCH(MIN(INDIRECT($B$1&amp;$W23&amp;":"&amp;$B$1&amp;$W24-1)),INDIRECT($B$1&amp;$W23&amp;":"&amp;$B$1&amp;$W24-1),0)+ROW(INDIRECT($B$1&amp;$W23&amp;":"&amp;$B$1&amp;$W24-1))&amp;":"&amp;$B$1&amp;MATCH(MAX(INDIRECT($B$1&amp;$W23&amp;":"&amp;$B$1&amp;$W24-1)),INDIRECT($B$1&amp;$W23&amp;":"&amp;$B$1&amp;$W24-1),0)+ROW(INDIRECT($B$1&amp;$W23&amp;":"&amp;$B$1&amp;$W24-1))-2))-MAX(INDIRECT($B$1&amp;MATCH(MIN(INDIRECT($B$1&amp;$W23&amp;":"&amp;$B$1&amp;$W24-1)),INDIRECT($B$1&amp;$W23&amp;":"&amp;$B$1&amp;$W24-1),0)+ROW(INDIRECT($B$1&amp;$W23&amp;":"&amp;$B$1&amp;$W24-1))&amp;":"&amp;$B$1&amp;MATCH(MAX(INDIRECT($B$1&amp;$W23&amp;":"&amp;$B$1&amp;$W24-1)),INDIRECT($B$1&amp;$W23&amp;":"&amp;$B$1&amp;$W24-1),0)+ROW(INDIRECT($B$1&amp;$W23&amp;":"&amp;$B$1&amp;$W24-1))-2))),)</f>
        <v>0</v>
      </c>
      <c r="T23" s="24" t="n">
        <f aca="true">MIN(MIN(INDIRECT($B$1&amp;MATCH(MAX(INDIRECT($B$1&amp;$W23&amp;":"&amp;$B$1&amp;$W24-1)),INDIRECT($B$1&amp;$W23&amp;":"&amp;$B$1&amp;$W24-1),0)+ROW(INDIRECT($B$1&amp;$W23&amp;":"&amp;$B$1&amp;$W24-1))&amp;":"&amp;$B$1&amp;W24-1))-MAX(INDIRECT($B$1&amp;$W23&amp;":"&amp;$B$1&amp;$W24-1)),MIN(INDIRECT($B$1&amp;$W23&amp;":"&amp;$B$1&amp;$W24-1))-MAX(INDIRECT($B$1&amp;W23&amp;":"&amp;$B$1&amp;MATCH(MIN(INDIRECT($B$1&amp;$W23&amp;":"&amp;$B$1&amp;$W24-1)),INDIRECT($B$1&amp;$W23&amp;":"&amp;$B$1&amp;$W24-1),0)+ROW(INDIRECT($B$1&amp;$W23&amp;":"&amp;$B$1&amp;$W24-1))-2)))</f>
        <v>-107883.13707286</v>
      </c>
      <c r="U23" s="24"/>
      <c r="V23" s="24"/>
      <c r="W23" s="0" t="n">
        <f aca="false">IF(ISERROR(MATCH(WORKDAY(X22,1,holiday!$B$2:$B$10),A:A,0)),MATCH(MAX(A:A),A:A,0)+1,MATCH(WORKDAY(X22,1,holiday!$B$2:$B$10),A:A,0))</f>
        <v>4</v>
      </c>
      <c r="X23" s="73" t="n">
        <f aca="false">EOMONTH(X22,1)</f>
        <v>38748</v>
      </c>
      <c r="Y23" s="24" t="n">
        <f aca="false">INDEX($B$4:$B$254,MATCH(MONTH(X23),$J$4:$J$254,0))</f>
        <v>1100936.66725872</v>
      </c>
      <c r="Z23" s="74" t="n">
        <f aca="false">Y23-Y22</f>
        <v>100936.66725872</v>
      </c>
      <c r="AA23" s="5" t="n">
        <f aca="false">Z23/Y22</f>
        <v>0.10093666725872</v>
      </c>
      <c r="AD23" s="67"/>
      <c r="AE23" s="55" t="n">
        <f aca="true">AVERAGE(INDIRECT($D$1&amp;$W23):INDIRECT($D$1&amp;$W24-1))</f>
        <v>0.00526500000000004</v>
      </c>
      <c r="AF23" s="55"/>
      <c r="AG23" s="55"/>
      <c r="AH23" s="55"/>
      <c r="AI23" s="5" t="n">
        <f aca="true">STDEV(INDIRECT($D$1&amp;$W23):INDIRECT($D$1&amp;$W24-1))*SQRT(COUNT(INDIRECT($D$1&amp;$W23):INDIRECT($D$1&amp;$W24-1)))</f>
        <v>0.136732722376252</v>
      </c>
      <c r="AL23" s="67"/>
      <c r="AM23" s="75" t="n">
        <f aca="false">BW23/CA23*SQRT(252)</f>
        <v>2.07728757895583</v>
      </c>
      <c r="AN23" s="76"/>
      <c r="AO23" s="76"/>
      <c r="AP23" s="77"/>
      <c r="AQ23" s="19" t="n">
        <f aca="false">BG23/BK23</f>
        <v>0.582956353223395</v>
      </c>
      <c r="AR23" s="19"/>
      <c r="AS23" s="19"/>
      <c r="AT23" s="78"/>
      <c r="AU23" s="19" t="n">
        <f aca="false">AE23-(AQ23*s_p!Z8)</f>
        <v>0.00451777371050035</v>
      </c>
      <c r="AV23" s="19"/>
      <c r="AW23" s="19"/>
      <c r="AX23" s="78"/>
      <c r="AY23" s="24" t="n">
        <f aca="true">IF(INDEX(INDIRECT($A$1&amp;$W23&amp;":"&amp;$A$1&amp;$W24-1),MATCH(MIN(INDIRECT($B$1&amp;$W23&amp;":"&amp;$B$1&amp;$W24-1)),INDIRECT($B$1&amp;$W23&amp;":"&amp;$B$1&amp;$W24-1),0))&gt;INDEX(INDIRECT($A$1&amp;$W23&amp;":"&amp;$A$1&amp;$W24-1),MATCH(MAX(INDIRECT($B$1&amp;$W23&amp;":"&amp;$B$1&amp;$W24-1)),INDIRECT($B$1&amp;$W23&amp;":"&amp;$B$1&amp;$W24-1),0)),MIN(INDIRECT($B$1&amp;$W23&amp;":"&amp;$B$1&amp;$W24-1))-MAX(INDIRECT($B$1&amp;$W23&amp;":"&amp;$B$1&amp;$W24-1)),IF(AND(MATCH(MAX(INDIRECT($B$1&amp;MATCH(MIN(INDIRECT($B$1&amp;$W23&amp;":"&amp;$B$1&amp;$W24-1)),INDIRECT($B$1&amp;$W23&amp;":"&amp;$B$1&amp;$W24-1),0)+ROW(INDIRECT($B$1&amp;$W23&amp;":"&amp;$B$1&amp;$W24-1))&amp;":"&amp;$B$1&amp;MATCH(MAX(INDIRECT($B$1&amp;$W23&amp;":"&amp;$B$1&amp;$W24-1)),INDIRECT($B$1&amp;$W23&amp;":"&amp;$B$1&amp;$W24-1),0)+ROW(INDIRECT($B$1&amp;$W23&amp;":"&amp;$B$1&amp;$W24-1))-2)),INDIRECT($B$1&amp;$W23&amp;":"&amp;$B$1&amp;$W24-1),0)=MATCH(MAX(INDIRECT($B$1&amp;$W23&amp;":"&amp;$B$1&amp;$W24-1)),INDIRECT($B$1&amp;$W23&amp;":"&amp;$B$1&amp;$W24-1),0)-1,MATCH(MIN(INDIRECT($B$1&amp;MATCH(MIN(INDIRECT($B$1&amp;$W23&amp;":"&amp;$B$1&amp;$W24-1)),INDIRECT($B$1&amp;$W23&amp;":"&amp;$B$1&amp;$W24-1),0)+ROW(INDIRECT($B$1&amp;$W23&amp;":"&amp;$B$1&amp;$W24-1))&amp;":"&amp;$B$1&amp;MATCH(MAX(INDIRECT($B$1&amp;$W23&amp;":"&amp;$B$1&amp;$W24-1)),INDIRECT($B$1&amp;$W23&amp;":"&amp;$B$1&amp;$W24-1),0)+ROW(INDIRECT($B$1&amp;$W23&amp;":"&amp;$B$1&amp;$W24-1))-2)),INDIRECT($B$1&amp;$W23&amp;":"&amp;$B$1&amp;$W24-1),0)=MATCH(MIN(INDIRECT($B$1&amp;$W23&amp;":"&amp;$B$1&amp;$W24-1)),INDIRECT($B$1&amp;$W23&amp;":"&amp;$B$1&amp;$W24-1),0)+1),MIN(MIN(INDIRECT($B$1&amp;MATCH(MAX(INDIRECT($B$1&amp;$W23&amp;":"&amp;$B$1&amp;$W24-1)),INDIRECT($B$1&amp;$W23&amp;":"&amp;$B$1&amp;$W24-1),0)+ROW(INDIRECT($B$1&amp;$W23&amp;":"&amp;$B$1&amp;$W24-1))&amp;":"&amp;$B$1&amp;W24-1))-MAX(INDIRECT($B$1&amp;$W23&amp;":"&amp;$B$1&amp;$W24-1)),MIN(INDIRECT($B$1&amp;$W23&amp;":"&amp;$B$1&amp;$W24-1))-MAX(INDIRECT($B$1&amp;W23&amp;":"&amp;$B$1&amp;MATCH(MIN(INDIRECT($B$1&amp;$W23&amp;":"&amp;$B$1&amp;$W24-1)),INDIRECT($B$1&amp;$W23&amp;":"&amp;$B$1&amp;$W24-1),0)+ROW(INDIRECT($B$1&amp;$W23&amp;":"&amp;$B$1&amp;$W24-1))-2))),"more"))</f>
        <v>-107883.13707286</v>
      </c>
      <c r="BB23" s="67"/>
      <c r="BC23" s="79"/>
      <c r="BD23" s="79"/>
      <c r="BE23" s="79"/>
      <c r="BF23" s="79"/>
      <c r="BG23" s="80" t="n">
        <f aca="true">_xlfn.COVARIANCE.S(INDIRECT($D$1&amp;$W23):INDIRECT($D$1&amp;$W24-1),INDIRECT("s_p!"&amp;s_p!$H$1&amp;s_p!$M8&amp;":"&amp;s_p!$H$1&amp;s_p!$M9-1))</f>
        <v>2.8918884098907E-005</v>
      </c>
      <c r="BH23" s="81"/>
      <c r="BI23" s="81"/>
      <c r="BJ23" s="82"/>
      <c r="BK23" s="80" t="n">
        <f aca="true">_xlfn.VAR.S(INDIRECT("s_p!"&amp;s_p!$H$1&amp;s_p!$M8&amp;":"&amp;s_p!$H$1&amp;s_p!$M9-1))</f>
        <v>4.96072886743632E-005</v>
      </c>
      <c r="BL23" s="80"/>
      <c r="BM23" s="80"/>
      <c r="BN23" s="83"/>
      <c r="BO23" s="5" t="n">
        <f aca="true">SQRT(AVERAGE(INDIRECT($Q$1&amp;$W23):INDIRECT($Q$1&amp;$W24-1))) * SQRT(252)</f>
        <v>0.317539384613018</v>
      </c>
      <c r="BS23" s="20" t="n">
        <f aca="false">BW23/BO23 * 252</f>
        <v>3.16108661008923</v>
      </c>
      <c r="BT23" s="20"/>
      <c r="BU23" s="20"/>
      <c r="BV23" s="84"/>
      <c r="BW23" s="31" t="n">
        <f aca="true">AVERAGE(INDIRECT($P$1&amp;$W23):INDIRECT($P$1&amp;$W24-1))</f>
        <v>0.0039832122891912</v>
      </c>
      <c r="CA23" s="31" t="n">
        <f aca="true">STDEV(INDIRECT($P$1&amp;$W23):INDIRECT($P$1&amp;$W24-1))</f>
        <v>0.0304394709037066</v>
      </c>
    </row>
    <row r="24" customFormat="false" ht="13.8" hidden="false" customHeight="false" outlineLevel="0" collapsed="false">
      <c r="A24" s="6" t="n">
        <f aca="false">WORKDAY(A23,1,holiday!$B$2:$B$10)</f>
        <v>38749</v>
      </c>
      <c r="B24" s="24" t="n">
        <v>1053706.48423332</v>
      </c>
      <c r="C24" s="24" t="n">
        <f aca="false">B24-B23</f>
        <v>-47230.183025399</v>
      </c>
      <c r="D24" s="5" t="n">
        <f aca="false">C24/B23</f>
        <v>-0.0429000000000001</v>
      </c>
      <c r="E24" s="5" t="n">
        <f aca="false" t="array" ref="E24:E24">PRODUCT(1+$D$4:D24)-1</f>
        <v>0.0537064842333175</v>
      </c>
      <c r="F24" s="45" t="n">
        <f aca="false">E24/COUNT($E$4:E24)</f>
        <v>0.00255745163015797</v>
      </c>
      <c r="G24" s="5" t="n">
        <f aca="false">F24*252</f>
        <v>0.64447781079981</v>
      </c>
      <c r="H24" s="46" t="n">
        <f aca="false">IF(D24&lt;F24,D24-F24,"")</f>
        <v>-0.0454574516301581</v>
      </c>
      <c r="I24" s="46" t="str">
        <f aca="false">IF(D24&lt;AVERAGE($D$24:D24),D24-AVERAGE($D$24:D24),"")</f>
        <v/>
      </c>
      <c r="J24" s="0" t="n">
        <f aca="false">IF(ISBLANK(A25),MONTH(A24),IF(MONTH(A25)-MONTH(A24)=1,MONTH(A24),0))</f>
        <v>0</v>
      </c>
      <c r="K24" s="0" t="str">
        <f aca="false">IF(B25&gt;B24,IF(AND(B23&gt;B24,B25&gt;B24),"min",""),IF(AND(B23&gt;B24,B25&gt;B24),"",IF(AND(B23&lt;B24,B25&lt;B24),"max","")))</f>
        <v>min</v>
      </c>
      <c r="L24" s="0" t="n">
        <f aca="false">IF(K24="min",COUNTIF(K$4:K24,"min"),IF(K24="max",COUNTIF(K$4:K24,"max"),""))</f>
        <v>6</v>
      </c>
      <c r="M24" s="24" t="n">
        <f aca="false" t="array" ref="M24:M24">IF($K$3=0,IF(K24="min",INDEX($B$4:$B$254,(MATCH(1,($K$4:$K$254="max")*($L$4:$L$254=(L24-1)),0))),""),IF($K$3=1,IF(K24="min",INDEX($B$4:$B$254,(MATCH(1,($K$4:$K$254="max")*($L$4:$L$254=(L24)),0))),""),""))</f>
        <v>1131835.78416646</v>
      </c>
      <c r="N24" s="29" t="n">
        <f aca="false">IF(AND(K22=0,K24="min",L24=1),B24-B23,IF(K24="min",B24-M24,""))</f>
        <v>-78129.2999331399</v>
      </c>
      <c r="O24" s="34" t="n">
        <f aca="false">IF(AND(K22=0,K24="min",L24=1),(B24-B23)/B23,IF(K24="min",(B24-M24)/M24,""))</f>
        <v>-0.0690288299999971</v>
      </c>
      <c r="P24" s="19" t="n">
        <f aca="false">D24-s_p!H24</f>
        <v>-0.0447592587963254</v>
      </c>
      <c r="Q24" s="19" t="n">
        <f aca="false">IF(P24&lt;0, P24^2, 0)</f>
        <v>0.00200339124799643</v>
      </c>
      <c r="R24" s="5"/>
      <c r="S24" s="5"/>
      <c r="T24" s="24" t="n">
        <f aca="true">MIN(INDIRECT($B$1&amp;MATCH(MAX(INDIRECT($B$1&amp;$W23&amp;":"&amp;$B$1&amp;$W24-1)),INDIRECT($B$1&amp;$W23&amp;":"&amp;$B$1&amp;$W24-1),0)+ROW(INDIRECT($B$1&amp;$W23&amp;":"&amp;$B$1&amp;$W24-1))&amp;":"&amp;$B$1&amp;W24-1))-MAX(INDIRECT($B$1&amp;$W23&amp;":"&amp;$B$1&amp;$W24-1))</f>
        <v>-107883.13707286</v>
      </c>
      <c r="U24" s="5"/>
      <c r="V24" s="5"/>
      <c r="W24" s="0" t="n">
        <f aca="false">IF(ISERROR(MATCH(WORKDAY(X23,1,holiday!$B$2:$B$10),A:A,0)),MATCH(MAX(A:A),A:A,0)+1,MATCH(WORKDAY(X23,1,holiday!$B$2:$B$10),A:A,0))</f>
        <v>24</v>
      </c>
      <c r="X24" s="73" t="n">
        <f aca="false">EOMONTH(X23,1)</f>
        <v>38776</v>
      </c>
      <c r="Y24" s="24" t="n">
        <f aca="false">INDEX($B$4:$B$254,MATCH(MONTH(X24),$J$4:$J$254,0))</f>
        <v>1033130.05967091</v>
      </c>
      <c r="Z24" s="74" t="n">
        <f aca="false">Y24-Y23</f>
        <v>-67806.6075878099</v>
      </c>
      <c r="AA24" s="5" t="n">
        <f aca="false">Z24/Y23</f>
        <v>-0.0615899257462694</v>
      </c>
      <c r="AD24" s="67"/>
      <c r="AE24" s="55" t="n">
        <f aca="true">AVERAGE(INDIRECT($D$1&amp;$W24):INDIRECT($D$1&amp;$W25-1))</f>
        <v>-0.00297894736842104</v>
      </c>
      <c r="AF24" s="55"/>
      <c r="AG24" s="55"/>
      <c r="AH24" s="55"/>
      <c r="AI24" s="5" t="n">
        <f aca="true">STDEV(INDIRECT($D$1&amp;$W24):INDIRECT($D$1&amp;$W25-1))*SQRT(COUNT(INDIRECT($D$1&amp;$W24):INDIRECT($D$1&amp;$W25-1)))</f>
        <v>0.120221753439218</v>
      </c>
      <c r="AL24" s="67"/>
      <c r="AM24" s="75" t="n">
        <f aca="false">BW24/CA24*SQRT(252)</f>
        <v>-1.74780183686243</v>
      </c>
      <c r="AN24" s="76"/>
      <c r="AO24" s="76"/>
      <c r="AP24" s="77"/>
      <c r="AQ24" s="19" t="n">
        <f aca="false">BG24/BK24</f>
        <v>0.61659796379585</v>
      </c>
      <c r="AR24" s="19"/>
      <c r="AS24" s="19"/>
      <c r="AT24" s="78"/>
      <c r="AU24" s="19" t="n">
        <f aca="false">AE24-(AQ24*s_p!Z9)</f>
        <v>-0.00300417284423327</v>
      </c>
      <c r="AV24" s="19"/>
      <c r="AW24" s="19"/>
      <c r="AX24" s="78"/>
      <c r="AY24" s="24" t="n">
        <f aca="true">IF(INDEX(INDIRECT($A$1&amp;$W24&amp;":"&amp;$A$1&amp;$W25-1),MATCH(MIN(INDIRECT($B$1&amp;$W24&amp;":"&amp;$B$1&amp;$W25-1)),INDIRECT($B$1&amp;$W24&amp;":"&amp;$B$1&amp;$W25-1),0))&gt;INDEX(INDIRECT($A$1&amp;$W24&amp;":"&amp;$A$1&amp;$W25-1),MATCH(MAX(INDIRECT($B$1&amp;$W24&amp;":"&amp;$B$1&amp;$W25-1)),INDIRECT($B$1&amp;$W24&amp;":"&amp;$B$1&amp;$W25-1),0)),MIN(INDIRECT($B$1&amp;$W24&amp;":"&amp;$B$1&amp;$W25-1))-MAX(INDIRECT($B$1&amp;$W24&amp;":"&amp;$B$1&amp;$W25-1)),IF(AND(MATCH(MAX(INDIRECT($B$1&amp;MATCH(MIN(INDIRECT($B$1&amp;$W24&amp;":"&amp;$B$1&amp;$W25-1)),INDIRECT($B$1&amp;$W24&amp;":"&amp;$B$1&amp;$W25-1),0)+ROW(INDIRECT($B$1&amp;$W24&amp;":"&amp;$B$1&amp;$W25-1))&amp;":"&amp;$B$1&amp;MATCH(MAX(INDIRECT($B$1&amp;$W24&amp;":"&amp;$B$1&amp;$W25-1)),INDIRECT($B$1&amp;$W24&amp;":"&amp;$B$1&amp;$W25-1),0)+ROW(INDIRECT($B$1&amp;$W24&amp;":"&amp;$B$1&amp;$W25-1))-2)),INDIRECT($B$1&amp;$W24&amp;":"&amp;$B$1&amp;$W25-1),0)=MATCH(MAX(INDIRECT($B$1&amp;$W24&amp;":"&amp;$B$1&amp;$W25-1)),INDIRECT($B$1&amp;$W24&amp;":"&amp;$B$1&amp;$W25-1),0)-1,MATCH(MIN(INDIRECT($B$1&amp;MATCH(MIN(INDIRECT($B$1&amp;$W24&amp;":"&amp;$B$1&amp;$W25-1)),INDIRECT($B$1&amp;$W24&amp;":"&amp;$B$1&amp;$W25-1),0)+ROW(INDIRECT($B$1&amp;$W24&amp;":"&amp;$B$1&amp;$W25-1))&amp;":"&amp;$B$1&amp;MATCH(MAX(INDIRECT($B$1&amp;$W24&amp;":"&amp;$B$1&amp;$W25-1)),INDIRECT($B$1&amp;$W24&amp;":"&amp;$B$1&amp;$W25-1),0)+ROW(INDIRECT($B$1&amp;$W24&amp;":"&amp;$B$1&amp;$W25-1))-2)),INDIRECT($B$1&amp;$W24&amp;":"&amp;$B$1&amp;$W25-1),0)=MATCH(MIN(INDIRECT($B$1&amp;$W24&amp;":"&amp;$B$1&amp;$W25-1)),INDIRECT($B$1&amp;$W24&amp;":"&amp;$B$1&amp;$W25-1),0)+1),MIN(MIN(INDIRECT($B$1&amp;MATCH(MAX(INDIRECT($B$1&amp;$W24&amp;":"&amp;$B$1&amp;$W25-1)),INDIRECT($B$1&amp;$W24&amp;":"&amp;$B$1&amp;$W25-1),0)+ROW(INDIRECT($B$1&amp;$W24&amp;":"&amp;$B$1&amp;$W25-1))&amp;":"&amp;$B$1&amp;W25-1))-MAX(INDIRECT($B$1&amp;$W24&amp;":"&amp;$B$1&amp;$W25-1)),MIN(INDIRECT($B$1&amp;$W24&amp;":"&amp;$B$1&amp;$W25-1))-MAX(INDIRECT($B$1&amp;W24&amp;":"&amp;$B$1&amp;MATCH(MIN(INDIRECT($B$1&amp;$W24&amp;":"&amp;$B$1&amp;$W25-1)),INDIRECT($B$1&amp;$W24&amp;":"&amp;$B$1&amp;$W25-1),0)+ROW(INDIRECT($B$1&amp;$W24&amp;":"&amp;$B$1&amp;$W25-1))-2))),"more"))</f>
        <v>-120917.05789557</v>
      </c>
      <c r="BB24" s="67"/>
      <c r="BC24" s="79"/>
      <c r="BD24" s="79"/>
      <c r="BE24" s="79"/>
      <c r="BF24" s="79"/>
      <c r="BG24" s="80" t="n">
        <f aca="true">_xlfn.COVARIANCE.S(INDIRECT($D$1&amp;$W24):INDIRECT($D$1&amp;$W25-1),INDIRECT("s_p!"&amp;s_p!$H$1&amp;s_p!$M9&amp;":"&amp;s_p!$H$1&amp;s_p!$M10-1))</f>
        <v>2.22148138619093E-005</v>
      </c>
      <c r="BH24" s="81"/>
      <c r="BI24" s="81"/>
      <c r="BJ24" s="82"/>
      <c r="BK24" s="80" t="n">
        <f aca="true">_xlfn.VAR.S(INDIRECT("s_p!"&amp;s_p!$H$1&amp;s_p!$M9&amp;":"&amp;s_p!$H$1&amp;s_p!$M10-1))</f>
        <v>3.60280363644932E-005</v>
      </c>
      <c r="BL24" s="80"/>
      <c r="BM24" s="80"/>
      <c r="BN24" s="83"/>
      <c r="BO24" s="55" t="n">
        <f aca="true">SQRT(AVERAGE(INDIRECT($Q$1&amp;$W24):INDIRECT($Q$1&amp;$W25-1))) * SQRT(252)</f>
        <v>0.321050751323217</v>
      </c>
      <c r="BP24" s="56"/>
      <c r="BQ24" s="56"/>
      <c r="BR24" s="56"/>
      <c r="BS24" s="20" t="n">
        <f aca="false">BW24/BO24 * 252</f>
        <v>-2.3703549637881</v>
      </c>
      <c r="BT24" s="20"/>
      <c r="BU24" s="20"/>
      <c r="BV24" s="84"/>
      <c r="BW24" s="56" t="n">
        <f aca="true">AVERAGE(INDIRECT($P$1&amp;$W24):INDIRECT($P$1&amp;$W25-1))</f>
        <v>-0.0030198581032813</v>
      </c>
      <c r="BX24" s="56"/>
      <c r="BY24" s="56"/>
      <c r="BZ24" s="56"/>
      <c r="CA24" s="56" t="n">
        <f aca="true">STDEV(INDIRECT($P$1&amp;$W24):INDIRECT($P$1&amp;$W25-1))</f>
        <v>0.0274280300002262</v>
      </c>
      <c r="CB24" s="56"/>
      <c r="CC24" s="56"/>
      <c r="CD24" s="56"/>
    </row>
    <row r="25" customFormat="false" ht="13.8" hidden="false" customHeight="false" outlineLevel="0" collapsed="false">
      <c r="A25" s="6" t="n">
        <f aca="false">WORKDAY(A24,1,holiday!$B$2:$B$10)</f>
        <v>38750</v>
      </c>
      <c r="B25" s="24" t="n">
        <v>1098699.75111008</v>
      </c>
      <c r="C25" s="24" t="n">
        <f aca="false">B25-B24</f>
        <v>44993.2668767627</v>
      </c>
      <c r="D25" s="5" t="n">
        <f aca="false">C25/B24</f>
        <v>0.0427000000000001</v>
      </c>
      <c r="E25" s="5" t="n">
        <f aca="false" t="array" ref="E25:E25">PRODUCT(1+$D$4:D25)-1</f>
        <v>0.0986997511100802</v>
      </c>
      <c r="F25" s="45" t="n">
        <f aca="false">E25/COUNT($E$4:E25)</f>
        <v>0.00448635232318546</v>
      </c>
      <c r="G25" s="5" t="n">
        <f aca="false">F25*252</f>
        <v>1.13056078544274</v>
      </c>
      <c r="H25" s="46" t="str">
        <f aca="false">IF(D25&lt;F25,D25-F25,"")</f>
        <v/>
      </c>
      <c r="I25" s="46" t="str">
        <f aca="false">IF(D25&lt;AVERAGE($D$24:D25),D25-AVERAGE($D$24:D25),"")</f>
        <v/>
      </c>
      <c r="J25" s="0" t="n">
        <f aca="false">IF(ISBLANK(A26),MONTH(A25),IF(MONTH(A26)-MONTH(A25)=1,MONTH(A25),0))</f>
        <v>0</v>
      </c>
      <c r="K25" s="0" t="str">
        <f aca="false">IF(B26&gt;B25,IF(AND(B24&gt;B25,B26&gt;B25),"min",""),IF(AND(B24&gt;B25,B26&gt;B25),"",IF(AND(B24&lt;B25,B26&lt;B25),"max","")))</f>
        <v>max</v>
      </c>
      <c r="L25" s="0" t="n">
        <f aca="false">IF(K25="min",COUNTIF(K$4:K25,"min"),IF(K25="max",COUNTIF(K$4:K25,"max"),""))</f>
        <v>6</v>
      </c>
      <c r="M25" s="24" t="str">
        <f aca="false" t="array" ref="M25:M25">IF($K$3=0,IF(K25="min",INDEX($B$4:$B$254,(MATCH(1,($K$4:$K$254="max")*($L$4:$L$254=(L25-1)),0))),""),IF($K$3=1,IF(K25="min",INDEX($B$4:$B$254,(MATCH(1,($K$4:$K$254="max")*($L$4:$L$254=(L25)),0))),""),""))</f>
        <v/>
      </c>
      <c r="N25" s="29" t="str">
        <f aca="false">IF(AND(K23=0,K25="min",L25=1),B25-B24,IF(K25="min",B25-M25,""))</f>
        <v/>
      </c>
      <c r="O25" s="34" t="str">
        <f aca="false">IF(AND(K23=0,K25="min",L25=1),(B25-B24)/B24,IF(K25="min",(B25-M25)/M25,""))</f>
        <v/>
      </c>
      <c r="P25" s="19" t="n">
        <f aca="false">D25-s_p!H25</f>
        <v>0.0517607114451915</v>
      </c>
      <c r="Q25" s="19" t="n">
        <f aca="false">IF(P25&lt;0, P25^2, 0)</f>
        <v>0</v>
      </c>
      <c r="R25" s="5"/>
      <c r="S25" s="5"/>
      <c r="T25" s="24" t="n">
        <f aca="true">MIN(INDIRECT($B$1&amp;$W23&amp;":"&amp;$B$1&amp;$W24-1))-MAX(INDIRECT($B$1&amp;W23&amp;":"&amp;$B$1&amp;MATCH(MIN(INDIRECT($B$1&amp;$W23&amp;":"&amp;$B$1&amp;$W24-1)),INDIRECT($B$1&amp;$W23&amp;":"&amp;$B$1&amp;$W24-1),0)+ROW(INDIRECT($B$1&amp;$W23&amp;":"&amp;$B$1&amp;$W24-1))-2))</f>
        <v>-19479.49</v>
      </c>
      <c r="U25" s="5"/>
      <c r="V25" s="5"/>
      <c r="W25" s="0" t="n">
        <f aca="false">IF(ISERROR(MATCH(WORKDAY(X24,1,holiday!$B$2:$B$10),A:A,0)),MATCH(MAX(A:A),A:A,0)+1,MATCH(WORKDAY(X24,1,holiday!$B$2:$B$10),A:A,0))</f>
        <v>43</v>
      </c>
      <c r="X25" s="73" t="n">
        <f aca="false">EOMONTH(X24,1)</f>
        <v>38807</v>
      </c>
      <c r="Y25" s="24" t="n">
        <f aca="false">INDEX($B$4:$B$254,MATCH(MONTH(X25),$J$4:$J$254,0))</f>
        <v>990529.628510244</v>
      </c>
      <c r="Z25" s="74" t="n">
        <f aca="false">Y25-Y24</f>
        <v>-42600.4311606661</v>
      </c>
      <c r="AA25" s="5" t="n">
        <f aca="false">Z25/Y24</f>
        <v>-0.0412343351758014</v>
      </c>
      <c r="AB25" s="5" t="n">
        <f aca="false" t="array" ref="AB25:AB25">PRODUCT(1+AA23:AA25)-1</f>
        <v>-0.00947037148975605</v>
      </c>
      <c r="AD25" s="67"/>
      <c r="AE25" s="55" t="n">
        <f aca="true">AVERAGE(INDIRECT($D$1&amp;$W25):INDIRECT($D$1&amp;$W26-1))</f>
        <v>-0.00147826086956522</v>
      </c>
      <c r="AF25" s="55" t="n">
        <f aca="true">AVERAGE(INDIRECT($D$1&amp;$W23):INDIRECT($D$1&amp;$W26-1))</f>
        <v>0.000237096774193563</v>
      </c>
      <c r="AG25" s="55"/>
      <c r="AH25" s="55"/>
      <c r="AI25" s="5" t="n">
        <f aca="true">STDEV(INDIRECT($D$1&amp;$W25):INDIRECT($D$1&amp;$W26-1))*SQRT(COUNT(INDIRECT($D$1&amp;$W25):INDIRECT($D$1&amp;$W26-1)))</f>
        <v>0.129829163973977</v>
      </c>
      <c r="AJ25" s="5" t="n">
        <f aca="true">STDEV(INDIRECT($D$1&amp;$W23):INDIRECT($D$1&amp;$W26-1))*SQRT(COUNT(INDIRECT($D$1&amp;$W23):INDIRECT($D$1&amp;$W26-1)))</f>
        <v>0.221672562023581</v>
      </c>
      <c r="AL25" s="67"/>
      <c r="AM25" s="75" t="n">
        <f aca="false">BW25/CA25*SQRT(252)</f>
        <v>-1.061599279131</v>
      </c>
      <c r="AN25" s="75" t="n">
        <f aca="false">BX25/CB25*SQRT(252)</f>
        <v>-0.204224099292274</v>
      </c>
      <c r="AO25" s="76"/>
      <c r="AP25" s="77"/>
      <c r="AQ25" s="19" t="n">
        <f aca="false">BG25/BK25</f>
        <v>-2.25508155840775</v>
      </c>
      <c r="AR25" s="19" t="n">
        <f aca="false">BH25/BL25</f>
        <v>-0.0732866579960507</v>
      </c>
      <c r="AS25" s="19"/>
      <c r="AT25" s="78"/>
      <c r="AU25" s="19" t="n">
        <f aca="false">AE25-(AQ25*s_p!Z10)</f>
        <v>-0.000369741569601403</v>
      </c>
      <c r="AV25" s="19" t="n">
        <f aca="false">AF25-(AR25*s_p!AA10)</f>
        <v>0.000281682313712417</v>
      </c>
      <c r="AW25" s="19"/>
      <c r="AX25" s="78"/>
      <c r="AY25" s="24" t="n">
        <f aca="true">IF(INDEX(INDIRECT($A$1&amp;$W25&amp;":"&amp;$A$1&amp;$W26-1),MATCH(MIN(INDIRECT($B$1&amp;$W25&amp;":"&amp;$B$1&amp;$W26-1)),INDIRECT($B$1&amp;$W25&amp;":"&amp;$B$1&amp;$W26-1),0))&gt;INDEX(INDIRECT($A$1&amp;$W25&amp;":"&amp;$A$1&amp;$W26-1),MATCH(MAX(INDIRECT($B$1&amp;$W25&amp;":"&amp;$B$1&amp;$W26-1)),INDIRECT($B$1&amp;$W25&amp;":"&amp;$B$1&amp;$W26-1),0)),MIN(INDIRECT($B$1&amp;$W25&amp;":"&amp;$B$1&amp;$W26-1))-MAX(INDIRECT($B$1&amp;$W25&amp;":"&amp;$B$1&amp;$W26-1)),IF(AND(MATCH(MAX(INDIRECT($B$1&amp;MATCH(MIN(INDIRECT($B$1&amp;$W25&amp;":"&amp;$B$1&amp;$W26-1)),INDIRECT($B$1&amp;$W25&amp;":"&amp;$B$1&amp;$W26-1),0)+ROW(INDIRECT($B$1&amp;$W25&amp;":"&amp;$B$1&amp;$W26-1))&amp;":"&amp;$B$1&amp;MATCH(MAX(INDIRECT($B$1&amp;$W25&amp;":"&amp;$B$1&amp;$W26-1)),INDIRECT($B$1&amp;$W25&amp;":"&amp;$B$1&amp;$W26-1),0)+ROW(INDIRECT($B$1&amp;$W25&amp;":"&amp;$B$1&amp;$W26-1))-2)),INDIRECT($B$1&amp;$W25&amp;":"&amp;$B$1&amp;$W26-1),0)=MATCH(MAX(INDIRECT($B$1&amp;$W25&amp;":"&amp;$B$1&amp;$W26-1)),INDIRECT($B$1&amp;$W25&amp;":"&amp;$B$1&amp;$W26-1),0)-1,MATCH(MIN(INDIRECT($B$1&amp;MATCH(MIN(INDIRECT($B$1&amp;$W25&amp;":"&amp;$B$1&amp;$W26-1)),INDIRECT($B$1&amp;$W25&amp;":"&amp;$B$1&amp;$W26-1),0)+ROW(INDIRECT($B$1&amp;$W25&amp;":"&amp;$B$1&amp;$W26-1))&amp;":"&amp;$B$1&amp;MATCH(MAX(INDIRECT($B$1&amp;$W25&amp;":"&amp;$B$1&amp;$W26-1)),INDIRECT($B$1&amp;$W25&amp;":"&amp;$B$1&amp;$W26-1),0)+ROW(INDIRECT($B$1&amp;$W25&amp;":"&amp;$B$1&amp;$W26-1))-2)),INDIRECT($B$1&amp;$W25&amp;":"&amp;$B$1&amp;$W26-1),0)=MATCH(MIN(INDIRECT($B$1&amp;$W25&amp;":"&amp;$B$1&amp;$W26-1)),INDIRECT($B$1&amp;$W25&amp;":"&amp;$B$1&amp;$W26-1),0)+1),MIN(MIN(INDIRECT($B$1&amp;MATCH(MAX(INDIRECT($B$1&amp;$W25&amp;":"&amp;$B$1&amp;$W26-1)),INDIRECT($B$1&amp;$W25&amp;":"&amp;$B$1&amp;$W26-1),0)+ROW(INDIRECT($B$1&amp;$W25&amp;":"&amp;$B$1&amp;$W26-1))&amp;":"&amp;$B$1&amp;W26-1))-MAX(INDIRECT($B$1&amp;$W25&amp;":"&amp;$B$1&amp;$W26-1)),MIN(INDIRECT($B$1&amp;$W25&amp;":"&amp;$B$1&amp;$W26-1))-MAX(INDIRECT($B$1&amp;W25&amp;":"&amp;$B$1&amp;MATCH(MIN(INDIRECT($B$1&amp;$W25&amp;":"&amp;$B$1&amp;$W26-1)),INDIRECT($B$1&amp;$W25&amp;":"&amp;$B$1&amp;$W26-1),0)+ROW(INDIRECT($B$1&amp;$W25&amp;":"&amp;$B$1&amp;$W26-1))-2))),"more"))</f>
        <v>-139513.441412973</v>
      </c>
      <c r="AZ25" s="24" t="n">
        <f aca="true">IF(INDEX(INDIRECT($A$1&amp;$W23&amp;":"&amp;$A$1&amp;$W26-1),MATCH(MIN(INDIRECT($B$1&amp;$W23&amp;":"&amp;$B$1&amp;$W26-1)),INDIRECT($B$1&amp;$W23&amp;":"&amp;$B$1&amp;$W26-1),0))&gt;INDEX(INDIRECT($A$1&amp;$W23&amp;":"&amp;$A$1&amp;$W26-1),MATCH(MAX(INDIRECT($B$1&amp;$W23&amp;":"&amp;$B$1&amp;$W26-1)),INDIRECT($B$1&amp;$W23&amp;":"&amp;$B$1&amp;$W26-1),0)),MIN(INDIRECT($B$1&amp;$W23&amp;":"&amp;$B$1&amp;$W26-1))-MAX(INDIRECT($B$1&amp;$W23&amp;":"&amp;$B$1&amp;$W26-1)),IF(AND(MATCH(MAX(INDIRECT($B$1&amp;MATCH(MIN(INDIRECT($B$1&amp;$W23&amp;":"&amp;$B$1&amp;$W26-1)),INDIRECT($B$1&amp;$W23&amp;":"&amp;$B$1&amp;$W26-1),0)+ROW(INDIRECT($B$1&amp;$W23&amp;":"&amp;$B$1&amp;$W26-1))&amp;":"&amp;$B$1&amp;MATCH(MAX(INDIRECT($B$1&amp;$W23&amp;":"&amp;$B$1&amp;$W26-1)),INDIRECT($B$1&amp;$W23&amp;":"&amp;$B$1&amp;$W26-1),0)+ROW(INDIRECT($B$1&amp;$W23&amp;":"&amp;$B$1&amp;$W26-1))-2)),INDIRECT($B$1&amp;$W23&amp;":"&amp;$B$1&amp;$W26-1),0)=MATCH(MAX(INDIRECT($B$1&amp;$W23&amp;":"&amp;$B$1&amp;$W26-1)),INDIRECT($B$1&amp;$W23&amp;":"&amp;$B$1&amp;$W26-1),0)-1,MATCH(MIN(INDIRECT($B$1&amp;MATCH(MIN(INDIRECT($B$1&amp;$W23&amp;":"&amp;$B$1&amp;$W26-1)),INDIRECT($B$1&amp;$W23&amp;":"&amp;$B$1&amp;$W26-1),0)+ROW(INDIRECT($B$1&amp;$W23&amp;":"&amp;$B$1&amp;$W26-1))&amp;":"&amp;$B$1&amp;MATCH(MAX(INDIRECT($B$1&amp;$W23&amp;":"&amp;$B$1&amp;$W26-1)),INDIRECT($B$1&amp;$W23&amp;":"&amp;$B$1&amp;$W26-1),0)+ROW(INDIRECT($B$1&amp;$W23&amp;":"&amp;$B$1&amp;$W26-1))-2)),INDIRECT($B$1&amp;$W23&amp;":"&amp;$B$1&amp;$W26-1),0)=MATCH(MIN(INDIRECT($B$1&amp;$W23&amp;":"&amp;$B$1&amp;$W26-1)),INDIRECT($B$1&amp;$W23&amp;":"&amp;$B$1&amp;$W26-1),0)+1),MIN(MIN(INDIRECT($B$1&amp;MATCH(MAX(INDIRECT($B$1&amp;$W23&amp;":"&amp;$B$1&amp;$W26-1)),INDIRECT($B$1&amp;$W23&amp;":"&amp;$B$1&amp;$W26-1),0)+ROW(INDIRECT($B$1&amp;$W23&amp;":"&amp;$B$1&amp;$W26-1))&amp;":"&amp;$B$1&amp;X26-1))-MAX(INDIRECT($B$1&amp;$W23&amp;":"&amp;$B$1&amp;$W26-1)),MIN(INDIRECT($B$1&amp;$W23&amp;":"&amp;$B$1&amp;$W26-1))-MAX(INDIRECT($B$1&amp;X25&amp;":"&amp;$B$1&amp;MATCH(MIN(INDIRECT($B$1&amp;$W23&amp;":"&amp;$B$1&amp;$W26-1)),INDIRECT($B$1&amp;$W23&amp;":"&amp;$B$1&amp;$W26-1),0)+ROW(INDIRECT($B$1&amp;$W23&amp;":"&amp;$B$1&amp;$W26-1))-2))),"more"))</f>
        <v>-299501.158861733</v>
      </c>
      <c r="BB25" s="67"/>
      <c r="BC25" s="79"/>
      <c r="BD25" s="79"/>
      <c r="BE25" s="79"/>
      <c r="BF25" s="79"/>
      <c r="BG25" s="80" t="n">
        <f aca="true">_xlfn.COVARIANCE.S(INDIRECT($D$1&amp;$W25):INDIRECT($D$1&amp;$W26-1),INDIRECT("s_p!"&amp;s_p!$H$1&amp;s_p!$M10&amp;":"&amp;s_p!$H$1&amp;s_p!$M11-1))</f>
        <v>-5.51591401861853E-005</v>
      </c>
      <c r="BH25" s="80" t="n">
        <f aca="true">_xlfn.COVARIANCE.S(INDIRECT($D$1&amp;$W23):INDIRECT($D$1&amp;$W26-1),INDIRECT("s_p!"&amp;s_p!$H$1&amp;$W23&amp;":"&amp;s_p!$H$1&amp;$W26-1))</f>
        <v>-2.57664289378464E-006</v>
      </c>
      <c r="BI25" s="81"/>
      <c r="BJ25" s="82"/>
      <c r="BK25" s="80" t="n">
        <f aca="true">_xlfn.VAR.S(INDIRECT("s_p!"&amp;s_p!$H$1&amp;s_p!$M10&amp;":"&amp;s_p!$H$1&amp;s_p!$M11-1))</f>
        <v>2.44599313849791E-005</v>
      </c>
      <c r="BL25" s="80" t="n">
        <f aca="true">_xlfn.VAR.S(INDIRECT("s_p!"&amp;s_p!$H$1&amp;$W23&amp;":"&amp;s_p!$H$1&amp;$W26-1))</f>
        <v>3.51584171558688E-005</v>
      </c>
      <c r="BM25" s="80"/>
      <c r="BN25" s="83"/>
      <c r="BO25" s="55" t="n">
        <f aca="true">SQRT(AVERAGE(INDIRECT($Q$1&amp;$W25):INDIRECT($Q$1&amp;$W26-1))) * SQRT(252)</f>
        <v>0.345835899322143</v>
      </c>
      <c r="BP25" s="55" t="n">
        <f aca="true">SQRT(AVERAGE(INDIRECT($Q$1&amp;$W23):INDIRECT($Q$1&amp;$W26-1))) * SQRT(252)</f>
        <v>0.329365962804738</v>
      </c>
      <c r="BQ25" s="56"/>
      <c r="BR25" s="56"/>
      <c r="BS25" s="20" t="n">
        <f aca="false">BW25/BO25 * 252</f>
        <v>-1.43535166547089</v>
      </c>
      <c r="BT25" s="20" t="n">
        <f aca="false">BX25/BP25 * 252</f>
        <v>-0.284064927854519</v>
      </c>
      <c r="BU25" s="20"/>
      <c r="BV25" s="84"/>
      <c r="BW25" s="56" t="n">
        <f aca="true">AVERAGE(INDIRECT($P$1&amp;$W25):INDIRECT($P$1&amp;$W26-1))</f>
        <v>-0.00196982592885581</v>
      </c>
      <c r="BX25" s="56" t="n">
        <f aca="true">AVERAGE(INDIRECT($P$1&amp;$W23):INDIRECT($P$1&amp;$W26-1))</f>
        <v>-0.000371275073261358</v>
      </c>
      <c r="BY25" s="56"/>
      <c r="BZ25" s="56"/>
      <c r="CA25" s="56" t="n">
        <f aca="true">STDEV(INDIRECT($P$1&amp;$W25):INDIRECT($P$1&amp;$W26-1))</f>
        <v>0.0294555750156805</v>
      </c>
      <c r="CB25" s="56" t="n">
        <f aca="true">STDEV(INDIRECT($P$1&amp;$W23):INDIRECT($P$1&amp;$W26-1))</f>
        <v>0.028859518007452</v>
      </c>
      <c r="CC25" s="56"/>
      <c r="CD25" s="56"/>
    </row>
    <row r="26" customFormat="false" ht="13.8" hidden="false" customHeight="false" outlineLevel="0" collapsed="false">
      <c r="A26" s="6" t="n">
        <f aca="false">WORKDAY(A25,1,holiday!$B$2:$B$10)</f>
        <v>38751</v>
      </c>
      <c r="B26" s="24" t="n">
        <v>1087273.27369853</v>
      </c>
      <c r="C26" s="24" t="n">
        <f aca="false">B26-B25</f>
        <v>-11426.4774115449</v>
      </c>
      <c r="D26" s="5" t="n">
        <f aca="false">C26/B25</f>
        <v>-0.0104000000000001</v>
      </c>
      <c r="E26" s="5" t="n">
        <f aca="false" t="array" ref="E26:E26">PRODUCT(1+$D$4:D26)-1</f>
        <v>0.0872732736985353</v>
      </c>
      <c r="F26" s="45" t="n">
        <f aca="false">E26/COUNT($E$4:E26)</f>
        <v>0.00379449016080588</v>
      </c>
      <c r="G26" s="5" t="n">
        <f aca="false">F26*252</f>
        <v>0.956211520523083</v>
      </c>
      <c r="H26" s="46" t="n">
        <f aca="false">IF(D26&lt;F26,D26-F26,"")</f>
        <v>-0.014194490160806</v>
      </c>
      <c r="I26" s="46" t="n">
        <f aca="false">IF(D26&lt;AVERAGE($D$24:D26),D26-AVERAGE($D$24:D26),"")</f>
        <v>-0.00686666666666671</v>
      </c>
      <c r="J26" s="0" t="n">
        <f aca="false">IF(ISBLANK(A27),MONTH(A26),IF(MONTH(A27)-MONTH(A26)=1,MONTH(A26),0))</f>
        <v>0</v>
      </c>
      <c r="K26" s="0" t="str">
        <f aca="false">IF(B27&gt;B26,IF(AND(B25&gt;B26,B27&gt;B26),"min",""),IF(AND(B25&gt;B26,B27&gt;B26),"",IF(AND(B25&lt;B26,B27&lt;B26),"max","")))</f>
        <v>min</v>
      </c>
      <c r="L26" s="0" t="n">
        <f aca="false">IF(K26="min",COUNTIF(K$4:K26,"min"),IF(K26="max",COUNTIF(K$4:K26,"max"),""))</f>
        <v>7</v>
      </c>
      <c r="M26" s="24" t="n">
        <f aca="false" t="array" ref="M26:M26">IF($K$3=0,IF(K26="min",INDEX($B$4:$B$254,(MATCH(1,($K$4:$K$254="max")*($L$4:$L$254=(L26-1)),0))),""),IF($K$3=1,IF(K26="min",INDEX($B$4:$B$254,(MATCH(1,($K$4:$K$254="max")*($L$4:$L$254=(L26)),0))),""),""))</f>
        <v>1098699.75111008</v>
      </c>
      <c r="N26" s="29" t="n">
        <f aca="false">IF(AND(K24=0,K26="min",L26=1),B26-B25,IF(K26="min",B26-M26,""))</f>
        <v>-11426.47741155</v>
      </c>
      <c r="O26" s="34" t="n">
        <f aca="false">IF(AND(K24=0,K26="min",L26=1),(B26-B25)/B25,IF(K26="min",(B26-M26)/M26,""))</f>
        <v>-0.0104000000000047</v>
      </c>
      <c r="P26" s="19" t="n">
        <f aca="false">D26-s_p!H26</f>
        <v>-0.00504133958641537</v>
      </c>
      <c r="Q26" s="19" t="n">
        <f aca="false">IF(P26&lt;0, P26^2, 0)</f>
        <v>2.54151048255587E-005</v>
      </c>
      <c r="R26" s="5"/>
      <c r="S26" s="5"/>
      <c r="T26" s="5"/>
      <c r="U26" s="5"/>
      <c r="V26" s="5"/>
      <c r="W26" s="0" t="n">
        <f aca="false">IF(ISERROR(MATCH(WORKDAY(X25,1,holiday!$B$2:$B$10),A:A,0)),MATCH(MAX(A:A),A:A,0)+1,MATCH(WORKDAY(X25,1,holiday!$B$2:$B$10),A:A,0))</f>
        <v>66</v>
      </c>
      <c r="X26" s="73" t="n">
        <f aca="false">EOMONTH(X25,1)</f>
        <v>38837</v>
      </c>
      <c r="Y26" s="24" t="n">
        <f aca="false">INDEX($B$4:$B$254,MATCH(MONTH(X26),$J$4:$J$254,0))</f>
        <v>1081961.53649834</v>
      </c>
      <c r="Z26" s="74" t="n">
        <f aca="false">Y26-Y25</f>
        <v>91431.9079880961</v>
      </c>
      <c r="AA26" s="5" t="n">
        <f aca="false">Z26/Y25</f>
        <v>0.0923060808646478</v>
      </c>
      <c r="AB26" s="5" t="n">
        <f aca="false" t="array" ref="AB26:AB26">PRODUCT(1+AA24:AA26)-1</f>
        <v>-0.017235442623259</v>
      </c>
      <c r="AD26" s="67"/>
      <c r="AE26" s="55" t="n">
        <f aca="true">AVERAGE(INDIRECT($D$1&amp;$W26):INDIRECT($D$1&amp;$W27-1))</f>
        <v>0.00515789473684209</v>
      </c>
      <c r="AF26" s="55" t="n">
        <f aca="true">AVERAGE(INDIRECT($D$1&amp;$W24):INDIRECT($D$1&amp;$W27-1))</f>
        <v>0.000121311475409834</v>
      </c>
      <c r="AG26" s="55"/>
      <c r="AH26" s="55"/>
      <c r="AI26" s="5" t="n">
        <f aca="true">STDEV(INDIRECT($D$1&amp;$W26):INDIRECT($D$1&amp;$W27-1))*SQRT(COUNT(INDIRECT($D$1&amp;$W26):INDIRECT($D$1&amp;$W27-1)))</f>
        <v>0.141532591456683</v>
      </c>
      <c r="AJ26" s="5" t="n">
        <f aca="true">STDEV(INDIRECT($D$1&amp;$W24):INDIRECT($D$1&amp;$W27-1))*SQRT(COUNT(INDIRECT($D$1&amp;$W24):INDIRECT($D$1&amp;$W27-1)))</f>
        <v>0.224368510119699</v>
      </c>
      <c r="AL26" s="67"/>
      <c r="AM26" s="75" t="n">
        <f aca="false">BW26/CA26*SQRT(252)</f>
        <v>2.16093255486154</v>
      </c>
      <c r="AN26" s="75" t="n">
        <f aca="false">BX26/CB26*SQRT(252)</f>
        <v>-0.149378232829</v>
      </c>
      <c r="AO26" s="76"/>
      <c r="AP26" s="77"/>
      <c r="AQ26" s="19" t="n">
        <f aca="false">BG26/BK26</f>
        <v>-0.14327783061182</v>
      </c>
      <c r="AR26" s="19" t="n">
        <f aca="false">BH26/BL26</f>
        <v>-0.482284995757403</v>
      </c>
      <c r="AS26" s="19"/>
      <c r="AT26" s="78"/>
      <c r="AU26" s="19" t="n">
        <f aca="false">AE26-(AQ26*s_p!Z11)</f>
        <v>0.00525122684191562</v>
      </c>
      <c r="AV26" s="19" t="n">
        <f aca="false">AF26-(AR26*s_p!AA11)</f>
        <v>0.000314700035433485</v>
      </c>
      <c r="AW26" s="19"/>
      <c r="AX26" s="78"/>
      <c r="AY26" s="24" t="n">
        <f aca="true">IF(INDEX(INDIRECT($A$1&amp;$W26&amp;":"&amp;$A$1&amp;$W27-1),MATCH(MIN(INDIRECT($B$1&amp;$W26&amp;":"&amp;$B$1&amp;$W27-1)),INDIRECT($B$1&amp;$W26&amp;":"&amp;$B$1&amp;$W27-1),0))&gt;INDEX(INDIRECT($A$1&amp;$W26&amp;":"&amp;$A$1&amp;$W27-1),MATCH(MAX(INDIRECT($B$1&amp;$W26&amp;":"&amp;$B$1&amp;$W27-1)),INDIRECT($B$1&amp;$W26&amp;":"&amp;$B$1&amp;$W27-1),0)),MIN(INDIRECT($B$1&amp;$W26&amp;":"&amp;$B$1&amp;$W27-1))-MAX(INDIRECT($B$1&amp;$W26&amp;":"&amp;$B$1&amp;$W27-1)),IF(AND(MATCH(MAX(INDIRECT($B$1&amp;MATCH(MIN(INDIRECT($B$1&amp;$W26&amp;":"&amp;$B$1&amp;$W27-1)),INDIRECT($B$1&amp;$W26&amp;":"&amp;$B$1&amp;$W27-1),0)+ROW(INDIRECT($B$1&amp;$W26&amp;":"&amp;$B$1&amp;$W27-1))&amp;":"&amp;$B$1&amp;MATCH(MAX(INDIRECT($B$1&amp;$W26&amp;":"&amp;$B$1&amp;$W27-1)),INDIRECT($B$1&amp;$W26&amp;":"&amp;$B$1&amp;$W27-1),0)+ROW(INDIRECT($B$1&amp;$W26&amp;":"&amp;$B$1&amp;$W27-1))-2)),INDIRECT($B$1&amp;$W26&amp;":"&amp;$B$1&amp;$W27-1),0)=MATCH(MAX(INDIRECT($B$1&amp;$W26&amp;":"&amp;$B$1&amp;$W27-1)),INDIRECT($B$1&amp;$W26&amp;":"&amp;$B$1&amp;$W27-1),0)-1,MATCH(MIN(INDIRECT($B$1&amp;MATCH(MIN(INDIRECT($B$1&amp;$W26&amp;":"&amp;$B$1&amp;$W27-1)),INDIRECT($B$1&amp;$W26&amp;":"&amp;$B$1&amp;$W27-1),0)+ROW(INDIRECT($B$1&amp;$W26&amp;":"&amp;$B$1&amp;$W27-1))&amp;":"&amp;$B$1&amp;MATCH(MAX(INDIRECT($B$1&amp;$W26&amp;":"&amp;$B$1&amp;$W27-1)),INDIRECT($B$1&amp;$W26&amp;":"&amp;$B$1&amp;$W27-1),0)+ROW(INDIRECT($B$1&amp;$W26&amp;":"&amp;$B$1&amp;$W27-1))-2)),INDIRECT($B$1&amp;$W26&amp;":"&amp;$B$1&amp;$W27-1),0)=MATCH(MIN(INDIRECT($B$1&amp;$W26&amp;":"&amp;$B$1&amp;$W27-1)),INDIRECT($B$1&amp;$W26&amp;":"&amp;$B$1&amp;$W27-1),0)+1),MIN(MIN(INDIRECT($B$1&amp;MATCH(MAX(INDIRECT($B$1&amp;$W26&amp;":"&amp;$B$1&amp;$W27-1)),INDIRECT($B$1&amp;$W26&amp;":"&amp;$B$1&amp;$W27-1),0)+ROW(INDIRECT($B$1&amp;$W26&amp;":"&amp;$B$1&amp;$W27-1))&amp;":"&amp;$B$1&amp;W27-1))-MAX(INDIRECT($B$1&amp;$W26&amp;":"&amp;$B$1&amp;$W27-1)),MIN(INDIRECT($B$1&amp;$W26&amp;":"&amp;$B$1&amp;$W27-1))-MAX(INDIRECT($B$1&amp;W26&amp;":"&amp;$B$1&amp;MATCH(MIN(INDIRECT($B$1&amp;$W26&amp;":"&amp;$B$1&amp;$W27-1)),INDIRECT($B$1&amp;$W26&amp;":"&amp;$B$1&amp;$W27-1),0)+ROW(INDIRECT($B$1&amp;$W26&amp;":"&amp;$B$1&amp;$W27-1))-2))),"more"))</f>
        <v>-118306.309004233</v>
      </c>
      <c r="AZ26" s="24" t="n">
        <f aca="true">IF(INDEX(INDIRECT($A$1&amp;$W24&amp;":"&amp;$A$1&amp;$W27-1),MATCH(MIN(INDIRECT($B$1&amp;$W24&amp;":"&amp;$B$1&amp;$W27-1)),INDIRECT($B$1&amp;$W24&amp;":"&amp;$B$1&amp;$W27-1),0))&gt;INDEX(INDIRECT($A$1&amp;$W24&amp;":"&amp;$A$1&amp;$W27-1),MATCH(MAX(INDIRECT($B$1&amp;$W24&amp;":"&amp;$B$1&amp;$W27-1)),INDIRECT($B$1&amp;$W24&amp;":"&amp;$B$1&amp;$W27-1),0)),MIN(INDIRECT($B$1&amp;$W24&amp;":"&amp;$B$1&amp;$W27-1))-MAX(INDIRECT($B$1&amp;$W24&amp;":"&amp;$B$1&amp;$W27-1)),IF(AND(MATCH(MAX(INDIRECT($B$1&amp;MATCH(MIN(INDIRECT($B$1&amp;$W24&amp;":"&amp;$B$1&amp;$W27-1)),INDIRECT($B$1&amp;$W24&amp;":"&amp;$B$1&amp;$W27-1),0)+ROW(INDIRECT($B$1&amp;$W24&amp;":"&amp;$B$1&amp;$W27-1))&amp;":"&amp;$B$1&amp;MATCH(MAX(INDIRECT($B$1&amp;$W24&amp;":"&amp;$B$1&amp;$W27-1)),INDIRECT($B$1&amp;$W24&amp;":"&amp;$B$1&amp;$W27-1),0)+ROW(INDIRECT($B$1&amp;$W24&amp;":"&amp;$B$1&amp;$W27-1))-2)),INDIRECT($B$1&amp;$W24&amp;":"&amp;$B$1&amp;$W27-1),0)=MATCH(MAX(INDIRECT($B$1&amp;$W24&amp;":"&amp;$B$1&amp;$W27-1)),INDIRECT($B$1&amp;$W24&amp;":"&amp;$B$1&amp;$W27-1),0)-1,MATCH(MIN(INDIRECT($B$1&amp;MATCH(MIN(INDIRECT($B$1&amp;$W24&amp;":"&amp;$B$1&amp;$W27-1)),INDIRECT($B$1&amp;$W24&amp;":"&amp;$B$1&amp;$W27-1),0)+ROW(INDIRECT($B$1&amp;$W24&amp;":"&amp;$B$1&amp;$W27-1))&amp;":"&amp;$B$1&amp;MATCH(MAX(INDIRECT($B$1&amp;$W24&amp;":"&amp;$B$1&amp;$W27-1)),INDIRECT($B$1&amp;$W24&amp;":"&amp;$B$1&amp;$W27-1),0)+ROW(INDIRECT($B$1&amp;$W24&amp;":"&amp;$B$1&amp;$W27-1))-2)),INDIRECT($B$1&amp;$W24&amp;":"&amp;$B$1&amp;$W27-1),0)=MATCH(MIN(INDIRECT($B$1&amp;$W24&amp;":"&amp;$B$1&amp;$W27-1)),INDIRECT($B$1&amp;$W24&amp;":"&amp;$B$1&amp;$W27-1),0)+1),MIN(MIN(INDIRECT($B$1&amp;MATCH(MAX(INDIRECT($B$1&amp;$W24&amp;":"&amp;$B$1&amp;$W27-1)),INDIRECT($B$1&amp;$W24&amp;":"&amp;$B$1&amp;$W27-1),0)+ROW(INDIRECT($B$1&amp;$W24&amp;":"&amp;$B$1&amp;$W27-1))&amp;":"&amp;$B$1&amp;X27-1))-MAX(INDIRECT($B$1&amp;$W24&amp;":"&amp;$B$1&amp;$W27-1)),MIN(INDIRECT($B$1&amp;$W24&amp;":"&amp;$B$1&amp;$W27-1))-MAX(INDIRECT($B$1&amp;X26&amp;":"&amp;$B$1&amp;MATCH(MIN(INDIRECT($B$1&amp;$W24&amp;":"&amp;$B$1&amp;$W27-1)),INDIRECT($B$1&amp;$W24&amp;":"&amp;$B$1&amp;$W27-1),0)+ROW(INDIRECT($B$1&amp;$W24&amp;":"&amp;$B$1&amp;$W27-1))-2))),"more"))</f>
        <v>-244728.472096633</v>
      </c>
      <c r="BB26" s="67"/>
      <c r="BC26" s="79"/>
      <c r="BD26" s="79"/>
      <c r="BE26" s="79"/>
      <c r="BF26" s="79"/>
      <c r="BG26" s="80" t="n">
        <f aca="true">_xlfn.COVARIANCE.S(INDIRECT($D$1&amp;$W26):INDIRECT($D$1&amp;$W27-1),INDIRECT("s_p!"&amp;s_p!$H$1&amp;s_p!$M11&amp;":"&amp;s_p!$H$1&amp;s_p!$M12-1))</f>
        <v>-4.6407787947787E-006</v>
      </c>
      <c r="BH26" s="80" t="n">
        <f aca="true">_xlfn.COVARIANCE.S(INDIRECT($D$1&amp;$W24):INDIRECT($D$1&amp;$W27-1),INDIRECT("s_p!"&amp;s_p!$H$1&amp;$W24&amp;":"&amp;s_p!$H$1&amp;$W27-1))</f>
        <v>-1.42554443412856E-005</v>
      </c>
      <c r="BI26" s="81"/>
      <c r="BJ26" s="82"/>
      <c r="BK26" s="80" t="n">
        <f aca="true">_xlfn.VAR.S(INDIRECT("s_p!"&amp;s_p!$H$1&amp;s_p!$M11&amp;":"&amp;s_p!$H$1&amp;s_p!$M12-1))</f>
        <v>3.23900688261526E-005</v>
      </c>
      <c r="BL26" s="80" t="n">
        <f aca="true">_xlfn.VAR.S(INDIRECT("s_p!"&amp;s_p!$H$1&amp;$W24&amp;":"&amp;s_p!$H$1&amp;$W27-1))</f>
        <v>2.95581336070763E-005</v>
      </c>
      <c r="BM26" s="80"/>
      <c r="BN26" s="83"/>
      <c r="BO26" s="55" t="n">
        <f aca="true">SQRT(AVERAGE(INDIRECT($Q$1&amp;$W26):INDIRECT($Q$1&amp;$W27-1))) * SQRT(252)</f>
        <v>0.331370599064887</v>
      </c>
      <c r="BP26" s="55" t="n">
        <f aca="true">SQRT(AVERAGE(INDIRECT($Q$1&amp;$W24):INDIRECT($Q$1&amp;$W27-1))) * SQRT(252)</f>
        <v>0.333770754524464</v>
      </c>
      <c r="BQ26" s="56"/>
      <c r="BR26" s="56"/>
      <c r="BS26" s="20" t="n">
        <f aca="false">BW26/BO26 * 252</f>
        <v>3.42708450250692</v>
      </c>
      <c r="BT26" s="20" t="n">
        <f aca="false">BX26/BP26 * 252</f>
        <v>-0.211155326620484</v>
      </c>
      <c r="BU26" s="20"/>
      <c r="BV26" s="84"/>
      <c r="BW26" s="56" t="n">
        <f aca="true">AVERAGE(INDIRECT($P$1&amp;$W26):INDIRECT($P$1&amp;$W27-1))</f>
        <v>0.00450648827238772</v>
      </c>
      <c r="BX26" s="56" t="n">
        <f aca="true">AVERAGE(INDIRECT($P$1&amp;$W24):INDIRECT($P$1&amp;$W27-1))</f>
        <v>-0.000279672510666582</v>
      </c>
      <c r="BY26" s="56"/>
      <c r="BZ26" s="56"/>
      <c r="CA26" s="56" t="n">
        <f aca="true">STDEV(INDIRECT($P$1&amp;$W26):INDIRECT($P$1&amp;$W27-1))</f>
        <v>0.0331052828876401</v>
      </c>
      <c r="CB26" s="56" t="n">
        <f aca="true">STDEV(INDIRECT($P$1&amp;$W24):INDIRECT($P$1&amp;$W27-1))</f>
        <v>0.0297209532239633</v>
      </c>
      <c r="CC26" s="56"/>
      <c r="CD26" s="56"/>
    </row>
    <row r="27" customFormat="false" ht="13.8" hidden="false" customHeight="false" outlineLevel="0" collapsed="false">
      <c r="A27" s="6" t="n">
        <f aca="false">WORKDAY(A26,1,holiday!$B$2:$B$10)</f>
        <v>38754</v>
      </c>
      <c r="B27" s="24" t="n">
        <v>1124892.9289685</v>
      </c>
      <c r="C27" s="24" t="n">
        <f aca="false">B27-B26</f>
        <v>37619.6552699693</v>
      </c>
      <c r="D27" s="5" t="n">
        <f aca="false">C27/B26</f>
        <v>0.0346</v>
      </c>
      <c r="E27" s="5" t="n">
        <f aca="false" t="array" ref="E27:E27">PRODUCT(1+$D$4:D27)-1</f>
        <v>0.124892928968505</v>
      </c>
      <c r="F27" s="45" t="n">
        <f aca="false">E27/COUNT($E$4:E27)</f>
        <v>0.00520387204035436</v>
      </c>
      <c r="G27" s="5" t="n">
        <f aca="false">F27*252</f>
        <v>1.3113757541693</v>
      </c>
      <c r="H27" s="46" t="str">
        <f aca="false">IF(D27&lt;F27,D27-F27,"")</f>
        <v/>
      </c>
      <c r="I27" s="46" t="str">
        <f aca="false">IF(D27&lt;AVERAGE($D$24:D27),D27-AVERAGE($D$24:D27),"")</f>
        <v/>
      </c>
      <c r="J27" s="0" t="n">
        <f aca="false">IF(ISBLANK(A28),MONTH(A27),IF(MONTH(A28)-MONTH(A27)=1,MONTH(A27),0))</f>
        <v>0</v>
      </c>
      <c r="K27" s="0" t="str">
        <f aca="false">IF(B28&gt;B27,IF(AND(B26&gt;B27,B28&gt;B27),"min",""),IF(AND(B26&gt;B27,B28&gt;B27),"",IF(AND(B26&lt;B27,B28&lt;B27),"max","")))</f>
        <v>max</v>
      </c>
      <c r="L27" s="0" t="n">
        <f aca="false">IF(K27="min",COUNTIF(K$4:K27,"min"),IF(K27="max",COUNTIF(K$4:K27,"max"),""))</f>
        <v>7</v>
      </c>
      <c r="M27" s="24" t="str">
        <f aca="false" t="array" ref="M27:M27">IF($K$3=0,IF(K27="min",INDEX($B$4:$B$254,(MATCH(1,($K$4:$K$254="max")*($L$4:$L$254=(L27-1)),0))),""),IF($K$3=1,IF(K27="min",INDEX($B$4:$B$254,(MATCH(1,($K$4:$K$254="max")*($L$4:$L$254=(L27)),0))),""),""))</f>
        <v/>
      </c>
      <c r="N27" s="29" t="str">
        <f aca="false">IF(AND(K25=0,K27="min",L27=1),B27-B26,IF(K27="min",B27-M27,""))</f>
        <v/>
      </c>
      <c r="O27" s="34" t="str">
        <f aca="false">IF(AND(K25=0,K27="min",L27=1),(B27-B26)/B26,IF(K27="min",(B27-M27)/M27,""))</f>
        <v/>
      </c>
      <c r="P27" s="19" t="n">
        <f aca="false">D27-s_p!H27</f>
        <v>0.0338167907407261</v>
      </c>
      <c r="Q27" s="19" t="n">
        <f aca="false">IF(P27&lt;0, P27^2, 0)</f>
        <v>0</v>
      </c>
      <c r="R27" s="5"/>
      <c r="S27" s="5"/>
      <c r="T27" s="5"/>
      <c r="U27" s="5"/>
      <c r="V27" s="5"/>
      <c r="W27" s="0" t="n">
        <f aca="false">IF(ISERROR(MATCH(WORKDAY(X26,1,holiday!$B$2:$B$10),A:A,0)),MATCH(MAX(A:A),A:A,0)+1,MATCH(WORKDAY(X26,1,holiday!$B$2:$B$10),A:A,0))</f>
        <v>85</v>
      </c>
      <c r="X27" s="73" t="n">
        <f aca="false">EOMONTH(X26,1)</f>
        <v>38868</v>
      </c>
      <c r="Y27" s="24" t="n">
        <f aca="false">INDEX($B$4:$B$254,MATCH(MONTH(X27),$J$4:$J$254,0))</f>
        <v>1227590.32379985</v>
      </c>
      <c r="Z27" s="74" t="n">
        <f aca="false">Y27-Y26</f>
        <v>145628.78730151</v>
      </c>
      <c r="AA27" s="5" t="n">
        <f aca="false">Z27/Y26</f>
        <v>0.134597009587626</v>
      </c>
      <c r="AB27" s="5" t="n">
        <f aca="false" t="array" ref="AB27:AB27">PRODUCT(1+AA25:AA27)-1</f>
        <v>0.188224379214058</v>
      </c>
      <c r="AD27" s="67"/>
      <c r="AE27" s="55" t="n">
        <f aca="true">AVERAGE(INDIRECT($D$1&amp;$W27):INDIRECT($D$1&amp;$W28-1))</f>
        <v>0.00611363636363637</v>
      </c>
      <c r="AF27" s="55" t="n">
        <f aca="true">AVERAGE(INDIRECT($D$1&amp;$W25):INDIRECT($D$1&amp;$W28-1))</f>
        <v>0.0031015625</v>
      </c>
      <c r="AG27" s="55"/>
      <c r="AH27" s="55"/>
      <c r="AI27" s="5" t="n">
        <f aca="true">STDEV(INDIRECT($D$1&amp;$W27):INDIRECT($D$1&amp;$W28-1))*SQRT(COUNT(INDIRECT($D$1&amp;$W27):INDIRECT($D$1&amp;$W28-1)))</f>
        <v>0.128395492058531</v>
      </c>
      <c r="AJ27" s="5" t="n">
        <f aca="true">STDEV(INDIRECT($D$1&amp;$W25):INDIRECT($D$1&amp;$W28-1))*SQRT(COUNT(INDIRECT($D$1&amp;$W25):INDIRECT($D$1&amp;$W28-1)))</f>
        <v>0.228948447444619</v>
      </c>
      <c r="AL27" s="67"/>
      <c r="AM27" s="75" t="n">
        <f aca="false">BW27/CA27*SQRT(252)</f>
        <v>4.78483701655318</v>
      </c>
      <c r="AN27" s="75" t="n">
        <f aca="false">BX27/CB27*SQRT(252)</f>
        <v>1.75926421023761</v>
      </c>
      <c r="AO27" s="76"/>
      <c r="AP27" s="77"/>
      <c r="AQ27" s="19" t="n">
        <f aca="false">BG27/BK27</f>
        <v>1.53141356534567</v>
      </c>
      <c r="AR27" s="19" t="n">
        <f aca="false">BH27/BL27</f>
        <v>0.236365174595575</v>
      </c>
      <c r="AS27" s="19"/>
      <c r="AT27" s="78"/>
      <c r="AU27" s="19" t="n">
        <f aca="false">AE27-(AQ27*s_p!Z12)</f>
        <v>0.00825248239920703</v>
      </c>
      <c r="AV27" s="19" t="n">
        <f aca="false">AF27-(AR27*s_p!AA12)</f>
        <v>0.00312757574954322</v>
      </c>
      <c r="AW27" s="19"/>
      <c r="AX27" s="78"/>
      <c r="AY27" s="24" t="str">
        <f aca="true">IF(INDEX(INDIRECT($A$1&amp;$W27&amp;":"&amp;$A$1&amp;$W28-1),MATCH(MIN(INDIRECT($B$1&amp;$W27&amp;":"&amp;$B$1&amp;$W28-1)),INDIRECT($B$1&amp;$W27&amp;":"&amp;$B$1&amp;$W28-1),0))&gt;INDEX(INDIRECT($A$1&amp;$W27&amp;":"&amp;$A$1&amp;$W28-1),MATCH(MAX(INDIRECT($B$1&amp;$W27&amp;":"&amp;$B$1&amp;$W28-1)),INDIRECT($B$1&amp;$W27&amp;":"&amp;$B$1&amp;$W28-1),0)),MIN(INDIRECT($B$1&amp;$W27&amp;":"&amp;$B$1&amp;$W28-1))-MAX(INDIRECT($B$1&amp;$W27&amp;":"&amp;$B$1&amp;$W28-1)),IF(AND(MATCH(MAX(INDIRECT($B$1&amp;MATCH(MIN(INDIRECT($B$1&amp;$W27&amp;":"&amp;$B$1&amp;$W28-1)),INDIRECT($B$1&amp;$W27&amp;":"&amp;$B$1&amp;$W28-1),0)+ROW(INDIRECT($B$1&amp;$W27&amp;":"&amp;$B$1&amp;$W28-1))&amp;":"&amp;$B$1&amp;MATCH(MAX(INDIRECT($B$1&amp;$W27&amp;":"&amp;$B$1&amp;$W28-1)),INDIRECT($B$1&amp;$W27&amp;":"&amp;$B$1&amp;$W28-1),0)+ROW(INDIRECT($B$1&amp;$W27&amp;":"&amp;$B$1&amp;$W28-1))-2)),INDIRECT($B$1&amp;$W27&amp;":"&amp;$B$1&amp;$W28-1),0)=MATCH(MAX(INDIRECT($B$1&amp;$W27&amp;":"&amp;$B$1&amp;$W28-1)),INDIRECT($B$1&amp;$W27&amp;":"&amp;$B$1&amp;$W28-1),0)-1,MATCH(MIN(INDIRECT($B$1&amp;MATCH(MIN(INDIRECT($B$1&amp;$W27&amp;":"&amp;$B$1&amp;$W28-1)),INDIRECT($B$1&amp;$W27&amp;":"&amp;$B$1&amp;$W28-1),0)+ROW(INDIRECT($B$1&amp;$W27&amp;":"&amp;$B$1&amp;$W28-1))&amp;":"&amp;$B$1&amp;MATCH(MAX(INDIRECT($B$1&amp;$W27&amp;":"&amp;$B$1&amp;$W28-1)),INDIRECT($B$1&amp;$W27&amp;":"&amp;$B$1&amp;$W28-1),0)+ROW(INDIRECT($B$1&amp;$W27&amp;":"&amp;$B$1&amp;$W28-1))-2)),INDIRECT($B$1&amp;$W27&amp;":"&amp;$B$1&amp;$W28-1),0)=MATCH(MIN(INDIRECT($B$1&amp;$W27&amp;":"&amp;$B$1&amp;$W28-1)),INDIRECT($B$1&amp;$W27&amp;":"&amp;$B$1&amp;$W28-1),0)+1),MIN(MIN(INDIRECT($B$1&amp;MATCH(MAX(INDIRECT($B$1&amp;$W27&amp;":"&amp;$B$1&amp;$W28-1)),INDIRECT($B$1&amp;$W27&amp;":"&amp;$B$1&amp;$W28-1),0)+ROW(INDIRECT($B$1&amp;$W27&amp;":"&amp;$B$1&amp;$W28-1))&amp;":"&amp;$B$1&amp;W28-1))-MAX(INDIRECT($B$1&amp;$W27&amp;":"&amp;$B$1&amp;$W28-1)),MIN(INDIRECT($B$1&amp;$W27&amp;":"&amp;$B$1&amp;$W28-1))-MAX(INDIRECT($B$1&amp;W27&amp;":"&amp;$B$1&amp;MATCH(MIN(INDIRECT($B$1&amp;$W27&amp;":"&amp;$B$1&amp;$W28-1)),INDIRECT($B$1&amp;$W27&amp;":"&amp;$B$1&amp;$W28-1),0)+ROW(INDIRECT($B$1&amp;$W27&amp;":"&amp;$B$1&amp;$W28-1))-2))),"more"))</f>
        <v>more</v>
      </c>
      <c r="AZ27" s="24" t="str">
        <f aca="true">IF(INDEX(INDIRECT($A$1&amp;$W25&amp;":"&amp;$A$1&amp;$W28-1),MATCH(MIN(INDIRECT($B$1&amp;$W25&amp;":"&amp;$B$1&amp;$W28-1)),INDIRECT($B$1&amp;$W25&amp;":"&amp;$B$1&amp;$W28-1),0))&gt;INDEX(INDIRECT($A$1&amp;$W25&amp;":"&amp;$A$1&amp;$W28-1),MATCH(MAX(INDIRECT($B$1&amp;$W25&amp;":"&amp;$B$1&amp;$W28-1)),INDIRECT($B$1&amp;$W25&amp;":"&amp;$B$1&amp;$W28-1),0)),MIN(INDIRECT($B$1&amp;$W25&amp;":"&amp;$B$1&amp;$W28-1))-MAX(INDIRECT($B$1&amp;$W25&amp;":"&amp;$B$1&amp;$W28-1)),IF(AND(MATCH(MAX(INDIRECT($B$1&amp;MATCH(MIN(INDIRECT($B$1&amp;$W25&amp;":"&amp;$B$1&amp;$W28-1)),INDIRECT($B$1&amp;$W25&amp;":"&amp;$B$1&amp;$W28-1),0)+ROW(INDIRECT($B$1&amp;$W25&amp;":"&amp;$B$1&amp;$W28-1))&amp;":"&amp;$B$1&amp;MATCH(MAX(INDIRECT($B$1&amp;$W25&amp;":"&amp;$B$1&amp;$W28-1)),INDIRECT($B$1&amp;$W25&amp;":"&amp;$B$1&amp;$W28-1),0)+ROW(INDIRECT($B$1&amp;$W25&amp;":"&amp;$B$1&amp;$W28-1))-2)),INDIRECT($B$1&amp;$W25&amp;":"&amp;$B$1&amp;$W28-1),0)=MATCH(MAX(INDIRECT($B$1&amp;$W25&amp;":"&amp;$B$1&amp;$W28-1)),INDIRECT($B$1&amp;$W25&amp;":"&amp;$B$1&amp;$W28-1),0)-1,MATCH(MIN(INDIRECT($B$1&amp;MATCH(MIN(INDIRECT($B$1&amp;$W25&amp;":"&amp;$B$1&amp;$W28-1)),INDIRECT($B$1&amp;$W25&amp;":"&amp;$B$1&amp;$W28-1),0)+ROW(INDIRECT($B$1&amp;$W25&amp;":"&amp;$B$1&amp;$W28-1))&amp;":"&amp;$B$1&amp;MATCH(MAX(INDIRECT($B$1&amp;$W25&amp;":"&amp;$B$1&amp;$W28-1)),INDIRECT($B$1&amp;$W25&amp;":"&amp;$B$1&amp;$W28-1),0)+ROW(INDIRECT($B$1&amp;$W25&amp;":"&amp;$B$1&amp;$W28-1))-2)),INDIRECT($B$1&amp;$W25&amp;":"&amp;$B$1&amp;$W28-1),0)=MATCH(MIN(INDIRECT($B$1&amp;$W25&amp;":"&amp;$B$1&amp;$W28-1)),INDIRECT($B$1&amp;$W25&amp;":"&amp;$B$1&amp;$W28-1),0)+1),MIN(MIN(INDIRECT($B$1&amp;MATCH(MAX(INDIRECT($B$1&amp;$W25&amp;":"&amp;$B$1&amp;$W28-1)),INDIRECT($B$1&amp;$W25&amp;":"&amp;$B$1&amp;$W28-1),0)+ROW(INDIRECT($B$1&amp;$W25&amp;":"&amp;$B$1&amp;$W28-1))&amp;":"&amp;$B$1&amp;X28-1))-MAX(INDIRECT($B$1&amp;$W25&amp;":"&amp;$B$1&amp;$W28-1)),MIN(INDIRECT($B$1&amp;$W25&amp;":"&amp;$B$1&amp;$W28-1))-MAX(INDIRECT($B$1&amp;X27&amp;":"&amp;$B$1&amp;MATCH(MIN(INDIRECT($B$1&amp;$W25&amp;":"&amp;$B$1&amp;$W28-1)),INDIRECT($B$1&amp;$W25&amp;":"&amp;$B$1&amp;$W28-1),0)+ROW(INDIRECT($B$1&amp;$W25&amp;":"&amp;$B$1&amp;$W28-1))-2))),"more"))</f>
        <v>more</v>
      </c>
      <c r="BB27" s="67"/>
      <c r="BC27" s="79"/>
      <c r="BD27" s="79"/>
      <c r="BE27" s="79"/>
      <c r="BF27" s="79"/>
      <c r="BG27" s="80" t="n">
        <f aca="true">_xlfn.COVARIANCE.S(INDIRECT($D$1&amp;$W27):INDIRECT($D$1&amp;$W28-1),INDIRECT("s_p!"&amp;s_p!$H$1&amp;s_p!$M12&amp;":"&amp;s_p!$H$1&amp;s_p!$M13-1))</f>
        <v>9.53946560326705E-005</v>
      </c>
      <c r="BH27" s="80" t="n">
        <f aca="true">_xlfn.COVARIANCE.S(INDIRECT($D$1&amp;$W25):INDIRECT($D$1&amp;$W28-1),INDIRECT("s_p!"&amp;s_p!$H$1&amp;$W25&amp;":"&amp;s_p!$H$1&amp;$W28-1))</f>
        <v>9.32339832719045E-006</v>
      </c>
      <c r="BI27" s="81"/>
      <c r="BJ27" s="82"/>
      <c r="BK27" s="80" t="n">
        <f aca="true">_xlfn.VAR.S(INDIRECT("s_p!"&amp;s_p!$H$1&amp;s_p!$M12&amp;":"&amp;s_p!$H$1&amp;s_p!$M13-1))</f>
        <v>6.22918969711087E-005</v>
      </c>
      <c r="BL27" s="80" t="n">
        <f aca="true">_xlfn.VAR.S(INDIRECT("s_p!"&amp;s_p!$H$1&amp;$W25&amp;":"&amp;s_p!$H$1&amp;$W28-1))</f>
        <v>3.94448900653107E-005</v>
      </c>
      <c r="BM27" s="80"/>
      <c r="BN27" s="83"/>
      <c r="BO27" s="55" t="n">
        <f aca="true">SQRT(AVERAGE(INDIRECT($Q$1&amp;$W27):INDIRECT($Q$1&amp;$W28-1))) * SQRT(252)</f>
        <v>0.205650372771505</v>
      </c>
      <c r="BP27" s="55" t="n">
        <f aca="true">SQRT(AVERAGE(INDIRECT($Q$1&amp;$W25):INDIRECT($Q$1&amp;$W28-1))) * SQRT(252)</f>
        <v>0.300197993664444</v>
      </c>
      <c r="BQ27" s="56"/>
      <c r="BR27" s="56"/>
      <c r="BS27" s="20" t="n">
        <f aca="false">BW27/BO27 * 252</f>
        <v>9.20295786711498</v>
      </c>
      <c r="BT27" s="20" t="n">
        <f aca="false">BX27/BP27 * 252</f>
        <v>2.69597969554138</v>
      </c>
      <c r="BU27" s="20"/>
      <c r="BV27" s="84"/>
      <c r="BW27" s="56" t="n">
        <f aca="true">AVERAGE(INDIRECT($P$1&amp;$W27):INDIRECT($P$1&amp;$W28-1))</f>
        <v>0.00751028458719308</v>
      </c>
      <c r="BX27" s="56" t="n">
        <f aca="true">AVERAGE(INDIRECT($P$1&amp;$W25):INDIRECT($P$1&amp;$W28-1))</f>
        <v>0.00321161783953017</v>
      </c>
      <c r="BY27" s="56"/>
      <c r="BZ27" s="56"/>
      <c r="CA27" s="56" t="n">
        <f aca="true">STDEV(INDIRECT($P$1&amp;$W27):INDIRECT($P$1&amp;$W28-1))</f>
        <v>0.0249166421647709</v>
      </c>
      <c r="CB27" s="56" t="n">
        <f aca="true">STDEV(INDIRECT($P$1&amp;$W25):INDIRECT($P$1&amp;$W28-1))</f>
        <v>0.0289796452180236</v>
      </c>
      <c r="CC27" s="56"/>
      <c r="CD27" s="56"/>
    </row>
    <row r="28" customFormat="false" ht="13.8" hidden="false" customHeight="false" outlineLevel="0" collapsed="false">
      <c r="A28" s="6" t="n">
        <f aca="false">WORKDAY(A27,1,holiday!$B$2:$B$10)</f>
        <v>38755</v>
      </c>
      <c r="B28" s="24" t="n">
        <v>1089908.75887758</v>
      </c>
      <c r="C28" s="24" t="n">
        <f aca="false">B28-B27</f>
        <v>-34984.1700909205</v>
      </c>
      <c r="D28" s="5" t="n">
        <f aca="false">C28/B27</f>
        <v>-0.0311</v>
      </c>
      <c r="E28" s="5" t="n">
        <f aca="false" t="array" ref="E28:E28">PRODUCT(1+$D$4:D28)-1</f>
        <v>0.089908758877584</v>
      </c>
      <c r="F28" s="45" t="n">
        <f aca="false">E28/COUNT($E$4:E28)</f>
        <v>0.00359635035510336</v>
      </c>
      <c r="G28" s="5" t="n">
        <f aca="false">F28*252</f>
        <v>0.906280289486046</v>
      </c>
      <c r="H28" s="46" t="n">
        <f aca="false">IF(D28&lt;F28,D28-F28,"")</f>
        <v>-0.0346963503551034</v>
      </c>
      <c r="I28" s="46" t="n">
        <f aca="false">IF(D28&lt;AVERAGE($D$24:D28),D28-AVERAGE($D$24:D28),"")</f>
        <v>-0.02968</v>
      </c>
      <c r="J28" s="0" t="n">
        <f aca="false">IF(ISBLANK(A29),MONTH(A28),IF(MONTH(A29)-MONTH(A28)=1,MONTH(A28),0))</f>
        <v>0</v>
      </c>
      <c r="K28" s="0" t="str">
        <f aca="false">IF(B29&gt;B28,IF(AND(B27&gt;B28,B29&gt;B28),"min",""),IF(AND(B27&gt;B28,B29&gt;B28),"",IF(AND(B27&lt;B28,B29&lt;B28),"max","")))</f>
        <v>min</v>
      </c>
      <c r="L28" s="0" t="n">
        <f aca="false">IF(K28="min",COUNTIF(K$4:K28,"min"),IF(K28="max",COUNTIF(K$4:K28,"max"),""))</f>
        <v>8</v>
      </c>
      <c r="M28" s="24" t="n">
        <f aca="false" t="array" ref="M28:M28">IF($K$3=0,IF(K28="min",INDEX($B$4:$B$254,(MATCH(1,($K$4:$K$254="max")*($L$4:$L$254=(L28-1)),0))),""),IF($K$3=1,IF(K28="min",INDEX($B$4:$B$254,(MATCH(1,($K$4:$K$254="max")*($L$4:$L$254=(L28)),0))),""),""))</f>
        <v>1124892.9289685</v>
      </c>
      <c r="N28" s="29" t="n">
        <f aca="false">IF(AND(K26=0,K28="min",L28=1),B28-B27,IF(K28="min",B28-M28,""))</f>
        <v>-34984.1700909201</v>
      </c>
      <c r="O28" s="34" t="n">
        <f aca="false">IF(AND(K26=0,K28="min",L28=1),(B28-B27)/B27,IF(K28="min",(B28-M28)/M28,""))</f>
        <v>-0.0310999999999997</v>
      </c>
      <c r="P28" s="19" t="n">
        <f aca="false">D28-s_p!H28</f>
        <v>-0.0230052663199001</v>
      </c>
      <c r="Q28" s="19" t="n">
        <f aca="false">IF(P28&lt;0, P28^2, 0)</f>
        <v>0.00052924227844953</v>
      </c>
      <c r="R28" s="5"/>
      <c r="S28" s="5"/>
      <c r="T28" s="5"/>
      <c r="U28" s="5"/>
      <c r="V28" s="5"/>
      <c r="W28" s="0" t="n">
        <f aca="false">IF(ISERROR(MATCH(WORKDAY(X27,1,holiday!$B$2:$B$10),A:A,0)),MATCH(MAX(A:A),A:A,0)+1,MATCH(WORKDAY(X27,1,holiday!$B$2:$B$10),A:A,0))</f>
        <v>107</v>
      </c>
      <c r="X28" s="73" t="n">
        <f aca="false">EOMONTH(X27,1)</f>
        <v>38898</v>
      </c>
      <c r="Y28" s="24" t="n">
        <f aca="false">INDEX($B$4:$B$254,MATCH(MONTH(X28),$J$4:$J$254,0))</f>
        <v>920326.692013839</v>
      </c>
      <c r="Z28" s="74" t="n">
        <f aca="false">Y28-Y27</f>
        <v>-307263.631786011</v>
      </c>
      <c r="AA28" s="5" t="n">
        <f aca="false">Z28/Y27</f>
        <v>-0.250298186478788</v>
      </c>
      <c r="AB28" s="5" t="n">
        <f aca="false" t="array" ref="AB28:AB28">PRODUCT(1+AA26:AA28)-1</f>
        <v>-0.070874140940125</v>
      </c>
      <c r="AC28" s="5" t="n">
        <f aca="false" t="array" ref="AC28:AC28">PRODUCT(1+AA23:AA28)-1</f>
        <v>-0.0796733079861608</v>
      </c>
      <c r="AD28" s="67"/>
      <c r="AE28" s="55" t="n">
        <f aca="true">AVERAGE(INDIRECT($D$1&amp;$W28):INDIRECT($D$1&amp;$W29-1))</f>
        <v>-0.0125818181818182</v>
      </c>
      <c r="AF28" s="55" t="n">
        <f aca="true">AVERAGE(INDIRECT($D$1&amp;$W26):INDIRECT($D$1&amp;$W29-1))</f>
        <v>-0.000703174603174603</v>
      </c>
      <c r="AG28" s="55" t="n">
        <f aca="true">AVERAGE(INDIRECT($D$1&amp;$W23):INDIRECT($D$1&amp;$W29-1))</f>
        <v>-0.000236799999999992</v>
      </c>
      <c r="AH28" s="55"/>
      <c r="AI28" s="5" t="n">
        <f aca="true">STDEV(INDIRECT($D$1&amp;$W28):INDIRECT($D$1&amp;$W29-1))*SQRT(COUNT(INDIRECT($D$1&amp;$W28):INDIRECT($D$1&amp;$W29-1)))</f>
        <v>0.140411266675875</v>
      </c>
      <c r="AJ28" s="5" t="n">
        <f aca="true">STDEV(INDIRECT($D$1&amp;$W26):INDIRECT($D$1&amp;$W29-1))*SQRT(COUNT(INDIRECT($D$1&amp;$W26):INDIRECT($D$1&amp;$W29-1)))</f>
        <v>0.243417728036765</v>
      </c>
      <c r="AK28" s="5" t="n">
        <f aca="true">STDEV(INDIRECT($D$1&amp;$W23):INDIRECT($D$1&amp;$W29-1))*SQRT(COUNT(INDIRECT($D$1&amp;$W23):INDIRECT($D$1&amp;$W29-1)))</f>
        <v>0.327941820174486</v>
      </c>
      <c r="AL28" s="67"/>
      <c r="AM28" s="75" t="n">
        <f aca="false">BW28/CA28*SQRT(252)</f>
        <v>-6.14844335606626</v>
      </c>
      <c r="AN28" s="75" t="n">
        <f aca="false">BX28/CB28*SQRT(252)</f>
        <v>-0.218947337773239</v>
      </c>
      <c r="AO28" s="75" t="n">
        <f aca="false">BY28/CC28*SQRT(252)</f>
        <v>-0.212629116546458</v>
      </c>
      <c r="AP28" s="77"/>
      <c r="AQ28" s="19" t="n">
        <f aca="false">BG28/BK28</f>
        <v>-0.338673868365984</v>
      </c>
      <c r="AR28" s="19" t="n">
        <f aca="false">BH28/BL28</f>
        <v>0.262041731502544</v>
      </c>
      <c r="AS28" s="19" t="n">
        <f aca="false">BI28/BM28</f>
        <v>0.149321033405089</v>
      </c>
      <c r="AT28" s="78"/>
      <c r="AU28" s="19" t="n">
        <f aca="false">AE28-(AQ28*s_p!Z13)</f>
        <v>-0.0125643780671462</v>
      </c>
      <c r="AV28" s="19" t="n">
        <f aca="false">AF28-(AR28*s_p!AA13)</f>
        <v>-0.000631563833176413</v>
      </c>
      <c r="AW28" s="19" t="n">
        <f aca="false">AG28-(AS28*s_p!AB13)</f>
        <v>-0.000261291532201834</v>
      </c>
      <c r="AX28" s="78"/>
      <c r="AY28" s="24" t="n">
        <f aca="true">IF(INDEX(INDIRECT($A$1&amp;$W28&amp;":"&amp;$A$1&amp;$W29-1),MATCH(MIN(INDIRECT($B$1&amp;$W28&amp;":"&amp;$B$1&amp;$W29-1)),INDIRECT($B$1&amp;$W28&amp;":"&amp;$B$1&amp;$W29-1),0))&gt;INDEX(INDIRECT($A$1&amp;$W28&amp;":"&amp;$A$1&amp;$W29-1),MATCH(MAX(INDIRECT($B$1&amp;$W28&amp;":"&amp;$B$1&amp;$W29-1)),INDIRECT($B$1&amp;$W28&amp;":"&amp;$B$1&amp;$W29-1),0)),MIN(INDIRECT($B$1&amp;$W28&amp;":"&amp;$B$1&amp;$W29-1))-MAX(INDIRECT($B$1&amp;$W28&amp;":"&amp;$B$1&amp;$W29-1)),IF(AND(MATCH(MAX(INDIRECT($B$1&amp;MATCH(MIN(INDIRECT($B$1&amp;$W28&amp;":"&amp;$B$1&amp;$W29-1)),INDIRECT($B$1&amp;$W28&amp;":"&amp;$B$1&amp;$W29-1),0)+ROW(INDIRECT($B$1&amp;$W28&amp;":"&amp;$B$1&amp;$W29-1))&amp;":"&amp;$B$1&amp;MATCH(MAX(INDIRECT($B$1&amp;$W28&amp;":"&amp;$B$1&amp;$W29-1)),INDIRECT($B$1&amp;$W28&amp;":"&amp;$B$1&amp;$W29-1),0)+ROW(INDIRECT($B$1&amp;$W28&amp;":"&amp;$B$1&amp;$W29-1))-2)),INDIRECT($B$1&amp;$W28&amp;":"&amp;$B$1&amp;$W29-1),0)=MATCH(MAX(INDIRECT($B$1&amp;$W28&amp;":"&amp;$B$1&amp;$W29-1)),INDIRECT($B$1&amp;$W28&amp;":"&amp;$B$1&amp;$W29-1),0)-1,MATCH(MIN(INDIRECT($B$1&amp;MATCH(MIN(INDIRECT($B$1&amp;$W28&amp;":"&amp;$B$1&amp;$W29-1)),INDIRECT($B$1&amp;$W28&amp;":"&amp;$B$1&amp;$W29-1),0)+ROW(INDIRECT($B$1&amp;$W28&amp;":"&amp;$B$1&amp;$W29-1))&amp;":"&amp;$B$1&amp;MATCH(MAX(INDIRECT($B$1&amp;$W28&amp;":"&amp;$B$1&amp;$W29-1)),INDIRECT($B$1&amp;$W28&amp;":"&amp;$B$1&amp;$W29-1),0)+ROW(INDIRECT($B$1&amp;$W28&amp;":"&amp;$B$1&amp;$W29-1))-2)),INDIRECT($B$1&amp;$W28&amp;":"&amp;$B$1&amp;$W29-1),0)=MATCH(MIN(INDIRECT($B$1&amp;$W28&amp;":"&amp;$B$1&amp;$W29-1)),INDIRECT($B$1&amp;$W28&amp;":"&amp;$B$1&amp;$W29-1),0)+1),MIN(MIN(INDIRECT($B$1&amp;MATCH(MAX(INDIRECT($B$1&amp;$W28&amp;":"&amp;$B$1&amp;$W29-1)),INDIRECT($B$1&amp;$W28&amp;":"&amp;$B$1&amp;$W29-1),0)+ROW(INDIRECT($B$1&amp;$W28&amp;":"&amp;$B$1&amp;$W29-1))&amp;":"&amp;$B$1&amp;W29-1))-MAX(INDIRECT($B$1&amp;$W28&amp;":"&amp;$B$1&amp;$W29-1)),MIN(INDIRECT($B$1&amp;$W28&amp;":"&amp;$B$1&amp;$W29-1))-MAX(INDIRECT($B$1&amp;W28&amp;":"&amp;$B$1&amp;MATCH(MIN(INDIRECT($B$1&amp;$W28&amp;":"&amp;$B$1&amp;$W29-1)),INDIRECT($B$1&amp;$W28&amp;":"&amp;$B$1&amp;$W29-1),0)+ROW(INDIRECT($B$1&amp;$W28&amp;":"&amp;$B$1&amp;$W29-1))-2))),"more"))</f>
        <v>-352153.939771111</v>
      </c>
      <c r="AZ28" s="24" t="n">
        <f aca="true">IF(INDEX(INDIRECT($A$1&amp;$W26&amp;":"&amp;$A$1&amp;$W29-1),MATCH(MIN(INDIRECT($B$1&amp;$W26&amp;":"&amp;$B$1&amp;$W29-1)),INDIRECT($B$1&amp;$W26&amp;":"&amp;$B$1&amp;$W29-1),0))&gt;INDEX(INDIRECT($A$1&amp;$W26&amp;":"&amp;$A$1&amp;$W29-1),MATCH(MAX(INDIRECT($B$1&amp;$W26&amp;":"&amp;$B$1&amp;$W29-1)),INDIRECT($B$1&amp;$W26&amp;":"&amp;$B$1&amp;$W29-1),0)),MIN(INDIRECT($B$1&amp;$W26&amp;":"&amp;$B$1&amp;$W29-1))-MAX(INDIRECT($B$1&amp;$W26&amp;":"&amp;$B$1&amp;$W29-1)),IF(AND(MATCH(MAX(INDIRECT($B$1&amp;MATCH(MIN(INDIRECT($B$1&amp;$W26&amp;":"&amp;$B$1&amp;$W29-1)),INDIRECT($B$1&amp;$W26&amp;":"&amp;$B$1&amp;$W29-1),0)+ROW(INDIRECT($B$1&amp;$W26&amp;":"&amp;$B$1&amp;$W29-1))&amp;":"&amp;$B$1&amp;MATCH(MAX(INDIRECT($B$1&amp;$W26&amp;":"&amp;$B$1&amp;$W29-1)),INDIRECT($B$1&amp;$W26&amp;":"&amp;$B$1&amp;$W29-1),0)+ROW(INDIRECT($B$1&amp;$W26&amp;":"&amp;$B$1&amp;$W29-1))-2)),INDIRECT($B$1&amp;$W26&amp;":"&amp;$B$1&amp;$W29-1),0)=MATCH(MAX(INDIRECT($B$1&amp;$W26&amp;":"&amp;$B$1&amp;$W29-1)),INDIRECT($B$1&amp;$W26&amp;":"&amp;$B$1&amp;$W29-1),0)-1,MATCH(MIN(INDIRECT($B$1&amp;MATCH(MIN(INDIRECT($B$1&amp;$W26&amp;":"&amp;$B$1&amp;$W29-1)),INDIRECT($B$1&amp;$W26&amp;":"&amp;$B$1&amp;$W29-1),0)+ROW(INDIRECT($B$1&amp;$W26&amp;":"&amp;$B$1&amp;$W29-1))&amp;":"&amp;$B$1&amp;MATCH(MAX(INDIRECT($B$1&amp;$W26&amp;":"&amp;$B$1&amp;$W29-1)),INDIRECT($B$1&amp;$W26&amp;":"&amp;$B$1&amp;$W29-1),0)+ROW(INDIRECT($B$1&amp;$W26&amp;":"&amp;$B$1&amp;$W29-1))-2)),INDIRECT($B$1&amp;$W26&amp;":"&amp;$B$1&amp;$W29-1),0)=MATCH(MIN(INDIRECT($B$1&amp;$W26&amp;":"&amp;$B$1&amp;$W29-1)),INDIRECT($B$1&amp;$W26&amp;":"&amp;$B$1&amp;$W29-1),0)+1),MIN(MIN(INDIRECT($B$1&amp;MATCH(MAX(INDIRECT($B$1&amp;$W26&amp;":"&amp;$B$1&amp;$W29-1)),INDIRECT($B$1&amp;$W26&amp;":"&amp;$B$1&amp;$W29-1),0)+ROW(INDIRECT($B$1&amp;$W26&amp;":"&amp;$B$1&amp;$W29-1))&amp;":"&amp;$B$1&amp;X29-1))-MAX(INDIRECT($B$1&amp;$W26&amp;":"&amp;$B$1&amp;$W29-1)),MIN(INDIRECT($B$1&amp;$W26&amp;":"&amp;$B$1&amp;$W29-1))-MAX(INDIRECT($B$1&amp;X28&amp;":"&amp;$B$1&amp;MATCH(MIN(INDIRECT($B$1&amp;$W26&amp;":"&amp;$B$1&amp;$W29-1)),INDIRECT($B$1&amp;$W26&amp;":"&amp;$B$1&amp;$W29-1),0)+ROW(INDIRECT($B$1&amp;$W26&amp;":"&amp;$B$1&amp;$W29-1))-2))),"more"))</f>
        <v>-359803.192279261</v>
      </c>
      <c r="BA28" s="24" t="str">
        <f aca="true">IF(INDEX(INDIRECT($A$1&amp;$W23&amp;":"&amp;$A$1&amp;$W29-1),MATCH(MIN(INDIRECT($B$1&amp;$W23&amp;":"&amp;$B$1&amp;$W29-1)),INDIRECT($B$1&amp;$W23&amp;":"&amp;$B$1&amp;$W29-1),0))&gt;INDEX(INDIRECT($A$1&amp;$W23&amp;":"&amp;$A$1&amp;$W29-1),MATCH(MAX(INDIRECT($B$1&amp;$W23&amp;":"&amp;$B$1&amp;$W29-1)),INDIRECT($B$1&amp;$W23&amp;":"&amp;$B$1&amp;$W29-1),0)),MIN(INDIRECT($B$1&amp;$W23&amp;":"&amp;$B$1&amp;$W29-1))-MAX(INDIRECT($B$1&amp;$W23&amp;":"&amp;$B$1&amp;$W29-1)),IF(AND(MATCH(MAX(INDIRECT($B$1&amp;MATCH(MIN(INDIRECT($B$1&amp;$W23&amp;":"&amp;$B$1&amp;$W29-1)),INDIRECT($B$1&amp;$W23&amp;":"&amp;$B$1&amp;$W29-1),0)+ROW(INDIRECT($B$1&amp;$W23&amp;":"&amp;$B$1&amp;$W29-1))&amp;":"&amp;$B$1&amp;MATCH(MAX(INDIRECT($B$1&amp;$W23&amp;":"&amp;$B$1&amp;$W29-1)),INDIRECT($B$1&amp;$W23&amp;":"&amp;$B$1&amp;$W29-1),0)+ROW(INDIRECT($B$1&amp;$W23&amp;":"&amp;$B$1&amp;$W29-1))-2)),INDIRECT($B$1&amp;$W23&amp;":"&amp;$B$1&amp;$W29-1),0)=MATCH(MAX(INDIRECT($B$1&amp;$W23&amp;":"&amp;$B$1&amp;$W29-1)),INDIRECT($B$1&amp;$W23&amp;":"&amp;$B$1&amp;$W29-1),0)-1,MATCH(MIN(INDIRECT($B$1&amp;MATCH(MIN(INDIRECT($B$1&amp;$W23&amp;":"&amp;$B$1&amp;$W29-1)),INDIRECT($B$1&amp;$W23&amp;":"&amp;$B$1&amp;$W29-1),0)+ROW(INDIRECT($B$1&amp;$W23&amp;":"&amp;$B$1&amp;$W29-1))&amp;":"&amp;$B$1&amp;MATCH(MAX(INDIRECT($B$1&amp;$W23&amp;":"&amp;$B$1&amp;$W29-1)),INDIRECT($B$1&amp;$W23&amp;":"&amp;$B$1&amp;$W29-1),0)+ROW(INDIRECT($B$1&amp;$W23&amp;":"&amp;$B$1&amp;$W29-1))-2)),INDIRECT($B$1&amp;$W23&amp;":"&amp;$B$1&amp;$W29-1),0)=MATCH(MIN(INDIRECT($B$1&amp;$W23&amp;":"&amp;$B$1&amp;$W29-1)),INDIRECT($B$1&amp;$W23&amp;":"&amp;$B$1&amp;$W29-1),0)+1),MIN(MIN(INDIRECT($B$1&amp;MATCH(MAX(INDIRECT($B$1&amp;$W23&amp;":"&amp;$B$1&amp;$W29-1)),INDIRECT($B$1&amp;$W23&amp;":"&amp;$B$1&amp;$W29-1),0)+ROW(INDIRECT($B$1&amp;$W23&amp;":"&amp;$B$1&amp;$W29-1))&amp;":"&amp;$B$1&amp;Y29-1))-MAX(INDIRECT($B$1&amp;$W23&amp;":"&amp;$B$1&amp;$W29-1)),MIN(INDIRECT($B$1&amp;$W23&amp;":"&amp;$B$1&amp;$W29-1))-MAX(INDIRECT($B$1&amp;Y28&amp;":"&amp;$B$1&amp;MATCH(MIN(INDIRECT($B$1&amp;$W23&amp;":"&amp;$B$1&amp;$W29-1)),INDIRECT($B$1&amp;$W23&amp;":"&amp;$B$1&amp;$W29-1),0)+ROW(INDIRECT($B$1&amp;$W23&amp;":"&amp;$B$1&amp;$W29-1))-2))),"more"))</f>
        <v>more</v>
      </c>
      <c r="BB28" s="67"/>
      <c r="BC28" s="79"/>
      <c r="BD28" s="79"/>
      <c r="BE28" s="79"/>
      <c r="BF28" s="79"/>
      <c r="BG28" s="80" t="n">
        <f aca="true">_xlfn.COVARIANCE.S(INDIRECT($D$1&amp;$W28):INDIRECT($D$1&amp;$W29-1),INDIRECT("s_p!"&amp;s_p!$H$1&amp;s_p!$M13&amp;":"&amp;s_p!$H$1&amp;s_p!$M14-1))</f>
        <v>-3.38721842097876E-005</v>
      </c>
      <c r="BH28" s="80" t="n">
        <f aca="true">_xlfn.COVARIANCE.S(INDIRECT($D$1&amp;$W26):INDIRECT($D$1&amp;$W29-1),INDIRECT("s_p!"&amp;s_p!$H$1&amp;$W26&amp;":"&amp;s_p!$H$1&amp;$W29-1))</f>
        <v>1.70655859938827E-005</v>
      </c>
      <c r="BI28" s="80" t="n">
        <f aca="true">_xlfn.COVARIANCE.S(INDIRECT($D$1&amp;$W23):INDIRECT($D$1&amp;$W29-1),INDIRECT("s_p!"&amp;s_p!$H$1&amp;$W23&amp;":"&amp;s_p!$H$1&amp;$W29-1))</f>
        <v>7.47415691653573E-006</v>
      </c>
      <c r="BJ28" s="82"/>
      <c r="BK28" s="80" t="n">
        <f aca="true">_xlfn.VAR.S(INDIRECT("s_p!"&amp;s_p!$H$1&amp;s_p!$M13&amp;":"&amp;s_p!$H$1&amp;s_p!$M14-1))</f>
        <v>0.000100014165170795</v>
      </c>
      <c r="BL28" s="80" t="n">
        <f aca="true">_xlfn.VAR.S(INDIRECT("s_p!"&amp;s_p!$H$1&amp;$W26&amp;":"&amp;s_p!$H$1&amp;$W29-1))</f>
        <v>6.51254511868354E-005</v>
      </c>
      <c r="BM28" s="80" t="n">
        <f aca="true">_xlfn.VAR.S(INDIRECT("s_p!"&amp;s_p!$H$1&amp;$W23&amp;":"&amp;s_p!$H$1&amp;$W29-1))</f>
        <v>5.00542806736362E-005</v>
      </c>
      <c r="BN28" s="83"/>
      <c r="BO28" s="55" t="n">
        <f aca="true">SQRT(AVERAGE(INDIRECT($Q$1&amp;$W28):INDIRECT($Q$1&amp;$W29-1))) * SQRT(252)</f>
        <v>0.450945855142372</v>
      </c>
      <c r="BP28" s="55" t="n">
        <f aca="true">SQRT(AVERAGE(INDIRECT($Q$1&amp;$W26):INDIRECT($Q$1&amp;$W29-1))) * SQRT(252)</f>
        <v>0.344814104197522</v>
      </c>
      <c r="BQ28" s="55" t="n">
        <f aca="true">SQRT(AVERAGE(INDIRECT($Q$1&amp;$W23):INDIRECT($Q$1&amp;$W29-1))) * SQRT(252)</f>
        <v>0.337240287139471</v>
      </c>
      <c r="BR28" s="56"/>
      <c r="BS28" s="20" t="n">
        <f aca="false">BW28/BO28 * 252</f>
        <v>-7.05981652290301</v>
      </c>
      <c r="BT28" s="20" t="n">
        <f aca="false">BX28/BP28 * 252</f>
        <v>-0.314179244071383</v>
      </c>
      <c r="BU28" s="20" t="n">
        <f aca="false">BY28/BQ28 * 252</f>
        <v>-0.299508892763702</v>
      </c>
      <c r="BV28" s="84"/>
      <c r="BW28" s="56" t="n">
        <f aca="true">AVERAGE(INDIRECT($P$1&amp;$W28):INDIRECT($P$1&amp;$W29-1))</f>
        <v>-0.012633313488368</v>
      </c>
      <c r="BX28" s="56" t="n">
        <f aca="true">AVERAGE(INDIRECT($P$1&amp;$W26):INDIRECT($P$1&amp;$W29-1))</f>
        <v>-0.000429894581753685</v>
      </c>
      <c r="BY28" s="56" t="n">
        <f aca="true">AVERAGE(INDIRECT($P$1&amp;$W23):INDIRECT($P$1&amp;$W29-1))</f>
        <v>-0.000400819305541491</v>
      </c>
      <c r="BZ28" s="56"/>
      <c r="CA28" s="56" t="n">
        <f aca="true">STDEV(INDIRECT($P$1&amp;$W28):INDIRECT($P$1&amp;$W29-1))</f>
        <v>0.0326176273790945</v>
      </c>
      <c r="CB28" s="56" t="n">
        <f aca="true">STDEV(INDIRECT($P$1&amp;$W26):INDIRECT($P$1&amp;$W29-1))</f>
        <v>0.0311689787561343</v>
      </c>
      <c r="CC28" s="56" t="n">
        <f aca="true">STDEV(INDIRECT($P$1&amp;$W23):INDIRECT($P$1&amp;$W29-1))</f>
        <v>0.0299244493047976</v>
      </c>
      <c r="CD28" s="56"/>
    </row>
    <row r="29" customFormat="false" ht="13.8" hidden="false" customHeight="false" outlineLevel="0" collapsed="false">
      <c r="A29" s="6" t="n">
        <f aca="false">WORKDAY(A28,1,holiday!$B$2:$B$10)</f>
        <v>38756</v>
      </c>
      <c r="B29" s="24" t="n">
        <v>1090235.73150525</v>
      </c>
      <c r="C29" s="24" t="n">
        <f aca="false">B29-B28</f>
        <v>326.972627663286</v>
      </c>
      <c r="D29" s="5" t="n">
        <f aca="false">C29/B28</f>
        <v>0.00030000000000001</v>
      </c>
      <c r="E29" s="5" t="n">
        <f aca="false" t="array" ref="E29:E29">PRODUCT(1+$D$4:D29)-1</f>
        <v>0.0902357315052473</v>
      </c>
      <c r="F29" s="45" t="n">
        <f aca="false">E29/COUNT($E$4:E29)</f>
        <v>0.00347060505789413</v>
      </c>
      <c r="G29" s="5" t="n">
        <f aca="false">F29*252</f>
        <v>0.87459247458932</v>
      </c>
      <c r="H29" s="46" t="n">
        <f aca="false">IF(D29&lt;F29,D29-F29,"")</f>
        <v>-0.00317060505789412</v>
      </c>
      <c r="I29" s="46" t="str">
        <f aca="false">IF(D29&lt;AVERAGE($D$24:D29),D29-AVERAGE($D$24:D29),"")</f>
        <v/>
      </c>
      <c r="J29" s="0" t="n">
        <f aca="false">IF(ISBLANK(A30),MONTH(A29),IF(MONTH(A30)-MONTH(A29)=1,MONTH(A29),0))</f>
        <v>0</v>
      </c>
      <c r="K29" s="0" t="str">
        <f aca="false">IF(B30&gt;B29,IF(AND(B28&gt;B29,B30&gt;B29),"min",""),IF(AND(B28&gt;B29,B30&gt;B29),"",IF(AND(B28&lt;B29,B30&lt;B29),"max","")))</f>
        <v/>
      </c>
      <c r="L29" s="0" t="str">
        <f aca="false">IF(K29="min",COUNTIF(K$4:K29,"min"),IF(K29="max",COUNTIF(K$4:K29,"max"),""))</f>
        <v/>
      </c>
      <c r="M29" s="24" t="str">
        <f aca="false" t="array" ref="M29:M29">IF($K$3=0,IF(K29="min",INDEX($B$4:$B$254,(MATCH(1,($K$4:$K$254="max")*($L$4:$L$254=(L29-1)),0))),""),IF($K$3=1,IF(K29="min",INDEX($B$4:$B$254,(MATCH(1,($K$4:$K$254="max")*($L$4:$L$254=(L29)),0))),""),""))</f>
        <v/>
      </c>
      <c r="N29" s="29" t="str">
        <f aca="false">IF(AND(K27=0,K29="min",L29=1),B29-B28,IF(K29="min",B29-M29,""))</f>
        <v/>
      </c>
      <c r="O29" s="34" t="str">
        <f aca="false">IF(AND(K27=0,K29="min",L29=1),(B29-B28)/B28,IF(K29="min",(B29-M29)/M29,""))</f>
        <v/>
      </c>
      <c r="P29" s="19" t="n">
        <f aca="false">D29-s_p!H29</f>
        <v>-0.00836287317298652</v>
      </c>
      <c r="Q29" s="19" t="n">
        <f aca="false">IF(P29&lt;0, P29^2, 0)</f>
        <v>6.99376477074576E-005</v>
      </c>
      <c r="R29" s="5"/>
      <c r="S29" s="5"/>
      <c r="T29" s="5"/>
      <c r="U29" s="5"/>
      <c r="V29" s="5"/>
      <c r="W29" s="0" t="n">
        <f aca="false">IF(ISERROR(MATCH(WORKDAY(X28,1,holiday!$B$2:$B$10),A:A,0)),MATCH(MAX(A:A),A:A,0)+1,MATCH(WORKDAY(X28,1,holiday!$B$2:$B$10),A:A,0))</f>
        <v>129</v>
      </c>
      <c r="X29" s="73" t="n">
        <f aca="false">EOMONTH(X28,1)</f>
        <v>38929</v>
      </c>
      <c r="Y29" s="24" t="n">
        <f aca="false">INDEX($B$4:$B$254,MATCH(MONTH(X29),$J$4:$J$254,0))</f>
        <v>990278.414160642</v>
      </c>
      <c r="Z29" s="74" t="n">
        <f aca="false">Y29-Y28</f>
        <v>69951.7221468029</v>
      </c>
      <c r="AA29" s="5" t="n">
        <f aca="false">Z29/Y28</f>
        <v>0.0760074903333903</v>
      </c>
      <c r="AB29" s="5" t="n">
        <f aca="false" t="array" ref="AB29:AB29">PRODUCT(1+AA27:AA29)-1</f>
        <v>-0.0847378758346818</v>
      </c>
      <c r="AC29" s="5" t="n">
        <f aca="false" t="array" ref="AC29:AC29">PRODUCT(1+AA24:AA29)-1</f>
        <v>-0.100512823660975</v>
      </c>
      <c r="AD29" s="67"/>
      <c r="AE29" s="55" t="n">
        <f aca="true">AVERAGE(INDIRECT($D$1&amp;$W29):INDIRECT($D$1&amp;$W30-1))</f>
        <v>0.00414500000000001</v>
      </c>
      <c r="AF29" s="55" t="n">
        <f aca="true">AVERAGE(INDIRECT($D$1&amp;$W27):INDIRECT($D$1&amp;$W30-1))</f>
        <v>-0.000928124999999991</v>
      </c>
      <c r="AG29" s="55" t="n">
        <f aca="true">AVERAGE(INDIRECT($D$1&amp;$W24):INDIRECT($D$1&amp;$W30-1))</f>
        <v>-0.000415999999999996</v>
      </c>
      <c r="AH29" s="55"/>
      <c r="AI29" s="5" t="n">
        <f aca="true">STDEV(INDIRECT($D$1&amp;$W29):INDIRECT($D$1&amp;$W30-1))*SQRT(COUNT(INDIRECT($D$1&amp;$W29):INDIRECT($D$1&amp;$W30-1)))</f>
        <v>0.141271405457722</v>
      </c>
      <c r="AJ29" s="5" t="n">
        <f aca="true">STDEV(INDIRECT($D$1&amp;$W27):INDIRECT($D$1&amp;$W30-1))*SQRT(COUNT(INDIRECT($D$1&amp;$W27):INDIRECT($D$1&amp;$W30-1)))</f>
        <v>0.24296243487812</v>
      </c>
      <c r="AK29" s="5" t="n">
        <f aca="true">STDEV(INDIRECT($D$1&amp;$W24):INDIRECT($D$1&amp;$W30-1))*SQRT(COUNT(INDIRECT($D$1&amp;$W24):INDIRECT($D$1&amp;$W30-1)))</f>
        <v>0.329434308640854</v>
      </c>
      <c r="AL29" s="67"/>
      <c r="AM29" s="75" t="n">
        <f aca="false">BW29/CA29*SQRT(252)</f>
        <v>1.7001741555898</v>
      </c>
      <c r="AN29" s="75" t="n">
        <f aca="false">BX29/CB29*SQRT(252)</f>
        <v>-0.2748590365962</v>
      </c>
      <c r="AO29" s="75" t="n">
        <f aca="false">BY29/CC29*SQRT(252)</f>
        <v>-0.216769644939634</v>
      </c>
      <c r="AP29" s="77"/>
      <c r="AQ29" s="19" t="n">
        <f aca="false">BG29/BK29</f>
        <v>-1.45417686170933</v>
      </c>
      <c r="AR29" s="19" t="n">
        <f aca="false">BH29/BL29</f>
        <v>-0.207238846523303</v>
      </c>
      <c r="AS29" s="19" t="n">
        <f aca="false">BI29/BM29</f>
        <v>-0.275845769850483</v>
      </c>
      <c r="AT29" s="78"/>
      <c r="AU29" s="19" t="n">
        <f aca="false">AE29-(AQ29*s_p!Z14)</f>
        <v>0.00456635296131233</v>
      </c>
      <c r="AV29" s="19" t="n">
        <f aca="false">AF29-(AR29*s_p!AA14)</f>
        <v>-0.00100518641679224</v>
      </c>
      <c r="AW29" s="19" t="n">
        <f aca="false">AG29-(AS29*s_p!AB14)</f>
        <v>-0.000414539715063746</v>
      </c>
      <c r="AX29" s="78"/>
      <c r="AY29" s="24" t="str">
        <f aca="true">IF(INDEX(INDIRECT($A$1&amp;$W29&amp;":"&amp;$A$1&amp;$W30-1),MATCH(MIN(INDIRECT($B$1&amp;$W29&amp;":"&amp;$B$1&amp;$W30-1)),INDIRECT($B$1&amp;$W29&amp;":"&amp;$B$1&amp;$W30-1),0))&gt;INDEX(INDIRECT($A$1&amp;$W29&amp;":"&amp;$A$1&amp;$W30-1),MATCH(MAX(INDIRECT($B$1&amp;$W29&amp;":"&amp;$B$1&amp;$W30-1)),INDIRECT($B$1&amp;$W29&amp;":"&amp;$B$1&amp;$W30-1),0)),MIN(INDIRECT($B$1&amp;$W29&amp;":"&amp;$B$1&amp;$W30-1))-MAX(INDIRECT($B$1&amp;$W29&amp;":"&amp;$B$1&amp;$W30-1)),IF(AND(MATCH(MAX(INDIRECT($B$1&amp;MATCH(MIN(INDIRECT($B$1&amp;$W29&amp;":"&amp;$B$1&amp;$W30-1)),INDIRECT($B$1&amp;$W29&amp;":"&amp;$B$1&amp;$W30-1),0)+ROW(INDIRECT($B$1&amp;$W29&amp;":"&amp;$B$1&amp;$W30-1))&amp;":"&amp;$B$1&amp;MATCH(MAX(INDIRECT($B$1&amp;$W29&amp;":"&amp;$B$1&amp;$W30-1)),INDIRECT($B$1&amp;$W29&amp;":"&amp;$B$1&amp;$W30-1),0)+ROW(INDIRECT($B$1&amp;$W29&amp;":"&amp;$B$1&amp;$W30-1))-2)),INDIRECT($B$1&amp;$W29&amp;":"&amp;$B$1&amp;$W30-1),0)=MATCH(MAX(INDIRECT($B$1&amp;$W29&amp;":"&amp;$B$1&amp;$W30-1)),INDIRECT($B$1&amp;$W29&amp;":"&amp;$B$1&amp;$W30-1),0)-1,MATCH(MIN(INDIRECT($B$1&amp;MATCH(MIN(INDIRECT($B$1&amp;$W29&amp;":"&amp;$B$1&amp;$W30-1)),INDIRECT($B$1&amp;$W29&amp;":"&amp;$B$1&amp;$W30-1),0)+ROW(INDIRECT($B$1&amp;$W29&amp;":"&amp;$B$1&amp;$W30-1))&amp;":"&amp;$B$1&amp;MATCH(MAX(INDIRECT($B$1&amp;$W29&amp;":"&amp;$B$1&amp;$W30-1)),INDIRECT($B$1&amp;$W29&amp;":"&amp;$B$1&amp;$W30-1),0)+ROW(INDIRECT($B$1&amp;$W29&amp;":"&amp;$B$1&amp;$W30-1))-2)),INDIRECT($B$1&amp;$W29&amp;":"&amp;$B$1&amp;$W30-1),0)=MATCH(MIN(INDIRECT($B$1&amp;$W29&amp;":"&amp;$B$1&amp;$W30-1)),INDIRECT($B$1&amp;$W29&amp;":"&amp;$B$1&amp;$W30-1),0)+1),MIN(MIN(INDIRECT($B$1&amp;MATCH(MAX(INDIRECT($B$1&amp;$W29&amp;":"&amp;$B$1&amp;$W30-1)),INDIRECT($B$1&amp;$W29&amp;":"&amp;$B$1&amp;$W30-1),0)+ROW(INDIRECT($B$1&amp;$W29&amp;":"&amp;$B$1&amp;$W30-1))&amp;":"&amp;$B$1&amp;W30-1))-MAX(INDIRECT($B$1&amp;$W29&amp;":"&amp;$B$1&amp;$W30-1)),MIN(INDIRECT($B$1&amp;$W29&amp;":"&amp;$B$1&amp;$W30-1))-MAX(INDIRECT($B$1&amp;W29&amp;":"&amp;$B$1&amp;MATCH(MIN(INDIRECT($B$1&amp;$W29&amp;":"&amp;$B$1&amp;$W30-1)),INDIRECT($B$1&amp;$W29&amp;":"&amp;$B$1&amp;$W30-1),0)+ROW(INDIRECT($B$1&amp;$W29&amp;":"&amp;$B$1&amp;$W30-1))-2))),"more"))</f>
        <v>more</v>
      </c>
      <c r="AZ29" s="24" t="n">
        <f aca="true">IF(INDEX(INDIRECT($A$1&amp;$W27&amp;":"&amp;$A$1&amp;$W30-1),MATCH(MIN(INDIRECT($B$1&amp;$W27&amp;":"&amp;$B$1&amp;$W30-1)),INDIRECT($B$1&amp;$W27&amp;":"&amp;$B$1&amp;$W30-1),0))&gt;INDEX(INDIRECT($A$1&amp;$W27&amp;":"&amp;$A$1&amp;$W30-1),MATCH(MAX(INDIRECT($B$1&amp;$W27&amp;":"&amp;$B$1&amp;$W30-1)),INDIRECT($B$1&amp;$W27&amp;":"&amp;$B$1&amp;$W30-1),0)),MIN(INDIRECT($B$1&amp;$W27&amp;":"&amp;$B$1&amp;$W30-1))-MAX(INDIRECT($B$1&amp;$W27&amp;":"&amp;$B$1&amp;$W30-1)),IF(AND(MATCH(MAX(INDIRECT($B$1&amp;MATCH(MIN(INDIRECT($B$1&amp;$W27&amp;":"&amp;$B$1&amp;$W30-1)),INDIRECT($B$1&amp;$W27&amp;":"&amp;$B$1&amp;$W30-1),0)+ROW(INDIRECT($B$1&amp;$W27&amp;":"&amp;$B$1&amp;$W30-1))&amp;":"&amp;$B$1&amp;MATCH(MAX(INDIRECT($B$1&amp;$W27&amp;":"&amp;$B$1&amp;$W30-1)),INDIRECT($B$1&amp;$W27&amp;":"&amp;$B$1&amp;$W30-1),0)+ROW(INDIRECT($B$1&amp;$W27&amp;":"&amp;$B$1&amp;$W30-1))-2)),INDIRECT($B$1&amp;$W27&amp;":"&amp;$B$1&amp;$W30-1),0)=MATCH(MAX(INDIRECT($B$1&amp;$W27&amp;":"&amp;$B$1&amp;$W30-1)),INDIRECT($B$1&amp;$W27&amp;":"&amp;$B$1&amp;$W30-1),0)-1,MATCH(MIN(INDIRECT($B$1&amp;MATCH(MIN(INDIRECT($B$1&amp;$W27&amp;":"&amp;$B$1&amp;$W30-1)),INDIRECT($B$1&amp;$W27&amp;":"&amp;$B$1&amp;$W30-1),0)+ROW(INDIRECT($B$1&amp;$W27&amp;":"&amp;$B$1&amp;$W30-1))&amp;":"&amp;$B$1&amp;MATCH(MAX(INDIRECT($B$1&amp;$W27&amp;":"&amp;$B$1&amp;$W30-1)),INDIRECT($B$1&amp;$W27&amp;":"&amp;$B$1&amp;$W30-1),0)+ROW(INDIRECT($B$1&amp;$W27&amp;":"&amp;$B$1&amp;$W30-1))-2)),INDIRECT($B$1&amp;$W27&amp;":"&amp;$B$1&amp;$W30-1),0)=MATCH(MIN(INDIRECT($B$1&amp;$W27&amp;":"&amp;$B$1&amp;$W30-1)),INDIRECT($B$1&amp;$W27&amp;":"&amp;$B$1&amp;$W30-1),0)+1),MIN(MIN(INDIRECT($B$1&amp;MATCH(MAX(INDIRECT($B$1&amp;$W27&amp;":"&amp;$B$1&amp;$W30-1)),INDIRECT($B$1&amp;$W27&amp;":"&amp;$B$1&amp;$W30-1),0)+ROW(INDIRECT($B$1&amp;$W27&amp;":"&amp;$B$1&amp;$W30-1))&amp;":"&amp;$B$1&amp;X30-1))-MAX(INDIRECT($B$1&amp;$W27&amp;":"&amp;$B$1&amp;$W30-1)),MIN(INDIRECT($B$1&amp;$W27&amp;":"&amp;$B$1&amp;$W30-1))-MAX(INDIRECT($B$1&amp;X29&amp;":"&amp;$B$1&amp;MATCH(MIN(INDIRECT($B$1&amp;$W27&amp;":"&amp;$B$1&amp;$W30-1)),INDIRECT($B$1&amp;$W27&amp;":"&amp;$B$1&amp;$W30-1),0)+ROW(INDIRECT($B$1&amp;$W27&amp;":"&amp;$B$1&amp;$W30-1))-2))),"more"))</f>
        <v>-406063.774319288</v>
      </c>
      <c r="BA29" s="24" t="n">
        <f aca="true">IF(INDEX(INDIRECT($A$1&amp;$W24&amp;":"&amp;$A$1&amp;$W30-1),MATCH(MIN(INDIRECT($B$1&amp;$W24&amp;":"&amp;$B$1&amp;$W30-1)),INDIRECT($B$1&amp;$W24&amp;":"&amp;$B$1&amp;$W30-1),0))&gt;INDEX(INDIRECT($A$1&amp;$W24&amp;":"&amp;$A$1&amp;$W30-1),MATCH(MAX(INDIRECT($B$1&amp;$W24&amp;":"&amp;$B$1&amp;$W30-1)),INDIRECT($B$1&amp;$W24&amp;":"&amp;$B$1&amp;$W30-1),0)),MIN(INDIRECT($B$1&amp;$W24&amp;":"&amp;$B$1&amp;$W30-1))-MAX(INDIRECT($B$1&amp;$W24&amp;":"&amp;$B$1&amp;$W30-1)),IF(AND(MATCH(MAX(INDIRECT($B$1&amp;MATCH(MIN(INDIRECT($B$1&amp;$W24&amp;":"&amp;$B$1&amp;$W30-1)),INDIRECT($B$1&amp;$W24&amp;":"&amp;$B$1&amp;$W30-1),0)+ROW(INDIRECT($B$1&amp;$W24&amp;":"&amp;$B$1&amp;$W30-1))&amp;":"&amp;$B$1&amp;MATCH(MAX(INDIRECT($B$1&amp;$W24&amp;":"&amp;$B$1&amp;$W30-1)),INDIRECT($B$1&amp;$W24&amp;":"&amp;$B$1&amp;$W30-1),0)+ROW(INDIRECT($B$1&amp;$W24&amp;":"&amp;$B$1&amp;$W30-1))-2)),INDIRECT($B$1&amp;$W24&amp;":"&amp;$B$1&amp;$W30-1),0)=MATCH(MAX(INDIRECT($B$1&amp;$W24&amp;":"&amp;$B$1&amp;$W30-1)),INDIRECT($B$1&amp;$W24&amp;":"&amp;$B$1&amp;$W30-1),0)-1,MATCH(MIN(INDIRECT($B$1&amp;MATCH(MIN(INDIRECT($B$1&amp;$W24&amp;":"&amp;$B$1&amp;$W30-1)),INDIRECT($B$1&amp;$W24&amp;":"&amp;$B$1&amp;$W30-1),0)+ROW(INDIRECT($B$1&amp;$W24&amp;":"&amp;$B$1&amp;$W30-1))&amp;":"&amp;$B$1&amp;MATCH(MAX(INDIRECT($B$1&amp;$W24&amp;":"&amp;$B$1&amp;$W30-1)),INDIRECT($B$1&amp;$W24&amp;":"&amp;$B$1&amp;$W30-1),0)+ROW(INDIRECT($B$1&amp;$W24&amp;":"&amp;$B$1&amp;$W30-1))-2)),INDIRECT($B$1&amp;$W24&amp;":"&amp;$B$1&amp;$W30-1),0)=MATCH(MIN(INDIRECT($B$1&amp;$W24&amp;":"&amp;$B$1&amp;$W30-1)),INDIRECT($B$1&amp;$W24&amp;":"&amp;$B$1&amp;$W30-1),0)+1),MIN(MIN(INDIRECT($B$1&amp;MATCH(MAX(INDIRECT($B$1&amp;$W24&amp;":"&amp;$B$1&amp;$W30-1)),INDIRECT($B$1&amp;$W24&amp;":"&amp;$B$1&amp;$W30-1),0)+ROW(INDIRECT($B$1&amp;$W24&amp;":"&amp;$B$1&amp;$W30-1))&amp;":"&amp;$B$1&amp;Y30-1))-MAX(INDIRECT($B$1&amp;$W24&amp;":"&amp;$B$1&amp;$W30-1)),MIN(INDIRECT($B$1&amp;$W24&amp;":"&amp;$B$1&amp;$W30-1))-MAX(INDIRECT($B$1&amp;Y29&amp;":"&amp;$B$1&amp;MATCH(MIN(INDIRECT($B$1&amp;$W24&amp;":"&amp;$B$1&amp;$W30-1)),INDIRECT($B$1&amp;$W24&amp;":"&amp;$B$1&amp;$W30-1),0)+ROW(INDIRECT($B$1&amp;$W24&amp;":"&amp;$B$1&amp;$W30-1))-2))),"more"))</f>
        <v>-406063.774319288</v>
      </c>
      <c r="BB29" s="67"/>
      <c r="BC29" s="79"/>
      <c r="BD29" s="79"/>
      <c r="BE29" s="79"/>
      <c r="BF29" s="79"/>
      <c r="BG29" s="80" t="n">
        <f aca="true">_xlfn.COVARIANCE.S(INDIRECT($D$1&amp;$W29):INDIRECT($D$1&amp;$W30-1),INDIRECT("s_p!"&amp;s_p!$H$1&amp;s_p!$M14&amp;":"&amp;s_p!$H$1&amp;s_p!$M15-1))</f>
        <v>-0.000110824409289497</v>
      </c>
      <c r="BH29" s="80" t="n">
        <f aca="true">_xlfn.COVARIANCE.S(INDIRECT($D$1&amp;$W27):INDIRECT($D$1&amp;$W30-1),INDIRECT("s_p!"&amp;s_p!$H$1&amp;$W27&amp;":"&amp;s_p!$H$1&amp;$W30-1))</f>
        <v>-1.60930503647514E-005</v>
      </c>
      <c r="BI29" s="80" t="n">
        <f aca="true">_xlfn.COVARIANCE.S(INDIRECT($D$1&amp;$W24):INDIRECT($D$1&amp;$W30-1),INDIRECT("s_p!"&amp;s_p!$H$1&amp;$W24&amp;":"&amp;s_p!$H$1&amp;$W30-1))</f>
        <v>-1.48698264662296E-005</v>
      </c>
      <c r="BJ29" s="82"/>
      <c r="BK29" s="80" t="n">
        <f aca="true">_xlfn.VAR.S(INDIRECT("s_p!"&amp;s_p!$H$1&amp;s_p!$M14&amp;":"&amp;s_p!$H$1&amp;s_p!$M15-1))</f>
        <v>7.62110938549986E-005</v>
      </c>
      <c r="BL29" s="80" t="n">
        <f aca="true">_xlfn.VAR.S(INDIRECT("s_p!"&amp;s_p!$H$1&amp;$W27&amp;":"&amp;s_p!$H$1&amp;$W30-1))</f>
        <v>7.765460305697E-005</v>
      </c>
      <c r="BM29" s="80" t="n">
        <f aca="true">_xlfn.VAR.S(INDIRECT("s_p!"&amp;s_p!$H$1&amp;$W24&amp;":"&amp;s_p!$H$1&amp;$W30-1))</f>
        <v>5.39063059560039E-005</v>
      </c>
      <c r="BN29" s="83"/>
      <c r="BO29" s="55" t="n">
        <f aca="true">SQRT(AVERAGE(INDIRECT($Q$1&amp;$W29):INDIRECT($Q$1&amp;$W30-1))) * SQRT(252)</f>
        <v>0.379312614408488</v>
      </c>
      <c r="BP29" s="55" t="n">
        <f aca="true">SQRT(AVERAGE(INDIRECT($Q$1&amp;$W27):INDIRECT($Q$1&amp;$W30-1))) * SQRT(252)</f>
        <v>0.359725035421875</v>
      </c>
      <c r="BQ29" s="55" t="n">
        <f aca="true">SQRT(AVERAGE(INDIRECT($Q$1&amp;$W24):INDIRECT($Q$1&amp;$W30-1))) * SQRT(252)</f>
        <v>0.347301740647741</v>
      </c>
      <c r="BR29" s="56"/>
      <c r="BS29" s="20" t="n">
        <f aca="false">BW29/BO29 * 252</f>
        <v>2.56127020103914</v>
      </c>
      <c r="BT29" s="20" t="n">
        <f aca="false">BX29/BP29 * 252</f>
        <v>-0.38969131895152</v>
      </c>
      <c r="BU29" s="20" t="n">
        <f aca="false">BY29/BQ29 * 252</f>
        <v>-0.305688214843393</v>
      </c>
      <c r="BV29" s="84"/>
      <c r="BW29" s="56" t="n">
        <f aca="true">AVERAGE(INDIRECT($P$1&amp;$W29):INDIRECT($P$1&amp;$W30-1))</f>
        <v>0.00385524641334409</v>
      </c>
      <c r="BX29" s="56" t="n">
        <f aca="true">AVERAGE(INDIRECT($P$1&amp;$W27):INDIRECT($P$1&amp;$W30-1))</f>
        <v>-0.000556276680608859</v>
      </c>
      <c r="BY29" s="56" t="n">
        <f aca="true">AVERAGE(INDIRECT($P$1&amp;$W24):INDIRECT($P$1&amp;$W30-1))</f>
        <v>-0.000421293845677028</v>
      </c>
      <c r="BZ29" s="56"/>
      <c r="CA29" s="56" t="n">
        <f aca="true">STDEV(INDIRECT($P$1&amp;$W29):INDIRECT($P$1&amp;$W30-1))</f>
        <v>0.035996394436582</v>
      </c>
      <c r="CB29" s="56" t="n">
        <f aca="true">STDEV(INDIRECT($P$1&amp;$W27):INDIRECT($P$1&amp;$W30-1))</f>
        <v>0.0321278086817516</v>
      </c>
      <c r="CC29" s="56" t="n">
        <f aca="true">STDEV(INDIRECT($P$1&amp;$W24):INDIRECT($P$1&amp;$W30-1))</f>
        <v>0.0308522554858779</v>
      </c>
      <c r="CD29" s="56"/>
    </row>
    <row r="30" customFormat="false" ht="13.8" hidden="false" customHeight="false" outlineLevel="0" collapsed="false">
      <c r="A30" s="6" t="n">
        <f aca="false">WORKDAY(A29,1,holiday!$B$2:$B$10)</f>
        <v>38757</v>
      </c>
      <c r="B30" s="24" t="n">
        <v>1113239.70544001</v>
      </c>
      <c r="C30" s="24" t="n">
        <f aca="false">B30-B29</f>
        <v>23003.9739347608</v>
      </c>
      <c r="D30" s="5" t="n">
        <f aca="false">C30/B29</f>
        <v>0.0211000000000001</v>
      </c>
      <c r="E30" s="5" t="n">
        <f aca="false" t="array" ref="E30:E30">PRODUCT(1+$D$4:D30)-1</f>
        <v>0.113239705440008</v>
      </c>
      <c r="F30" s="45" t="n">
        <f aca="false">E30/COUNT($E$4:E30)</f>
        <v>0.00419406316444475</v>
      </c>
      <c r="G30" s="5" t="n">
        <f aca="false">F30*252</f>
        <v>1.05690391744008</v>
      </c>
      <c r="H30" s="46" t="str">
        <f aca="false">IF(D30&lt;F30,D30-F30,"")</f>
        <v/>
      </c>
      <c r="I30" s="46" t="str">
        <f aca="false">IF(D30&lt;AVERAGE($D$24:D30),D30-AVERAGE($D$24:D30),"")</f>
        <v/>
      </c>
      <c r="J30" s="0" t="n">
        <f aca="false">IF(ISBLANK(A31),MONTH(A30),IF(MONTH(A31)-MONTH(A30)=1,MONTH(A30),0))</f>
        <v>0</v>
      </c>
      <c r="K30" s="0" t="str">
        <f aca="false">IF(B31&gt;B30,IF(AND(B29&gt;B30,B31&gt;B30),"min",""),IF(AND(B29&gt;B30,B31&gt;B30),"",IF(AND(B29&lt;B30,B31&lt;B30),"max","")))</f>
        <v/>
      </c>
      <c r="L30" s="0" t="str">
        <f aca="false">IF(K30="min",COUNTIF(K$4:K30,"min"),IF(K30="max",COUNTIF(K$4:K30,"max"),""))</f>
        <v/>
      </c>
      <c r="M30" s="24" t="str">
        <f aca="false" t="array" ref="M30:M30">IF($K$3=0,IF(K30="min",INDEX($B$4:$B$254,(MATCH(1,($K$4:$K$254="max")*($L$4:$L$254=(L30-1)),0))),""),IF($K$3=1,IF(K30="min",INDEX($B$4:$B$254,(MATCH(1,($K$4:$K$254="max")*($L$4:$L$254=(L30)),0))),""),""))</f>
        <v/>
      </c>
      <c r="N30" s="29" t="str">
        <f aca="false">IF(AND(K28=0,K30="min",L30=1),B30-B29,IF(K30="min",B30-M30,""))</f>
        <v/>
      </c>
      <c r="O30" s="34" t="str">
        <f aca="false">IF(AND(K28=0,K30="min",L30=1),(B30-B29)/B29,IF(K30="min",(B30-M30)/M30,""))</f>
        <v/>
      </c>
      <c r="P30" s="19" t="n">
        <f aca="false">D30-s_p!H30</f>
        <v>0.0225775016789794</v>
      </c>
      <c r="Q30" s="19" t="n">
        <f aca="false">IF(P30&lt;0, P30^2, 0)</f>
        <v>0</v>
      </c>
      <c r="R30" s="5"/>
      <c r="S30" s="5"/>
      <c r="T30" s="5"/>
      <c r="U30" s="5"/>
      <c r="V30" s="5"/>
      <c r="W30" s="0" t="n">
        <f aca="false">IF(ISERROR(MATCH(WORKDAY(X29,1,holiday!$B$2:$B$10),A:A,0)),MATCH(MAX(A:A),A:A,0)+1,MATCH(WORKDAY(X29,1,holiday!$B$2:$B$10),A:A,0))</f>
        <v>149</v>
      </c>
      <c r="X30" s="73" t="n">
        <f aca="false">EOMONTH(X29,1)</f>
        <v>38960</v>
      </c>
      <c r="Y30" s="24" t="n">
        <f aca="false">INDEX($B$4:$B$254,MATCH(MONTH(X30),$J$4:$J$254,0))</f>
        <v>987312.154535315</v>
      </c>
      <c r="Z30" s="74" t="n">
        <f aca="false">Y30-Y29</f>
        <v>-2966.25962532696</v>
      </c>
      <c r="AA30" s="5" t="n">
        <f aca="false">Z30/Y29</f>
        <v>-0.00299537946390678</v>
      </c>
      <c r="AB30" s="5" t="n">
        <f aca="false" t="array" ref="AB30:AB30">PRODUCT(1+AA28:AA30)-1</f>
        <v>-0.195731560119164</v>
      </c>
      <c r="AC30" s="5" t="n">
        <f aca="false" t="array" ref="AC30:AC30">PRODUCT(1+AA25:AA30)-1</f>
        <v>-0.0443486323011349</v>
      </c>
      <c r="AD30" s="67"/>
      <c r="AE30" s="55" t="n">
        <f aca="true">AVERAGE(INDIRECT($D$1&amp;$W30):INDIRECT($D$1&amp;$W31-1))</f>
        <v>0.000160869565217396</v>
      </c>
      <c r="AF30" s="55" t="n">
        <f aca="true">AVERAGE(INDIRECT($D$1&amp;$W28):INDIRECT($D$1&amp;$W31-1))</f>
        <v>-0.00292615384615384</v>
      </c>
      <c r="AG30" s="55" t="n">
        <f aca="true">AVERAGE(INDIRECT($D$1&amp;$W25):INDIRECT($D$1&amp;$W31-1))</f>
        <v>6.43410852713206E-005</v>
      </c>
      <c r="AH30" s="55"/>
      <c r="AI30" s="5" t="n">
        <f aca="true">STDEV(INDIRECT($D$1&amp;$W30):INDIRECT($D$1&amp;$W31-1))*SQRT(COUNT(INDIRECT($D$1&amp;$W30):INDIRECT($D$1&amp;$W31-1)))</f>
        <v>0.117762878083654</v>
      </c>
      <c r="AJ30" s="5" t="n">
        <f aca="true">STDEV(INDIRECT($D$1&amp;$W28):INDIRECT($D$1&amp;$W31-1))*SQRT(COUNT(INDIRECT($D$1&amp;$W28):INDIRECT($D$1&amp;$W31-1)))</f>
        <v>0.234868063362178</v>
      </c>
      <c r="AK30" s="5" t="n">
        <f aca="true">STDEV(INDIRECT($D$1&amp;$W25):INDIRECT($D$1&amp;$W31-1))*SQRT(COUNT(INDIRECT($D$1&amp;$W25):INDIRECT($D$1&amp;$W31-1)))</f>
        <v>0.328513306903237</v>
      </c>
      <c r="AL30" s="67"/>
      <c r="AM30" s="75" t="n">
        <f aca="false">BW30/CA30*SQRT(252)</f>
        <v>-0.512552067150983</v>
      </c>
      <c r="AN30" s="75" t="n">
        <f aca="false">BX30/CB30*SQRT(252)</f>
        <v>-1.70852768865401</v>
      </c>
      <c r="AO30" s="75" t="n">
        <f aca="false">BY30/CC30*SQRT(252)</f>
        <v>-0.0524423338062538</v>
      </c>
      <c r="AP30" s="77"/>
      <c r="AQ30" s="19" t="n">
        <f aca="false">BG30/BK30</f>
        <v>1.54857591726474</v>
      </c>
      <c r="AR30" s="19" t="n">
        <f aca="false">BH30/BL30</f>
        <v>-0.507824982396981</v>
      </c>
      <c r="AS30" s="19" t="n">
        <f aca="false">BI30/BM30</f>
        <v>-0.238706232259461</v>
      </c>
      <c r="AT30" s="78"/>
      <c r="AU30" s="19" t="n">
        <f aca="false">AE30-(AQ30*s_p!Z15)</f>
        <v>-0.00127205875002992</v>
      </c>
      <c r="AV30" s="19" t="n">
        <f aca="false">AF30-(AR30*s_p!AA15)</f>
        <v>-0.00270575523199234</v>
      </c>
      <c r="AW30" s="19" t="n">
        <f aca="false">AG30-(AS30*s_p!AB15)</f>
        <v>0.000103508868851404</v>
      </c>
      <c r="AX30" s="78"/>
      <c r="AY30" s="24" t="n">
        <f aca="true">IF(INDEX(INDIRECT($A$1&amp;$W30&amp;":"&amp;$A$1&amp;$W31-1),MATCH(MIN(INDIRECT($B$1&amp;$W30&amp;":"&amp;$B$1&amp;$W31-1)),INDIRECT($B$1&amp;$W30&amp;":"&amp;$B$1&amp;$W31-1),0))&gt;INDEX(INDIRECT($A$1&amp;$W30&amp;":"&amp;$A$1&amp;$W31-1),MATCH(MAX(INDIRECT($B$1&amp;$W30&amp;":"&amp;$B$1&amp;$W31-1)),INDIRECT($B$1&amp;$W30&amp;":"&amp;$B$1&amp;$W31-1),0)),MIN(INDIRECT($B$1&amp;$W30&amp;":"&amp;$B$1&amp;$W31-1))-MAX(INDIRECT($B$1&amp;$W30&amp;":"&amp;$B$1&amp;$W31-1)),IF(AND(MATCH(MAX(INDIRECT($B$1&amp;MATCH(MIN(INDIRECT($B$1&amp;$W30&amp;":"&amp;$B$1&amp;$W31-1)),INDIRECT($B$1&amp;$W30&amp;":"&amp;$B$1&amp;$W31-1),0)+ROW(INDIRECT($B$1&amp;$W30&amp;":"&amp;$B$1&amp;$W31-1))&amp;":"&amp;$B$1&amp;MATCH(MAX(INDIRECT($B$1&amp;$W30&amp;":"&amp;$B$1&amp;$W31-1)),INDIRECT($B$1&amp;$W30&amp;":"&amp;$B$1&amp;$W31-1),0)+ROW(INDIRECT($B$1&amp;$W30&amp;":"&amp;$B$1&amp;$W31-1))-2)),INDIRECT($B$1&amp;$W30&amp;":"&amp;$B$1&amp;$W31-1),0)=MATCH(MAX(INDIRECT($B$1&amp;$W30&amp;":"&amp;$B$1&amp;$W31-1)),INDIRECT($B$1&amp;$W30&amp;":"&amp;$B$1&amp;$W31-1),0)-1,MATCH(MIN(INDIRECT($B$1&amp;MATCH(MIN(INDIRECT($B$1&amp;$W30&amp;":"&amp;$B$1&amp;$W31-1)),INDIRECT($B$1&amp;$W30&amp;":"&amp;$B$1&amp;$W31-1),0)+ROW(INDIRECT($B$1&amp;$W30&amp;":"&amp;$B$1&amp;$W31-1))&amp;":"&amp;$B$1&amp;MATCH(MAX(INDIRECT($B$1&amp;$W30&amp;":"&amp;$B$1&amp;$W31-1)),INDIRECT($B$1&amp;$W30&amp;":"&amp;$B$1&amp;$W31-1),0)+ROW(INDIRECT($B$1&amp;$W30&amp;":"&amp;$B$1&amp;$W31-1))-2)),INDIRECT($B$1&amp;$W30&amp;":"&amp;$B$1&amp;$W31-1),0)=MATCH(MIN(INDIRECT($B$1&amp;$W30&amp;":"&amp;$B$1&amp;$W31-1)),INDIRECT($B$1&amp;$W30&amp;":"&amp;$B$1&amp;$W31-1),0)+1),MIN(MIN(INDIRECT($B$1&amp;MATCH(MAX(INDIRECT($B$1&amp;$W30&amp;":"&amp;$B$1&amp;$W31-1)),INDIRECT($B$1&amp;$W30&amp;":"&amp;$B$1&amp;$W31-1),0)+ROW(INDIRECT($B$1&amp;$W30&amp;":"&amp;$B$1&amp;$W31-1))&amp;":"&amp;$B$1&amp;W31-1))-MAX(INDIRECT($B$1&amp;$W30&amp;":"&amp;$B$1&amp;$W31-1)),MIN(INDIRECT($B$1&amp;$W30&amp;":"&amp;$B$1&amp;$W31-1))-MAX(INDIRECT($B$1&amp;W30&amp;":"&amp;$B$1&amp;MATCH(MIN(INDIRECT($B$1&amp;$W30&amp;":"&amp;$B$1&amp;$W31-1)),INDIRECT($B$1&amp;$W30&amp;":"&amp;$B$1&amp;$W31-1),0)+ROW(INDIRECT($B$1&amp;$W30&amp;":"&amp;$B$1&amp;$W31-1))-2))),"more"))</f>
        <v>-158508.897934951</v>
      </c>
      <c r="AZ30" s="24" t="n">
        <f aca="true">IF(INDEX(INDIRECT($A$1&amp;$W28&amp;":"&amp;$A$1&amp;$W31-1),MATCH(MIN(INDIRECT($B$1&amp;$W28&amp;":"&amp;$B$1&amp;$W31-1)),INDIRECT($B$1&amp;$W28&amp;":"&amp;$B$1&amp;$W31-1),0))&gt;INDEX(INDIRECT($A$1&amp;$W28&amp;":"&amp;$A$1&amp;$W31-1),MATCH(MAX(INDIRECT($B$1&amp;$W28&amp;":"&amp;$B$1&amp;$W31-1)),INDIRECT($B$1&amp;$W28&amp;":"&amp;$B$1&amp;$W31-1),0)),MIN(INDIRECT($B$1&amp;$W28&amp;":"&amp;$B$1&amp;$W31-1))-MAX(INDIRECT($B$1&amp;$W28&amp;":"&amp;$B$1&amp;$W31-1)),IF(AND(MATCH(MAX(INDIRECT($B$1&amp;MATCH(MIN(INDIRECT($B$1&amp;$W28&amp;":"&amp;$B$1&amp;$W31-1)),INDIRECT($B$1&amp;$W28&amp;":"&amp;$B$1&amp;$W31-1),0)+ROW(INDIRECT($B$1&amp;$W28&amp;":"&amp;$B$1&amp;$W31-1))&amp;":"&amp;$B$1&amp;MATCH(MAX(INDIRECT($B$1&amp;$W28&amp;":"&amp;$B$1&amp;$W31-1)),INDIRECT($B$1&amp;$W28&amp;":"&amp;$B$1&amp;$W31-1),0)+ROW(INDIRECT($B$1&amp;$W28&amp;":"&amp;$B$1&amp;$W31-1))-2)),INDIRECT($B$1&amp;$W28&amp;":"&amp;$B$1&amp;$W31-1),0)=MATCH(MAX(INDIRECT($B$1&amp;$W28&amp;":"&amp;$B$1&amp;$W31-1)),INDIRECT($B$1&amp;$W28&amp;":"&amp;$B$1&amp;$W31-1),0)-1,MATCH(MIN(INDIRECT($B$1&amp;MATCH(MIN(INDIRECT($B$1&amp;$W28&amp;":"&amp;$B$1&amp;$W31-1)),INDIRECT($B$1&amp;$W28&amp;":"&amp;$B$1&amp;$W31-1),0)+ROW(INDIRECT($B$1&amp;$W28&amp;":"&amp;$B$1&amp;$W31-1))&amp;":"&amp;$B$1&amp;MATCH(MAX(INDIRECT($B$1&amp;$W28&amp;":"&amp;$B$1&amp;$W31-1)),INDIRECT($B$1&amp;$W28&amp;":"&amp;$B$1&amp;$W31-1),0)+ROW(INDIRECT($B$1&amp;$W28&amp;":"&amp;$B$1&amp;$W31-1))-2)),INDIRECT($B$1&amp;$W28&amp;":"&amp;$B$1&amp;$W31-1),0)=MATCH(MIN(INDIRECT($B$1&amp;$W28&amp;":"&amp;$B$1&amp;$W31-1)),INDIRECT($B$1&amp;$W28&amp;":"&amp;$B$1&amp;$W31-1),0)+1),MIN(MIN(INDIRECT($B$1&amp;MATCH(MAX(INDIRECT($B$1&amp;$W28&amp;":"&amp;$B$1&amp;$W31-1)),INDIRECT($B$1&amp;$W28&amp;":"&amp;$B$1&amp;$W31-1),0)+ROW(INDIRECT($B$1&amp;$W28&amp;":"&amp;$B$1&amp;$W31-1))&amp;":"&amp;$B$1&amp;X31-1))-MAX(INDIRECT($B$1&amp;$W28&amp;":"&amp;$B$1&amp;$W31-1)),MIN(INDIRECT($B$1&amp;$W28&amp;":"&amp;$B$1&amp;$W31-1))-MAX(INDIRECT($B$1&amp;X30&amp;":"&amp;$B$1&amp;MATCH(MIN(INDIRECT($B$1&amp;$W28&amp;":"&amp;$B$1&amp;$W31-1)),INDIRECT($B$1&amp;$W28&amp;":"&amp;$B$1&amp;$W31-1),0)+ROW(INDIRECT($B$1&amp;$W28&amp;":"&amp;$B$1&amp;$W31-1))-2))),"more"))</f>
        <v>-404941.193129801</v>
      </c>
      <c r="BA30" s="24" t="n">
        <f aca="true">IF(INDEX(INDIRECT($A$1&amp;$W25&amp;":"&amp;$A$1&amp;$W31-1),MATCH(MIN(INDIRECT($B$1&amp;$W25&amp;":"&amp;$B$1&amp;$W31-1)),INDIRECT($B$1&amp;$W25&amp;":"&amp;$B$1&amp;$W31-1),0))&gt;INDEX(INDIRECT($A$1&amp;$W25&amp;":"&amp;$A$1&amp;$W31-1),MATCH(MAX(INDIRECT($B$1&amp;$W25&amp;":"&amp;$B$1&amp;$W31-1)),INDIRECT($B$1&amp;$W25&amp;":"&amp;$B$1&amp;$W31-1),0)),MIN(INDIRECT($B$1&amp;$W25&amp;":"&amp;$B$1&amp;$W31-1))-MAX(INDIRECT($B$1&amp;$W25&amp;":"&amp;$B$1&amp;$W31-1)),IF(AND(MATCH(MAX(INDIRECT($B$1&amp;MATCH(MIN(INDIRECT($B$1&amp;$W25&amp;":"&amp;$B$1&amp;$W31-1)),INDIRECT($B$1&amp;$W25&amp;":"&amp;$B$1&amp;$W31-1),0)+ROW(INDIRECT($B$1&amp;$W25&amp;":"&amp;$B$1&amp;$W31-1))&amp;":"&amp;$B$1&amp;MATCH(MAX(INDIRECT($B$1&amp;$W25&amp;":"&amp;$B$1&amp;$W31-1)),INDIRECT($B$1&amp;$W25&amp;":"&amp;$B$1&amp;$W31-1),0)+ROW(INDIRECT($B$1&amp;$W25&amp;":"&amp;$B$1&amp;$W31-1))-2)),INDIRECT($B$1&amp;$W25&amp;":"&amp;$B$1&amp;$W31-1),0)=MATCH(MAX(INDIRECT($B$1&amp;$W25&amp;":"&amp;$B$1&amp;$W31-1)),INDIRECT($B$1&amp;$W25&amp;":"&amp;$B$1&amp;$W31-1),0)-1,MATCH(MIN(INDIRECT($B$1&amp;MATCH(MIN(INDIRECT($B$1&amp;$W25&amp;":"&amp;$B$1&amp;$W31-1)),INDIRECT($B$1&amp;$W25&amp;":"&amp;$B$1&amp;$W31-1),0)+ROW(INDIRECT($B$1&amp;$W25&amp;":"&amp;$B$1&amp;$W31-1))&amp;":"&amp;$B$1&amp;MATCH(MAX(INDIRECT($B$1&amp;$W25&amp;":"&amp;$B$1&amp;$W31-1)),INDIRECT($B$1&amp;$W25&amp;":"&amp;$B$1&amp;$W31-1),0)+ROW(INDIRECT($B$1&amp;$W25&amp;":"&amp;$B$1&amp;$W31-1))-2)),INDIRECT($B$1&amp;$W25&amp;":"&amp;$B$1&amp;$W31-1),0)=MATCH(MIN(INDIRECT($B$1&amp;$W25&amp;":"&amp;$B$1&amp;$W31-1)),INDIRECT($B$1&amp;$W25&amp;":"&amp;$B$1&amp;$W31-1),0)+1),MIN(MIN(INDIRECT($B$1&amp;MATCH(MAX(INDIRECT($B$1&amp;$W25&amp;":"&amp;$B$1&amp;$W31-1)),INDIRECT($B$1&amp;$W25&amp;":"&amp;$B$1&amp;$W31-1),0)+ROW(INDIRECT($B$1&amp;$W25&amp;":"&amp;$B$1&amp;$W31-1))&amp;":"&amp;$B$1&amp;Y31-1))-MAX(INDIRECT($B$1&amp;$W25&amp;":"&amp;$B$1&amp;$W31-1)),MIN(INDIRECT($B$1&amp;$W25&amp;":"&amp;$B$1&amp;$W31-1))-MAX(INDIRECT($B$1&amp;Y30&amp;":"&amp;$B$1&amp;MATCH(MIN(INDIRECT($B$1&amp;$W25&amp;":"&amp;$B$1&amp;$W31-1)),INDIRECT($B$1&amp;$W25&amp;":"&amp;$B$1&amp;$W31-1),0)+ROW(INDIRECT($B$1&amp;$W25&amp;":"&amp;$B$1&amp;$W31-1))-2))),"more"))</f>
        <v>-412590.445637951</v>
      </c>
      <c r="BB30" s="67"/>
      <c r="BC30" s="79"/>
      <c r="BD30" s="79"/>
      <c r="BE30" s="79"/>
      <c r="BF30" s="79"/>
      <c r="BG30" s="80" t="n">
        <f aca="true">_xlfn.COVARIANCE.S(INDIRECT($D$1&amp;$W30):INDIRECT($D$1&amp;$W31-1),INDIRECT("s_p!"&amp;s_p!$H$1&amp;s_p!$M15&amp;":"&amp;s_p!$H$1&amp;s_p!$M16-1))</f>
        <v>3.13083425951709E-005</v>
      </c>
      <c r="BH30" s="80" t="n">
        <f aca="true">_xlfn.COVARIANCE.S(INDIRECT($D$1&amp;$W28):INDIRECT($D$1&amp;$W31-1),INDIRECT("s_p!"&amp;s_p!$H$1&amp;$W28&amp;":"&amp;s_p!$H$1&amp;$W31-1))</f>
        <v>-3.17571560778042E-005</v>
      </c>
      <c r="BI30" s="80" t="n">
        <f aca="true">_xlfn.COVARIANCE.S(INDIRECT($D$1&amp;$W25):INDIRECT($D$1&amp;$W31-1),INDIRECT("s_p!"&amp;s_p!$H$1&amp;$W25&amp;":"&amp;s_p!$H$1&amp;$W31-1))</f>
        <v>-1.21159338795167E-005</v>
      </c>
      <c r="BJ30" s="82"/>
      <c r="BK30" s="80" t="n">
        <f aca="true">_xlfn.VAR.S(INDIRECT("s_p!"&amp;s_p!$H$1&amp;s_p!$M15&amp;":"&amp;s_p!$H$1&amp;s_p!$M16-1))</f>
        <v>2.0217505803959E-005</v>
      </c>
      <c r="BL30" s="80" t="n">
        <f aca="true">_xlfn.VAR.S(INDIRECT("s_p!"&amp;s_p!$H$1&amp;$W28&amp;":"&amp;s_p!$H$1&amp;$W31-1))</f>
        <v>6.25356317208095E-005</v>
      </c>
      <c r="BM30" s="80" t="n">
        <f aca="true">_xlfn.VAR.S(INDIRECT("s_p!"&amp;s_p!$H$1&amp;$W25&amp;":"&amp;s_p!$H$1&amp;$W31-1))</f>
        <v>5.07566717669413E-005</v>
      </c>
      <c r="BN30" s="83"/>
      <c r="BO30" s="55" t="n">
        <f aca="true">SQRT(AVERAGE(INDIRECT($Q$1&amp;$W30):INDIRECT($Q$1&amp;$W31-1))) * SQRT(252)</f>
        <v>0.296802111178176</v>
      </c>
      <c r="BP30" s="55" t="n">
        <f aca="true">SQRT(AVERAGE(INDIRECT($Q$1&amp;$W28):INDIRECT($Q$1&amp;$W31-1))) * SQRT(252)</f>
        <v>0.379826137281172</v>
      </c>
      <c r="BQ30" s="55" t="n">
        <f aca="true">SQRT(AVERAGE(INDIRECT($Q$1&amp;$W25):INDIRECT($Q$1&amp;$W31-1))) * SQRT(252)</f>
        <v>0.342641569362676</v>
      </c>
      <c r="BR30" s="56"/>
      <c r="BS30" s="20" t="n">
        <f aca="false">BW30/BO30 * 252</f>
        <v>-0.649057099114218</v>
      </c>
      <c r="BT30" s="20" t="n">
        <f aca="false">BX30/BP30 * 252</f>
        <v>-2.22933590486172</v>
      </c>
      <c r="BU30" s="20" t="n">
        <f aca="false">BY30/BQ30 * 252</f>
        <v>-0.0733568893040776</v>
      </c>
      <c r="BV30" s="84"/>
      <c r="BW30" s="56" t="n">
        <f aca="true">AVERAGE(INDIRECT($P$1&amp;$W30):INDIRECT($P$1&amp;$W31-1))</f>
        <v>-0.000764450465445565</v>
      </c>
      <c r="BX30" s="56" t="n">
        <f aca="true">AVERAGE(INDIRECT($P$1&amp;$W28):INDIRECT($P$1&amp;$W31-1))</f>
        <v>-0.00336015891049942</v>
      </c>
      <c r="BY30" s="56" t="n">
        <f aca="true">AVERAGE(INDIRECT($P$1&amp;$W25):INDIRECT($P$1&amp;$W31-1))</f>
        <v>-9.97425383917192E-005</v>
      </c>
      <c r="BZ30" s="56"/>
      <c r="CA30" s="56" t="n">
        <f aca="true">STDEV(INDIRECT($P$1&amp;$W30):INDIRECT($P$1&amp;$W31-1))</f>
        <v>0.0236761798555083</v>
      </c>
      <c r="CB30" s="56" t="n">
        <f aca="true">STDEV(INDIRECT($P$1&amp;$W28):INDIRECT($P$1&amp;$W31-1))</f>
        <v>0.031220371441014</v>
      </c>
      <c r="CC30" s="56" t="n">
        <f aca="true">STDEV(INDIRECT($P$1&amp;$W25):INDIRECT($P$1&amp;$W31-1))</f>
        <v>0.0301924722908497</v>
      </c>
      <c r="CD30" s="56"/>
    </row>
    <row r="31" customFormat="false" ht="13.8" hidden="false" customHeight="false" outlineLevel="0" collapsed="false">
      <c r="A31" s="6" t="n">
        <f aca="false">WORKDAY(A30,1,holiday!$B$2:$B$10)</f>
        <v>38758</v>
      </c>
      <c r="B31" s="24" t="n">
        <v>1140848.05013492</v>
      </c>
      <c r="C31" s="24" t="n">
        <f aca="false">B31-B30</f>
        <v>27608.3446949122</v>
      </c>
      <c r="D31" s="5" t="n">
        <f aca="false">C31/B30</f>
        <v>0.0248</v>
      </c>
      <c r="E31" s="5" t="n">
        <f aca="false" t="array" ref="E31:E31">PRODUCT(1+$D$4:D31)-1</f>
        <v>0.14084805013492</v>
      </c>
      <c r="F31" s="45" t="n">
        <f aca="false">E31/COUNT($E$4:E31)</f>
        <v>0.00503028750481858</v>
      </c>
      <c r="G31" s="5" t="n">
        <f aca="false">F31*252</f>
        <v>1.26763245121428</v>
      </c>
      <c r="H31" s="46" t="str">
        <f aca="false">IF(D31&lt;F31,D31-F31,"")</f>
        <v/>
      </c>
      <c r="I31" s="46" t="str">
        <f aca="false">IF(D31&lt;AVERAGE($D$24:D31),D31-AVERAGE($D$24:D31),"")</f>
        <v/>
      </c>
      <c r="J31" s="0" t="n">
        <f aca="false">IF(ISBLANK(A32),MONTH(A31),IF(MONTH(A32)-MONTH(A31)=1,MONTH(A31),0))</f>
        <v>0</v>
      </c>
      <c r="K31" s="0" t="str">
        <f aca="false">IF(B32&gt;B31,IF(AND(B30&gt;B31,B32&gt;B31),"min",""),IF(AND(B30&gt;B31,B32&gt;B31),"",IF(AND(B30&lt;B31,B32&lt;B31),"max","")))</f>
        <v>max</v>
      </c>
      <c r="L31" s="0" t="n">
        <f aca="false">IF(K31="min",COUNTIF(K$4:K31,"min"),IF(K31="max",COUNTIF(K$4:K31,"max"),""))</f>
        <v>8</v>
      </c>
      <c r="M31" s="24" t="str">
        <f aca="false" t="array" ref="M31:M31">IF($K$3=0,IF(K31="min",INDEX($B$4:$B$254,(MATCH(1,($K$4:$K$254="max")*($L$4:$L$254=(L31-1)),0))),""),IF($K$3=1,IF(K31="min",INDEX($B$4:$B$254,(MATCH(1,($K$4:$K$254="max")*($L$4:$L$254=(L31)),0))),""),""))</f>
        <v/>
      </c>
      <c r="N31" s="29" t="str">
        <f aca="false">IF(AND(K29=0,K31="min",L31=1),B31-B30,IF(K31="min",B31-M31,""))</f>
        <v/>
      </c>
      <c r="O31" s="34" t="str">
        <f aca="false">IF(AND(K29=0,K31="min",L31=1),(B31-B30)/B30,IF(K31="min",(B31-M31)/M31,""))</f>
        <v/>
      </c>
      <c r="P31" s="19" t="n">
        <f aca="false">D31-s_p!H31</f>
        <v>0.0222600009495323</v>
      </c>
      <c r="Q31" s="19" t="n">
        <f aca="false">IF(P31&lt;0, P31^2, 0)</f>
        <v>0</v>
      </c>
      <c r="R31" s="5"/>
      <c r="S31" s="5"/>
      <c r="T31" s="5"/>
      <c r="U31" s="5"/>
      <c r="V31" s="5"/>
      <c r="W31" s="0" t="n">
        <f aca="false">IF(ISERROR(MATCH(WORKDAY(X30,1,holiday!$B$2:$B$10),A:A,0)),MATCH(MAX(A:A),A:A,0)+1,MATCH(WORKDAY(X30,1,holiday!$B$2:$B$10),A:A,0))</f>
        <v>172</v>
      </c>
      <c r="X31" s="73" t="n">
        <f aca="false">EOMONTH(X30,1)</f>
        <v>38990</v>
      </c>
      <c r="Y31" s="24" t="n">
        <f aca="false">INDEX($B$4:$B$254,MATCH(MONTH(X31),$J$4:$J$254,0))</f>
        <v>963921.680259872</v>
      </c>
      <c r="Z31" s="74" t="n">
        <f aca="false">Y31-Y30</f>
        <v>-23390.474275443</v>
      </c>
      <c r="AA31" s="5" t="n">
        <f aca="false">Z31/Y30</f>
        <v>-0.0236910628193896</v>
      </c>
      <c r="AB31" s="5" t="n">
        <f aca="false" t="array" ref="AB31:AB31">PRODUCT(1+AA29:AA31)-1</f>
        <v>0.0473690360437546</v>
      </c>
      <c r="AC31" s="5" t="n">
        <f aca="false" t="array" ref="AC31:AC31">PRODUCT(1+AA26:AA31)-1</f>
        <v>-0.0268623446331334</v>
      </c>
      <c r="AD31" s="67"/>
      <c r="AE31" s="55" t="n">
        <f aca="true">AVERAGE(INDIRECT($D$1&amp;$W31):INDIRECT($D$1&amp;$W32-1))</f>
        <v>-0.000714999999999996</v>
      </c>
      <c r="AF31" s="55" t="n">
        <f aca="true">AVERAGE(INDIRECT($D$1&amp;$W29):INDIRECT($D$1&amp;$W32-1))</f>
        <v>0.00114761904761905</v>
      </c>
      <c r="AG31" s="55" t="n">
        <f aca="true">AVERAGE(INDIRECT($D$1&amp;$W26):INDIRECT($D$1&amp;$W32-1))</f>
        <v>0.000222222222222225</v>
      </c>
      <c r="AH31" s="55"/>
      <c r="AI31" s="5" t="n">
        <f aca="true">STDEV(INDIRECT($D$1&amp;$W31):INDIRECT($D$1&amp;$W32-1))*SQRT(COUNT(INDIRECT($D$1&amp;$W31):INDIRECT($D$1&amp;$W32-1)))</f>
        <v>0.142702286707603</v>
      </c>
      <c r="AJ31" s="5" t="n">
        <f aca="true">STDEV(INDIRECT($D$1&amp;$W29):INDIRECT($D$1&amp;$W32-1))*SQRT(COUNT(INDIRECT($D$1&amp;$W29):INDIRECT($D$1&amp;$W32-1)))</f>
        <v>0.229517406044551</v>
      </c>
      <c r="AK31" s="5" t="n">
        <f aca="true">STDEV(INDIRECT($D$1&amp;$W26):INDIRECT($D$1&amp;$W32-1))*SQRT(COUNT(INDIRECT($D$1&amp;$W26):INDIRECT($D$1&amp;$W32-1)))</f>
        <v>0.333382289631588</v>
      </c>
      <c r="AL31" s="67"/>
      <c r="AM31" s="75" t="n">
        <f aca="false">BW31/CA31*SQRT(252)</f>
        <v>-0.922734086749804</v>
      </c>
      <c r="AN31" s="75" t="n">
        <f aca="false">BX31/CB31*SQRT(252)</f>
        <v>0.169722039448182</v>
      </c>
      <c r="AO31" s="75" t="n">
        <f aca="false">BY31/CC31*SQRT(252)</f>
        <v>-0.0261119474414415</v>
      </c>
      <c r="AP31" s="77"/>
      <c r="AQ31" s="19" t="n">
        <f aca="false">BG31/BK31</f>
        <v>-1.39399281893932</v>
      </c>
      <c r="AR31" s="19" t="n">
        <f aca="false">BH31/BL31</f>
        <v>-0.898146041025705</v>
      </c>
      <c r="AS31" s="19" t="n">
        <f aca="false">BI31/BM31</f>
        <v>-0.158524996244394</v>
      </c>
      <c r="AT31" s="78"/>
      <c r="AU31" s="19" t="n">
        <f aca="false">AE31-(AQ31*s_p!Z16)</f>
        <v>0.000994594983973601</v>
      </c>
      <c r="AV31" s="19" t="n">
        <f aca="false">AF31-(AR31*s_p!AA16)</f>
        <v>0.00188332131858439</v>
      </c>
      <c r="AW31" s="19" t="n">
        <f aca="false">AG31-(AS31*s_p!AB16)</f>
        <v>0.000265487999690707</v>
      </c>
      <c r="AX31" s="78"/>
      <c r="AY31" s="24" t="n">
        <f aca="true">IF(INDEX(INDIRECT($A$1&amp;$W31&amp;":"&amp;$A$1&amp;$W32-1),MATCH(MIN(INDIRECT($B$1&amp;$W31&amp;":"&amp;$B$1&amp;$W32-1)),INDIRECT($B$1&amp;$W31&amp;":"&amp;$B$1&amp;$W32-1),0))&gt;INDEX(INDIRECT($A$1&amp;$W31&amp;":"&amp;$A$1&amp;$W32-1),MATCH(MAX(INDIRECT($B$1&amp;$W31&amp;":"&amp;$B$1&amp;$W32-1)),INDIRECT($B$1&amp;$W31&amp;":"&amp;$B$1&amp;$W32-1),0)),MIN(INDIRECT($B$1&amp;$W31&amp;":"&amp;$B$1&amp;$W32-1))-MAX(INDIRECT($B$1&amp;$W31&amp;":"&amp;$B$1&amp;$W32-1)),IF(AND(MATCH(MAX(INDIRECT($B$1&amp;MATCH(MIN(INDIRECT($B$1&amp;$W31&amp;":"&amp;$B$1&amp;$W32-1)),INDIRECT($B$1&amp;$W31&amp;":"&amp;$B$1&amp;$W32-1),0)+ROW(INDIRECT($B$1&amp;$W31&amp;":"&amp;$B$1&amp;$W32-1))&amp;":"&amp;$B$1&amp;MATCH(MAX(INDIRECT($B$1&amp;$W31&amp;":"&amp;$B$1&amp;$W32-1)),INDIRECT($B$1&amp;$W31&amp;":"&amp;$B$1&amp;$W32-1),0)+ROW(INDIRECT($B$1&amp;$W31&amp;":"&amp;$B$1&amp;$W32-1))-2)),INDIRECT($B$1&amp;$W31&amp;":"&amp;$B$1&amp;$W32-1),0)=MATCH(MAX(INDIRECT($B$1&amp;$W31&amp;":"&amp;$B$1&amp;$W32-1)),INDIRECT($B$1&amp;$W31&amp;":"&amp;$B$1&amp;$W32-1),0)-1,MATCH(MIN(INDIRECT($B$1&amp;MATCH(MIN(INDIRECT($B$1&amp;$W31&amp;":"&amp;$B$1&amp;$W32-1)),INDIRECT($B$1&amp;$W31&amp;":"&amp;$B$1&amp;$W32-1),0)+ROW(INDIRECT($B$1&amp;$W31&amp;":"&amp;$B$1&amp;$W32-1))&amp;":"&amp;$B$1&amp;MATCH(MAX(INDIRECT($B$1&amp;$W31&amp;":"&amp;$B$1&amp;$W32-1)),INDIRECT($B$1&amp;$W31&amp;":"&amp;$B$1&amp;$W32-1),0)+ROW(INDIRECT($B$1&amp;$W31&amp;":"&amp;$B$1&amp;$W32-1))-2)),INDIRECT($B$1&amp;$W31&amp;":"&amp;$B$1&amp;$W32-1),0)=MATCH(MIN(INDIRECT($B$1&amp;$W31&amp;":"&amp;$B$1&amp;$W32-1)),INDIRECT($B$1&amp;$W31&amp;":"&amp;$B$1&amp;$W32-1),0)+1),MIN(MIN(INDIRECT($B$1&amp;MATCH(MAX(INDIRECT($B$1&amp;$W31&amp;":"&amp;$B$1&amp;$W32-1)),INDIRECT($B$1&amp;$W31&amp;":"&amp;$B$1&amp;$W32-1),0)+ROW(INDIRECT($B$1&amp;$W31&amp;":"&amp;$B$1&amp;$W32-1))&amp;":"&amp;$B$1&amp;W32-1))-MAX(INDIRECT($B$1&amp;$W31&amp;":"&amp;$B$1&amp;$W32-1)),MIN(INDIRECT($B$1&amp;$W31&amp;":"&amp;$B$1&amp;$W32-1))-MAX(INDIRECT($B$1&amp;W31&amp;":"&amp;$B$1&amp;MATCH(MIN(INDIRECT($B$1&amp;$W31&amp;":"&amp;$B$1&amp;$W32-1)),INDIRECT($B$1&amp;$W31&amp;":"&amp;$B$1&amp;$W32-1),0)+ROW(INDIRECT($B$1&amp;$W31&amp;":"&amp;$B$1&amp;$W32-1))-2))),"more"))</f>
        <v>-137815.870860001</v>
      </c>
      <c r="AZ31" s="24" t="str">
        <f aca="true">IF(INDEX(INDIRECT($A$1&amp;$W29&amp;":"&amp;$A$1&amp;$W32-1),MATCH(MIN(INDIRECT($B$1&amp;$W29&amp;":"&amp;$B$1&amp;$W32-1)),INDIRECT($B$1&amp;$W29&amp;":"&amp;$B$1&amp;$W32-1),0))&gt;INDEX(INDIRECT($A$1&amp;$W29&amp;":"&amp;$A$1&amp;$W32-1),MATCH(MAX(INDIRECT($B$1&amp;$W29&amp;":"&amp;$B$1&amp;$W32-1)),INDIRECT($B$1&amp;$W29&amp;":"&amp;$B$1&amp;$W32-1),0)),MIN(INDIRECT($B$1&amp;$W29&amp;":"&amp;$B$1&amp;$W32-1))-MAX(INDIRECT($B$1&amp;$W29&amp;":"&amp;$B$1&amp;$W32-1)),IF(AND(MATCH(MAX(INDIRECT($B$1&amp;MATCH(MIN(INDIRECT($B$1&amp;$W29&amp;":"&amp;$B$1&amp;$W32-1)),INDIRECT($B$1&amp;$W29&amp;":"&amp;$B$1&amp;$W32-1),0)+ROW(INDIRECT($B$1&amp;$W29&amp;":"&amp;$B$1&amp;$W32-1))&amp;":"&amp;$B$1&amp;MATCH(MAX(INDIRECT($B$1&amp;$W29&amp;":"&amp;$B$1&amp;$W32-1)),INDIRECT($B$1&amp;$W29&amp;":"&amp;$B$1&amp;$W32-1),0)+ROW(INDIRECT($B$1&amp;$W29&amp;":"&amp;$B$1&amp;$W32-1))-2)),INDIRECT($B$1&amp;$W29&amp;":"&amp;$B$1&amp;$W32-1),0)=MATCH(MAX(INDIRECT($B$1&amp;$W29&amp;":"&amp;$B$1&amp;$W32-1)),INDIRECT($B$1&amp;$W29&amp;":"&amp;$B$1&amp;$W32-1),0)-1,MATCH(MIN(INDIRECT($B$1&amp;MATCH(MIN(INDIRECT($B$1&amp;$W29&amp;":"&amp;$B$1&amp;$W32-1)),INDIRECT($B$1&amp;$W29&amp;":"&amp;$B$1&amp;$W32-1),0)+ROW(INDIRECT($B$1&amp;$W29&amp;":"&amp;$B$1&amp;$W32-1))&amp;":"&amp;$B$1&amp;MATCH(MAX(INDIRECT($B$1&amp;$W29&amp;":"&amp;$B$1&amp;$W32-1)),INDIRECT($B$1&amp;$W29&amp;":"&amp;$B$1&amp;$W32-1),0)+ROW(INDIRECT($B$1&amp;$W29&amp;":"&amp;$B$1&amp;$W32-1))-2)),INDIRECT($B$1&amp;$W29&amp;":"&amp;$B$1&amp;$W32-1),0)=MATCH(MIN(INDIRECT($B$1&amp;$W29&amp;":"&amp;$B$1&amp;$W32-1)),INDIRECT($B$1&amp;$W29&amp;":"&amp;$B$1&amp;$W32-1),0)+1),MIN(MIN(INDIRECT($B$1&amp;MATCH(MAX(INDIRECT($B$1&amp;$W29&amp;":"&amp;$B$1&amp;$W32-1)),INDIRECT($B$1&amp;$W29&amp;":"&amp;$B$1&amp;$W32-1),0)+ROW(INDIRECT($B$1&amp;$W29&amp;":"&amp;$B$1&amp;$W32-1))&amp;":"&amp;$B$1&amp;X32-1))-MAX(INDIRECT($B$1&amp;$W29&amp;":"&amp;$B$1&amp;$W32-1)),MIN(INDIRECT($B$1&amp;$W29&amp;":"&amp;$B$1&amp;$W32-1))-MAX(INDIRECT($B$1&amp;X31&amp;":"&amp;$B$1&amp;MATCH(MIN(INDIRECT($B$1&amp;$W29&amp;":"&amp;$B$1&amp;$W32-1)),INDIRECT($B$1&amp;$W29&amp;":"&amp;$B$1&amp;$W32-1),0)+ROW(INDIRECT($B$1&amp;$W29&amp;":"&amp;$B$1&amp;$W32-1))-2))),"more"))</f>
        <v>more</v>
      </c>
      <c r="BA31" s="24" t="n">
        <f aca="true">IF(INDEX(INDIRECT($A$1&amp;$W26&amp;":"&amp;$A$1&amp;$W32-1),MATCH(MIN(INDIRECT($B$1&amp;$W26&amp;":"&amp;$B$1&amp;$W32-1)),INDIRECT($B$1&amp;$W26&amp;":"&amp;$B$1&amp;$W32-1),0))&gt;INDEX(INDIRECT($A$1&amp;$W26&amp;":"&amp;$A$1&amp;$W32-1),MATCH(MAX(INDIRECT($B$1&amp;$W26&amp;":"&amp;$B$1&amp;$W32-1)),INDIRECT($B$1&amp;$W26&amp;":"&amp;$B$1&amp;$W32-1),0)),MIN(INDIRECT($B$1&amp;$W26&amp;":"&amp;$B$1&amp;$W32-1))-MAX(INDIRECT($B$1&amp;$W26&amp;":"&amp;$B$1&amp;$W32-1)),IF(AND(MATCH(MAX(INDIRECT($B$1&amp;MATCH(MIN(INDIRECT($B$1&amp;$W26&amp;":"&amp;$B$1&amp;$W32-1)),INDIRECT($B$1&amp;$W26&amp;":"&amp;$B$1&amp;$W32-1),0)+ROW(INDIRECT($B$1&amp;$W26&amp;":"&amp;$B$1&amp;$W32-1))&amp;":"&amp;$B$1&amp;MATCH(MAX(INDIRECT($B$1&amp;$W26&amp;":"&amp;$B$1&amp;$W32-1)),INDIRECT($B$1&amp;$W26&amp;":"&amp;$B$1&amp;$W32-1),0)+ROW(INDIRECT($B$1&amp;$W26&amp;":"&amp;$B$1&amp;$W32-1))-2)),INDIRECT($B$1&amp;$W26&amp;":"&amp;$B$1&amp;$W32-1),0)=MATCH(MAX(INDIRECT($B$1&amp;$W26&amp;":"&amp;$B$1&amp;$W32-1)),INDIRECT($B$1&amp;$W26&amp;":"&amp;$B$1&amp;$W32-1),0)-1,MATCH(MIN(INDIRECT($B$1&amp;MATCH(MIN(INDIRECT($B$1&amp;$W26&amp;":"&amp;$B$1&amp;$W32-1)),INDIRECT($B$1&amp;$W26&amp;":"&amp;$B$1&amp;$W32-1),0)+ROW(INDIRECT($B$1&amp;$W26&amp;":"&amp;$B$1&amp;$W32-1))&amp;":"&amp;$B$1&amp;MATCH(MAX(INDIRECT($B$1&amp;$W26&amp;":"&amp;$B$1&amp;$W32-1)),INDIRECT($B$1&amp;$W26&amp;":"&amp;$B$1&amp;$W32-1),0)+ROW(INDIRECT($B$1&amp;$W26&amp;":"&amp;$B$1&amp;$W32-1))-2)),INDIRECT($B$1&amp;$W26&amp;":"&amp;$B$1&amp;$W32-1),0)=MATCH(MIN(INDIRECT($B$1&amp;$W26&amp;":"&amp;$B$1&amp;$W32-1)),INDIRECT($B$1&amp;$W26&amp;":"&amp;$B$1&amp;$W32-1),0)+1),MIN(MIN(INDIRECT($B$1&amp;MATCH(MAX(INDIRECT($B$1&amp;$W26&amp;":"&amp;$B$1&amp;$W32-1)),INDIRECT($B$1&amp;$W26&amp;":"&amp;$B$1&amp;$W32-1),0)+ROW(INDIRECT($B$1&amp;$W26&amp;":"&amp;$B$1&amp;$W32-1))&amp;":"&amp;$B$1&amp;Y32-1))-MAX(INDIRECT($B$1&amp;$W26&amp;":"&amp;$B$1&amp;$W32-1)),MIN(INDIRECT($B$1&amp;$W26&amp;":"&amp;$B$1&amp;$W32-1))-MAX(INDIRECT($B$1&amp;Y31&amp;":"&amp;$B$1&amp;MATCH(MIN(INDIRECT($B$1&amp;$W26&amp;":"&amp;$B$1&amp;$W32-1)),INDIRECT($B$1&amp;$W26&amp;":"&amp;$B$1&amp;$W32-1),0)+ROW(INDIRECT($B$1&amp;$W26&amp;":"&amp;$B$1&amp;$W32-1))-2))),"more"))</f>
        <v>-412590.445637951</v>
      </c>
      <c r="BB31" s="67"/>
      <c r="BC31" s="79"/>
      <c r="BD31" s="79"/>
      <c r="BE31" s="79"/>
      <c r="BF31" s="79"/>
      <c r="BG31" s="80" t="n">
        <f aca="true">_xlfn.COVARIANCE.S(INDIRECT($D$1&amp;$W31):INDIRECT($D$1&amp;$W32-1),INDIRECT("s_p!"&amp;s_p!$H$1&amp;s_p!$M16&amp;":"&amp;s_p!$H$1&amp;s_p!$M17-1))</f>
        <v>-3.58159388978635E-005</v>
      </c>
      <c r="BH31" s="80" t="n">
        <f aca="true">_xlfn.COVARIANCE.S(INDIRECT($D$1&amp;$W29):INDIRECT($D$1&amp;$W32-1),INDIRECT("s_p!"&amp;s_p!$H$1&amp;$W29&amp;":"&amp;s_p!$H$1&amp;$W32-1))</f>
        <v>-3.46241899643923E-005</v>
      </c>
      <c r="BI31" s="80" t="n">
        <f aca="true">_xlfn.COVARIANCE.S(INDIRECT($D$1&amp;$W26):INDIRECT($D$1&amp;$W32-1),INDIRECT("s_p!"&amp;s_p!$H$1&amp;$W26&amp;":"&amp;s_p!$H$1&amp;$W32-1))</f>
        <v>-8.199565507869E-006</v>
      </c>
      <c r="BJ31" s="82"/>
      <c r="BK31" s="80" t="n">
        <f aca="true">_xlfn.VAR.S(INDIRECT("s_p!"&amp;s_p!$H$1&amp;s_p!$M16&amp;":"&amp;s_p!$H$1&amp;s_p!$M17-1))</f>
        <v>2.56930583940279E-005</v>
      </c>
      <c r="BL31" s="80" t="n">
        <f aca="true">_xlfn.VAR.S(INDIRECT("s_p!"&amp;s_p!$H$1&amp;$W29&amp;":"&amp;s_p!$H$1&amp;$W32-1))</f>
        <v>3.8550734939332E-005</v>
      </c>
      <c r="BM31" s="80" t="n">
        <f aca="true">_xlfn.VAR.S(INDIRECT("s_p!"&amp;s_p!$H$1&amp;$W26&amp;":"&amp;s_p!$H$1&amp;$W32-1))</f>
        <v>5.17241173450521E-005</v>
      </c>
      <c r="BN31" s="83"/>
      <c r="BO31" s="55" t="n">
        <f aca="true">SQRT(AVERAGE(INDIRECT($Q$1&amp;$W31):INDIRECT($Q$1&amp;$W32-1))) * SQRT(252)</f>
        <v>0.377192265140089</v>
      </c>
      <c r="BP31" s="55" t="n">
        <f aca="true">SQRT(AVERAGE(INDIRECT($Q$1&amp;$W29):INDIRECT($Q$1&amp;$W32-1))) * SQRT(252)</f>
        <v>0.35071685387318</v>
      </c>
      <c r="BQ31" s="55" t="n">
        <f aca="true">SQRT(AVERAGE(INDIRECT($Q$1&amp;$W26):INDIRECT($Q$1&amp;$W32-1))) * SQRT(252)</f>
        <v>0.347778002498893</v>
      </c>
      <c r="BR31" s="56"/>
      <c r="BS31" s="20" t="n">
        <f aca="false">BW31/BO31 * 252</f>
        <v>-1.29703931194462</v>
      </c>
      <c r="BT31" s="20" t="n">
        <f aca="false">BX31/BP31 * 252</f>
        <v>0.236025567641817</v>
      </c>
      <c r="BU31" s="20" t="n">
        <f aca="false">BY31/BQ31 * 252</f>
        <v>-0.0367408086499673</v>
      </c>
      <c r="BV31" s="84"/>
      <c r="BW31" s="56" t="n">
        <f aca="true">AVERAGE(INDIRECT($P$1&amp;$W31):INDIRECT($P$1&amp;$W32-1))</f>
        <v>-0.00194140157161958</v>
      </c>
      <c r="BX31" s="56" t="n">
        <f aca="true">AVERAGE(INDIRECT($P$1&amp;$W29):INDIRECT($P$1&amp;$W32-1))</f>
        <v>0.000328484700464164</v>
      </c>
      <c r="BY31" s="56" t="n">
        <f aca="true">AVERAGE(INDIRECT($P$1&amp;$W26):INDIRECT($P$1&amp;$W32-1))</f>
        <v>-5.07049406447607E-005</v>
      </c>
      <c r="BZ31" s="56"/>
      <c r="CA31" s="56" t="n">
        <f aca="true">STDEV(INDIRECT($P$1&amp;$W31):INDIRECT($P$1&amp;$W32-1))</f>
        <v>0.0333994321473989</v>
      </c>
      <c r="CB31" s="56" t="n">
        <f aca="true">STDEV(INDIRECT($P$1&amp;$W29):INDIRECT($P$1&amp;$W32-1))</f>
        <v>0.030723958882773</v>
      </c>
      <c r="CC31" s="56" t="n">
        <f aca="true">STDEV(INDIRECT($P$1&amp;$W26):INDIRECT($P$1&amp;$W32-1))</f>
        <v>0.0308255820801978</v>
      </c>
      <c r="CD31" s="56"/>
    </row>
    <row r="32" customFormat="false" ht="13.8" hidden="false" customHeight="false" outlineLevel="0" collapsed="false">
      <c r="A32" s="6" t="n">
        <f aca="false">WORKDAY(A31,1,holiday!$B$2:$B$10)</f>
        <v>38761</v>
      </c>
      <c r="B32" s="24" t="n">
        <v>1116319.81705702</v>
      </c>
      <c r="C32" s="24" t="n">
        <f aca="false">B32-B31</f>
        <v>-24528.2330779007</v>
      </c>
      <c r="D32" s="5" t="n">
        <f aca="false">C32/B31</f>
        <v>-0.0215</v>
      </c>
      <c r="E32" s="5" t="n">
        <f aca="false" t="array" ref="E32:E32">PRODUCT(1+$D$4:D32)-1</f>
        <v>0.116319817057019</v>
      </c>
      <c r="F32" s="45" t="n">
        <f aca="false">E32/COUNT($E$4:E32)</f>
        <v>0.00401102817437998</v>
      </c>
      <c r="G32" s="5" t="n">
        <f aca="false">F32*252</f>
        <v>1.01077909994376</v>
      </c>
      <c r="H32" s="46" t="n">
        <f aca="false">IF(D32&lt;F32,D32-F32,"")</f>
        <v>-0.02551102817438</v>
      </c>
      <c r="I32" s="46" t="n">
        <f aca="false">IF(D32&lt;AVERAGE($D$24:D32),D32-AVERAGE($D$24:D32),"")</f>
        <v>-0.0234555555555555</v>
      </c>
      <c r="J32" s="0" t="n">
        <f aca="false">IF(ISBLANK(A33),MONTH(A32),IF(MONTH(A33)-MONTH(A32)=1,MONTH(A32),0))</f>
        <v>0</v>
      </c>
      <c r="K32" s="0" t="str">
        <f aca="false">IF(B33&gt;B32,IF(AND(B31&gt;B32,B33&gt;B32),"min",""),IF(AND(B31&gt;B32,B33&gt;B32),"",IF(AND(B31&lt;B32,B33&lt;B32),"max","")))</f>
        <v>min</v>
      </c>
      <c r="L32" s="0" t="n">
        <f aca="false">IF(K32="min",COUNTIF(K$4:K32,"min"),IF(K32="max",COUNTIF(K$4:K32,"max"),""))</f>
        <v>9</v>
      </c>
      <c r="M32" s="24" t="n">
        <f aca="false" t="array" ref="M32:M32">IF($K$3=0,IF(K32="min",INDEX($B$4:$B$254,(MATCH(1,($K$4:$K$254="max")*($L$4:$L$254=(L32-1)),0))),""),IF($K$3=1,IF(K32="min",INDEX($B$4:$B$254,(MATCH(1,($K$4:$K$254="max")*($L$4:$L$254=(L32)),0))),""),""))</f>
        <v>1140848.05013492</v>
      </c>
      <c r="N32" s="29" t="n">
        <f aca="false">IF(AND(K30=0,K32="min",L32=1),B32-B31,IF(K32="min",B32-M32,""))</f>
        <v>-24528.2330779</v>
      </c>
      <c r="O32" s="34" t="n">
        <f aca="false">IF(AND(K30=0,K32="min",L32=1),(B32-B31)/B31,IF(K32="min",(B32-M32)/M32,""))</f>
        <v>-0.0214999999999993</v>
      </c>
      <c r="P32" s="19" t="n">
        <f aca="false">D32-s_p!H32</f>
        <v>-0.0182403057640549</v>
      </c>
      <c r="Q32" s="19" t="n">
        <f aca="false">IF(P32&lt;0, P32^2, 0)</f>
        <v>0.000332708754366214</v>
      </c>
      <c r="R32" s="5"/>
      <c r="S32" s="5"/>
      <c r="T32" s="5"/>
      <c r="U32" s="5"/>
      <c r="V32" s="5"/>
      <c r="W32" s="0" t="n">
        <f aca="false">IF(ISERROR(MATCH(WORKDAY(X31,1,holiday!$B$2:$B$10),A:A,0)),MATCH(MAX(A:A),A:A,0)+1,MATCH(WORKDAY(X31,1,holiday!$B$2:$B$10),A:A,0))</f>
        <v>192</v>
      </c>
      <c r="X32" s="73" t="n">
        <f aca="false">EOMONTH(X31,1)</f>
        <v>39021</v>
      </c>
      <c r="Y32" s="24" t="n">
        <f aca="false">INDEX($B$4:$B$254,MATCH(MONTH(X32),$J$4:$J$254,0))</f>
        <v>1033069.23775803</v>
      </c>
      <c r="Z32" s="74" t="n">
        <f aca="false">Y32-Y31</f>
        <v>69147.557498158</v>
      </c>
      <c r="AA32" s="5" t="n">
        <f aca="false">Z32/Y31</f>
        <v>0.0717356595605525</v>
      </c>
      <c r="AB32" s="5" t="n">
        <f aca="false" t="array" ref="AB32:AB32">PRODUCT(1+AA30:AA32)-1</f>
        <v>0.0432109020912641</v>
      </c>
      <c r="AC32" s="5" t="n">
        <f aca="false" t="array" ref="AC32:AC32">PRODUCT(1+AA27:AA32)-1</f>
        <v>-0.0451885737995317</v>
      </c>
      <c r="AD32" s="67"/>
      <c r="AE32" s="55" t="n">
        <f aca="true">AVERAGE(INDIRECT($D$1&amp;$W32):INDIRECT($D$1&amp;$W33-1))</f>
        <v>0.00360454545454546</v>
      </c>
      <c r="AF32" s="55" t="n">
        <f aca="true">AVERAGE(INDIRECT($D$1&amp;$W30):INDIRECT($D$1&amp;$W33-1))</f>
        <v>0.00105692307692308</v>
      </c>
      <c r="AG32" s="55" t="n">
        <f aca="true">AVERAGE(INDIRECT($D$1&amp;$W27):INDIRECT($D$1&amp;$W33-1))</f>
        <v>7.20930232558209E-005</v>
      </c>
      <c r="AH32" s="55"/>
      <c r="AI32" s="5" t="n">
        <f aca="true">STDEV(INDIRECT($D$1&amp;$W32):INDIRECT($D$1&amp;$W33-1))*SQRT(COUNT(INDIRECT($D$1&amp;$W32):INDIRECT($D$1&amp;$W33-1)))</f>
        <v>0.144126440851014</v>
      </c>
      <c r="AJ32" s="5" t="n">
        <f aca="true">STDEV(INDIRECT($D$1&amp;$W30):INDIRECT($D$1&amp;$W33-1))*SQRT(COUNT(INDIRECT($D$1&amp;$W30):INDIRECT($D$1&amp;$W33-1)))</f>
        <v>0.23127045044709</v>
      </c>
      <c r="AK32" s="5" t="n">
        <f aca="true">STDEV(INDIRECT($D$1&amp;$W27):INDIRECT($D$1&amp;$W33-1))*SQRT(COUNT(INDIRECT($D$1&amp;$W27):INDIRECT($D$1&amp;$W33-1)))</f>
        <v>0.334312750280333</v>
      </c>
      <c r="AL32" s="67"/>
      <c r="AM32" s="75" t="n">
        <f aca="false">BW32/CA32*SQRT(252)</f>
        <v>1.10102652797751</v>
      </c>
      <c r="AN32" s="75" t="n">
        <f aca="false">BX32/CB32*SQRT(252)</f>
        <v>-0.0699064472934499</v>
      </c>
      <c r="AO32" s="75" t="n">
        <f aca="false">BY32/CC32*SQRT(252)</f>
        <v>-0.176979849913045</v>
      </c>
      <c r="AP32" s="77"/>
      <c r="AQ32" s="19" t="n">
        <f aca="false">BG32/BK32</f>
        <v>-0.731040557860928</v>
      </c>
      <c r="AR32" s="19" t="n">
        <f aca="false">BH32/BL32</f>
        <v>-0.202240045411095</v>
      </c>
      <c r="AS32" s="19" t="n">
        <f aca="false">BI32/BM32</f>
        <v>-0.187814715276434</v>
      </c>
      <c r="AT32" s="78"/>
      <c r="AU32" s="19" t="n">
        <f aca="false">AE32-(AQ32*s_p!Z17)</f>
        <v>0.00464282783829265</v>
      </c>
      <c r="AV32" s="19" t="n">
        <f aca="false">AF32-(AR32*s_p!AA17)</f>
        <v>0.00129667571097773</v>
      </c>
      <c r="AW32" s="19" t="n">
        <f aca="false">AG32-(AS32*s_p!AB17)</f>
        <v>0.000149633220523567</v>
      </c>
      <c r="AX32" s="78"/>
      <c r="AY32" s="24" t="str">
        <f aca="true">IF(INDEX(INDIRECT($A$1&amp;$W32&amp;":"&amp;$A$1&amp;$W33-1),MATCH(MIN(INDIRECT($B$1&amp;$W32&amp;":"&amp;$B$1&amp;$W33-1)),INDIRECT($B$1&amp;$W32&amp;":"&amp;$B$1&amp;$W33-1),0))&gt;INDEX(INDIRECT($A$1&amp;$W32&amp;":"&amp;$A$1&amp;$W33-1),MATCH(MAX(INDIRECT($B$1&amp;$W32&amp;":"&amp;$B$1&amp;$W33-1)),INDIRECT($B$1&amp;$W32&amp;":"&amp;$B$1&amp;$W33-1),0)),MIN(INDIRECT($B$1&amp;$W32&amp;":"&amp;$B$1&amp;$W33-1))-MAX(INDIRECT($B$1&amp;$W32&amp;":"&amp;$B$1&amp;$W33-1)),IF(AND(MATCH(MAX(INDIRECT($B$1&amp;MATCH(MIN(INDIRECT($B$1&amp;$W32&amp;":"&amp;$B$1&amp;$W33-1)),INDIRECT($B$1&amp;$W32&amp;":"&amp;$B$1&amp;$W33-1),0)+ROW(INDIRECT($B$1&amp;$W32&amp;":"&amp;$B$1&amp;$W33-1))&amp;":"&amp;$B$1&amp;MATCH(MAX(INDIRECT($B$1&amp;$W32&amp;":"&amp;$B$1&amp;$W33-1)),INDIRECT($B$1&amp;$W32&amp;":"&amp;$B$1&amp;$W33-1),0)+ROW(INDIRECT($B$1&amp;$W32&amp;":"&amp;$B$1&amp;$W33-1))-2)),INDIRECT($B$1&amp;$W32&amp;":"&amp;$B$1&amp;$W33-1),0)=MATCH(MAX(INDIRECT($B$1&amp;$W32&amp;":"&amp;$B$1&amp;$W33-1)),INDIRECT($B$1&amp;$W32&amp;":"&amp;$B$1&amp;$W33-1),0)-1,MATCH(MIN(INDIRECT($B$1&amp;MATCH(MIN(INDIRECT($B$1&amp;$W32&amp;":"&amp;$B$1&amp;$W33-1)),INDIRECT($B$1&amp;$W32&amp;":"&amp;$B$1&amp;$W33-1),0)+ROW(INDIRECT($B$1&amp;$W32&amp;":"&amp;$B$1&amp;$W33-1))&amp;":"&amp;$B$1&amp;MATCH(MAX(INDIRECT($B$1&amp;$W32&amp;":"&amp;$B$1&amp;$W33-1)),INDIRECT($B$1&amp;$W32&amp;":"&amp;$B$1&amp;$W33-1),0)+ROW(INDIRECT($B$1&amp;$W32&amp;":"&amp;$B$1&amp;$W33-1))-2)),INDIRECT($B$1&amp;$W32&amp;":"&amp;$B$1&amp;$W33-1),0)=MATCH(MIN(INDIRECT($B$1&amp;$W32&amp;":"&amp;$B$1&amp;$W33-1)),INDIRECT($B$1&amp;$W32&amp;":"&amp;$B$1&amp;$W33-1),0)+1),MIN(MIN(INDIRECT($B$1&amp;MATCH(MAX(INDIRECT($B$1&amp;$W32&amp;":"&amp;$B$1&amp;$W33-1)),INDIRECT($B$1&amp;$W32&amp;":"&amp;$B$1&amp;$W33-1),0)+ROW(INDIRECT($B$1&amp;$W32&amp;":"&amp;$B$1&amp;$W33-1))&amp;":"&amp;$B$1&amp;W33-1))-MAX(INDIRECT($B$1&amp;$W32&amp;":"&amp;$B$1&amp;$W33-1)),MIN(INDIRECT($B$1&amp;$W32&amp;":"&amp;$B$1&amp;$W33-1))-MAX(INDIRECT($B$1&amp;W32&amp;":"&amp;$B$1&amp;MATCH(MIN(INDIRECT($B$1&amp;$W32&amp;":"&amp;$B$1&amp;$W33-1)),INDIRECT($B$1&amp;$W32&amp;":"&amp;$B$1&amp;$W33-1),0)+ROW(INDIRECT($B$1&amp;$W32&amp;":"&amp;$B$1&amp;$W33-1))-2))),"more"))</f>
        <v>more</v>
      </c>
      <c r="AZ32" s="24" t="str">
        <f aca="true">IF(INDEX(INDIRECT($A$1&amp;$W30&amp;":"&amp;$A$1&amp;$W33-1),MATCH(MIN(INDIRECT($B$1&amp;$W30&amp;":"&amp;$B$1&amp;$W33-1)),INDIRECT($B$1&amp;$W30&amp;":"&amp;$B$1&amp;$W33-1),0))&gt;INDEX(INDIRECT($A$1&amp;$W30&amp;":"&amp;$A$1&amp;$W33-1),MATCH(MAX(INDIRECT($B$1&amp;$W30&amp;":"&amp;$B$1&amp;$W33-1)),INDIRECT($B$1&amp;$W30&amp;":"&amp;$B$1&amp;$W33-1),0)),MIN(INDIRECT($B$1&amp;$W30&amp;":"&amp;$B$1&amp;$W33-1))-MAX(INDIRECT($B$1&amp;$W30&amp;":"&amp;$B$1&amp;$W33-1)),IF(AND(MATCH(MAX(INDIRECT($B$1&amp;MATCH(MIN(INDIRECT($B$1&amp;$W30&amp;":"&amp;$B$1&amp;$W33-1)),INDIRECT($B$1&amp;$W30&amp;":"&amp;$B$1&amp;$W33-1),0)+ROW(INDIRECT($B$1&amp;$W30&amp;":"&amp;$B$1&amp;$W33-1))&amp;":"&amp;$B$1&amp;MATCH(MAX(INDIRECT($B$1&amp;$W30&amp;":"&amp;$B$1&amp;$W33-1)),INDIRECT($B$1&amp;$W30&amp;":"&amp;$B$1&amp;$W33-1),0)+ROW(INDIRECT($B$1&amp;$W30&amp;":"&amp;$B$1&amp;$W33-1))-2)),INDIRECT($B$1&amp;$W30&amp;":"&amp;$B$1&amp;$W33-1),0)=MATCH(MAX(INDIRECT($B$1&amp;$W30&amp;":"&amp;$B$1&amp;$W33-1)),INDIRECT($B$1&amp;$W30&amp;":"&amp;$B$1&amp;$W33-1),0)-1,MATCH(MIN(INDIRECT($B$1&amp;MATCH(MIN(INDIRECT($B$1&amp;$W30&amp;":"&amp;$B$1&amp;$W33-1)),INDIRECT($B$1&amp;$W30&amp;":"&amp;$B$1&amp;$W33-1),0)+ROW(INDIRECT($B$1&amp;$W30&amp;":"&amp;$B$1&amp;$W33-1))&amp;":"&amp;$B$1&amp;MATCH(MAX(INDIRECT($B$1&amp;$W30&amp;":"&amp;$B$1&amp;$W33-1)),INDIRECT($B$1&amp;$W30&amp;":"&amp;$B$1&amp;$W33-1),0)+ROW(INDIRECT($B$1&amp;$W30&amp;":"&amp;$B$1&amp;$W33-1))-2)),INDIRECT($B$1&amp;$W30&amp;":"&amp;$B$1&amp;$W33-1),0)=MATCH(MIN(INDIRECT($B$1&amp;$W30&amp;":"&amp;$B$1&amp;$W33-1)),INDIRECT($B$1&amp;$W30&amp;":"&amp;$B$1&amp;$W33-1),0)+1),MIN(MIN(INDIRECT($B$1&amp;MATCH(MAX(INDIRECT($B$1&amp;$W30&amp;":"&amp;$B$1&amp;$W33-1)),INDIRECT($B$1&amp;$W30&amp;":"&amp;$B$1&amp;$W33-1),0)+ROW(INDIRECT($B$1&amp;$W30&amp;":"&amp;$B$1&amp;$W33-1))&amp;":"&amp;$B$1&amp;X33-1))-MAX(INDIRECT($B$1&amp;$W30&amp;":"&amp;$B$1&amp;$W33-1)),MIN(INDIRECT($B$1&amp;$W30&amp;":"&amp;$B$1&amp;$W33-1))-MAX(INDIRECT($B$1&amp;X32&amp;":"&amp;$B$1&amp;MATCH(MIN(INDIRECT($B$1&amp;$W30&amp;":"&amp;$B$1&amp;$W33-1)),INDIRECT($B$1&amp;$W30&amp;":"&amp;$B$1&amp;$W33-1),0)+ROW(INDIRECT($B$1&amp;$W30&amp;":"&amp;$B$1&amp;$W33-1))-2))),"more"))</f>
        <v>more</v>
      </c>
      <c r="BA32" s="24" t="n">
        <f aca="true">IF(INDEX(INDIRECT($A$1&amp;$W27&amp;":"&amp;$A$1&amp;$W33-1),MATCH(MIN(INDIRECT($B$1&amp;$W27&amp;":"&amp;$B$1&amp;$W33-1)),INDIRECT($B$1&amp;$W27&amp;":"&amp;$B$1&amp;$W33-1),0))&gt;INDEX(INDIRECT($A$1&amp;$W27&amp;":"&amp;$A$1&amp;$W33-1),MATCH(MAX(INDIRECT($B$1&amp;$W27&amp;":"&amp;$B$1&amp;$W33-1)),INDIRECT($B$1&amp;$W27&amp;":"&amp;$B$1&amp;$W33-1),0)),MIN(INDIRECT($B$1&amp;$W27&amp;":"&amp;$B$1&amp;$W33-1))-MAX(INDIRECT($B$1&amp;$W27&amp;":"&amp;$B$1&amp;$W33-1)),IF(AND(MATCH(MAX(INDIRECT($B$1&amp;MATCH(MIN(INDIRECT($B$1&amp;$W27&amp;":"&amp;$B$1&amp;$W33-1)),INDIRECT($B$1&amp;$W27&amp;":"&amp;$B$1&amp;$W33-1),0)+ROW(INDIRECT($B$1&amp;$W27&amp;":"&amp;$B$1&amp;$W33-1))&amp;":"&amp;$B$1&amp;MATCH(MAX(INDIRECT($B$1&amp;$W27&amp;":"&amp;$B$1&amp;$W33-1)),INDIRECT($B$1&amp;$W27&amp;":"&amp;$B$1&amp;$W33-1),0)+ROW(INDIRECT($B$1&amp;$W27&amp;":"&amp;$B$1&amp;$W33-1))-2)),INDIRECT($B$1&amp;$W27&amp;":"&amp;$B$1&amp;$W33-1),0)=MATCH(MAX(INDIRECT($B$1&amp;$W27&amp;":"&amp;$B$1&amp;$W33-1)),INDIRECT($B$1&amp;$W27&amp;":"&amp;$B$1&amp;$W33-1),0)-1,MATCH(MIN(INDIRECT($B$1&amp;MATCH(MIN(INDIRECT($B$1&amp;$W27&amp;":"&amp;$B$1&amp;$W33-1)),INDIRECT($B$1&amp;$W27&amp;":"&amp;$B$1&amp;$W33-1),0)+ROW(INDIRECT($B$1&amp;$W27&amp;":"&amp;$B$1&amp;$W33-1))&amp;":"&amp;$B$1&amp;MATCH(MAX(INDIRECT($B$1&amp;$W27&amp;":"&amp;$B$1&amp;$W33-1)),INDIRECT($B$1&amp;$W27&amp;":"&amp;$B$1&amp;$W33-1),0)+ROW(INDIRECT($B$1&amp;$W27&amp;":"&amp;$B$1&amp;$W33-1))-2)),INDIRECT($B$1&amp;$W27&amp;":"&amp;$B$1&amp;$W33-1),0)=MATCH(MIN(INDIRECT($B$1&amp;$W27&amp;":"&amp;$B$1&amp;$W33-1)),INDIRECT($B$1&amp;$W27&amp;":"&amp;$B$1&amp;$W33-1),0)+1),MIN(MIN(INDIRECT($B$1&amp;MATCH(MAX(INDIRECT($B$1&amp;$W27&amp;":"&amp;$B$1&amp;$W33-1)),INDIRECT($B$1&amp;$W27&amp;":"&amp;$B$1&amp;$W33-1),0)+ROW(INDIRECT($B$1&amp;$W27&amp;":"&amp;$B$1&amp;$W33-1))&amp;":"&amp;$B$1&amp;Y33-1))-MAX(INDIRECT($B$1&amp;$W27&amp;":"&amp;$B$1&amp;$W33-1)),MIN(INDIRECT($B$1&amp;$W27&amp;":"&amp;$B$1&amp;$W33-1))-MAX(INDIRECT($B$1&amp;Y32&amp;":"&amp;$B$1&amp;MATCH(MIN(INDIRECT($B$1&amp;$W27&amp;":"&amp;$B$1&amp;$W33-1)),INDIRECT($B$1&amp;$W27&amp;":"&amp;$B$1&amp;$W33-1),0)+ROW(INDIRECT($B$1&amp;$W27&amp;":"&amp;$B$1&amp;$W33-1))-2))),"more"))</f>
        <v>-412590.445637951</v>
      </c>
      <c r="BB32" s="67"/>
      <c r="BC32" s="79"/>
      <c r="BD32" s="79"/>
      <c r="BE32" s="79"/>
      <c r="BF32" s="79"/>
      <c r="BG32" s="80" t="n">
        <f aca="true">_xlfn.COVARIANCE.S(INDIRECT($D$1&amp;$W32):INDIRECT($D$1&amp;$W33-1),INDIRECT("s_p!"&amp;s_p!$H$1&amp;s_p!$M17&amp;":"&amp;s_p!$H$1&amp;s_p!$M18-1))</f>
        <v>-1.41273019839634E-005</v>
      </c>
      <c r="BH32" s="80" t="n">
        <f aca="true">_xlfn.COVARIANCE.S(INDIRECT($D$1&amp;$W30):INDIRECT($D$1&amp;$W33-1),INDIRECT("s_p!"&amp;s_p!$H$1&amp;$W30&amp;":"&amp;s_p!$H$1&amp;$W33-1))</f>
        <v>-4.23939278886922E-006</v>
      </c>
      <c r="BI32" s="80" t="n">
        <f aca="true">_xlfn.COVARIANCE.S(INDIRECT($D$1&amp;$W27):INDIRECT($D$1&amp;$W33-1),INDIRECT("s_p!"&amp;s_p!$H$1&amp;$W27&amp;":"&amp;s_p!$H$1&amp;$W33-1))</f>
        <v>-9.26165796169596E-006</v>
      </c>
      <c r="BJ32" s="82"/>
      <c r="BK32" s="80" t="n">
        <f aca="true">_xlfn.VAR.S(INDIRECT("s_p!"&amp;s_p!$H$1&amp;s_p!$M17&amp;":"&amp;s_p!$H$1&amp;s_p!$M18-1))</f>
        <v>1.93249223070479E-005</v>
      </c>
      <c r="BL32" s="80" t="n">
        <f aca="true">_xlfn.VAR.S(INDIRECT("s_p!"&amp;s_p!$H$1&amp;$W30&amp;":"&amp;s_p!$H$1&amp;$W33-1))</f>
        <v>2.0962182738101E-005</v>
      </c>
      <c r="BM32" s="80" t="n">
        <f aca="true">_xlfn.VAR.S(INDIRECT("s_p!"&amp;s_p!$H$1&amp;$W27&amp;":"&amp;s_p!$H$1&amp;$W33-1))</f>
        <v>4.9312738610839E-005</v>
      </c>
      <c r="BN32" s="83"/>
      <c r="BO32" s="55" t="n">
        <f aca="true">SQRT(AVERAGE(INDIRECT($Q$1&amp;$W32):INDIRECT($Q$1&amp;$W33-1))) * SQRT(252)</f>
        <v>0.331174345902441</v>
      </c>
      <c r="BP32" s="55" t="n">
        <f aca="true">SQRT(AVERAGE(INDIRECT($Q$1&amp;$W30):INDIRECT($Q$1&amp;$W33-1))) * SQRT(252)</f>
        <v>0.334766653142894</v>
      </c>
      <c r="BQ32" s="55" t="n">
        <f aca="true">SQRT(AVERAGE(INDIRECT($Q$1&amp;$W27):INDIRECT($Q$1&amp;$W33-1))) * SQRT(252)</f>
        <v>0.347373319217787</v>
      </c>
      <c r="BR32" s="56"/>
      <c r="BS32" s="20" t="n">
        <f aca="false">BW32/BO32 * 252</f>
        <v>1.66206974303932</v>
      </c>
      <c r="BT32" s="20" t="n">
        <f aca="false">BX32/BP32 * 252</f>
        <v>-0.0967770272686057</v>
      </c>
      <c r="BU32" s="20" t="n">
        <f aca="false">BY32/BQ32 * 252</f>
        <v>-0.247203657610807</v>
      </c>
      <c r="BV32" s="84"/>
      <c r="BW32" s="56" t="n">
        <f aca="true">AVERAGE(INDIRECT($P$1&amp;$W32):INDIRECT($P$1&amp;$W33-1))</f>
        <v>0.0021842653174416</v>
      </c>
      <c r="BX32" s="56" t="n">
        <f aca="true">AVERAGE(INDIRECT($P$1&amp;$W30):INDIRECT($P$1&amp;$W33-1))</f>
        <v>-0.000128562386983451</v>
      </c>
      <c r="BY32" s="56" t="n">
        <f aca="true">AVERAGE(INDIRECT($P$1&amp;$W27):INDIRECT($P$1&amp;$W33-1))</f>
        <v>-0.000340761726456522</v>
      </c>
      <c r="BZ32" s="56"/>
      <c r="CA32" s="56" t="n">
        <f aca="true">STDEV(INDIRECT($P$1&amp;$W32):INDIRECT($P$1&amp;$W33-1))</f>
        <v>0.0314925536151228</v>
      </c>
      <c r="CB32" s="56" t="n">
        <f aca="true">STDEV(INDIRECT($P$1&amp;$W30):INDIRECT($P$1&amp;$W33-1))</f>
        <v>0.0291942260335919</v>
      </c>
      <c r="CC32" s="56" t="n">
        <f aca="true">STDEV(INDIRECT($P$1&amp;$W27):INDIRECT($P$1&amp;$W33-1))</f>
        <v>0.0305652011223632</v>
      </c>
      <c r="CD32" s="56"/>
    </row>
    <row r="33" customFormat="false" ht="13.8" hidden="false" customHeight="false" outlineLevel="0" collapsed="false">
      <c r="A33" s="6" t="n">
        <f aca="false">WORKDAY(A32,1,holiday!$B$2:$B$10)</f>
        <v>38762</v>
      </c>
      <c r="B33" s="24" t="n">
        <v>1120785.09632525</v>
      </c>
      <c r="C33" s="24" t="n">
        <f aca="false">B33-B32</f>
        <v>4465.27926822798</v>
      </c>
      <c r="D33" s="5" t="n">
        <f aca="false">C33/B32</f>
        <v>0.00399999999999992</v>
      </c>
      <c r="E33" s="5" t="n">
        <f aca="false" t="array" ref="E33:E33">PRODUCT(1+$D$4:D33)-1</f>
        <v>0.120785096325247</v>
      </c>
      <c r="F33" s="45" t="n">
        <f aca="false">E33/COUNT($E$4:E33)</f>
        <v>0.00402616987750825</v>
      </c>
      <c r="G33" s="5" t="n">
        <f aca="false">F33*252</f>
        <v>1.01459480913208</v>
      </c>
      <c r="H33" s="46" t="n">
        <f aca="false">IF(D33&lt;F33,D33-F33,"")</f>
        <v>-2.61698775083285E-005</v>
      </c>
      <c r="I33" s="46" t="str">
        <f aca="false">IF(D33&lt;AVERAGE($D$24:D33),D33-AVERAGE($D$24:D33),"")</f>
        <v/>
      </c>
      <c r="J33" s="0" t="n">
        <f aca="false">IF(ISBLANK(A34),MONTH(A33),IF(MONTH(A34)-MONTH(A33)=1,MONTH(A33),0))</f>
        <v>0</v>
      </c>
      <c r="K33" s="0" t="str">
        <f aca="false">IF(B34&gt;B33,IF(AND(B32&gt;B33,B34&gt;B33),"min",""),IF(AND(B32&gt;B33,B34&gt;B33),"",IF(AND(B32&lt;B33,B34&lt;B33),"max","")))</f>
        <v/>
      </c>
      <c r="L33" s="0" t="str">
        <f aca="false">IF(K33="min",COUNTIF(K$4:K33,"min"),IF(K33="max",COUNTIF(K$4:K33,"max"),""))</f>
        <v/>
      </c>
      <c r="M33" s="24" t="str">
        <f aca="false" t="array" ref="M33:M33">IF($K$3=0,IF(K33="min",INDEX($B$4:$B$254,(MATCH(1,($K$4:$K$254="max")*($L$4:$L$254=(L33-1)),0))),""),IF($K$3=1,IF(K33="min",INDEX($B$4:$B$254,(MATCH(1,($K$4:$K$254="max")*($L$4:$L$254=(L33)),0))),""),""))</f>
        <v/>
      </c>
      <c r="N33" s="29" t="str">
        <f aca="false">IF(AND(K31=0,K33="min",L33=1),B33-B32,IF(K33="min",B33-M33,""))</f>
        <v/>
      </c>
      <c r="O33" s="34" t="str">
        <f aca="false">IF(AND(K31=0,K33="min",L33=1),(B33-B32)/B32,IF(K33="min",(B33-M33)/M33,""))</f>
        <v/>
      </c>
      <c r="P33" s="19" t="n">
        <f aca="false">D33-s_p!H33</f>
        <v>-0.00603278273126082</v>
      </c>
      <c r="Q33" s="19" t="n">
        <f aca="false">IF(P33&lt;0, P33^2, 0)</f>
        <v>3.63944674825988E-005</v>
      </c>
      <c r="R33" s="5"/>
      <c r="S33" s="5"/>
      <c r="T33" s="5"/>
      <c r="U33" s="5"/>
      <c r="V33" s="5"/>
      <c r="W33" s="0" t="n">
        <f aca="false">IF(ISERROR(MATCH(WORKDAY(X32,1,holiday!$B$2:$B$10),A:A,0)),MATCH(MAX(A:A),A:A,0)+1,MATCH(WORKDAY(X32,1,holiday!$B$2:$B$10),A:A,0))</f>
        <v>214</v>
      </c>
      <c r="X33" s="73" t="n">
        <f aca="false">EOMONTH(X32,1)</f>
        <v>39051</v>
      </c>
      <c r="Y33" s="24" t="n">
        <f aca="false">INDEX($B$4:$B$254,MATCH(MONTH(X33),$J$4:$J$254,0))</f>
        <v>1098002.34665878</v>
      </c>
      <c r="Z33" s="74" t="n">
        <f aca="false">Y33-Y32</f>
        <v>64933.1089007501</v>
      </c>
      <c r="AA33" s="5" t="n">
        <f aca="false">Z33/Y32</f>
        <v>0.062854556623589</v>
      </c>
      <c r="AB33" s="5" t="n">
        <f aca="false" t="array" ref="AB33:AB33">PRODUCT(1+AA31:AA33)-1</f>
        <v>0.112112660231112</v>
      </c>
      <c r="AC33" s="5" t="n">
        <f aca="false" t="array" ref="AC33:AC33">PRODUCT(1+AA28:AA33)-1</f>
        <v>-0.105562885784198</v>
      </c>
      <c r="AD33" s="67"/>
      <c r="AE33" s="55" t="n">
        <f aca="true">AVERAGE(INDIRECT($D$1&amp;$W33):INDIRECT($D$1&amp;$W34-1))</f>
        <v>0.00321428571428571</v>
      </c>
      <c r="AF33" s="55" t="n">
        <f aca="true">AVERAGE(INDIRECT($D$1&amp;$W31):INDIRECT($D$1&amp;$W34-1))</f>
        <v>0.00210317460317461</v>
      </c>
      <c r="AG33" s="55" t="n">
        <f aca="true">AVERAGE(INDIRECT($D$1&amp;$W28):INDIRECT($D$1&amp;$W34-1))</f>
        <v>-0.000450781249999995</v>
      </c>
      <c r="AH33" s="55"/>
      <c r="AI33" s="5" t="n">
        <f aca="true">STDEV(INDIRECT($D$1&amp;$W33):INDIRECT($D$1&amp;$W34-1))*SQRT(COUNT(INDIRECT($D$1&amp;$W33):INDIRECT($D$1&amp;$W34-1)))</f>
        <v>0.11668575748565</v>
      </c>
      <c r="AJ33" s="5" t="n">
        <f aca="true">STDEV(INDIRECT($D$1&amp;$W31):INDIRECT($D$1&amp;$W34-1))*SQRT(COUNT(INDIRECT($D$1&amp;$W31):INDIRECT($D$1&amp;$W34-1)))</f>
        <v>0.230695266811073</v>
      </c>
      <c r="AK33" s="5" t="n">
        <f aca="true">STDEV(INDIRECT($D$1&amp;$W28):INDIRECT($D$1&amp;$W34-1))*SQRT(COUNT(INDIRECT($D$1&amp;$W28):INDIRECT($D$1&amp;$W34-1)))</f>
        <v>0.329158851510269</v>
      </c>
      <c r="AL33" s="67"/>
      <c r="AM33" s="75" t="n">
        <f aca="false">BW33/CA33*SQRT(252)</f>
        <v>1.50263993022346</v>
      </c>
      <c r="AN33" s="75" t="n">
        <f aca="false">BX33/CB33*SQRT(252)</f>
        <v>0.506740991044935</v>
      </c>
      <c r="AO33" s="75" t="n">
        <f aca="false">BY33/CC33*SQRT(252)</f>
        <v>-0.643181308012986</v>
      </c>
      <c r="AP33" s="77"/>
      <c r="AQ33" s="19" t="n">
        <f aca="false">BG33/BK33</f>
        <v>0.385883453961959</v>
      </c>
      <c r="AR33" s="19" t="n">
        <f aca="false">BH33/BL33</f>
        <v>-0.513586848231615</v>
      </c>
      <c r="AS33" s="19" t="n">
        <f aca="false">BI33/BM33</f>
        <v>-0.486915843226108</v>
      </c>
      <c r="AT33" s="78"/>
      <c r="AU33" s="19" t="n">
        <f aca="false">AE33-(AQ33*s_p!Z18)</f>
        <v>0.00290873870935144</v>
      </c>
      <c r="AV33" s="19" t="n">
        <f aca="false">AF33-(AR33*s_p!AA18)</f>
        <v>0.00269341011935453</v>
      </c>
      <c r="AW33" s="19" t="n">
        <f aca="false">AG33-(AS33*s_p!AB18)</f>
        <v>-6.80480213030185E-005</v>
      </c>
      <c r="AX33" s="78"/>
      <c r="AY33" s="24" t="str">
        <f aca="true">IF(INDEX(INDIRECT($A$1&amp;$W33&amp;":"&amp;$A$1&amp;$W34-1),MATCH(MIN(INDIRECT($B$1&amp;$W33&amp;":"&amp;$B$1&amp;$W34-1)),INDIRECT($B$1&amp;$W33&amp;":"&amp;$B$1&amp;$W34-1),0))&gt;INDEX(INDIRECT($A$1&amp;$W33&amp;":"&amp;$A$1&amp;$W34-1),MATCH(MAX(INDIRECT($B$1&amp;$W33&amp;":"&amp;$B$1&amp;$W34-1)),INDIRECT($B$1&amp;$W33&amp;":"&amp;$B$1&amp;$W34-1),0)),MIN(INDIRECT($B$1&amp;$W33&amp;":"&amp;$B$1&amp;$W34-1))-MAX(INDIRECT($B$1&amp;$W33&amp;":"&amp;$B$1&amp;$W34-1)),IF(AND(MATCH(MAX(INDIRECT($B$1&amp;MATCH(MIN(INDIRECT($B$1&amp;$W33&amp;":"&amp;$B$1&amp;$W34-1)),INDIRECT($B$1&amp;$W33&amp;":"&amp;$B$1&amp;$W34-1),0)+ROW(INDIRECT($B$1&amp;$W33&amp;":"&amp;$B$1&amp;$W34-1))&amp;":"&amp;$B$1&amp;MATCH(MAX(INDIRECT($B$1&amp;$W33&amp;":"&amp;$B$1&amp;$W34-1)),INDIRECT($B$1&amp;$W33&amp;":"&amp;$B$1&amp;$W34-1),0)+ROW(INDIRECT($B$1&amp;$W33&amp;":"&amp;$B$1&amp;$W34-1))-2)),INDIRECT($B$1&amp;$W33&amp;":"&amp;$B$1&amp;$W34-1),0)=MATCH(MAX(INDIRECT($B$1&amp;$W33&amp;":"&amp;$B$1&amp;$W34-1)),INDIRECT($B$1&amp;$W33&amp;":"&amp;$B$1&amp;$W34-1),0)-1,MATCH(MIN(INDIRECT($B$1&amp;MATCH(MIN(INDIRECT($B$1&amp;$W33&amp;":"&amp;$B$1&amp;$W34-1)),INDIRECT($B$1&amp;$W33&amp;":"&amp;$B$1&amp;$W34-1),0)+ROW(INDIRECT($B$1&amp;$W33&amp;":"&amp;$B$1&amp;$W34-1))&amp;":"&amp;$B$1&amp;MATCH(MAX(INDIRECT($B$1&amp;$W33&amp;":"&amp;$B$1&amp;$W34-1)),INDIRECT($B$1&amp;$W33&amp;":"&amp;$B$1&amp;$W34-1),0)+ROW(INDIRECT($B$1&amp;$W33&amp;":"&amp;$B$1&amp;$W34-1))-2)),INDIRECT($B$1&amp;$W33&amp;":"&amp;$B$1&amp;$W34-1),0)=MATCH(MIN(INDIRECT($B$1&amp;$W33&amp;":"&amp;$B$1&amp;$W34-1)),INDIRECT($B$1&amp;$W33&amp;":"&amp;$B$1&amp;$W34-1),0)+1),MIN(MIN(INDIRECT($B$1&amp;MATCH(MAX(INDIRECT($B$1&amp;$W33&amp;":"&amp;$B$1&amp;$W34-1)),INDIRECT($B$1&amp;$W33&amp;":"&amp;$B$1&amp;$W34-1),0)+ROW(INDIRECT($B$1&amp;$W33&amp;":"&amp;$B$1&amp;$W34-1))&amp;":"&amp;$B$1&amp;W34-1))-MAX(INDIRECT($B$1&amp;$W33&amp;":"&amp;$B$1&amp;$W34-1)),MIN(INDIRECT($B$1&amp;$W33&amp;":"&amp;$B$1&amp;$W34-1))-MAX(INDIRECT($B$1&amp;W33&amp;":"&amp;$B$1&amp;MATCH(MIN(INDIRECT($B$1&amp;$W33&amp;":"&amp;$B$1&amp;$W34-1)),INDIRECT($B$1&amp;$W33&amp;":"&amp;$B$1&amp;$W34-1),0)+ROW(INDIRECT($B$1&amp;$W33&amp;":"&amp;$B$1&amp;$W34-1))-2))),"more"))</f>
        <v>more</v>
      </c>
      <c r="AZ33" s="24" t="str">
        <f aca="true">IF(INDEX(INDIRECT($A$1&amp;$W31&amp;":"&amp;$A$1&amp;$W34-1),MATCH(MIN(INDIRECT($B$1&amp;$W31&amp;":"&amp;$B$1&amp;$W34-1)),INDIRECT($B$1&amp;$W31&amp;":"&amp;$B$1&amp;$W34-1),0))&gt;INDEX(INDIRECT($A$1&amp;$W31&amp;":"&amp;$A$1&amp;$W34-1),MATCH(MAX(INDIRECT($B$1&amp;$W31&amp;":"&amp;$B$1&amp;$W34-1)),INDIRECT($B$1&amp;$W31&amp;":"&amp;$B$1&amp;$W34-1),0)),MIN(INDIRECT($B$1&amp;$W31&amp;":"&amp;$B$1&amp;$W34-1))-MAX(INDIRECT($B$1&amp;$W31&amp;":"&amp;$B$1&amp;$W34-1)),IF(AND(MATCH(MAX(INDIRECT($B$1&amp;MATCH(MIN(INDIRECT($B$1&amp;$W31&amp;":"&amp;$B$1&amp;$W34-1)),INDIRECT($B$1&amp;$W31&amp;":"&amp;$B$1&amp;$W34-1),0)+ROW(INDIRECT($B$1&amp;$W31&amp;":"&amp;$B$1&amp;$W34-1))&amp;":"&amp;$B$1&amp;MATCH(MAX(INDIRECT($B$1&amp;$W31&amp;":"&amp;$B$1&amp;$W34-1)),INDIRECT($B$1&amp;$W31&amp;":"&amp;$B$1&amp;$W34-1),0)+ROW(INDIRECT($B$1&amp;$W31&amp;":"&amp;$B$1&amp;$W34-1))-2)),INDIRECT($B$1&amp;$W31&amp;":"&amp;$B$1&amp;$W34-1),0)=MATCH(MAX(INDIRECT($B$1&amp;$W31&amp;":"&amp;$B$1&amp;$W34-1)),INDIRECT($B$1&amp;$W31&amp;":"&amp;$B$1&amp;$W34-1),0)-1,MATCH(MIN(INDIRECT($B$1&amp;MATCH(MIN(INDIRECT($B$1&amp;$W31&amp;":"&amp;$B$1&amp;$W34-1)),INDIRECT($B$1&amp;$W31&amp;":"&amp;$B$1&amp;$W34-1),0)+ROW(INDIRECT($B$1&amp;$W31&amp;":"&amp;$B$1&amp;$W34-1))&amp;":"&amp;$B$1&amp;MATCH(MAX(INDIRECT($B$1&amp;$W31&amp;":"&amp;$B$1&amp;$W34-1)),INDIRECT($B$1&amp;$W31&amp;":"&amp;$B$1&amp;$W34-1),0)+ROW(INDIRECT($B$1&amp;$W31&amp;":"&amp;$B$1&amp;$W34-1))-2)),INDIRECT($B$1&amp;$W31&amp;":"&amp;$B$1&amp;$W34-1),0)=MATCH(MIN(INDIRECT($B$1&amp;$W31&amp;":"&amp;$B$1&amp;$W34-1)),INDIRECT($B$1&amp;$W31&amp;":"&amp;$B$1&amp;$W34-1),0)+1),MIN(MIN(INDIRECT($B$1&amp;MATCH(MAX(INDIRECT($B$1&amp;$W31&amp;":"&amp;$B$1&amp;$W34-1)),INDIRECT($B$1&amp;$W31&amp;":"&amp;$B$1&amp;$W34-1),0)+ROW(INDIRECT($B$1&amp;$W31&amp;":"&amp;$B$1&amp;$W34-1))&amp;":"&amp;$B$1&amp;X34-1))-MAX(INDIRECT($B$1&amp;$W31&amp;":"&amp;$B$1&amp;$W34-1)),MIN(INDIRECT($B$1&amp;$W31&amp;":"&amp;$B$1&amp;$W34-1))-MAX(INDIRECT($B$1&amp;X33&amp;":"&amp;$B$1&amp;MATCH(MIN(INDIRECT($B$1&amp;$W31&amp;":"&amp;$B$1&amp;$W34-1)),INDIRECT($B$1&amp;$W31&amp;":"&amp;$B$1&amp;$W34-1),0)+ROW(INDIRECT($B$1&amp;$W31&amp;":"&amp;$B$1&amp;$W34-1))-2))),"more"))</f>
        <v>more</v>
      </c>
      <c r="BA33" s="24" t="n">
        <f aca="true">IF(INDEX(INDIRECT($A$1&amp;$W28&amp;":"&amp;$A$1&amp;$W34-1),MATCH(MIN(INDIRECT($B$1&amp;$W28&amp;":"&amp;$B$1&amp;$W34-1)),INDIRECT($B$1&amp;$W28&amp;":"&amp;$B$1&amp;$W34-1),0))&gt;INDEX(INDIRECT($A$1&amp;$W28&amp;":"&amp;$A$1&amp;$W34-1),MATCH(MAX(INDIRECT($B$1&amp;$W28&amp;":"&amp;$B$1&amp;$W34-1)),INDIRECT($B$1&amp;$W28&amp;":"&amp;$B$1&amp;$W34-1),0)),MIN(INDIRECT($B$1&amp;$W28&amp;":"&amp;$B$1&amp;$W34-1))-MAX(INDIRECT($B$1&amp;$W28&amp;":"&amp;$B$1&amp;$W34-1)),IF(AND(MATCH(MAX(INDIRECT($B$1&amp;MATCH(MIN(INDIRECT($B$1&amp;$W28&amp;":"&amp;$B$1&amp;$W34-1)),INDIRECT($B$1&amp;$W28&amp;":"&amp;$B$1&amp;$W34-1),0)+ROW(INDIRECT($B$1&amp;$W28&amp;":"&amp;$B$1&amp;$W34-1))&amp;":"&amp;$B$1&amp;MATCH(MAX(INDIRECT($B$1&amp;$W28&amp;":"&amp;$B$1&amp;$W34-1)),INDIRECT($B$1&amp;$W28&amp;":"&amp;$B$1&amp;$W34-1),0)+ROW(INDIRECT($B$1&amp;$W28&amp;":"&amp;$B$1&amp;$W34-1))-2)),INDIRECT($B$1&amp;$W28&amp;":"&amp;$B$1&amp;$W34-1),0)=MATCH(MAX(INDIRECT($B$1&amp;$W28&amp;":"&amp;$B$1&amp;$W34-1)),INDIRECT($B$1&amp;$W28&amp;":"&amp;$B$1&amp;$W34-1),0)-1,MATCH(MIN(INDIRECT($B$1&amp;MATCH(MIN(INDIRECT($B$1&amp;$W28&amp;":"&amp;$B$1&amp;$W34-1)),INDIRECT($B$1&amp;$W28&amp;":"&amp;$B$1&amp;$W34-1),0)+ROW(INDIRECT($B$1&amp;$W28&amp;":"&amp;$B$1&amp;$W34-1))&amp;":"&amp;$B$1&amp;MATCH(MAX(INDIRECT($B$1&amp;$W28&amp;":"&amp;$B$1&amp;$W34-1)),INDIRECT($B$1&amp;$W28&amp;":"&amp;$B$1&amp;$W34-1),0)+ROW(INDIRECT($B$1&amp;$W28&amp;":"&amp;$B$1&amp;$W34-1))-2)),INDIRECT($B$1&amp;$W28&amp;":"&amp;$B$1&amp;$W34-1),0)=MATCH(MIN(INDIRECT($B$1&amp;$W28&amp;":"&amp;$B$1&amp;$W34-1)),INDIRECT($B$1&amp;$W28&amp;":"&amp;$B$1&amp;$W34-1),0)+1),MIN(MIN(INDIRECT($B$1&amp;MATCH(MAX(INDIRECT($B$1&amp;$W28&amp;":"&amp;$B$1&amp;$W34-1)),INDIRECT($B$1&amp;$W28&amp;":"&amp;$B$1&amp;$W34-1),0)+ROW(INDIRECT($B$1&amp;$W28&amp;":"&amp;$B$1&amp;$W34-1))&amp;":"&amp;$B$1&amp;Y34-1))-MAX(INDIRECT($B$1&amp;$W28&amp;":"&amp;$B$1&amp;$W34-1)),MIN(INDIRECT($B$1&amp;$W28&amp;":"&amp;$B$1&amp;$W34-1))-MAX(INDIRECT($B$1&amp;Y33&amp;":"&amp;$B$1&amp;MATCH(MIN(INDIRECT($B$1&amp;$W28&amp;":"&amp;$B$1&amp;$W34-1)),INDIRECT($B$1&amp;$W28&amp;":"&amp;$B$1&amp;$W34-1),0)+ROW(INDIRECT($B$1&amp;$W28&amp;":"&amp;$B$1&amp;$W34-1))-2))),"more"))</f>
        <v>-404941.193129801</v>
      </c>
      <c r="BB33" s="67"/>
      <c r="BC33" s="79"/>
      <c r="BD33" s="79"/>
      <c r="BE33" s="79"/>
      <c r="BF33" s="79"/>
      <c r="BG33" s="80" t="n">
        <f aca="true">_xlfn.COVARIANCE.S(INDIRECT($D$1&amp;$W33):INDIRECT($D$1&amp;$W34-1),INDIRECT("s_p!"&amp;s_p!$H$1&amp;s_p!$M18&amp;":"&amp;s_p!$H$1&amp;s_p!$M19-1))</f>
        <v>1.11436143325103E-005</v>
      </c>
      <c r="BH33" s="80" t="n">
        <f aca="true">_xlfn.COVARIANCE.S(INDIRECT($D$1&amp;$W31):INDIRECT($D$1&amp;$W34-1),INDIRECT("s_p!"&amp;s_p!$H$1&amp;$W31&amp;":"&amp;s_p!$H$1&amp;$W34-1))</f>
        <v>-1.22264594573595E-005</v>
      </c>
      <c r="BI33" s="80" t="n">
        <f aca="true">_xlfn.COVARIANCE.S(INDIRECT($D$1&amp;$W28):INDIRECT($D$1&amp;$W34-1),INDIRECT("s_p!"&amp;s_p!$H$1&amp;$W28&amp;":"&amp;s_p!$H$1&amp;$W34-1))</f>
        <v>-2.10662789772254E-005</v>
      </c>
      <c r="BJ33" s="82"/>
      <c r="BK33" s="80" t="n">
        <f aca="true">_xlfn.VAR.S(INDIRECT("s_p!"&amp;s_p!$H$1&amp;s_p!$M18&amp;":"&amp;s_p!$H$1&amp;s_p!$M19-1))</f>
        <v>2.88781864526611E-005</v>
      </c>
      <c r="BL33" s="80" t="n">
        <f aca="true">_xlfn.VAR.S(INDIRECT("s_p!"&amp;s_p!$H$1&amp;$W31&amp;":"&amp;s_p!$H$1&amp;$W34-1))</f>
        <v>2.38060213174417E-005</v>
      </c>
      <c r="BM33" s="80" t="n">
        <f aca="true">_xlfn.VAR.S(INDIRECT("s_p!"&amp;s_p!$H$1&amp;$W28&amp;":"&amp;s_p!$H$1&amp;$W34-1))</f>
        <v>4.32647227858695E-005</v>
      </c>
      <c r="BN33" s="83"/>
      <c r="BO33" s="55" t="n">
        <f aca="true">SQRT(AVERAGE(INDIRECT($Q$1&amp;$W33):INDIRECT($Q$1&amp;$W34-1))) * SQRT(252)</f>
        <v>0.253830896527098</v>
      </c>
      <c r="BP33" s="55" t="n">
        <f aca="true">SQRT(AVERAGE(INDIRECT($Q$1&amp;$W31):INDIRECT($Q$1&amp;$W34-1))) * SQRT(252)</f>
        <v>0.323948715928117</v>
      </c>
      <c r="BQ33" s="55" t="n">
        <f aca="true">SQRT(AVERAGE(INDIRECT($Q$1&amp;$W28):INDIRECT($Q$1&amp;$W34-1))) * SQRT(252)</f>
        <v>0.353429710250903</v>
      </c>
      <c r="BR33" s="56"/>
      <c r="BS33" s="20" t="n">
        <f aca="false">BW33/BO33 * 252</f>
        <v>2.40500064699341</v>
      </c>
      <c r="BT33" s="20" t="n">
        <f aca="false">BX33/BP33 * 252</f>
        <v>0.74206512896576</v>
      </c>
      <c r="BU33" s="20" t="n">
        <f aca="false">BY33/BQ33 * 252</f>
        <v>-0.881866630762904</v>
      </c>
      <c r="BV33" s="84"/>
      <c r="BW33" s="56" t="n">
        <f aca="true">AVERAGE(INDIRECT($P$1&amp;$W33):INDIRECT($P$1&amp;$W34-1))</f>
        <v>0.00242247408878805</v>
      </c>
      <c r="BX33" s="56" t="n">
        <f aca="true">AVERAGE(INDIRECT($P$1&amp;$W31):INDIRECT($P$1&amp;$W34-1))</f>
        <v>0.000953932720886869</v>
      </c>
      <c r="BY33" s="56" t="n">
        <f aca="true">AVERAGE(INDIRECT($P$1&amp;$W28):INDIRECT($P$1&amp;$W34-1))</f>
        <v>-0.00123681693567648</v>
      </c>
      <c r="BZ33" s="56"/>
      <c r="CA33" s="56" t="n">
        <f aca="true">STDEV(INDIRECT($P$1&amp;$W33):INDIRECT($P$1&amp;$W34-1))</f>
        <v>0.0255920152294016</v>
      </c>
      <c r="CB33" s="56" t="n">
        <f aca="true">STDEV(INDIRECT($P$1&amp;$W31):INDIRECT($P$1&amp;$W34-1))</f>
        <v>0.0298835356707511</v>
      </c>
      <c r="CC33" s="56" t="n">
        <f aca="true">STDEV(INDIRECT($P$1&amp;$W28):INDIRECT($P$1&amp;$W34-1))</f>
        <v>0.0305261672409815</v>
      </c>
      <c r="CD33" s="56"/>
    </row>
    <row r="34" customFormat="false" ht="13.8" hidden="false" customHeight="false" outlineLevel="0" collapsed="false">
      <c r="A34" s="6" t="n">
        <f aca="false">WORKDAY(A33,1,holiday!$B$2:$B$10)</f>
        <v>38763</v>
      </c>
      <c r="B34" s="24" t="n">
        <v>1150710.05839713</v>
      </c>
      <c r="C34" s="24" t="n">
        <f aca="false">B34-B33</f>
        <v>29924.9620718842</v>
      </c>
      <c r="D34" s="5" t="n">
        <f aca="false">C34/B33</f>
        <v>0.0267000000000001</v>
      </c>
      <c r="E34" s="5" t="n">
        <f aca="false" t="array" ref="E34:E34">PRODUCT(1+$D$4:D34)-1</f>
        <v>0.150710058397132</v>
      </c>
      <c r="F34" s="45" t="n">
        <f aca="false">E34/COUNT($E$4:E34)</f>
        <v>0.00486161478700425</v>
      </c>
      <c r="G34" s="5" t="n">
        <f aca="false">F34*252</f>
        <v>1.22512692632507</v>
      </c>
      <c r="H34" s="46" t="str">
        <f aca="false">IF(D34&lt;F34,D34-F34,"")</f>
        <v/>
      </c>
      <c r="I34" s="46" t="str">
        <f aca="false">IF(D34&lt;AVERAGE($D$24:D34),D34-AVERAGE($D$24:D34),"")</f>
        <v/>
      </c>
      <c r="J34" s="0" t="n">
        <f aca="false">IF(ISBLANK(A35),MONTH(A34),IF(MONTH(A35)-MONTH(A34)=1,MONTH(A34),0))</f>
        <v>0</v>
      </c>
      <c r="K34" s="0" t="str">
        <f aca="false">IF(B35&gt;B34,IF(AND(B33&gt;B34,B35&gt;B34),"min",""),IF(AND(B33&gt;B34,B35&gt;B34),"",IF(AND(B33&lt;B34,B35&lt;B34),"max","")))</f>
        <v/>
      </c>
      <c r="L34" s="0" t="str">
        <f aca="false">IF(K34="min",COUNTIF(K$4:K34,"min"),IF(K34="max",COUNTIF(K$4:K34,"max"),""))</f>
        <v/>
      </c>
      <c r="M34" s="24" t="str">
        <f aca="false" t="array" ref="M34:M34">IF($K$3=0,IF(K34="min",INDEX($B$4:$B$254,(MATCH(1,($K$4:$K$254="max")*($L$4:$L$254=(L34-1)),0))),""),IF($K$3=1,IF(K34="min",INDEX($B$4:$B$254,(MATCH(1,($K$4:$K$254="max")*($L$4:$L$254=(L34)),0))),""),""))</f>
        <v/>
      </c>
      <c r="N34" s="29" t="str">
        <f aca="false">IF(AND(K32=0,K34="min",L34=1),B34-B33,IF(K34="min",B34-M34,""))</f>
        <v/>
      </c>
      <c r="O34" s="34" t="str">
        <f aca="false">IF(AND(K32=0,K34="min",L34=1),(B34-B33)/B33,IF(K34="min",(B34-M34)/M34,""))</f>
        <v/>
      </c>
      <c r="P34" s="19" t="n">
        <f aca="false">D34-s_p!H34</f>
        <v>0.0231955743886855</v>
      </c>
      <c r="Q34" s="19" t="n">
        <f aca="false">IF(P34&lt;0, P34^2, 0)</f>
        <v>0</v>
      </c>
      <c r="R34" s="5"/>
      <c r="S34" s="5"/>
      <c r="T34" s="5"/>
      <c r="U34" s="5"/>
      <c r="V34" s="5"/>
      <c r="W34" s="0" t="n">
        <f aca="false">IF(ISERROR(MATCH(WORKDAY(X33,1,holiday!$B$2:$B$10),A:A,0)),MATCH(MAX(A:A),A:A,0)+1,MATCH(WORKDAY(X33,1,holiday!$B$2:$B$10),A:A,0))</f>
        <v>235</v>
      </c>
      <c r="X34" s="73" t="n">
        <f aca="false">EOMONTH(X33,1)</f>
        <v>39082</v>
      </c>
      <c r="Y34" s="24" t="n">
        <f aca="false">INDEX($B$4:$B$254,MATCH(MONTH(X34),$J$4:$J$254,0))</f>
        <v>1019953.25475819</v>
      </c>
      <c r="Z34" s="74" t="n">
        <f aca="false">Y34-Y33</f>
        <v>-78049.09190059</v>
      </c>
      <c r="AA34" s="5" t="n">
        <f aca="false">Z34/Y33</f>
        <v>-0.0710828097390623</v>
      </c>
      <c r="AB34" s="5" t="n">
        <f aca="false" t="array" ref="AB34:AB34">PRODUCT(1+AA32:AA34)-1</f>
        <v>0.0581287625808062</v>
      </c>
      <c r="AC34" s="5" t="n">
        <f aca="false" t="array" ref="AC34:AC34">PRODUCT(1+AA29:AA34)-1</f>
        <v>0.10825130207443</v>
      </c>
      <c r="AD34" s="85" t="n">
        <f aca="false" t="array" ref="AD34:AD34">PRODUCT(1+AA23:AA34)-1</f>
        <v>0.01995325475819</v>
      </c>
      <c r="AE34" s="55" t="n">
        <f aca="true">AVERAGE(INDIRECT($D$1&amp;$W34):INDIRECT($D$1&amp;$W35-1))</f>
        <v>-0.00325000000000002</v>
      </c>
      <c r="AF34" s="55" t="n">
        <f aca="true">AVERAGE(INDIRECT($D$1&amp;$W32):INDIRECT($D$1&amp;$W35-1))</f>
        <v>0.00129841269841269</v>
      </c>
      <c r="AG34" s="55" t="n">
        <f aca="true">AVERAGE(INDIRECT($D$1&amp;$W29):INDIRECT($D$1&amp;$W35-1))</f>
        <v>0.00122301587301587</v>
      </c>
      <c r="AH34" s="86" t="n">
        <f aca="true">AVERAGE(INDIRECT($D$1&amp;$W23):INDIRECT($D$1&amp;$W35-1))</f>
        <v>0.000496015936254984</v>
      </c>
      <c r="AI34" s="5" t="n">
        <f aca="true">STDEV(INDIRECT($D$1&amp;$W34):INDIRECT($D$1&amp;$W35-1))*SQRT(COUNT(INDIRECT($D$1&amp;$W34):INDIRECT($D$1&amp;$W35-1)))</f>
        <v>0.134859419982049</v>
      </c>
      <c r="AJ34" s="5" t="n">
        <f aca="true">STDEV(INDIRECT($D$1&amp;$W32):INDIRECT($D$1&amp;$W35-1))*SQRT(COUNT(INDIRECT($D$1&amp;$W32):INDIRECT($D$1&amp;$W35-1)))</f>
        <v>0.22693264454743</v>
      </c>
      <c r="AK34" s="5" t="n">
        <f aca="true">STDEV(INDIRECT($D$1&amp;$W29):INDIRECT($D$1&amp;$W35-1))*SQRT(COUNT(INDIRECT($D$1&amp;$W29):INDIRECT($D$1&amp;$W35-1)))</f>
        <v>0.321471574979811</v>
      </c>
      <c r="AL34" s="85" t="n">
        <f aca="true">STDEV(INDIRECT($D$1&amp;$W23):INDIRECT($D$1&amp;$W35-1))*SQRT(COUNT(INDIRECT($D$1&amp;$W23):INDIRECT($D$1&amp;$W35-1)))</f>
        <v>0.458454302979043</v>
      </c>
      <c r="AM34" s="75" t="n">
        <f aca="false">BW34/CA34*SQRT(252)</f>
        <v>-1.94530733938622</v>
      </c>
      <c r="AN34" s="75" t="n">
        <f aca="false">BX34/CB34*SQRT(252)</f>
        <v>0.181850905801131</v>
      </c>
      <c r="AO34" s="75" t="n">
        <f aca="false">BY34/CC34*SQRT(252)</f>
        <v>0.176315334684776</v>
      </c>
      <c r="AP34" s="75" t="n">
        <f aca="false">BZ34/CD34*SQRT(252)</f>
        <v>-0.0173525054831322</v>
      </c>
      <c r="AQ34" s="19" t="n">
        <f aca="false">BG34/BK34</f>
        <v>-2.11339202551502</v>
      </c>
      <c r="AR34" s="19" t="n">
        <f aca="false">BH34/BL34</f>
        <v>-0.571737887518134</v>
      </c>
      <c r="AS34" s="19" t="n">
        <f aca="false">BI34/BM34</f>
        <v>-0.780562351792266</v>
      </c>
      <c r="AT34" s="78" t="n">
        <f aca="false">BJ34/BN34</f>
        <v>-0.192453998771852</v>
      </c>
      <c r="AU34" s="19" t="n">
        <f aca="false">AE34-(AQ34*s_p!Z19)</f>
        <v>-0.00190639848325572</v>
      </c>
      <c r="AV34" s="19" t="n">
        <f aca="false">AF34-(AR34*s_p!AA19)</f>
        <v>0.00184827322434403</v>
      </c>
      <c r="AW34" s="19" t="n">
        <f aca="false">AG34-(AS34*s_p!AB19)</f>
        <v>0.00191805578473746</v>
      </c>
      <c r="AX34" s="19" t="n">
        <f aca="false">AH34-(AT34*s_p!AC19)</f>
        <v>0.000597761383725516</v>
      </c>
      <c r="AY34" s="24" t="n">
        <f aca="true">IF(INDEX(INDIRECT($A$1&amp;$W34&amp;":"&amp;$A$1&amp;$W35-1),MATCH(MIN(INDIRECT($B$1&amp;$W34&amp;":"&amp;$B$1&amp;$W35-1)),INDIRECT($B$1&amp;$W34&amp;":"&amp;$B$1&amp;$W35-1),0))&gt;INDEX(INDIRECT($A$1&amp;$W34&amp;":"&amp;$A$1&amp;$W35-1),MATCH(MAX(INDIRECT($B$1&amp;$W34&amp;":"&amp;$B$1&amp;$W35-1)),INDIRECT($B$1&amp;$W34&amp;":"&amp;$B$1&amp;$W35-1),0)),MIN(INDIRECT($B$1&amp;$W34&amp;":"&amp;$B$1&amp;$W35-1))-MAX(INDIRECT($B$1&amp;$W34&amp;":"&amp;$B$1&amp;$W35-1)),IF(AND(MATCH(MAX(INDIRECT($B$1&amp;MATCH(MIN(INDIRECT($B$1&amp;$W34&amp;":"&amp;$B$1&amp;$W35-1)),INDIRECT($B$1&amp;$W34&amp;":"&amp;$B$1&amp;$W35-1),0)+ROW(INDIRECT($B$1&amp;$W34&amp;":"&amp;$B$1&amp;$W35-1))&amp;":"&amp;$B$1&amp;MATCH(MAX(INDIRECT($B$1&amp;$W34&amp;":"&amp;$B$1&amp;$W35-1)),INDIRECT($B$1&amp;$W34&amp;":"&amp;$B$1&amp;$W35-1),0)+ROW(INDIRECT($B$1&amp;$W34&amp;":"&amp;$B$1&amp;$W35-1))-2)),INDIRECT($B$1&amp;$W34&amp;":"&amp;$B$1&amp;$W35-1),0)=MATCH(MAX(INDIRECT($B$1&amp;$W34&amp;":"&amp;$B$1&amp;$W35-1)),INDIRECT($B$1&amp;$W34&amp;":"&amp;$B$1&amp;$W35-1),0)-1,MATCH(MIN(INDIRECT($B$1&amp;MATCH(MIN(INDIRECT($B$1&amp;$W34&amp;":"&amp;$B$1&amp;$W35-1)),INDIRECT($B$1&amp;$W34&amp;":"&amp;$B$1&amp;$W35-1),0)+ROW(INDIRECT($B$1&amp;$W34&amp;":"&amp;$B$1&amp;$W35-1))&amp;":"&amp;$B$1&amp;MATCH(MAX(INDIRECT($B$1&amp;$W34&amp;":"&amp;$B$1&amp;$W35-1)),INDIRECT($B$1&amp;$W34&amp;":"&amp;$B$1&amp;$W35-1),0)+ROW(INDIRECT($B$1&amp;$W34&amp;":"&amp;$B$1&amp;$W35-1))-2)),INDIRECT($B$1&amp;$W34&amp;":"&amp;$B$1&amp;$W35-1),0)=MATCH(MIN(INDIRECT($B$1&amp;$W34&amp;":"&amp;$B$1&amp;$W35-1)),INDIRECT($B$1&amp;$W34&amp;":"&amp;$B$1&amp;$W35-1),0)+1),MIN(MIN(INDIRECT($B$1&amp;MATCH(MAX(INDIRECT($B$1&amp;$W34&amp;":"&amp;$B$1&amp;$W35-1)),INDIRECT($B$1&amp;$W34&amp;":"&amp;$B$1&amp;$W35-1),0)+ROW(INDIRECT($B$1&amp;$W34&amp;":"&amp;$B$1&amp;$W35-1))&amp;":"&amp;$B$1&amp;W35-1))-MAX(INDIRECT($B$1&amp;$W34&amp;":"&amp;$B$1&amp;$W35-1)),MIN(INDIRECT($B$1&amp;$W34&amp;":"&amp;$B$1&amp;$W35-1))-MAX(INDIRECT($B$1&amp;W34&amp;":"&amp;$B$1&amp;MATCH(MIN(INDIRECT($B$1&amp;$W34&amp;":"&amp;$B$1&amp;$W35-1)),INDIRECT($B$1&amp;$W34&amp;":"&amp;$B$1&amp;$W35-1),0)+ROW(INDIRECT($B$1&amp;$W34&amp;":"&amp;$B$1&amp;$W35-1))-2))),"more"))</f>
        <v>-158166.015055538</v>
      </c>
      <c r="AZ34" s="24" t="str">
        <f aca="true">IF(INDEX(INDIRECT($A$1&amp;$W32&amp;":"&amp;$A$1&amp;$W35-1),MATCH(MIN(INDIRECT($B$1&amp;$W32&amp;":"&amp;$B$1&amp;$W35-1)),INDIRECT($B$1&amp;$W32&amp;":"&amp;$B$1&amp;$W35-1),0))&gt;INDEX(INDIRECT($A$1&amp;$W32&amp;":"&amp;$A$1&amp;$W35-1),MATCH(MAX(INDIRECT($B$1&amp;$W32&amp;":"&amp;$B$1&amp;$W35-1)),INDIRECT($B$1&amp;$W32&amp;":"&amp;$B$1&amp;$W35-1),0)),MIN(INDIRECT($B$1&amp;$W32&amp;":"&amp;$B$1&amp;$W35-1))-MAX(INDIRECT($B$1&amp;$W32&amp;":"&amp;$B$1&amp;$W35-1)),IF(AND(MATCH(MAX(INDIRECT($B$1&amp;MATCH(MIN(INDIRECT($B$1&amp;$W32&amp;":"&amp;$B$1&amp;$W35-1)),INDIRECT($B$1&amp;$W32&amp;":"&amp;$B$1&amp;$W35-1),0)+ROW(INDIRECT($B$1&amp;$W32&amp;":"&amp;$B$1&amp;$W35-1))&amp;":"&amp;$B$1&amp;MATCH(MAX(INDIRECT($B$1&amp;$W32&amp;":"&amp;$B$1&amp;$W35-1)),INDIRECT($B$1&amp;$W32&amp;":"&amp;$B$1&amp;$W35-1),0)+ROW(INDIRECT($B$1&amp;$W32&amp;":"&amp;$B$1&amp;$W35-1))-2)),INDIRECT($B$1&amp;$W32&amp;":"&amp;$B$1&amp;$W35-1),0)=MATCH(MAX(INDIRECT($B$1&amp;$W32&amp;":"&amp;$B$1&amp;$W35-1)),INDIRECT($B$1&amp;$W32&amp;":"&amp;$B$1&amp;$W35-1),0)-1,MATCH(MIN(INDIRECT($B$1&amp;MATCH(MIN(INDIRECT($B$1&amp;$W32&amp;":"&amp;$B$1&amp;$W35-1)),INDIRECT($B$1&amp;$W32&amp;":"&amp;$B$1&amp;$W35-1),0)+ROW(INDIRECT($B$1&amp;$W32&amp;":"&amp;$B$1&amp;$W35-1))&amp;":"&amp;$B$1&amp;MATCH(MAX(INDIRECT($B$1&amp;$W32&amp;":"&amp;$B$1&amp;$W35-1)),INDIRECT($B$1&amp;$W32&amp;":"&amp;$B$1&amp;$W35-1),0)+ROW(INDIRECT($B$1&amp;$W32&amp;":"&amp;$B$1&amp;$W35-1))-2)),INDIRECT($B$1&amp;$W32&amp;":"&amp;$B$1&amp;$W35-1),0)=MATCH(MIN(INDIRECT($B$1&amp;$W32&amp;":"&amp;$B$1&amp;$W35-1)),INDIRECT($B$1&amp;$W32&amp;":"&amp;$B$1&amp;$W35-1),0)+1),MIN(MIN(INDIRECT($B$1&amp;MATCH(MAX(INDIRECT($B$1&amp;$W32&amp;":"&amp;$B$1&amp;$W35-1)),INDIRECT($B$1&amp;$W32&amp;":"&amp;$B$1&amp;$W35-1),0)+ROW(INDIRECT($B$1&amp;$W32&amp;":"&amp;$B$1&amp;$W35-1))&amp;":"&amp;$B$1&amp;X35-1))-MAX(INDIRECT($B$1&amp;$W32&amp;":"&amp;$B$1&amp;$W35-1)),MIN(INDIRECT($B$1&amp;$W32&amp;":"&amp;$B$1&amp;$W35-1))-MAX(INDIRECT($B$1&amp;X34&amp;":"&amp;$B$1&amp;MATCH(MIN(INDIRECT($B$1&amp;$W32&amp;":"&amp;$B$1&amp;$W35-1)),INDIRECT($B$1&amp;$W32&amp;":"&amp;$B$1&amp;$W35-1),0)+ROW(INDIRECT($B$1&amp;$W32&amp;":"&amp;$B$1&amp;$W35-1))-2))),"more"))</f>
        <v>more</v>
      </c>
      <c r="BA34" s="24" t="str">
        <f aca="true">IF(INDEX(INDIRECT($A$1&amp;$W29&amp;":"&amp;$A$1&amp;$W35-1),MATCH(MIN(INDIRECT($B$1&amp;$W29&amp;":"&amp;$B$1&amp;$W35-1)),INDIRECT($B$1&amp;$W29&amp;":"&amp;$B$1&amp;$W35-1),0))&gt;INDEX(INDIRECT($A$1&amp;$W29&amp;":"&amp;$A$1&amp;$W35-1),MATCH(MAX(INDIRECT($B$1&amp;$W29&amp;":"&amp;$B$1&amp;$W35-1)),INDIRECT($B$1&amp;$W29&amp;":"&amp;$B$1&amp;$W35-1),0)),MIN(INDIRECT($B$1&amp;$W29&amp;":"&amp;$B$1&amp;$W35-1))-MAX(INDIRECT($B$1&amp;$W29&amp;":"&amp;$B$1&amp;$W35-1)),IF(AND(MATCH(MAX(INDIRECT($B$1&amp;MATCH(MIN(INDIRECT($B$1&amp;$W29&amp;":"&amp;$B$1&amp;$W35-1)),INDIRECT($B$1&amp;$W29&amp;":"&amp;$B$1&amp;$W35-1),0)+ROW(INDIRECT($B$1&amp;$W29&amp;":"&amp;$B$1&amp;$W35-1))&amp;":"&amp;$B$1&amp;MATCH(MAX(INDIRECT($B$1&amp;$W29&amp;":"&amp;$B$1&amp;$W35-1)),INDIRECT($B$1&amp;$W29&amp;":"&amp;$B$1&amp;$W35-1),0)+ROW(INDIRECT($B$1&amp;$W29&amp;":"&amp;$B$1&amp;$W35-1))-2)),INDIRECT($B$1&amp;$W29&amp;":"&amp;$B$1&amp;$W35-1),0)=MATCH(MAX(INDIRECT($B$1&amp;$W29&amp;":"&amp;$B$1&amp;$W35-1)),INDIRECT($B$1&amp;$W29&amp;":"&amp;$B$1&amp;$W35-1),0)-1,MATCH(MIN(INDIRECT($B$1&amp;MATCH(MIN(INDIRECT($B$1&amp;$W29&amp;":"&amp;$B$1&amp;$W35-1)),INDIRECT($B$1&amp;$W29&amp;":"&amp;$B$1&amp;$W35-1),0)+ROW(INDIRECT($B$1&amp;$W29&amp;":"&amp;$B$1&amp;$W35-1))&amp;":"&amp;$B$1&amp;MATCH(MAX(INDIRECT($B$1&amp;$W29&amp;":"&amp;$B$1&amp;$W35-1)),INDIRECT($B$1&amp;$W29&amp;":"&amp;$B$1&amp;$W35-1),0)+ROW(INDIRECT($B$1&amp;$W29&amp;":"&amp;$B$1&amp;$W35-1))-2)),INDIRECT($B$1&amp;$W29&amp;":"&amp;$B$1&amp;$W35-1),0)=MATCH(MIN(INDIRECT($B$1&amp;$W29&amp;":"&amp;$B$1&amp;$W35-1)),INDIRECT($B$1&amp;$W29&amp;":"&amp;$B$1&amp;$W35-1),0)+1),MIN(MIN(INDIRECT($B$1&amp;MATCH(MAX(INDIRECT($B$1&amp;$W29&amp;":"&amp;$B$1&amp;$W35-1)),INDIRECT($B$1&amp;$W29&amp;":"&amp;$B$1&amp;$W35-1),0)+ROW(INDIRECT($B$1&amp;$W29&amp;":"&amp;$B$1&amp;$W35-1))&amp;":"&amp;$B$1&amp;Y35-1))-MAX(INDIRECT($B$1&amp;$W29&amp;":"&amp;$B$1&amp;$W35-1)),MIN(INDIRECT($B$1&amp;$W29&amp;":"&amp;$B$1&amp;$W35-1))-MAX(INDIRECT($B$1&amp;Y34&amp;":"&amp;$B$1&amp;MATCH(MIN(INDIRECT($B$1&amp;$W29&amp;":"&amp;$B$1&amp;$W35-1)),INDIRECT($B$1&amp;$W29&amp;":"&amp;$B$1&amp;$W35-1),0)+ROW(INDIRECT($B$1&amp;$W29&amp;":"&amp;$B$1&amp;$W35-1))-2))),"more"))</f>
        <v>more</v>
      </c>
      <c r="BB34" s="24" t="n">
        <f aca="true">IF(INDEX(INDIRECT($A$1&amp;$W23&amp;":"&amp;$A$1&amp;$W35-1),MATCH(MIN(INDIRECT($B$1&amp;$W23&amp;":"&amp;$B$1&amp;$W35-1)),INDIRECT($B$1&amp;$W23&amp;":"&amp;$B$1&amp;$W35-1),0))&gt;INDEX(INDIRECT($A$1&amp;$W23&amp;":"&amp;$A$1&amp;$W35-1),MATCH(MAX(INDIRECT($B$1&amp;$W23&amp;":"&amp;$B$1&amp;$W35-1)),INDIRECT($B$1&amp;$W23&amp;":"&amp;$B$1&amp;$W35-1),0)),MIN(INDIRECT($B$1&amp;$W23&amp;":"&amp;$B$1&amp;$W35-1))-MAX(INDIRECT($B$1&amp;$W23&amp;":"&amp;$B$1&amp;$W35-1)),IF(AND(MATCH(MAX(INDIRECT($B$1&amp;MATCH(MIN(INDIRECT($B$1&amp;$W23&amp;":"&amp;$B$1&amp;$W35-1)),INDIRECT($B$1&amp;$W23&amp;":"&amp;$B$1&amp;$W35-1),0)+ROW(INDIRECT($B$1&amp;$W23&amp;":"&amp;$B$1&amp;$W35-1))&amp;":"&amp;$B$1&amp;MATCH(MAX(INDIRECT($B$1&amp;$W23&amp;":"&amp;$B$1&amp;$W35-1)),INDIRECT($B$1&amp;$W23&amp;":"&amp;$B$1&amp;$W35-1),0)+ROW(INDIRECT($B$1&amp;$W23&amp;":"&amp;$B$1&amp;$W35-1))-2)),INDIRECT($B$1&amp;$W23&amp;":"&amp;$B$1&amp;$W35-1),0)=MATCH(MAX(INDIRECT($B$1&amp;$W23&amp;":"&amp;$B$1&amp;$W35-1)),INDIRECT($B$1&amp;$W23&amp;":"&amp;$B$1&amp;$W35-1),0)-1,MATCH(MIN(INDIRECT($B$1&amp;MATCH(MIN(INDIRECT($B$1&amp;$W23&amp;":"&amp;$B$1&amp;$W35-1)),INDIRECT($B$1&amp;$W23&amp;":"&amp;$B$1&amp;$W35-1),0)+ROW(INDIRECT($B$1&amp;$W23&amp;":"&amp;$B$1&amp;$W35-1))&amp;":"&amp;$B$1&amp;MATCH(MAX(INDIRECT($B$1&amp;$W23&amp;":"&amp;$B$1&amp;$W35-1)),INDIRECT($B$1&amp;$W23&amp;":"&amp;$B$1&amp;$W35-1),0)+ROW(INDIRECT($B$1&amp;$W23&amp;":"&amp;$B$1&amp;$W35-1))-2)),INDIRECT($B$1&amp;$W23&amp;":"&amp;$B$1&amp;$W35-1),0)=MATCH(MIN(INDIRECT($B$1&amp;$W23&amp;":"&amp;$B$1&amp;$W35-1)),INDIRECT($B$1&amp;$W23&amp;":"&amp;$B$1&amp;$W35-1),0)+1),MIN(MIN(INDIRECT($B$1&amp;MATCH(MAX(INDIRECT($B$1&amp;$W23&amp;":"&amp;$B$1&amp;$W35-1)),INDIRECT($B$1&amp;$W23&amp;":"&amp;$B$1&amp;$W35-1),0)+ROW(INDIRECT($B$1&amp;$W23&amp;":"&amp;$B$1&amp;$W35-1))&amp;":"&amp;$B$1&amp;Z35-1))-MAX(INDIRECT($B$1&amp;$W23&amp;":"&amp;$B$1&amp;$W35-1)),MIN(INDIRECT($B$1&amp;$W23&amp;":"&amp;$B$1&amp;$W35-1))-MAX(INDIRECT($B$1&amp;Z34&amp;":"&amp;$B$1&amp;MATCH(MIN(INDIRECT($B$1&amp;$W23&amp;":"&amp;$B$1&amp;$W35-1)),INDIRECT($B$1&amp;$W23&amp;":"&amp;$B$1&amp;$W35-1),0)+ROW(INDIRECT($B$1&amp;$W23&amp;":"&amp;$B$1&amp;$W35-1))-2))),"more"))</f>
        <v>-412590.445637951</v>
      </c>
      <c r="BC34" s="79"/>
      <c r="BD34" s="79"/>
      <c r="BE34" s="79"/>
      <c r="BF34" s="79"/>
      <c r="BG34" s="80" t="n">
        <f aca="true">_xlfn.COVARIANCE.S(INDIRECT($D$1&amp;$W34):INDIRECT($D$1&amp;$W35-1),INDIRECT("s_p!"&amp;s_p!$H$1&amp;s_p!$M19&amp;":"&amp;s_p!$H$1&amp;s_p!$M20-1))</f>
        <v>-3.88694029571915E-005</v>
      </c>
      <c r="BH34" s="80" t="n">
        <f aca="true">_xlfn.COVARIANCE.S(INDIRECT($D$1&amp;$W32):INDIRECT($D$1&amp;$W35-1),INDIRECT("s_p!"&amp;s_p!$H$1&amp;$W32&amp;":"&amp;s_p!$H$1&amp;$W35-1))</f>
        <v>-1.23586822125386E-005</v>
      </c>
      <c r="BI34" s="80" t="n">
        <f aca="true">_xlfn.COVARIANCE.S(INDIRECT($D$1&amp;$W29):INDIRECT($D$1&amp;$W35-1),INDIRECT("s_p!"&amp;s_p!$H$1&amp;$W29&amp;":"&amp;s_p!$H$1&amp;$W35-1))</f>
        <v>-2.32980857624092E-005</v>
      </c>
      <c r="BJ34" s="83" t="n">
        <f aca="true">_xlfn.COVARIANCE.S(INDIRECT($D$1&amp;$W23):INDIRECT($D$1&amp;$W35-1),INDIRECT("s_p!"&amp;s_p!$H$1&amp;$W23&amp;":"&amp;s_p!$H$1&amp;$W35-1))</f>
        <v>-7.67569661112518E-006</v>
      </c>
      <c r="BK34" s="80" t="n">
        <f aca="true">_xlfn.VAR.S(INDIRECT("s_p!"&amp;s_p!$H$1&amp;s_p!$M19&amp;":"&amp;s_p!$H$1&amp;s_p!$M20-1))</f>
        <v>1.83919511798665E-005</v>
      </c>
      <c r="BL34" s="80" t="n">
        <f aca="true">_xlfn.VAR.S(INDIRECT("s_p!"&amp;s_p!$H$1&amp;$W32&amp;":"&amp;s_p!$H$1&amp;$W35-1))</f>
        <v>2.16159930666597E-005</v>
      </c>
      <c r="BM34" s="80" t="n">
        <f aca="true">_xlfn.VAR.S(INDIRECT("s_p!"&amp;s_p!$H$1&amp;$W29&amp;":"&amp;s_p!$H$1&amp;$W35-1))</f>
        <v>2.98478215211302E-005</v>
      </c>
      <c r="BN34" s="83" t="n">
        <f aca="true">_xlfn.VAR.S(INDIRECT("s_p!"&amp;s_p!$H$1&amp;$W23&amp;":"&amp;s_p!$H$1&amp;$W35-1))</f>
        <v>3.98832794335673E-005</v>
      </c>
      <c r="BO34" s="55" t="n">
        <f aca="true">SQRT(AVERAGE(INDIRECT($Q$1&amp;$W34):INDIRECT($Q$1&amp;$W35-1))) * SQRT(252)</f>
        <v>0.361586902542836</v>
      </c>
      <c r="BP34" s="55" t="n">
        <f aca="true">SQRT(AVERAGE(INDIRECT($Q$1&amp;$W32):INDIRECT($Q$1&amp;$W35-1))) * SQRT(252)</f>
        <v>0.318249582823034</v>
      </c>
      <c r="BQ34" s="55" t="n">
        <f aca="true">SQRT(AVERAGE(INDIRECT($Q$1&amp;$W29):INDIRECT($Q$1&amp;$W35-1))) * SQRT(252)</f>
        <v>0.334876924076396</v>
      </c>
      <c r="BR34" s="86" t="n">
        <f aca="true">SQRT(AVERAGE(INDIRECT($Q$1&amp;$W23):INDIRECT($Q$1&amp;$W35-1))) * SQRT(252)</f>
        <v>0.336055975274114</v>
      </c>
      <c r="BS34" s="20" t="n">
        <f aca="false">BW34/BO34 * 252</f>
        <v>-2.70809171450531</v>
      </c>
      <c r="BT34" s="20" t="n">
        <f aca="false">BX34/BP34 * 252</f>
        <v>0.266591698518309</v>
      </c>
      <c r="BU34" s="20" t="n">
        <f aca="false">BY34/BQ34 * 252</f>
        <v>0.250272307978237</v>
      </c>
      <c r="BV34" s="20" t="n">
        <f aca="false">BZ34/BR34 * 252</f>
        <v>-0.0244895542358636</v>
      </c>
      <c r="BW34" s="56" t="n">
        <f aca="true">AVERAGE(INDIRECT($P$1&amp;$W34):INDIRECT($P$1&amp;$W35-1))</f>
        <v>-0.00388575593194402</v>
      </c>
      <c r="BX34" s="56" t="n">
        <f aca="true">AVERAGE(INDIRECT($P$1&amp;$W32):INDIRECT($P$1&amp;$W35-1))</f>
        <v>0.000336677368402921</v>
      </c>
      <c r="BY34" s="56" t="n">
        <f aca="true">AVERAGE(INDIRECT($P$1&amp;$W29):INDIRECT($P$1&amp;$W35-1))</f>
        <v>0.000332581034433542</v>
      </c>
      <c r="BZ34" s="10" t="n">
        <f aca="true">AVERAGE(INDIRECT($P$1&amp;$W23):INDIRECT($P$1&amp;$W35-1))</f>
        <v>-3.26581787014344E-005</v>
      </c>
      <c r="CA34" s="56" t="n">
        <f aca="true">STDEV(INDIRECT($P$1&amp;$W34):INDIRECT($P$1&amp;$W35-1))</f>
        <v>0.0317093663605722</v>
      </c>
      <c r="CB34" s="56" t="n">
        <f aca="true">STDEV(INDIRECT($P$1&amp;$W32):INDIRECT($P$1&amp;$W35-1))</f>
        <v>0.0293899417745633</v>
      </c>
      <c r="CC34" s="56" t="n">
        <f aca="true">STDEV(INDIRECT($P$1&amp;$W29):INDIRECT($P$1&amp;$W35-1))</f>
        <v>0.0299438517742406</v>
      </c>
      <c r="CD34" s="10" t="n">
        <f aca="true">STDEV(INDIRECT($P$1&amp;$W23):INDIRECT($P$1&amp;$W35-1))</f>
        <v>0.0298765221657335</v>
      </c>
    </row>
    <row r="35" customFormat="false" ht="13.8" hidden="false" customHeight="false" outlineLevel="0" collapsed="false">
      <c r="A35" s="6" t="n">
        <f aca="false">WORKDAY(A34,1,holiday!$B$2:$B$10)</f>
        <v>38764</v>
      </c>
      <c r="B35" s="24" t="n">
        <v>1154047.11756648</v>
      </c>
      <c r="C35" s="24" t="n">
        <f aca="false">B35-B34</f>
        <v>3337.05916935159</v>
      </c>
      <c r="D35" s="5" t="n">
        <f aca="false">C35/B34</f>
        <v>0.00289999999999992</v>
      </c>
      <c r="E35" s="5" t="n">
        <f aca="false" t="array" ref="E35:E35">PRODUCT(1+$D$4:D35)-1</f>
        <v>0.154047117566483</v>
      </c>
      <c r="F35" s="45" t="n">
        <f aca="false">E35/COUNT($E$4:E35)</f>
        <v>0.00481397242395261</v>
      </c>
      <c r="G35" s="5" t="n">
        <f aca="false">F35*252</f>
        <v>1.21312105083606</v>
      </c>
      <c r="H35" s="46" t="n">
        <f aca="false">IF(D35&lt;F35,D35-F35,"")</f>
        <v>-0.00191397242395269</v>
      </c>
      <c r="I35" s="46" t="n">
        <f aca="false">IF(D35&lt;AVERAGE($D$24:D35),D35-AVERAGE($D$24:D35),"")</f>
        <v>-0.00136666666666674</v>
      </c>
      <c r="J35" s="0" t="n">
        <f aca="false">IF(ISBLANK(A36),MONTH(A35),IF(MONTH(A36)-MONTH(A35)=1,MONTH(A35),0))</f>
        <v>0</v>
      </c>
      <c r="K35" s="0" t="str">
        <f aca="false">IF(B36&gt;B35,IF(AND(B34&gt;B35,B36&gt;B35),"min",""),IF(AND(B34&gt;B35,B36&gt;B35),"",IF(AND(B34&lt;B35,B36&lt;B35),"max","")))</f>
        <v>max</v>
      </c>
      <c r="L35" s="0" t="n">
        <f aca="false">IF(K35="min",COUNTIF(K$4:K35,"min"),IF(K35="max",COUNTIF(K$4:K35,"max"),""))</f>
        <v>9</v>
      </c>
      <c r="M35" s="24" t="str">
        <f aca="false" t="array" ref="M35:M35">IF($K$3=0,IF(K35="min",INDEX($B$4:$B$254,(MATCH(1,($K$4:$K$254="max")*($L$4:$L$254=(L35-1)),0))),""),IF($K$3=1,IF(K35="min",INDEX($B$4:$B$254,(MATCH(1,($K$4:$K$254="max")*($L$4:$L$254=(L35)),0))),""),""))</f>
        <v/>
      </c>
      <c r="N35" s="29" t="str">
        <f aca="false">IF(AND(K33=0,K35="min",L35=1),B35-B34,IF(K35="min",B35-M35,""))</f>
        <v/>
      </c>
      <c r="O35" s="34" t="str">
        <f aca="false">IF(AND(K33=0,K35="min",L35=1),(B35-B34)/B34,IF(K35="min",(B35-M35)/M35,""))</f>
        <v/>
      </c>
      <c r="P35" s="19" t="n">
        <f aca="false">D35-s_p!H35</f>
        <v>-0.00442812500000021</v>
      </c>
      <c r="Q35" s="19" t="n">
        <f aca="false">IF(P35&lt;0, P35^2, 0)</f>
        <v>1.96082910156269E-005</v>
      </c>
      <c r="R35" s="5"/>
      <c r="S35" s="5"/>
      <c r="T35" s="5"/>
      <c r="U35" s="5"/>
      <c r="V35" s="5"/>
      <c r="W35" s="0" t="n">
        <f aca="false">IF(ISERROR(MATCH(WORKDAY(X34,1,holiday!$B$2:$B$10),A:A,0)),MATCH(MAX(A:A),A:A,0)+1,MATCH(WORKDAY(X34,1,holiday!$B$2:$B$10),A:A,0))</f>
        <v>255</v>
      </c>
      <c r="AM35" s="87"/>
      <c r="AN35" s="88"/>
      <c r="AO35" s="88"/>
      <c r="AP35" s="89"/>
      <c r="AW35" s="19"/>
    </row>
    <row r="36" customFormat="false" ht="13.8" hidden="false" customHeight="false" outlineLevel="0" collapsed="false">
      <c r="A36" s="6" t="n">
        <f aca="false">WORKDAY(A35,1,holiday!$B$2:$B$10)</f>
        <v>38765</v>
      </c>
      <c r="B36" s="24" t="n">
        <v>1111462.77892828</v>
      </c>
      <c r="C36" s="24" t="n">
        <f aca="false">B36-B35</f>
        <v>-42584.3386382032</v>
      </c>
      <c r="D36" s="5" t="n">
        <f aca="false">C36/B35</f>
        <v>-0.0369</v>
      </c>
      <c r="E36" s="5" t="n">
        <f aca="false" t="array" ref="E36:E36">PRODUCT(1+$D$4:D36)-1</f>
        <v>0.11146277892828</v>
      </c>
      <c r="F36" s="45" t="n">
        <f aca="false">E36/COUNT($E$4:E36)</f>
        <v>0.00337765996752364</v>
      </c>
      <c r="G36" s="5" t="n">
        <f aca="false">F36*252</f>
        <v>0.851170311815958</v>
      </c>
      <c r="H36" s="46" t="n">
        <f aca="false">IF(D36&lt;F36,D36-F36,"")</f>
        <v>-0.0402776599675237</v>
      </c>
      <c r="I36" s="46" t="n">
        <f aca="false">IF(D36&lt;AVERAGE($D$24:D36),D36-AVERAGE($D$24:D36),"")</f>
        <v>-0.038</v>
      </c>
      <c r="J36" s="0" t="n">
        <f aca="false">IF(ISBLANK(A37),MONTH(A36),IF(MONTH(A37)-MONTH(A36)=1,MONTH(A36),0))</f>
        <v>0</v>
      </c>
      <c r="K36" s="0" t="str">
        <f aca="false">IF(B37&gt;B36,IF(AND(B35&gt;B36,B37&gt;B36),"min",""),IF(AND(B35&gt;B36,B37&gt;B36),"",IF(AND(B35&lt;B36,B37&lt;B36),"max","")))</f>
        <v>min</v>
      </c>
      <c r="L36" s="0" t="n">
        <f aca="false">IF(K36="min",COUNTIF(K$4:K36,"min"),IF(K36="max",COUNTIF(K$4:K36,"max"),""))</f>
        <v>10</v>
      </c>
      <c r="M36" s="24" t="n">
        <f aca="false" t="array" ref="M36:M36">IF($K$3=0,IF(K36="min",INDEX($B$4:$B$254,(MATCH(1,($K$4:$K$254="max")*($L$4:$L$254=(L36-1)),0))),""),IF($K$3=1,IF(K36="min",INDEX($B$4:$B$254,(MATCH(1,($K$4:$K$254="max")*($L$4:$L$254=(L36)),0))),""),""))</f>
        <v>1154047.11756648</v>
      </c>
      <c r="N36" s="29" t="n">
        <f aca="false">IF(AND(K34=0,K36="min",L36=1),B36-B35,IF(K36="min",B36-M36,""))</f>
        <v>-42584.3386382</v>
      </c>
      <c r="O36" s="34" t="n">
        <f aca="false">IF(AND(K34=0,K36="min",L36=1),(B36-B35)/B35,IF(K36="min",(B36-M36)/M36,""))</f>
        <v>-0.0368999999999973</v>
      </c>
      <c r="P36" s="19" t="n">
        <f aca="false">D36-s_p!H36</f>
        <v>-0.0352402875800772</v>
      </c>
      <c r="Q36" s="19" t="n">
        <f aca="false">IF(P36&lt;0, P36^2, 0)</f>
        <v>0.00124187786872654</v>
      </c>
      <c r="R36" s="5"/>
      <c r="S36" s="5"/>
      <c r="T36" s="5"/>
      <c r="U36" s="5"/>
      <c r="V36" s="5"/>
    </row>
    <row r="37" customFormat="false" ht="13.8" hidden="false" customHeight="false" outlineLevel="0" collapsed="false">
      <c r="A37" s="6" t="n">
        <f aca="false">WORKDAY(A36,1,holiday!$B$2:$B$10)</f>
        <v>38769</v>
      </c>
      <c r="B37" s="24" t="n">
        <v>1117798.11676817</v>
      </c>
      <c r="C37" s="24" t="n">
        <f aca="false">B37-B36</f>
        <v>6335.3378398912</v>
      </c>
      <c r="D37" s="5" t="n">
        <f aca="false">C37/B36</f>
        <v>0.00570000000000001</v>
      </c>
      <c r="E37" s="5" t="n">
        <f aca="false" t="array" ref="E37:E37">PRODUCT(1+$D$4:D37)-1</f>
        <v>0.117798116768171</v>
      </c>
      <c r="F37" s="45" t="n">
        <f aca="false">E37/COUNT($E$4:E37)</f>
        <v>0.00346465049318151</v>
      </c>
      <c r="G37" s="5" t="n">
        <f aca="false">F37*252</f>
        <v>0.873091924281741</v>
      </c>
      <c r="H37" s="46" t="str">
        <f aca="false">IF(D37&lt;F37,D37-F37,"")</f>
        <v/>
      </c>
      <c r="I37" s="46" t="str">
        <f aca="false">IF(D37&lt;AVERAGE($D$24:D37),D37-AVERAGE($D$24:D37),"")</f>
        <v/>
      </c>
      <c r="J37" s="0" t="n">
        <f aca="false">IF(ISBLANK(A38),MONTH(A37),IF(MONTH(A38)-MONTH(A37)=1,MONTH(A37),0))</f>
        <v>0</v>
      </c>
      <c r="K37" s="0" t="str">
        <f aca="false">IF(B38&gt;B37,IF(AND(B36&gt;B37,B38&gt;B37),"min",""),IF(AND(B36&gt;B37,B38&gt;B37),"",IF(AND(B36&lt;B37,B38&lt;B37),"max","")))</f>
        <v/>
      </c>
      <c r="L37" s="0" t="str">
        <f aca="false">IF(K37="min",COUNTIF(K$4:K37,"min"),IF(K37="max",COUNTIF(K$4:K37,"max"),""))</f>
        <v/>
      </c>
      <c r="M37" s="24" t="str">
        <f aca="false" t="array" ref="M37:M37">IF($K$3=0,IF(K37="min",INDEX($B$4:$B$254,(MATCH(1,($K$4:$K$254="max")*($L$4:$L$254=(L37-1)),0))),""),IF($K$3=1,IF(K37="min",INDEX($B$4:$B$254,(MATCH(1,($K$4:$K$254="max")*($L$4:$L$254=(L37)),0))),""),""))</f>
        <v/>
      </c>
      <c r="N37" s="29" t="str">
        <f aca="false">IF(AND(K35=0,K37="min",L37=1),B37-B36,IF(K37="min",B37-M37,""))</f>
        <v/>
      </c>
      <c r="O37" s="34" t="str">
        <f aca="false">IF(AND(K35=0,K37="min",L37=1),(B37-B36)/B36,IF(K37="min",(B37-M37)/M37,""))</f>
        <v/>
      </c>
      <c r="P37" s="19" t="n">
        <f aca="false">D37-s_p!H37</f>
        <v>0.00897056337590504</v>
      </c>
      <c r="Q37" s="19" t="n">
        <f aca="false">IF(P37&lt;0, P37^2, 0)</f>
        <v>0</v>
      </c>
      <c r="R37" s="5"/>
      <c r="S37" s="5"/>
      <c r="T37" s="5"/>
      <c r="U37" s="5"/>
      <c r="V37" s="5"/>
      <c r="AU37" s="68" t="s">
        <v>446</v>
      </c>
      <c r="AV37" s="68"/>
      <c r="AW37" s="68"/>
      <c r="AX37" s="68"/>
    </row>
    <row r="38" customFormat="false" ht="13.8" hidden="false" customHeight="false" outlineLevel="0" collapsed="false">
      <c r="A38" s="6" t="n">
        <f aca="false">WORKDAY(A37,1,holiday!$B$2:$B$10)</f>
        <v>38770</v>
      </c>
      <c r="B38" s="24" t="n">
        <v>1151108.50064786</v>
      </c>
      <c r="C38" s="24" t="n">
        <f aca="false">B38-B37</f>
        <v>33310.3838796916</v>
      </c>
      <c r="D38" s="5" t="n">
        <f aca="false">C38/B37</f>
        <v>0.0298000000000001</v>
      </c>
      <c r="E38" s="5" t="n">
        <f aca="false" t="array" ref="E38:E38">PRODUCT(1+$D$4:D38)-1</f>
        <v>0.151108500647863</v>
      </c>
      <c r="F38" s="45" t="n">
        <f aca="false">E38/COUNT($E$4:E38)</f>
        <v>0.00431738573279609</v>
      </c>
      <c r="G38" s="5" t="n">
        <f aca="false">F38*252</f>
        <v>1.08798120466462</v>
      </c>
      <c r="H38" s="46" t="str">
        <f aca="false">IF(D38&lt;F38,D38-F38,"")</f>
        <v/>
      </c>
      <c r="I38" s="46" t="str">
        <f aca="false">IF(D38&lt;AVERAGE($D$24:D38),D38-AVERAGE($D$24:D38),"")</f>
        <v/>
      </c>
      <c r="J38" s="0" t="n">
        <f aca="false">IF(ISBLANK(A39),MONTH(A38),IF(MONTH(A39)-MONTH(A38)=1,MONTH(A38),0))</f>
        <v>0</v>
      </c>
      <c r="K38" s="0" t="str">
        <f aca="false">IF(B39&gt;B38,IF(AND(B37&gt;B38,B39&gt;B38),"min",""),IF(AND(B37&gt;B38,B39&gt;B38),"",IF(AND(B37&lt;B38,B39&lt;B38),"max","")))</f>
        <v>max</v>
      </c>
      <c r="L38" s="0" t="n">
        <f aca="false">IF(K38="min",COUNTIF(K$4:K38,"min"),IF(K38="max",COUNTIF(K$4:K38,"max"),""))</f>
        <v>10</v>
      </c>
      <c r="M38" s="24" t="str">
        <f aca="false" t="array" ref="M38:M38">IF($K$3=0,IF(K38="min",INDEX($B$4:$B$254,(MATCH(1,($K$4:$K$254="max")*($L$4:$L$254=(L38-1)),0))),""),IF($K$3=1,IF(K38="min",INDEX($B$4:$B$254,(MATCH(1,($K$4:$K$254="max")*($L$4:$L$254=(L38)),0))),""),""))</f>
        <v/>
      </c>
      <c r="N38" s="29" t="str">
        <f aca="false">IF(AND(K36=0,K38="min",L38=1),B38-B37,IF(K38="min",B38-M38,""))</f>
        <v/>
      </c>
      <c r="O38" s="34" t="str">
        <f aca="false">IF(AND(K36=0,K38="min",L38=1),(B38-B37)/B37,IF(K38="min",(B38-M38)/M38,""))</f>
        <v/>
      </c>
      <c r="P38" s="19" t="n">
        <f aca="false">D38-s_p!H38</f>
        <v>0.0222865357785867</v>
      </c>
      <c r="Q38" s="19" t="n">
        <f aca="false">IF(P38&lt;0, P38^2, 0)</f>
        <v>0</v>
      </c>
      <c r="R38" s="5"/>
      <c r="S38" s="5"/>
      <c r="T38" s="5"/>
      <c r="U38" s="5"/>
      <c r="V38" s="5"/>
      <c r="AJ38" s="0" t="n">
        <f aca="false">ROUND(AQ38,7)</f>
        <v>4.96E-005</v>
      </c>
      <c r="AN38" s="19" t="n">
        <f aca="true">SUM(INDIRECT("s_p!"&amp;s_p!$H1&amp;s_p!$M8&amp;":"&amp;s_p!$H1&amp;s_p!$M9-1))</f>
        <v>0.0256357542161767</v>
      </c>
      <c r="AQ38" s="0" t="n">
        <f aca="true">VAR(INDIRECT("IndexRet_"&amp;TEXT($X23,"mmm")))</f>
        <v>4.96072886743632E-005</v>
      </c>
      <c r="AU38" s="70" t="s">
        <v>442</v>
      </c>
      <c r="AV38" s="70" t="s">
        <v>443</v>
      </c>
      <c r="AW38" s="70" t="s">
        <v>444</v>
      </c>
      <c r="AX38" s="71" t="s">
        <v>445</v>
      </c>
    </row>
    <row r="39" customFormat="false" ht="13.8" hidden="false" customHeight="false" outlineLevel="0" collapsed="false">
      <c r="A39" s="6" t="n">
        <f aca="false">WORKDAY(A38,1,holiday!$B$2:$B$10)</f>
        <v>38771</v>
      </c>
      <c r="B39" s="24" t="n">
        <v>1130503.65848627</v>
      </c>
      <c r="C39" s="24" t="n">
        <f aca="false">B39-B38</f>
        <v>-20604.8421615968</v>
      </c>
      <c r="D39" s="5" t="n">
        <f aca="false">C39/B38</f>
        <v>-0.0179</v>
      </c>
      <c r="E39" s="5" t="n">
        <f aca="false" t="array" ref="E39:E39">PRODUCT(1+$D$4:D39)-1</f>
        <v>0.130503658486266</v>
      </c>
      <c r="F39" s="45" t="n">
        <f aca="false">E39/COUNT($E$4:E39)</f>
        <v>0.00362510162461851</v>
      </c>
      <c r="G39" s="5" t="n">
        <f aca="false">F39*252</f>
        <v>0.913525609403864</v>
      </c>
      <c r="H39" s="46" t="n">
        <f aca="false">IF(D39&lt;F39,D39-F39,"")</f>
        <v>-0.0215251016246185</v>
      </c>
      <c r="I39" s="46" t="n">
        <f aca="false">IF(D39&lt;AVERAGE($D$24:D39),D39-AVERAGE($D$24:D39),"")</f>
        <v>-0.01989375</v>
      </c>
      <c r="J39" s="0" t="n">
        <f aca="false">IF(ISBLANK(A40),MONTH(A39),IF(MONTH(A40)-MONTH(A39)=1,MONTH(A39),0))</f>
        <v>0</v>
      </c>
      <c r="K39" s="0" t="str">
        <f aca="false">IF(B40&gt;B39,IF(AND(B38&gt;B39,B40&gt;B39),"min",""),IF(AND(B38&gt;B39,B40&gt;B39),"",IF(AND(B38&lt;B39,B40&lt;B39),"max","")))</f>
        <v/>
      </c>
      <c r="L39" s="0" t="str">
        <f aca="false">IF(K39="min",COUNTIF(K$4:K39,"min"),IF(K39="max",COUNTIF(K$4:K39,"max"),""))</f>
        <v/>
      </c>
      <c r="M39" s="24" t="str">
        <f aca="false" t="array" ref="M39:M39">IF($K$3=0,IF(K39="min",INDEX($B$4:$B$254,(MATCH(1,($K$4:$K$254="max")*($L$4:$L$254=(L39-1)),0))),""),IF($K$3=1,IF(K39="min",INDEX($B$4:$B$254,(MATCH(1,($K$4:$K$254="max")*($L$4:$L$254=(L39)),0))),""),""))</f>
        <v/>
      </c>
      <c r="N39" s="29" t="str">
        <f aca="false">IF(AND(K37=0,K39="min",L39=1),B39-B38,IF(K39="min",B39-M39,""))</f>
        <v/>
      </c>
      <c r="O39" s="34" t="str">
        <f aca="false">IF(AND(K37=0,K39="min",L39=1),(B39-B38)/B38,IF(K39="min",(B39-M39)/M39,""))</f>
        <v/>
      </c>
      <c r="P39" s="19" t="n">
        <f aca="false">D39-s_p!H39</f>
        <v>-0.0141248679090564</v>
      </c>
      <c r="Q39" s="19" t="n">
        <f aca="false">IF(P39&lt;0, P39^2, 0)</f>
        <v>0.000199511893448291</v>
      </c>
      <c r="R39" s="5"/>
      <c r="S39" s="5"/>
      <c r="T39" s="5"/>
      <c r="U39" s="5"/>
      <c r="V39" s="5"/>
      <c r="X39" s="0" t="s">
        <v>447</v>
      </c>
      <c r="AJ39" s="0" t="n">
        <f aca="false">ROUND(AQ39,7)</f>
        <v>3.6E-005</v>
      </c>
      <c r="AQ39" s="0" t="n">
        <f aca="true">VAR(INDIRECT("IndexRet_"&amp;TEXT($X24,"mmm")))</f>
        <v>3.60280363644932E-005</v>
      </c>
      <c r="AX39" s="67"/>
    </row>
    <row r="40" customFormat="false" ht="13.8" hidden="false" customHeight="false" outlineLevel="0" collapsed="false">
      <c r="A40" s="6" t="n">
        <f aca="false">WORKDAY(A39,1,holiday!$B$2:$B$10)</f>
        <v>38772</v>
      </c>
      <c r="B40" s="24" t="n">
        <v>1089692.47641491</v>
      </c>
      <c r="C40" s="24" t="n">
        <f aca="false">B40-B39</f>
        <v>-40811.1820713542</v>
      </c>
      <c r="D40" s="5" t="n">
        <f aca="false">C40/B39</f>
        <v>-0.0361</v>
      </c>
      <c r="E40" s="5" t="n">
        <f aca="false" t="array" ref="E40:E40">PRODUCT(1+$D$4:D40)-1</f>
        <v>0.0896924764149119</v>
      </c>
      <c r="F40" s="45" t="n">
        <f aca="false">E40/COUNT($E$4:E40)</f>
        <v>0.00242412098418681</v>
      </c>
      <c r="G40" s="5" t="n">
        <f aca="false">F40*252</f>
        <v>0.610878488015075</v>
      </c>
      <c r="H40" s="46" t="n">
        <f aca="false">IF(D40&lt;F40,D40-F40,"")</f>
        <v>-0.0385241209841868</v>
      </c>
      <c r="I40" s="46" t="n">
        <f aca="false">IF(D40&lt;AVERAGE($D$24:D40),D40-AVERAGE($D$24:D40),"")</f>
        <v>-0.0358529411764706</v>
      </c>
      <c r="J40" s="0" t="n">
        <f aca="false">IF(ISBLANK(A41),MONTH(A40),IF(MONTH(A41)-MONTH(A40)=1,MONTH(A40),0))</f>
        <v>0</v>
      </c>
      <c r="K40" s="0" t="str">
        <f aca="false">IF(B41&gt;B40,IF(AND(B39&gt;B40,B41&gt;B40),"min",""),IF(AND(B39&gt;B40,B41&gt;B40),"",IF(AND(B39&lt;B40,B41&lt;B40),"max","")))</f>
        <v/>
      </c>
      <c r="L40" s="0" t="str">
        <f aca="false">IF(K40="min",COUNTIF(K$4:K40,"min"),IF(K40="max",COUNTIF(K$4:K40,"max"),""))</f>
        <v/>
      </c>
      <c r="M40" s="24" t="str">
        <f aca="false" t="array" ref="M40:M40">IF($K$3=0,IF(K40="min",INDEX($B$4:$B$254,(MATCH(1,($K$4:$K$254="max")*($L$4:$L$254=(L40-1)),0))),""),IF($K$3=1,IF(K40="min",INDEX($B$4:$B$254,(MATCH(1,($K$4:$K$254="max")*($L$4:$L$254=(L40)),0))),""),""))</f>
        <v/>
      </c>
      <c r="N40" s="29" t="str">
        <f aca="false">IF(AND(K38=0,K40="min",L40=1),B40-B39,IF(K40="min",B40-M40,""))</f>
        <v/>
      </c>
      <c r="O40" s="34" t="str">
        <f aca="false">IF(AND(K38=0,K40="min",L40=1),(B40-B39)/B39,IF(K40="min",(B40-M40)/M40,""))</f>
        <v/>
      </c>
      <c r="P40" s="19" t="n">
        <f aca="false">D40-s_p!H40</f>
        <v>-0.037373499561264</v>
      </c>
      <c r="Q40" s="19" t="n">
        <f aca="false">IF(P40&lt;0, P40^2, 0)</f>
        <v>0.0013967784694558</v>
      </c>
      <c r="R40" s="5"/>
      <c r="S40" s="5"/>
      <c r="T40" s="5"/>
      <c r="U40" s="5"/>
      <c r="V40" s="5"/>
      <c r="X40" s="0" t="s">
        <v>448</v>
      </c>
      <c r="AJ40" s="0" t="n">
        <f aca="false">ROUND(AQ40,7)</f>
        <v>2.45E-005</v>
      </c>
      <c r="AK40" s="0" t="n">
        <f aca="false">ROUND(AR40,7)</f>
        <v>3.52E-005</v>
      </c>
      <c r="AQ40" s="0" t="n">
        <f aca="true">VAR(INDIRECT("IndexRet_"&amp;TEXT($X25,"mmm")))</f>
        <v>2.44599313849791E-005</v>
      </c>
      <c r="AR40" s="0" t="n">
        <f aca="true">VAR(INDIRECT("s_p!"&amp;s_p!$H$1&amp;$W23&amp;":"&amp;s_p!$H$1&amp;$W26-1))</f>
        <v>3.51584171558688E-005</v>
      </c>
      <c r="AU40" s="19" t="n">
        <f aca="false">BW23/CA23</f>
        <v>0.130856817511442</v>
      </c>
      <c r="AV40" s="19"/>
      <c r="AW40" s="19"/>
      <c r="AX40" s="78"/>
    </row>
    <row r="41" customFormat="false" ht="13.8" hidden="false" customHeight="false" outlineLevel="0" collapsed="false">
      <c r="A41" s="6" t="n">
        <f aca="false">WORKDAY(A40,1,holiday!$B$2:$B$10)</f>
        <v>38775</v>
      </c>
      <c r="B41" s="24" t="n">
        <v>1045995.80811067</v>
      </c>
      <c r="C41" s="24" t="n">
        <f aca="false">B41-B40</f>
        <v>-43696.6683042379</v>
      </c>
      <c r="D41" s="5" t="n">
        <f aca="false">C41/B40</f>
        <v>-0.0400999999999999</v>
      </c>
      <c r="E41" s="5" t="n">
        <f aca="false" t="array" ref="E41:E41">PRODUCT(1+$D$4:D41)-1</f>
        <v>0.0459958081106739</v>
      </c>
      <c r="F41" s="45" t="n">
        <f aca="false">E41/COUNT($E$4:E41)</f>
        <v>0.00121041600291247</v>
      </c>
      <c r="G41" s="5" t="n">
        <f aca="false">F41*252</f>
        <v>0.305024832733943</v>
      </c>
      <c r="H41" s="46" t="n">
        <f aca="false">IF(D41&lt;F41,D41-F41,"")</f>
        <v>-0.0413104160029124</v>
      </c>
      <c r="I41" s="46" t="n">
        <f aca="false">IF(D41&lt;AVERAGE($D$24:D41),D41-AVERAGE($D$24:D41),"")</f>
        <v>-0.0376388888888888</v>
      </c>
      <c r="J41" s="0" t="n">
        <f aca="false">IF(ISBLANK(A42),MONTH(A41),IF(MONTH(A42)-MONTH(A41)=1,MONTH(A41),0))</f>
        <v>0</v>
      </c>
      <c r="K41" s="0" t="str">
        <f aca="false">IF(B42&gt;B41,IF(AND(B40&gt;B41,B42&gt;B41),"min",""),IF(AND(B40&gt;B41,B42&gt;B41),"",IF(AND(B40&lt;B41,B42&lt;B41),"max","")))</f>
        <v/>
      </c>
      <c r="L41" s="0" t="str">
        <f aca="false">IF(K41="min",COUNTIF(K$4:K41,"min"),IF(K41="max",COUNTIF(K$4:K41,"max"),""))</f>
        <v/>
      </c>
      <c r="M41" s="24" t="str">
        <f aca="false" t="array" ref="M41:M41">IF($K$3=0,IF(K41="min",INDEX($B$4:$B$254,(MATCH(1,($K$4:$K$254="max")*($L$4:$L$254=(L41-1)),0))),""),IF($K$3=1,IF(K41="min",INDEX($B$4:$B$254,(MATCH(1,($K$4:$K$254="max")*($L$4:$L$254=(L41)),0))),""),""))</f>
        <v/>
      </c>
      <c r="N41" s="29" t="str">
        <f aca="false">IF(AND(K39=0,K41="min",L41=1),B41-B40,IF(K41="min",B41-M41,""))</f>
        <v/>
      </c>
      <c r="O41" s="34" t="str">
        <f aca="false">IF(AND(K39=0,K41="min",L41=1),(B41-B40)/B40,IF(K41="min",(B41-M41)/M41,""))</f>
        <v/>
      </c>
      <c r="P41" s="19" t="n">
        <f aca="false">D41-s_p!H41</f>
        <v>-0.0437372660788099</v>
      </c>
      <c r="Q41" s="19" t="n">
        <f aca="false">IF(P41&lt;0, P41^2, 0)</f>
        <v>0.00191294844404862</v>
      </c>
      <c r="R41" s="5"/>
      <c r="S41" s="5"/>
      <c r="T41" s="5"/>
      <c r="U41" s="5"/>
      <c r="V41" s="5"/>
      <c r="AJ41" s="0" t="n">
        <f aca="false">ROUND(AQ41,7)</f>
        <v>3.24E-005</v>
      </c>
      <c r="AK41" s="0" t="n">
        <f aca="false">ROUND(AR41,7)</f>
        <v>2.96E-005</v>
      </c>
      <c r="AQ41" s="0" t="n">
        <f aca="true">VAR(INDIRECT("IndexRet_"&amp;TEXT($X26,"mmm")))</f>
        <v>3.23900688261526E-005</v>
      </c>
      <c r="AR41" s="0" t="n">
        <f aca="true">VAR(INDIRECT("s_p!"&amp;s_p!$H$1&amp;$W24&amp;":"&amp;s_p!$H$1&amp;$W27-1))</f>
        <v>2.95581336070763E-005</v>
      </c>
      <c r="AU41" s="19" t="n">
        <f aca="false">BW24/CA24</f>
        <v>-0.110101166699045</v>
      </c>
      <c r="AV41" s="19"/>
      <c r="AW41" s="19"/>
      <c r="AX41" s="78"/>
    </row>
    <row r="42" customFormat="false" ht="13.8" hidden="false" customHeight="false" outlineLevel="0" collapsed="false">
      <c r="A42" s="6" t="n">
        <f aca="false">WORKDAY(A41,1,holiday!$B$2:$B$10)</f>
        <v>38776</v>
      </c>
      <c r="B42" s="24" t="n">
        <v>1033130.05967091</v>
      </c>
      <c r="C42" s="24" t="n">
        <f aca="false">B42-B41</f>
        <v>-12865.7484397612</v>
      </c>
      <c r="D42" s="5" t="n">
        <f aca="false">C42/B41</f>
        <v>-0.0122999999999999</v>
      </c>
      <c r="E42" s="5" t="n">
        <f aca="false" t="array" ref="E42:E42">PRODUCT(1+$D$4:D42)-1</f>
        <v>0.033130059670913</v>
      </c>
      <c r="F42" s="45" t="n">
        <f aca="false">E42/COUNT($E$4:E42)</f>
        <v>0.000849488709510589</v>
      </c>
      <c r="G42" s="5" t="n">
        <f aca="false">F42*252</f>
        <v>0.214071154796668</v>
      </c>
      <c r="H42" s="46" t="n">
        <f aca="false">IF(D42&lt;F42,D42-F42,"")</f>
        <v>-0.0131494887095105</v>
      </c>
      <c r="I42" s="46" t="n">
        <f aca="false">IF(D42&lt;AVERAGE($D$24:D42),D42-AVERAGE($D$24:D42),"")</f>
        <v>-0.0093210526315789</v>
      </c>
      <c r="J42" s="0" t="n">
        <f aca="false">IF(ISBLANK(A43),MONTH(A42),IF(MONTH(A43)-MONTH(A42)=1,MONTH(A42),0))</f>
        <v>2</v>
      </c>
      <c r="K42" s="0" t="str">
        <f aca="false">IF(B43&gt;B42,IF(AND(B41&gt;B42,B43&gt;B42),"min",""),IF(AND(B41&gt;B42,B43&gt;B42),"",IF(AND(B41&lt;B42,B43&lt;B42),"max","")))</f>
        <v/>
      </c>
      <c r="L42" s="0" t="str">
        <f aca="false">IF(K42="min",COUNTIF(K$4:K42,"min"),IF(K42="max",COUNTIF(K$4:K42,"max"),""))</f>
        <v/>
      </c>
      <c r="M42" s="24" t="str">
        <f aca="false" t="array" ref="M42:M42">IF($K$3=0,IF(K42="min",INDEX($B$4:$B$254,(MATCH(1,($K$4:$K$254="max")*($L$4:$L$254=(L42-1)),0))),""),IF($K$3=1,IF(K42="min",INDEX($B$4:$B$254,(MATCH(1,($K$4:$K$254="max")*($L$4:$L$254=(L42)),0))),""),""))</f>
        <v/>
      </c>
      <c r="N42" s="29" t="str">
        <f aca="false">IF(AND(K40=0,K42="min",L42=1),B42-B41,IF(K42="min",B42-M42,""))</f>
        <v/>
      </c>
      <c r="O42" s="34" t="str">
        <f aca="false">IF(AND(K40=0,K42="min",L42=1),(B42-B41)/B41,IF(K42="min",(B42-M42)/M42,""))</f>
        <v/>
      </c>
      <c r="P42" s="19" t="n">
        <f aca="false">D42-s_p!H42</f>
        <v>-0.00189910981980043</v>
      </c>
      <c r="Q42" s="19" t="n">
        <f aca="false">IF(P42&lt;0, P42^2, 0)</f>
        <v>3.60661810766242E-006</v>
      </c>
      <c r="R42" s="5"/>
      <c r="S42" s="5"/>
      <c r="T42" s="5"/>
      <c r="U42" s="5"/>
      <c r="V42" s="5"/>
      <c r="AJ42" s="0" t="n">
        <f aca="false">ROUND(AQ42,7)</f>
        <v>6.23E-005</v>
      </c>
      <c r="AK42" s="0" t="n">
        <f aca="false">ROUND(AR42,7)</f>
        <v>3.94E-005</v>
      </c>
      <c r="AQ42" s="0" t="n">
        <f aca="true">VAR(INDIRECT("IndexRet_"&amp;TEXT($X27,"mmm")))</f>
        <v>6.22918969711087E-005</v>
      </c>
      <c r="AR42" s="0" t="n">
        <f aca="true">VAR(INDIRECT("s_p!"&amp;s_p!$H$1&amp;$W25&amp;":"&amp;s_p!$H$1&amp;$W28-1))</f>
        <v>3.94448900653107E-005</v>
      </c>
      <c r="AU42" s="19" t="n">
        <f aca="false">BW25/CA25</f>
        <v>-0.0668744686806208</v>
      </c>
      <c r="AV42" s="19" t="n">
        <f aca="false">BX25/CB25</f>
        <v>-0.0128649090107981</v>
      </c>
      <c r="AW42" s="19"/>
      <c r="AX42" s="78"/>
    </row>
    <row r="43" customFormat="false" ht="13.8" hidden="false" customHeight="false" outlineLevel="0" collapsed="false">
      <c r="A43" s="6" t="n">
        <f aca="false">WORKDAY(A42,1,holiday!$B$2:$B$10)</f>
        <v>38777</v>
      </c>
      <c r="B43" s="24" t="n">
        <v>1027964.40937256</v>
      </c>
      <c r="C43" s="24" t="n">
        <f aca="false">B43-B42</f>
        <v>-5165.65029835457</v>
      </c>
      <c r="D43" s="5" t="n">
        <f aca="false">C43/B42</f>
        <v>-0.005</v>
      </c>
      <c r="E43" s="5" t="n">
        <f aca="false" t="array" ref="E43:E43">PRODUCT(1+$D$4:D43)-1</f>
        <v>0.0279644093725584</v>
      </c>
      <c r="F43" s="45" t="n">
        <f aca="false">E43/COUNT($E$4:E43)</f>
        <v>0.00069911023431396</v>
      </c>
      <c r="G43" s="5" t="n">
        <f aca="false">F43*252</f>
        <v>0.176175779047118</v>
      </c>
      <c r="H43" s="46" t="n">
        <f aca="false">IF(D43&lt;F43,D43-F43,"")</f>
        <v>-0.00569911023431396</v>
      </c>
      <c r="I43" s="46" t="str">
        <f aca="false">IF(D43&lt;AVERAGE($D$43:D43),D43-AVERAGE($D$43:D43),"")</f>
        <v/>
      </c>
      <c r="J43" s="0" t="n">
        <f aca="false">IF(ISBLANK(A44),MONTH(A43),IF(MONTH(A44)-MONTH(A43)=1,MONTH(A43),0))</f>
        <v>0</v>
      </c>
      <c r="K43" s="0" t="str">
        <f aca="false">IF(B44&gt;B43,IF(AND(B42&gt;B43,B44&gt;B43),"min",""),IF(AND(B42&gt;B43,B44&gt;B43),"",IF(AND(B42&lt;B43,B44&lt;B43),"max","")))</f>
        <v>min</v>
      </c>
      <c r="L43" s="0" t="n">
        <f aca="false">IF(K43="min",COUNTIF(K$4:K43,"min"),IF(K43="max",COUNTIF(K$4:K43,"max"),""))</f>
        <v>11</v>
      </c>
      <c r="M43" s="24" t="n">
        <f aca="false" t="array" ref="M43:M43">IF($K$3=0,IF(K43="min",INDEX($B$4:$B$254,(MATCH(1,($K$4:$K$254="max")*($L$4:$L$254=(L43-1)),0))),""),IF($K$3=1,IF(K43="min",INDEX($B$4:$B$254,(MATCH(1,($K$4:$K$254="max")*($L$4:$L$254=(L43)),0))),""),""))</f>
        <v>1151108.50064786</v>
      </c>
      <c r="N43" s="29" t="n">
        <f aca="false">IF(AND(K41=0,K43="min",L43=1),B43-B42,IF(K43="min",B43-M43,""))</f>
        <v>-123144.0912753</v>
      </c>
      <c r="O43" s="34" t="n">
        <f aca="false">IF(AND(K41=0,K43="min",L43=1),(B43-B42)/B42,IF(K43="min",(B43-M43)/M43,""))</f>
        <v>-0.106978700275424</v>
      </c>
      <c r="P43" s="19" t="n">
        <f aca="false">D43-s_p!H43</f>
        <v>-0.0132613652335515</v>
      </c>
      <c r="Q43" s="19" t="n">
        <f aca="false">IF(P43&lt;0, P43^2, 0)</f>
        <v>0.000175863807857648</v>
      </c>
      <c r="R43" s="5"/>
      <c r="S43" s="5"/>
      <c r="T43" s="5"/>
      <c r="U43" s="5"/>
      <c r="V43" s="5"/>
      <c r="AJ43" s="0" t="n">
        <f aca="false">ROUND(AQ43,7)</f>
        <v>0.0001</v>
      </c>
      <c r="AK43" s="0" t="n">
        <f aca="false">ROUND(AR43,7)</f>
        <v>6.51E-005</v>
      </c>
      <c r="AL43" s="0" t="n">
        <f aca="false">ROUND(AS43,7)</f>
        <v>5.01E-005</v>
      </c>
      <c r="AQ43" s="0" t="n">
        <f aca="true">VAR(INDIRECT("IndexRet_"&amp;TEXT($X28,"mmm")))</f>
        <v>0.000100014165170795</v>
      </c>
      <c r="AR43" s="0" t="n">
        <f aca="true">VAR(INDIRECT("s_p!"&amp;s_p!$H$1&amp;$W26&amp;":"&amp;s_p!$H$1&amp;$W29-1))</f>
        <v>6.51254511868354E-005</v>
      </c>
      <c r="AS43" s="0" t="n">
        <f aca="true">VAR(INDIRECT("s_p!"&amp;s_p!$H$1&amp;$W23&amp;":"&amp;s_p!$H$1&amp;$W29-1))</f>
        <v>5.00542806736362E-005</v>
      </c>
      <c r="AU43" s="19" t="n">
        <f aca="false">BW26/CA26</f>
        <v>0.136125955717787</v>
      </c>
      <c r="AV43" s="19" t="n">
        <f aca="false">BX26/CB26</f>
        <v>-0.00940994417504379</v>
      </c>
      <c r="AW43" s="19"/>
      <c r="AX43" s="78"/>
    </row>
    <row r="44" customFormat="false" ht="13.8" hidden="false" customHeight="false" outlineLevel="0" collapsed="false">
      <c r="A44" s="6" t="n">
        <f aca="false">WORKDAY(A43,1,holiday!$B$2:$B$10)</f>
        <v>38778</v>
      </c>
      <c r="B44" s="24" t="n">
        <v>1048832.08688282</v>
      </c>
      <c r="C44" s="24" t="n">
        <f aca="false">B44-B43</f>
        <v>20867.6775102628</v>
      </c>
      <c r="D44" s="5" t="n">
        <f aca="false">C44/B43</f>
        <v>0.0202999999999999</v>
      </c>
      <c r="E44" s="5" t="n">
        <f aca="false" t="array" ref="E44:E44">PRODUCT(1+$D$4:D44)-1</f>
        <v>0.0488320868828211</v>
      </c>
      <c r="F44" s="45" t="n">
        <f aca="false">E44/COUNT($E$4:E44)</f>
        <v>0.0011910265093371</v>
      </c>
      <c r="G44" s="5" t="n">
        <f aca="false">F44*252</f>
        <v>0.300138680352949</v>
      </c>
      <c r="H44" s="46" t="str">
        <f aca="false">IF(D44&lt;F44,D44-F44,"")</f>
        <v/>
      </c>
      <c r="I44" s="46" t="str">
        <f aca="false">IF(D44&lt;AVERAGE($D$43:D44),D44-AVERAGE($D$43:D44),"")</f>
        <v/>
      </c>
      <c r="J44" s="0" t="n">
        <f aca="false">IF(ISBLANK(A45),MONTH(A44),IF(MONTH(A45)-MONTH(A44)=1,MONTH(A44),0))</f>
        <v>0</v>
      </c>
      <c r="K44" s="0" t="str">
        <f aca="false">IF(B45&gt;B44,IF(AND(B43&gt;B44,B45&gt;B44),"min",""),IF(AND(B43&gt;B44,B45&gt;B44),"",IF(AND(B43&lt;B44,B45&lt;B44),"max","")))</f>
        <v>max</v>
      </c>
      <c r="L44" s="0" t="n">
        <f aca="false">IF(K44="min",COUNTIF(K$4:K44,"min"),IF(K44="max",COUNTIF(K$4:K44,"max"),""))</f>
        <v>11</v>
      </c>
      <c r="M44" s="24" t="str">
        <f aca="false" t="array" ref="M44:M44">IF($K$3=0,IF(K44="min",INDEX($B$4:$B$254,(MATCH(1,($K$4:$K$254="max")*($L$4:$L$254=(L44-1)),0))),""),IF($K$3=1,IF(K44="min",INDEX($B$4:$B$254,(MATCH(1,($K$4:$K$254="max")*($L$4:$L$254=(L44)),0))),""),""))</f>
        <v/>
      </c>
      <c r="N44" s="29" t="str">
        <f aca="false">IF(AND(K42=0,K44="min",L44=1),B44-B43,IF(K44="min",B44-M44,""))</f>
        <v/>
      </c>
      <c r="O44" s="34" t="str">
        <f aca="false">IF(AND(K42=0,K44="min",L44=1),(B44-B43)/B43,IF(K44="min",(B44-M44)/M44,""))</f>
        <v/>
      </c>
      <c r="P44" s="19" t="n">
        <f aca="false">D44-s_p!H44</f>
        <v>0.0219263436696507</v>
      </c>
      <c r="Q44" s="19" t="n">
        <f aca="false">IF(P44&lt;0, P44^2, 0)</f>
        <v>0</v>
      </c>
      <c r="R44" s="5"/>
      <c r="S44" s="5"/>
      <c r="T44" s="5"/>
      <c r="U44" s="5"/>
      <c r="V44" s="5"/>
      <c r="AJ44" s="0" t="n">
        <f aca="false">ROUND(AQ44,7)</f>
        <v>7.62E-005</v>
      </c>
      <c r="AK44" s="0" t="n">
        <f aca="false">ROUND(AR44,7)</f>
        <v>7.77E-005</v>
      </c>
      <c r="AL44" s="0" t="n">
        <f aca="false">ROUND(AS44,7)</f>
        <v>5.39E-005</v>
      </c>
      <c r="AQ44" s="0" t="n">
        <f aca="true">VAR(INDIRECT("IndexRet_"&amp;TEXT($X29,"mmm")))</f>
        <v>7.62110938549986E-005</v>
      </c>
      <c r="AR44" s="0" t="n">
        <f aca="true">VAR(INDIRECT("s_p!"&amp;s_p!$H$1&amp;$W27&amp;":"&amp;s_p!$H$1&amp;$W30-1))</f>
        <v>7.765460305697E-005</v>
      </c>
      <c r="AS44" s="0" t="n">
        <f aca="true">VAR(INDIRECT("s_p!"&amp;s_p!$H$1&amp;$W24&amp;":"&amp;s_p!$H$1&amp;$W30-1))</f>
        <v>5.39063059560039E-005</v>
      </c>
      <c r="AU44" s="19" t="n">
        <f aca="false">BW27/CA27</f>
        <v>0.301416400232761</v>
      </c>
      <c r="AV44" s="19" t="n">
        <f aca="false">BX27/CB27</f>
        <v>0.110823228351075</v>
      </c>
      <c r="AW44" s="19"/>
      <c r="AX44" s="78"/>
    </row>
    <row r="45" customFormat="false" ht="13.8" hidden="false" customHeight="false" outlineLevel="0" collapsed="false">
      <c r="A45" s="6" t="n">
        <f aca="false">WORKDAY(A44,1,holiday!$B$2:$B$10)</f>
        <v>38779</v>
      </c>
      <c r="B45" s="24" t="n">
        <v>1005829.97132062</v>
      </c>
      <c r="C45" s="24" t="n">
        <f aca="false">B45-B44</f>
        <v>-43002.1155621957</v>
      </c>
      <c r="D45" s="5" t="n">
        <f aca="false">C45/B44</f>
        <v>-0.041</v>
      </c>
      <c r="E45" s="5" t="n">
        <f aca="false" t="array" ref="E45:E45">PRODUCT(1+$D$4:D45)-1</f>
        <v>0.00582997132062557</v>
      </c>
      <c r="F45" s="45" t="n">
        <f aca="false">E45/COUNT($E$4:E45)</f>
        <v>0.000138808840967276</v>
      </c>
      <c r="G45" s="5" t="n">
        <f aca="false">F45*252</f>
        <v>0.0349798279237534</v>
      </c>
      <c r="H45" s="46" t="n">
        <f aca="false">IF(D45&lt;F45,D45-F45,"")</f>
        <v>-0.0411388088409673</v>
      </c>
      <c r="I45" s="46" t="n">
        <f aca="false">IF(D45&lt;AVERAGE($D$43:D45),D45-AVERAGE($D$43:D45),"")</f>
        <v>-0.0324333333333333</v>
      </c>
      <c r="J45" s="0" t="n">
        <f aca="false">IF(ISBLANK(A46),MONTH(A45),IF(MONTH(A46)-MONTH(A45)=1,MONTH(A45),0))</f>
        <v>0</v>
      </c>
      <c r="K45" s="0" t="str">
        <f aca="false">IF(B46&gt;B45,IF(AND(B44&gt;B45,B46&gt;B45),"min",""),IF(AND(B44&gt;B45,B46&gt;B45),"",IF(AND(B44&lt;B45,B46&lt;B45),"max","")))</f>
        <v>min</v>
      </c>
      <c r="L45" s="0" t="n">
        <f aca="false">IF(K45="min",COUNTIF(K$4:K45,"min"),IF(K45="max",COUNTIF(K$4:K45,"max"),""))</f>
        <v>12</v>
      </c>
      <c r="M45" s="24" t="n">
        <f aca="false" t="array" ref="M45:M45">IF($K$3=0,IF(K45="min",INDEX($B$4:$B$254,(MATCH(1,($K$4:$K$254="max")*($L$4:$L$254=(L45-1)),0))),""),IF($K$3=1,IF(K45="min",INDEX($B$4:$B$254,(MATCH(1,($K$4:$K$254="max")*($L$4:$L$254=(L45)),0))),""),""))</f>
        <v>1048832.08688282</v>
      </c>
      <c r="N45" s="29" t="n">
        <f aca="false">IF(AND(K43=0,K45="min",L45=1),B45-B44,IF(K45="min",B45-M45,""))</f>
        <v>-43002.1155621999</v>
      </c>
      <c r="O45" s="34" t="n">
        <f aca="false">IF(AND(K43=0,K45="min",L45=1),(B45-B44)/B44,IF(K45="min",(B45-M45)/M45,""))</f>
        <v>-0.041000000000004</v>
      </c>
      <c r="P45" s="19" t="n">
        <f aca="false">D45-s_p!H45</f>
        <v>-0.0395183921063654</v>
      </c>
      <c r="Q45" s="19" t="n">
        <f aca="false">IF(P45&lt;0, P45^2, 0)</f>
        <v>0.00156170331467244</v>
      </c>
      <c r="R45" s="5"/>
      <c r="S45" s="5"/>
      <c r="T45" s="5"/>
      <c r="U45" s="5"/>
      <c r="V45" s="5"/>
      <c r="AJ45" s="0" t="n">
        <f aca="false">ROUND(AQ45,7)</f>
        <v>2.02E-005</v>
      </c>
      <c r="AK45" s="0" t="n">
        <f aca="false">ROUND(AR45,7)</f>
        <v>6.25E-005</v>
      </c>
      <c r="AL45" s="0" t="n">
        <f aca="false">ROUND(AS45,7)</f>
        <v>5.08E-005</v>
      </c>
      <c r="AQ45" s="0" t="n">
        <f aca="true">VAR(INDIRECT("IndexRet_"&amp;TEXT($X30,"mmm")))</f>
        <v>2.0217505803959E-005</v>
      </c>
      <c r="AR45" s="0" t="n">
        <f aca="true">VAR(INDIRECT("s_p!"&amp;s_p!$H$1&amp;$W28&amp;":"&amp;s_p!$H$1&amp;$W31-1))</f>
        <v>6.25356317208095E-005</v>
      </c>
      <c r="AS45" s="0" t="n">
        <f aca="true">VAR(INDIRECT("s_p!"&amp;s_p!$H$1&amp;$W25&amp;":"&amp;s_p!$H$1&amp;$W31-1))</f>
        <v>5.07566717669413E-005</v>
      </c>
      <c r="AU45" s="19" t="n">
        <f aca="false">BW28/CA28</f>
        <v>-0.387315525483778</v>
      </c>
      <c r="AV45" s="19" t="n">
        <f aca="false">BX28/CB28</f>
        <v>-0.0137923858563726</v>
      </c>
      <c r="AW45" s="19" t="n">
        <f aca="false">BY28/CC28</f>
        <v>-0.0133943753303166</v>
      </c>
      <c r="AX45" s="78"/>
    </row>
    <row r="46" customFormat="false" ht="13.8" hidden="false" customHeight="false" outlineLevel="0" collapsed="false">
      <c r="A46" s="6" t="n">
        <f aca="false">WORKDAY(A45,1,holiday!$B$2:$B$10)</f>
        <v>38782</v>
      </c>
      <c r="B46" s="24" t="n">
        <v>1006936.38428908</v>
      </c>
      <c r="C46" s="24" t="n">
        <f aca="false">B46-B45</f>
        <v>1106.41296845267</v>
      </c>
      <c r="D46" s="5" t="n">
        <f aca="false">C46/B45</f>
        <v>0.00109999999999998</v>
      </c>
      <c r="E46" s="5" t="n">
        <f aca="false" t="array" ref="E46:E46">PRODUCT(1+$D$4:D46)-1</f>
        <v>0.00693638428907817</v>
      </c>
      <c r="F46" s="45" t="n">
        <f aca="false">E46/COUNT($E$4:E46)</f>
        <v>0.000161311262536702</v>
      </c>
      <c r="G46" s="5" t="n">
        <f aca="false">F46*252</f>
        <v>0.0406504381592488</v>
      </c>
      <c r="H46" s="46" t="str">
        <f aca="false">IF(D46&lt;F46,D46-F46,"")</f>
        <v/>
      </c>
      <c r="I46" s="46" t="str">
        <f aca="false">IF(D46&lt;AVERAGE($D$43:D46),D46-AVERAGE($D$43:D46),"")</f>
        <v/>
      </c>
      <c r="J46" s="0" t="n">
        <f aca="false">IF(ISBLANK(A47),MONTH(A46),IF(MONTH(A47)-MONTH(A46)=1,MONTH(A46),0))</f>
        <v>0</v>
      </c>
      <c r="K46" s="0" t="str">
        <f aca="false">IF(B47&gt;B46,IF(AND(B45&gt;B46,B47&gt;B46),"min",""),IF(AND(B45&gt;B46,B47&gt;B46),"",IF(AND(B45&lt;B46,B47&lt;B46),"max","")))</f>
        <v/>
      </c>
      <c r="L46" s="0" t="str">
        <f aca="false">IF(K46="min",COUNTIF(K$4:K46,"min"),IF(K46="max",COUNTIF(K$4:K46,"max"),""))</f>
        <v/>
      </c>
      <c r="M46" s="24" t="str">
        <f aca="false" t="array" ref="M46:M46">IF($K$3=0,IF(K46="min",INDEX($B$4:$B$254,(MATCH(1,($K$4:$K$254="max")*($L$4:$L$254=(L46-1)),0))),""),IF($K$3=1,IF(K46="min",INDEX($B$4:$B$254,(MATCH(1,($K$4:$K$254="max")*($L$4:$L$254=(L46)),0))),""),""))</f>
        <v/>
      </c>
      <c r="N46" s="29" t="str">
        <f aca="false">IF(AND(K44=0,K46="min",L46=1),B46-B45,IF(K46="min",B46-M46,""))</f>
        <v/>
      </c>
      <c r="O46" s="34" t="str">
        <f aca="false">IF(AND(K44=0,K46="min",L46=1),(B46-B45)/B45,IF(K46="min",(B46-M46)/M46,""))</f>
        <v/>
      </c>
      <c r="P46" s="19" t="n">
        <f aca="false">D46-s_p!H46</f>
        <v>0.00806845163645974</v>
      </c>
      <c r="Q46" s="19" t="n">
        <f aca="false">IF(P46&lt;0, P46^2, 0)</f>
        <v>0</v>
      </c>
      <c r="R46" s="5"/>
      <c r="S46" s="5"/>
      <c r="T46" s="5"/>
      <c r="U46" s="5"/>
      <c r="V46" s="5"/>
      <c r="AJ46" s="0" t="n">
        <f aca="false">ROUND(AQ46,7)</f>
        <v>2.57E-005</v>
      </c>
      <c r="AK46" s="0" t="n">
        <f aca="false">ROUND(AR46,7)</f>
        <v>3.86E-005</v>
      </c>
      <c r="AL46" s="0" t="n">
        <f aca="false">ROUND(AS46,7)</f>
        <v>5.17E-005</v>
      </c>
      <c r="AQ46" s="0" t="n">
        <f aca="true">VAR(INDIRECT("IndexRet_"&amp;TEXT($X31,"mmm")))</f>
        <v>2.56930583940279E-005</v>
      </c>
      <c r="AR46" s="0" t="n">
        <f aca="true">VAR(INDIRECT("s_p!"&amp;s_p!$H$1&amp;$W29&amp;":"&amp;s_p!$H$1&amp;$W32-1))</f>
        <v>3.8550734939332E-005</v>
      </c>
      <c r="AS46" s="0" t="n">
        <f aca="true">VAR(INDIRECT("s_p!"&amp;s_p!$H$1&amp;$W26&amp;":"&amp;s_p!$H$1&amp;$W32-1))</f>
        <v>5.17241173450521E-005</v>
      </c>
      <c r="AU46" s="19" t="n">
        <f aca="false">BW29/CA29</f>
        <v>0.107100904790234</v>
      </c>
      <c r="AV46" s="19" t="n">
        <f aca="false">BX29/CB29</f>
        <v>-0.0173144918198178</v>
      </c>
      <c r="AW46" s="19" t="n">
        <f aca="false">BY29/CC29</f>
        <v>-0.0136552041023344</v>
      </c>
      <c r="AX46" s="78"/>
    </row>
    <row r="47" customFormat="false" ht="13.8" hidden="false" customHeight="false" outlineLevel="0" collapsed="false">
      <c r="A47" s="6" t="n">
        <f aca="false">WORKDAY(A46,1,holiday!$B$2:$B$10)</f>
        <v>38783</v>
      </c>
      <c r="B47" s="24" t="n">
        <v>1018818.23362369</v>
      </c>
      <c r="C47" s="24" t="n">
        <f aca="false">B47-B46</f>
        <v>11881.8493346111</v>
      </c>
      <c r="D47" s="5" t="n">
        <f aca="false">C47/B46</f>
        <v>0.0118</v>
      </c>
      <c r="E47" s="5" t="n">
        <f aca="false" t="array" ref="E47:E47">PRODUCT(1+$D$4:D47)-1</f>
        <v>0.0188182336236893</v>
      </c>
      <c r="F47" s="45" t="n">
        <f aca="false">E47/COUNT($E$4:E47)</f>
        <v>0.00042768712781112</v>
      </c>
      <c r="G47" s="5" t="n">
        <f aca="false">F47*252</f>
        <v>0.107777156208402</v>
      </c>
      <c r="H47" s="46" t="str">
        <f aca="false">IF(D47&lt;F47,D47-F47,"")</f>
        <v/>
      </c>
      <c r="I47" s="46" t="str">
        <f aca="false">IF(D47&lt;AVERAGE($D$43:D47),D47-AVERAGE($D$43:D47),"")</f>
        <v/>
      </c>
      <c r="J47" s="0" t="n">
        <f aca="false">IF(ISBLANK(A48),MONTH(A47),IF(MONTH(A48)-MONTH(A47)=1,MONTH(A47),0))</f>
        <v>0</v>
      </c>
      <c r="K47" s="0" t="str">
        <f aca="false">IF(B48&gt;B47,IF(AND(B46&gt;B47,B48&gt;B47),"min",""),IF(AND(B46&gt;B47,B48&gt;B47),"",IF(AND(B46&lt;B47,B48&lt;B47),"max","")))</f>
        <v/>
      </c>
      <c r="L47" s="0" t="str">
        <f aca="false">IF(K47="min",COUNTIF(K$4:K47,"min"),IF(K47="max",COUNTIF(K$4:K47,"max"),""))</f>
        <v/>
      </c>
      <c r="M47" s="24" t="str">
        <f aca="false" t="array" ref="M47:M47">IF($K$3=0,IF(K47="min",INDEX($B$4:$B$254,(MATCH(1,($K$4:$K$254="max")*($L$4:$L$254=(L47-1)),0))),""),IF($K$3=1,IF(K47="min",INDEX($B$4:$B$254,(MATCH(1,($K$4:$K$254="max")*($L$4:$L$254=(L47)),0))),""),""))</f>
        <v/>
      </c>
      <c r="N47" s="29" t="str">
        <f aca="false">IF(AND(K45=0,K47="min",L47=1),B47-B46,IF(K47="min",B47-M47,""))</f>
        <v/>
      </c>
      <c r="O47" s="34" t="str">
        <f aca="false">IF(AND(K45=0,K47="min",L47=1),(B47-B46)/B46,IF(K47="min",(B47-M47)/M47,""))</f>
        <v/>
      </c>
      <c r="P47" s="19" t="n">
        <f aca="false">D47-s_p!H47</f>
        <v>0.0136619060285074</v>
      </c>
      <c r="Q47" s="19" t="n">
        <f aca="false">IF(P47&lt;0, P47^2, 0)</f>
        <v>0</v>
      </c>
      <c r="R47" s="5"/>
      <c r="S47" s="5"/>
      <c r="T47" s="5"/>
      <c r="U47" s="5"/>
      <c r="V47" s="5"/>
      <c r="AJ47" s="0" t="n">
        <f aca="false">ROUND(AQ47,7)</f>
        <v>1.93E-005</v>
      </c>
      <c r="AK47" s="0" t="n">
        <f aca="false">ROUND(AR47,7)</f>
        <v>2.1E-005</v>
      </c>
      <c r="AL47" s="0" t="n">
        <f aca="false">ROUND(AS47,7)</f>
        <v>4.93E-005</v>
      </c>
      <c r="AQ47" s="0" t="n">
        <f aca="true">VAR(INDIRECT("IndexRet_"&amp;TEXT($X32,"mmm")))</f>
        <v>1.93249223070479E-005</v>
      </c>
      <c r="AR47" s="0" t="n">
        <f aca="true">VAR(INDIRECT("s_p!"&amp;s_p!$H$1&amp;$W30&amp;":"&amp;s_p!$H$1&amp;$W33-1))</f>
        <v>2.0962182738101E-005</v>
      </c>
      <c r="AS47" s="0" t="n">
        <f aca="true">VAR(INDIRECT("s_p!"&amp;s_p!$H$1&amp;$W27&amp;":"&amp;s_p!$H$1&amp;$W33-1))</f>
        <v>4.9312738610839E-005</v>
      </c>
      <c r="AU47" s="19" t="n">
        <f aca="false">BW30/CA30</f>
        <v>-0.0322877453250852</v>
      </c>
      <c r="AV47" s="19" t="n">
        <f aca="false">BX30/CB30</f>
        <v>-0.107627127910631</v>
      </c>
      <c r="AW47" s="19" t="n">
        <f aca="false">BY30/CC30</f>
        <v>-0.00330355651007578</v>
      </c>
      <c r="AX47" s="78"/>
    </row>
    <row r="48" customFormat="false" ht="13.8" hidden="false" customHeight="false" outlineLevel="0" collapsed="false">
      <c r="A48" s="6" t="n">
        <f aca="false">WORKDAY(A47,1,holiday!$B$2:$B$10)</f>
        <v>38784</v>
      </c>
      <c r="B48" s="24" t="n">
        <v>1029312.06143001</v>
      </c>
      <c r="C48" s="24" t="n">
        <f aca="false">B48-B47</f>
        <v>10493.827806324</v>
      </c>
      <c r="D48" s="5" t="n">
        <f aca="false">C48/B47</f>
        <v>0.0103</v>
      </c>
      <c r="E48" s="5" t="n">
        <f aca="false" t="array" ref="E48:E48">PRODUCT(1+$D$4:D48)-1</f>
        <v>0.0293120614300131</v>
      </c>
      <c r="F48" s="45" t="n">
        <f aca="false">E48/COUNT($E$4:E48)</f>
        <v>0.00065137914288918</v>
      </c>
      <c r="G48" s="5" t="n">
        <f aca="false">F48*252</f>
        <v>0.164147544008073</v>
      </c>
      <c r="H48" s="46" t="str">
        <f aca="false">IF(D48&lt;F48,D48-F48,"")</f>
        <v/>
      </c>
      <c r="I48" s="46" t="str">
        <f aca="false">IF(D48&lt;AVERAGE($D$43:D48),D48-AVERAGE($D$43:D48),"")</f>
        <v/>
      </c>
      <c r="J48" s="0" t="n">
        <f aca="false">IF(ISBLANK(A49),MONTH(A48),IF(MONTH(A49)-MONTH(A48)=1,MONTH(A48),0))</f>
        <v>0</v>
      </c>
      <c r="K48" s="0" t="str">
        <f aca="false">IF(B49&gt;B48,IF(AND(B47&gt;B48,B49&gt;B48),"min",""),IF(AND(B47&gt;B48,B49&gt;B48),"",IF(AND(B47&lt;B48,B49&lt;B48),"max","")))</f>
        <v>max</v>
      </c>
      <c r="L48" s="0" t="n">
        <f aca="false">IF(K48="min",COUNTIF(K$4:K48,"min"),IF(K48="max",COUNTIF(K$4:K48,"max"),""))</f>
        <v>12</v>
      </c>
      <c r="M48" s="24" t="str">
        <f aca="false" t="array" ref="M48:M48">IF($K$3=0,IF(K48="min",INDEX($B$4:$B$254,(MATCH(1,($K$4:$K$254="max")*($L$4:$L$254=(L48-1)),0))),""),IF($K$3=1,IF(K48="min",INDEX($B$4:$B$254,(MATCH(1,($K$4:$K$254="max")*($L$4:$L$254=(L48)),0))),""),""))</f>
        <v/>
      </c>
      <c r="N48" s="29" t="str">
        <f aca="false">IF(AND(K46=0,K48="min",L48=1),B48-B47,IF(K48="min",B48-M48,""))</f>
        <v/>
      </c>
      <c r="O48" s="34" t="str">
        <f aca="false">IF(AND(K46=0,K48="min",L48=1),(B48-B47)/B47,IF(K48="min",(B48-M48)/M48,""))</f>
        <v/>
      </c>
      <c r="P48" s="19" t="n">
        <f aca="false">D48-s_p!H48</f>
        <v>0.00827002852932893</v>
      </c>
      <c r="Q48" s="19" t="n">
        <f aca="false">IF(P48&lt;0, P48^2, 0)</f>
        <v>0</v>
      </c>
      <c r="R48" s="5"/>
      <c r="S48" s="5"/>
      <c r="T48" s="5"/>
      <c r="U48" s="5"/>
      <c r="V48" s="5"/>
      <c r="AJ48" s="0" t="n">
        <f aca="false">ROUND(AQ48,7)</f>
        <v>2.89E-005</v>
      </c>
      <c r="AK48" s="0" t="n">
        <f aca="false">ROUND(AR48,7)</f>
        <v>2.38E-005</v>
      </c>
      <c r="AL48" s="0" t="n">
        <f aca="false">ROUND(AS48,7)</f>
        <v>4.33E-005</v>
      </c>
      <c r="AQ48" s="0" t="n">
        <f aca="true">VAR(INDIRECT("IndexRet_"&amp;TEXT($X33,"mmm")))</f>
        <v>2.88781864526611E-005</v>
      </c>
      <c r="AR48" s="0" t="n">
        <f aca="true">VAR(INDIRECT("s_p!"&amp;s_p!$H$1&amp;$W31&amp;":"&amp;s_p!$H$1&amp;$W34-1))</f>
        <v>2.38060213174417E-005</v>
      </c>
      <c r="AS48" s="0" t="n">
        <f aca="true">VAR(INDIRECT("s_p!"&amp;s_p!$H$1&amp;$W28&amp;":"&amp;s_p!$H$1&amp;$W34-1))</f>
        <v>4.32647227858695E-005</v>
      </c>
      <c r="AU48" s="19" t="n">
        <f aca="false">BW31/CA31</f>
        <v>-0.0581267838043401</v>
      </c>
      <c r="AV48" s="19" t="n">
        <f aca="false">BX31/CB31</f>
        <v>0.0106914835330139</v>
      </c>
      <c r="AW48" s="19" t="n">
        <f aca="false">BY31/CC31</f>
        <v>-0.00164489807565818</v>
      </c>
      <c r="AX48" s="78"/>
    </row>
    <row r="49" customFormat="false" ht="13.8" hidden="false" customHeight="false" outlineLevel="0" collapsed="false">
      <c r="A49" s="6" t="n">
        <f aca="false">WORKDAY(A48,1,holiday!$B$2:$B$10)</f>
        <v>38785</v>
      </c>
      <c r="B49" s="24" t="n">
        <v>1010372.7194997</v>
      </c>
      <c r="C49" s="24" t="n">
        <f aca="false">B49-B48</f>
        <v>-18939.3419303122</v>
      </c>
      <c r="D49" s="5" t="n">
        <f aca="false">C49/B48</f>
        <v>-0.0184</v>
      </c>
      <c r="E49" s="5" t="n">
        <f aca="false" t="array" ref="E49:E49">PRODUCT(1+$D$4:D49)-1</f>
        <v>0.010372719499701</v>
      </c>
      <c r="F49" s="45" t="n">
        <f aca="false">E49/COUNT($E$4:E49)</f>
        <v>0.000225493902167413</v>
      </c>
      <c r="G49" s="5" t="n">
        <f aca="false">F49*252</f>
        <v>0.056824463346188</v>
      </c>
      <c r="H49" s="46" t="n">
        <f aca="false">IF(D49&lt;F49,D49-F49,"")</f>
        <v>-0.0186254939021674</v>
      </c>
      <c r="I49" s="46" t="n">
        <f aca="false">IF(D49&lt;AVERAGE($D$43:D49),D49-AVERAGE($D$43:D49),"")</f>
        <v>-0.0154142857142857</v>
      </c>
      <c r="J49" s="0" t="n">
        <f aca="false">IF(ISBLANK(A50),MONTH(A49),IF(MONTH(A50)-MONTH(A49)=1,MONTH(A49),0))</f>
        <v>0</v>
      </c>
      <c r="K49" s="0" t="str">
        <f aca="false">IF(B50&gt;B49,IF(AND(B48&gt;B49,B50&gt;B49),"min",""),IF(AND(B48&gt;B49,B50&gt;B49),"",IF(AND(B48&lt;B49,B50&lt;B49),"max","")))</f>
        <v/>
      </c>
      <c r="L49" s="0" t="str">
        <f aca="false">IF(K49="min",COUNTIF(K$4:K49,"min"),IF(K49="max",COUNTIF(K$4:K49,"max"),""))</f>
        <v/>
      </c>
      <c r="M49" s="24" t="str">
        <f aca="false" t="array" ref="M49:M49">IF($K$3=0,IF(K49="min",INDEX($B$4:$B$254,(MATCH(1,($K$4:$K$254="max")*($L$4:$L$254=(L49-1)),0))),""),IF($K$3=1,IF(K49="min",INDEX($B$4:$B$254,(MATCH(1,($K$4:$K$254="max")*($L$4:$L$254=(L49)),0))),""),""))</f>
        <v/>
      </c>
      <c r="N49" s="29" t="str">
        <f aca="false">IF(AND(K47=0,K49="min",L49=1),B49-B48,IF(K49="min",B49-M49,""))</f>
        <v/>
      </c>
      <c r="O49" s="34" t="str">
        <f aca="false">IF(AND(K47=0,K49="min",L49=1),(B49-B48)/B48,IF(K49="min",(B49-M49)/M49,""))</f>
        <v/>
      </c>
      <c r="P49" s="19" t="n">
        <f aca="false">D49-s_p!H49</f>
        <v>-0.0135191658779634</v>
      </c>
      <c r="Q49" s="19" t="n">
        <f aca="false">IF(P49&lt;0, P49^2, 0)</f>
        <v>0.00018276784603589</v>
      </c>
      <c r="R49" s="5"/>
      <c r="S49" s="5"/>
      <c r="T49" s="5"/>
      <c r="U49" s="5"/>
      <c r="V49" s="5"/>
      <c r="AJ49" s="0" t="n">
        <f aca="false">ROUND(AQ49,7)</f>
        <v>1.84E-005</v>
      </c>
      <c r="AK49" s="0" t="n">
        <f aca="false">ROUND(AR49,7)</f>
        <v>2.16E-005</v>
      </c>
      <c r="AL49" s="0" t="n">
        <f aca="false">ROUND(AS49,7)</f>
        <v>2.98E-005</v>
      </c>
      <c r="AM49" s="0" t="n">
        <f aca="false">ROUND(AT49,7)</f>
        <v>3.99E-005</v>
      </c>
      <c r="AQ49" s="0" t="n">
        <f aca="true">VAR(INDIRECT("IndexRet_"&amp;TEXT($X34,"mmm")))</f>
        <v>1.83919511798665E-005</v>
      </c>
      <c r="AR49" s="0" t="n">
        <f aca="true">VAR(INDIRECT("s_p!"&amp;s_p!$H$1&amp;$W32&amp;":"&amp;s_p!$H$1&amp;$W35-1))</f>
        <v>2.16159930666597E-005</v>
      </c>
      <c r="AS49" s="0" t="n">
        <f aca="true">VAR(INDIRECT("s_p!"&amp;s_p!$H$1&amp;$W29&amp;":"&amp;s_p!$H$1&amp;$W35-1))</f>
        <v>2.98478215211302E-005</v>
      </c>
      <c r="AT49" s="0" t="n">
        <f aca="true">VAR(INDIRECT("s_p!"&amp;s_p!$H$1&amp;$W23&amp;":"&amp;s_p!$H$1&amp;$W35-1))</f>
        <v>3.98832794335673E-005</v>
      </c>
      <c r="AU49" s="19" t="n">
        <f aca="false">BW32/CA32</f>
        <v>0.0693581519026998</v>
      </c>
      <c r="AV49" s="19" t="n">
        <f aca="false">BX32/CB32</f>
        <v>-0.00440369225186935</v>
      </c>
      <c r="AW49" s="19" t="n">
        <f aca="false">BY32/CC32</f>
        <v>-0.011148682617606</v>
      </c>
      <c r="AX49" s="78"/>
    </row>
    <row r="50" customFormat="false" ht="13.8" hidden="false" customHeight="false" outlineLevel="0" collapsed="false">
      <c r="A50" s="6" t="n">
        <f aca="false">WORKDAY(A49,1,holiday!$B$2:$B$10)</f>
        <v>38786</v>
      </c>
      <c r="B50" s="24" t="n">
        <v>966219.431657563</v>
      </c>
      <c r="C50" s="24" t="n">
        <f aca="false">B50-B49</f>
        <v>-44153.2878421369</v>
      </c>
      <c r="D50" s="5" t="n">
        <f aca="false">C50/B49</f>
        <v>-0.0437</v>
      </c>
      <c r="E50" s="5" t="n">
        <f aca="false" t="array" ref="E50:E50">PRODUCT(1+$D$4:D50)-1</f>
        <v>-0.033780568342436</v>
      </c>
      <c r="F50" s="45" t="n">
        <f aca="false">E50/COUNT($E$4:E50)</f>
        <v>-0.000718735496647575</v>
      </c>
      <c r="G50" s="5" t="n">
        <f aca="false">F50*252</f>
        <v>-0.181121345155189</v>
      </c>
      <c r="H50" s="46" t="n">
        <f aca="false">IF(D50&lt;F50,D50-F50,"")</f>
        <v>-0.0429812645033524</v>
      </c>
      <c r="I50" s="46" t="n">
        <f aca="false">IF(D50&lt;AVERAGE($D$43:D50),D50-AVERAGE($D$43:D50),"")</f>
        <v>-0.035625</v>
      </c>
      <c r="J50" s="0" t="n">
        <f aca="false">IF(ISBLANK(A51),MONTH(A50),IF(MONTH(A51)-MONTH(A50)=1,MONTH(A50),0))</f>
        <v>0</v>
      </c>
      <c r="K50" s="0" t="str">
        <f aca="false">IF(B51&gt;B50,IF(AND(B49&gt;B50,B51&gt;B50),"min",""),IF(AND(B49&gt;B50,B51&gt;B50),"",IF(AND(B49&lt;B50,B51&lt;B50),"max","")))</f>
        <v>min</v>
      </c>
      <c r="L50" s="0" t="n">
        <f aca="false">IF(K50="min",COUNTIF(K$4:K50,"min"),IF(K50="max",COUNTIF(K$4:K50,"max"),""))</f>
        <v>13</v>
      </c>
      <c r="M50" s="24" t="n">
        <f aca="false" t="array" ref="M50:M50">IF($K$3=0,IF(K50="min",INDEX($B$4:$B$254,(MATCH(1,($K$4:$K$254="max")*($L$4:$L$254=(L50-1)),0))),""),IF($K$3=1,IF(K50="min",INDEX($B$4:$B$254,(MATCH(1,($K$4:$K$254="max")*($L$4:$L$254=(L50)),0))),""),""))</f>
        <v>1029312.06143001</v>
      </c>
      <c r="N50" s="29" t="n">
        <f aca="false">IF(AND(K48=0,K50="min",L50=1),B50-B49,IF(K50="min",B50-M50,""))</f>
        <v>-63092.6297724471</v>
      </c>
      <c r="O50" s="34" t="n">
        <f aca="false">IF(AND(K48=0,K50="min",L50=1),(B50-B49)/B49,IF(K50="min",(B50-M50)/M50,""))</f>
        <v>-0.0612959199999981</v>
      </c>
      <c r="P50" s="19" t="n">
        <f aca="false">D50-s_p!H50</f>
        <v>-0.0509235366246669</v>
      </c>
      <c r="Q50" s="19" t="n">
        <f aca="false">IF(P50&lt;0, P50^2, 0)</f>
        <v>0.00259320658236379</v>
      </c>
      <c r="R50" s="5"/>
      <c r="S50" s="5"/>
      <c r="T50" s="5"/>
      <c r="U50" s="5"/>
      <c r="V50" s="5"/>
      <c r="AU50" s="19" t="n">
        <f aca="false">BW33/CA33</f>
        <v>0.0946574182249222</v>
      </c>
      <c r="AV50" s="19" t="n">
        <f aca="false">BX33/CB33</f>
        <v>0.0319216819387454</v>
      </c>
      <c r="AW50" s="19" t="n">
        <f aca="false">BY33/CC33</f>
        <v>-0.0405166140220856</v>
      </c>
      <c r="AX50" s="78"/>
    </row>
    <row r="51" customFormat="false" ht="13.8" hidden="false" customHeight="false" outlineLevel="0" collapsed="false">
      <c r="A51" s="6" t="n">
        <f aca="false">WORKDAY(A50,1,holiday!$B$2:$B$10)</f>
        <v>38789</v>
      </c>
      <c r="B51" s="24" t="n">
        <v>1005931.05029869</v>
      </c>
      <c r="C51" s="24" t="n">
        <f aca="false">B51-B50</f>
        <v>39711.6186411259</v>
      </c>
      <c r="D51" s="5" t="n">
        <f aca="false">C51/B50</f>
        <v>0.0411</v>
      </c>
      <c r="E51" s="5" t="n">
        <f aca="false" t="array" ref="E51:E51">PRODUCT(1+$D$4:D51)-1</f>
        <v>0.00593105029868979</v>
      </c>
      <c r="F51" s="45" t="n">
        <f aca="false">E51/COUNT($E$4:E51)</f>
        <v>0.000123563547889371</v>
      </c>
      <c r="G51" s="5" t="n">
        <f aca="false">F51*252</f>
        <v>0.0311380140681214</v>
      </c>
      <c r="H51" s="46" t="str">
        <f aca="false">IF(D51&lt;F51,D51-F51,"")</f>
        <v/>
      </c>
      <c r="I51" s="46" t="str">
        <f aca="false">IF(D51&lt;AVERAGE($D$43:D51),D51-AVERAGE($D$43:D51),"")</f>
        <v/>
      </c>
      <c r="J51" s="0" t="n">
        <f aca="false">IF(ISBLANK(A52),MONTH(A51),IF(MONTH(A52)-MONTH(A51)=1,MONTH(A51),0))</f>
        <v>0</v>
      </c>
      <c r="K51" s="0" t="str">
        <f aca="false">IF(B52&gt;B51,IF(AND(B50&gt;B51,B52&gt;B51),"min",""),IF(AND(B50&gt;B51,B52&gt;B51),"",IF(AND(B50&lt;B51,B52&lt;B51),"max","")))</f>
        <v>max</v>
      </c>
      <c r="L51" s="0" t="n">
        <f aca="false">IF(K51="min",COUNTIF(K$4:K51,"min"),IF(K51="max",COUNTIF(K$4:K51,"max"),""))</f>
        <v>13</v>
      </c>
      <c r="M51" s="24" t="str">
        <f aca="false" t="array" ref="M51:M51">IF($K$3=0,IF(K51="min",INDEX($B$4:$B$254,(MATCH(1,($K$4:$K$254="max")*($L$4:$L$254=(L51-1)),0))),""),IF($K$3=1,IF(K51="min",INDEX($B$4:$B$254,(MATCH(1,($K$4:$K$254="max")*($L$4:$L$254=(L51)),0))),""),""))</f>
        <v/>
      </c>
      <c r="N51" s="29" t="str">
        <f aca="false">IF(AND(K49=0,K51="min",L51=1),B51-B50,IF(K51="min",B51-M51,""))</f>
        <v/>
      </c>
      <c r="O51" s="34" t="str">
        <f aca="false">IF(AND(K49=0,K51="min",L51=1),(B51-B50)/B50,IF(K51="min",(B51-M51)/M51,""))</f>
        <v/>
      </c>
      <c r="P51" s="19" t="n">
        <f aca="false">D51-s_p!H51</f>
        <v>0.0389851586521202</v>
      </c>
      <c r="Q51" s="19" t="n">
        <f aca="false">IF(P51&lt;0, P51^2, 0)</f>
        <v>0</v>
      </c>
      <c r="R51" s="5"/>
      <c r="S51" s="5"/>
      <c r="T51" s="5"/>
      <c r="U51" s="5"/>
      <c r="V51" s="5"/>
      <c r="AQ51" s="0" t="n">
        <f aca="true">COVAR(INDIRECT($D$1&amp;$W26):INDIRECT($D$1&amp;$W27-1),INDIRECT("IndexRet_"&amp;TEXT($X26,"mmm")))</f>
        <v>-4.39652727926403E-006</v>
      </c>
      <c r="AU51" s="19" t="n">
        <f aca="false">BW34/CA34</f>
        <v>-0.122542843895349</v>
      </c>
      <c r="AV51" s="19" t="n">
        <f aca="false">BX34/CB34</f>
        <v>0.0114555302962292</v>
      </c>
      <c r="AW51" s="19" t="n">
        <f aca="false">BY34/CC34</f>
        <v>0.0111068220929295</v>
      </c>
      <c r="AX51" s="19" t="n">
        <f aca="false">BZ34/CD34</f>
        <v>-0.00109310509838697</v>
      </c>
    </row>
    <row r="52" customFormat="false" ht="13.8" hidden="false" customHeight="false" outlineLevel="0" collapsed="false">
      <c r="A52" s="6" t="n">
        <f aca="false">WORKDAY(A51,1,holiday!$B$2:$B$10)</f>
        <v>38790</v>
      </c>
      <c r="B52" s="24" t="n">
        <v>981587.518881461</v>
      </c>
      <c r="C52" s="24" t="n">
        <f aca="false">B52-B51</f>
        <v>-24343.5314172283</v>
      </c>
      <c r="D52" s="5" t="n">
        <f aca="false">C52/B51</f>
        <v>-0.0242</v>
      </c>
      <c r="E52" s="5" t="n">
        <f aca="false" t="array" ref="E52:E52">PRODUCT(1+$D$4:D52)-1</f>
        <v>-0.0184124811185385</v>
      </c>
      <c r="F52" s="45" t="n">
        <f aca="false">E52/COUNT($E$4:E52)</f>
        <v>-0.000375764920786501</v>
      </c>
      <c r="G52" s="5" t="n">
        <f aca="false">F52*252</f>
        <v>-0.0946927600381983</v>
      </c>
      <c r="H52" s="46" t="n">
        <f aca="false">IF(D52&lt;F52,D52-F52,"")</f>
        <v>-0.0238242350792135</v>
      </c>
      <c r="I52" s="46" t="n">
        <f aca="false">IF(D52&lt;AVERAGE($D$43:D52),D52-AVERAGE($D$43:D52),"")</f>
        <v>-0.01943</v>
      </c>
      <c r="J52" s="0" t="n">
        <f aca="false">IF(ISBLANK(A53),MONTH(A52),IF(MONTH(A53)-MONTH(A52)=1,MONTH(A52),0))</f>
        <v>0</v>
      </c>
      <c r="K52" s="0" t="str">
        <f aca="false">IF(B53&gt;B52,IF(AND(B51&gt;B52,B53&gt;B52),"min",""),IF(AND(B51&gt;B52,B53&gt;B52),"",IF(AND(B51&lt;B52,B53&lt;B52),"max","")))</f>
        <v/>
      </c>
      <c r="L52" s="0" t="str">
        <f aca="false">IF(K52="min",COUNTIF(K$4:K52,"min"),IF(K52="max",COUNTIF(K$4:K52,"max"),""))</f>
        <v/>
      </c>
      <c r="M52" s="24" t="str">
        <f aca="false" t="array" ref="M52:M52">IF($K$3=0,IF(K52="min",INDEX($B$4:$B$254,(MATCH(1,($K$4:$K$254="max")*($L$4:$L$254=(L52-1)),0))),""),IF($K$3=1,IF(K52="min",INDEX($B$4:$B$254,(MATCH(1,($K$4:$K$254="max")*($L$4:$L$254=(L52)),0))),""),""))</f>
        <v/>
      </c>
      <c r="N52" s="29" t="str">
        <f aca="false">IF(AND(K50=0,K52="min",L52=1),B52-B51,IF(K52="min",B52-M52,""))</f>
        <v/>
      </c>
      <c r="O52" s="34" t="str">
        <f aca="false">IF(AND(K50=0,K52="min",L52=1),(B52-B51)/B51,IF(K52="min",(B52-M52)/M52,""))</f>
        <v/>
      </c>
      <c r="P52" s="19" t="n">
        <f aca="false">D52-s_p!H52</f>
        <v>-0.0345961436926168</v>
      </c>
      <c r="Q52" s="19" t="n">
        <f aca="false">IF(P52&lt;0, P52^2, 0)</f>
        <v>0.00119689315840019</v>
      </c>
      <c r="R52" s="5"/>
      <c r="S52" s="5"/>
      <c r="T52" s="5"/>
      <c r="U52" s="5"/>
      <c r="V52" s="5"/>
    </row>
    <row r="53" customFormat="false" ht="13.8" hidden="false" customHeight="false" outlineLevel="0" collapsed="false">
      <c r="A53" s="6" t="n">
        <f aca="false">WORKDAY(A52,1,holiday!$B$2:$B$10)</f>
        <v>38791</v>
      </c>
      <c r="B53" s="24" t="n">
        <v>976286.946279501</v>
      </c>
      <c r="C53" s="24" t="n">
        <f aca="false">B53-B52</f>
        <v>-5300.57260195992</v>
      </c>
      <c r="D53" s="5" t="n">
        <f aca="false">C53/B52</f>
        <v>-0.00540000000000004</v>
      </c>
      <c r="E53" s="5" t="n">
        <f aca="false" t="array" ref="E53:E53">PRODUCT(1+$D$4:D53)-1</f>
        <v>-0.0237130537204984</v>
      </c>
      <c r="F53" s="45" t="n">
        <f aca="false">E53/COUNT($E$4:E53)</f>
        <v>-0.000474261074409967</v>
      </c>
      <c r="G53" s="5" t="n">
        <f aca="false">F53*252</f>
        <v>-0.119513790751312</v>
      </c>
      <c r="H53" s="46" t="n">
        <f aca="false">IF(D53&lt;F53,D53-F53,"")</f>
        <v>-0.00492573892559007</v>
      </c>
      <c r="I53" s="46" t="n">
        <f aca="false">IF(D53&lt;AVERAGE($D$43:D53),D53-AVERAGE($D$43:D53),"")</f>
        <v>-0.00057272727272729</v>
      </c>
      <c r="J53" s="0" t="n">
        <f aca="false">IF(ISBLANK(A54),MONTH(A53),IF(MONTH(A54)-MONTH(A53)=1,MONTH(A53),0))</f>
        <v>0</v>
      </c>
      <c r="K53" s="0" t="str">
        <f aca="false">IF(B54&gt;B53,IF(AND(B52&gt;B53,B54&gt;B53),"min",""),IF(AND(B52&gt;B53,B54&gt;B53),"",IF(AND(B52&lt;B53,B54&lt;B53),"max","")))</f>
        <v/>
      </c>
      <c r="L53" s="0" t="str">
        <f aca="false">IF(K53="min",COUNTIF(K$4:K53,"min"),IF(K53="max",COUNTIF(K$4:K53,"max"),""))</f>
        <v/>
      </c>
      <c r="M53" s="24" t="str">
        <f aca="false" t="array" ref="M53:M53">IF($K$3=0,IF(K53="min",INDEX($B$4:$B$254,(MATCH(1,($K$4:$K$254="max")*($L$4:$L$254=(L53-1)),0))),""),IF($K$3=1,IF(K53="min",INDEX($B$4:$B$254,(MATCH(1,($K$4:$K$254="max")*($L$4:$L$254=(L53)),0))),""),""))</f>
        <v/>
      </c>
      <c r="N53" s="29" t="str">
        <f aca="false">IF(AND(K51=0,K53="min",L53=1),B53-B52,IF(K53="min",B53-M53,""))</f>
        <v/>
      </c>
      <c r="O53" s="34" t="str">
        <f aca="false">IF(AND(K51=0,K53="min",L53=1),(B53-B52)/B52,IF(K53="min",(B53-M53)/M53,""))</f>
        <v/>
      </c>
      <c r="P53" s="19" t="n">
        <f aca="false">D53-s_p!H53</f>
        <v>-0.00966981533434038</v>
      </c>
      <c r="Q53" s="19" t="n">
        <f aca="false">IF(P53&lt;0, P53^2, 0)</f>
        <v>9.35053286002444E-005</v>
      </c>
      <c r="R53" s="5"/>
      <c r="S53" s="5"/>
      <c r="T53" s="5"/>
      <c r="U53" s="5"/>
      <c r="V53" s="5"/>
    </row>
    <row r="54" customFormat="false" ht="13.8" hidden="false" customHeight="false" outlineLevel="0" collapsed="false">
      <c r="A54" s="6" t="n">
        <f aca="false">WORKDAY(A53,1,holiday!$B$2:$B$10)</f>
        <v>38792</v>
      </c>
      <c r="B54" s="24" t="n">
        <v>972479.427189011</v>
      </c>
      <c r="C54" s="24" t="n">
        <f aca="false">B54-B53</f>
        <v>-3807.51909049007</v>
      </c>
      <c r="D54" s="5" t="n">
        <f aca="false">C54/B53</f>
        <v>-0.00390000000000001</v>
      </c>
      <c r="E54" s="5" t="n">
        <f aca="false" t="array" ref="E54:E54">PRODUCT(1+$D$4:D54)-1</f>
        <v>-0.0275205728109885</v>
      </c>
      <c r="F54" s="45" t="n">
        <f aca="false">E54/COUNT($E$4:E54)</f>
        <v>-0.000539619074725265</v>
      </c>
      <c r="G54" s="5" t="n">
        <f aca="false">F54*252</f>
        <v>-0.135984006830767</v>
      </c>
      <c r="H54" s="46" t="n">
        <f aca="false">IF(D54&lt;F54,D54-F54,"")</f>
        <v>-0.00336038092527475</v>
      </c>
      <c r="I54" s="46" t="str">
        <f aca="false">IF(D54&lt;AVERAGE($D$43:D54),D54-AVERAGE($D$43:D54),"")</f>
        <v/>
      </c>
      <c r="J54" s="0" t="n">
        <f aca="false">IF(ISBLANK(A55),MONTH(A54),IF(MONTH(A55)-MONTH(A54)=1,MONTH(A54),0))</f>
        <v>0</v>
      </c>
      <c r="K54" s="0" t="str">
        <f aca="false">IF(B55&gt;B54,IF(AND(B53&gt;B54,B55&gt;B54),"min",""),IF(AND(B53&gt;B54,B55&gt;B54),"",IF(AND(B53&lt;B54,B55&lt;B54),"max","")))</f>
        <v/>
      </c>
      <c r="L54" s="0" t="str">
        <f aca="false">IF(K54="min",COUNTIF(K$4:K54,"min"),IF(K54="max",COUNTIF(K$4:K54,"max"),""))</f>
        <v/>
      </c>
      <c r="M54" s="24" t="str">
        <f aca="false" t="array" ref="M54:M54">IF($K$3=0,IF(K54="min",INDEX($B$4:$B$254,(MATCH(1,($K$4:$K$254="max")*($L$4:$L$254=(L54-1)),0))),""),IF($K$3=1,IF(K54="min",INDEX($B$4:$B$254,(MATCH(1,($K$4:$K$254="max")*($L$4:$L$254=(L54)),0))),""),""))</f>
        <v/>
      </c>
      <c r="N54" s="29" t="str">
        <f aca="false">IF(AND(K52=0,K54="min",L54=1),B54-B53,IF(K54="min",B54-M54,""))</f>
        <v/>
      </c>
      <c r="O54" s="34" t="str">
        <f aca="false">IF(AND(K52=0,K54="min",L54=1),(B54-B53)/B53,IF(K54="min",(B54-M54)/M54,""))</f>
        <v/>
      </c>
      <c r="P54" s="19" t="n">
        <f aca="false">D54-s_p!H54</f>
        <v>-0.00567280471520015</v>
      </c>
      <c r="Q54" s="19" t="n">
        <f aca="false">IF(P54&lt;0, P54^2, 0)</f>
        <v>3.21807133367971E-005</v>
      </c>
      <c r="R54" s="5"/>
      <c r="S54" s="5"/>
      <c r="T54" s="5"/>
      <c r="U54" s="5"/>
      <c r="V54" s="5"/>
    </row>
    <row r="55" customFormat="false" ht="13.8" hidden="false" customHeight="false" outlineLevel="0" collapsed="false">
      <c r="A55" s="6" t="n">
        <f aca="false">WORKDAY(A54,1,holiday!$B$2:$B$10)</f>
        <v>38793</v>
      </c>
      <c r="B55" s="24" t="n">
        <v>945930.738826751</v>
      </c>
      <c r="C55" s="24" t="n">
        <f aca="false">B55-B54</f>
        <v>-26548.68836226</v>
      </c>
      <c r="D55" s="5" t="n">
        <f aca="false">C55/B54</f>
        <v>-0.0273</v>
      </c>
      <c r="E55" s="5" t="n">
        <f aca="false" t="array" ref="E55:E55">PRODUCT(1+$D$4:D55)-1</f>
        <v>-0.0540692611732485</v>
      </c>
      <c r="F55" s="45" t="n">
        <f aca="false">E55/COUNT($E$4:E55)</f>
        <v>-0.00103979348410093</v>
      </c>
      <c r="G55" s="5" t="n">
        <f aca="false">F55*252</f>
        <v>-0.262027957993435</v>
      </c>
      <c r="H55" s="46" t="n">
        <f aca="false">IF(D55&lt;F55,D55-F55,"")</f>
        <v>-0.0262602065158991</v>
      </c>
      <c r="I55" s="46" t="n">
        <f aca="false">IF(D55&lt;AVERAGE($D$43:D55),D55-AVERAGE($D$43:D55),"")</f>
        <v>-0.0208153846153846</v>
      </c>
      <c r="J55" s="0" t="n">
        <f aca="false">IF(ISBLANK(A56),MONTH(A55),IF(MONTH(A56)-MONTH(A55)=1,MONTH(A55),0))</f>
        <v>0</v>
      </c>
      <c r="K55" s="0" t="str">
        <f aca="false">IF(B56&gt;B55,IF(AND(B54&gt;B55,B56&gt;B55),"min",""),IF(AND(B54&gt;B55,B56&gt;B55),"",IF(AND(B54&lt;B55,B56&lt;B55),"max","")))</f>
        <v/>
      </c>
      <c r="L55" s="0" t="str">
        <f aca="false">IF(K55="min",COUNTIF(K$4:K55,"min"),IF(K55="max",COUNTIF(K$4:K55,"max"),""))</f>
        <v/>
      </c>
      <c r="M55" s="24" t="str">
        <f aca="false" t="array" ref="M55:M55">IF($K$3=0,IF(K55="min",INDEX($B$4:$B$254,(MATCH(1,($K$4:$K$254="max")*($L$4:$L$254=(L55-1)),0))),""),IF($K$3=1,IF(K55="min",INDEX($B$4:$B$254,(MATCH(1,($K$4:$K$254="max")*($L$4:$L$254=(L55)),0))),""),""))</f>
        <v/>
      </c>
      <c r="N55" s="29" t="str">
        <f aca="false">IF(AND(K53=0,K55="min",L55=1),B55-B54,IF(K55="min",B55-M55,""))</f>
        <v/>
      </c>
      <c r="O55" s="34" t="str">
        <f aca="false">IF(AND(K53=0,K55="min",L55=1),(B55-B54)/B54,IF(K55="min",(B55-M55)/M55,""))</f>
        <v/>
      </c>
      <c r="P55" s="19" t="n">
        <f aca="false">D55-s_p!H55</f>
        <v>-0.0287708924180093</v>
      </c>
      <c r="Q55" s="19" t="n">
        <f aca="false">IF(P55&lt;0, P55^2, 0)</f>
        <v>0.000827764250528665</v>
      </c>
      <c r="R55" s="5"/>
      <c r="S55" s="5"/>
      <c r="T55" s="5"/>
      <c r="U55" s="5"/>
      <c r="V55" s="5"/>
    </row>
    <row r="56" customFormat="false" ht="13.8" hidden="false" customHeight="false" outlineLevel="0" collapsed="false">
      <c r="A56" s="6" t="n">
        <f aca="false">WORKDAY(A55,1,holiday!$B$2:$B$10)</f>
        <v>38796</v>
      </c>
      <c r="B56" s="24" t="n">
        <v>938836.25828555</v>
      </c>
      <c r="C56" s="24" t="n">
        <f aca="false">B56-B55</f>
        <v>-7094.48054120061</v>
      </c>
      <c r="D56" s="5" t="n">
        <f aca="false">C56/B55</f>
        <v>-0.00749999999999998</v>
      </c>
      <c r="E56" s="5" t="n">
        <f aca="false" t="array" ref="E56:E56">PRODUCT(1+$D$4:D56)-1</f>
        <v>-0.0611637417144491</v>
      </c>
      <c r="F56" s="45" t="n">
        <f aca="false">E56/COUNT($E$4:E56)</f>
        <v>-0.00115403286253677</v>
      </c>
      <c r="G56" s="5" t="n">
        <f aca="false">F56*252</f>
        <v>-0.290816281359267</v>
      </c>
      <c r="H56" s="46" t="n">
        <f aca="false">IF(D56&lt;F56,D56-F56,"")</f>
        <v>-0.00634596713746321</v>
      </c>
      <c r="I56" s="46" t="n">
        <f aca="false">IF(D56&lt;AVERAGE($D$43:D56),D56-AVERAGE($D$43:D56),"")</f>
        <v>-0.000942857142857106</v>
      </c>
      <c r="J56" s="0" t="n">
        <f aca="false">IF(ISBLANK(A57),MONTH(A56),IF(MONTH(A57)-MONTH(A56)=1,MONTH(A56),0))</f>
        <v>0</v>
      </c>
      <c r="K56" s="0" t="str">
        <f aca="false">IF(B57&gt;B56,IF(AND(B55&gt;B56,B57&gt;B56),"min",""),IF(AND(B55&gt;B56,B57&gt;B56),"",IF(AND(B55&lt;B56,B57&lt;B56),"max","")))</f>
        <v>min</v>
      </c>
      <c r="L56" s="0" t="n">
        <f aca="false">IF(K56="min",COUNTIF(K$4:K56,"min"),IF(K56="max",COUNTIF(K$4:K56,"max"),""))</f>
        <v>14</v>
      </c>
      <c r="M56" s="24" t="n">
        <f aca="false" t="array" ref="M56:M56">IF($K$3=0,IF(K56="min",INDEX($B$4:$B$254,(MATCH(1,($K$4:$K$254="max")*($L$4:$L$254=(L56-1)),0))),""),IF($K$3=1,IF(K56="min",INDEX($B$4:$B$254,(MATCH(1,($K$4:$K$254="max")*($L$4:$L$254=(L56)),0))),""),""))</f>
        <v>1005931.05029869</v>
      </c>
      <c r="N56" s="29" t="n">
        <f aca="false">IF(AND(K54=0,K56="min",L56=1),B56-B55,IF(K56="min",B56-M56,""))</f>
        <v>-67094.7920131399</v>
      </c>
      <c r="O56" s="34" t="n">
        <f aca="false">IF(AND(K54=0,K56="min",L56=1),(B56-B55)/B55,IF(K56="min",(B56-M56)/M56,""))</f>
        <v>-0.0666991957283927</v>
      </c>
      <c r="P56" s="19" t="n">
        <f aca="false">D56-s_p!H56</f>
        <v>-0.00584002677376163</v>
      </c>
      <c r="Q56" s="19" t="n">
        <f aca="false">IF(P56&lt;0, P56^2, 0)</f>
        <v>3.41059127182527E-005</v>
      </c>
      <c r="R56" s="5"/>
      <c r="S56" s="5"/>
      <c r="T56" s="5"/>
      <c r="U56" s="5"/>
      <c r="V56" s="5"/>
    </row>
    <row r="57" customFormat="false" ht="13.8" hidden="false" customHeight="false" outlineLevel="0" collapsed="false">
      <c r="A57" s="6" t="n">
        <f aca="false">WORKDAY(A56,1,holiday!$B$2:$B$10)</f>
        <v>38797</v>
      </c>
      <c r="B57" s="24" t="n">
        <v>944844.810338578</v>
      </c>
      <c r="C57" s="24" t="n">
        <f aca="false">B57-B56</f>
        <v>6008.55205302755</v>
      </c>
      <c r="D57" s="5" t="n">
        <f aca="false">C57/B56</f>
        <v>0.00640000000000003</v>
      </c>
      <c r="E57" s="5" t="n">
        <f aca="false" t="array" ref="E57:E57">PRODUCT(1+$D$4:D57)-1</f>
        <v>-0.0551551896614215</v>
      </c>
      <c r="F57" s="45" t="n">
        <f aca="false">E57/COUNT($E$4:E57)</f>
        <v>-0.00102139240113744</v>
      </c>
      <c r="G57" s="5" t="n">
        <f aca="false">F57*252</f>
        <v>-0.257390885086634</v>
      </c>
      <c r="H57" s="46" t="str">
        <f aca="false">IF(D57&lt;F57,D57-F57,"")</f>
        <v/>
      </c>
      <c r="I57" s="46" t="str">
        <f aca="false">IF(D57&lt;AVERAGE($D$43:D57),D57-AVERAGE($D$43:D57),"")</f>
        <v/>
      </c>
      <c r="J57" s="0" t="n">
        <f aca="false">IF(ISBLANK(A58),MONTH(A57),IF(MONTH(A58)-MONTH(A57)=1,MONTH(A57),0))</f>
        <v>0</v>
      </c>
      <c r="K57" s="0" t="str">
        <f aca="false">IF(B58&gt;B57,IF(AND(B56&gt;B57,B58&gt;B57),"min",""),IF(AND(B56&gt;B57,B58&gt;B57),"",IF(AND(B56&lt;B57,B58&lt;B57),"max","")))</f>
        <v>max</v>
      </c>
      <c r="L57" s="0" t="n">
        <f aca="false">IF(K57="min",COUNTIF(K$4:K57,"min"),IF(K57="max",COUNTIF(K$4:K57,"max"),""))</f>
        <v>14</v>
      </c>
      <c r="M57" s="24" t="str">
        <f aca="false" t="array" ref="M57:M57">IF($K$3=0,IF(K57="min",INDEX($B$4:$B$254,(MATCH(1,($K$4:$K$254="max")*($L$4:$L$254=(L57-1)),0))),""),IF($K$3=1,IF(K57="min",INDEX($B$4:$B$254,(MATCH(1,($K$4:$K$254="max")*($L$4:$L$254=(L57)),0))),""),""))</f>
        <v/>
      </c>
      <c r="N57" s="29" t="str">
        <f aca="false">IF(AND(K55=0,K57="min",L57=1),B57-B56,IF(K57="min",B57-M57,""))</f>
        <v/>
      </c>
      <c r="O57" s="34" t="str">
        <f aca="false">IF(AND(K55=0,K57="min",L57=1),(B57-B56)/B56,IF(K57="min",(B57-M57)/M57,""))</f>
        <v/>
      </c>
      <c r="P57" s="19" t="n">
        <f aca="false">D57-s_p!H57</f>
        <v>0.0124149569375057</v>
      </c>
      <c r="Q57" s="19" t="n">
        <f aca="false">IF(P57&lt;0, P57^2, 0)</f>
        <v>0</v>
      </c>
      <c r="R57" s="5"/>
      <c r="S57" s="5"/>
      <c r="T57" s="5"/>
      <c r="U57" s="5"/>
      <c r="V57" s="5"/>
    </row>
    <row r="58" customFormat="false" ht="13.8" hidden="false" customHeight="false" outlineLevel="0" collapsed="false">
      <c r="A58" s="6" t="n">
        <f aca="false">WORKDAY(A57,1,holiday!$B$2:$B$10)</f>
        <v>38798</v>
      </c>
      <c r="B58" s="24" t="n">
        <v>909318.645469847</v>
      </c>
      <c r="C58" s="24" t="n">
        <f aca="false">B58-B57</f>
        <v>-35526.1648687305</v>
      </c>
      <c r="D58" s="5" t="n">
        <f aca="false">C58/B57</f>
        <v>-0.0375999999999999</v>
      </c>
      <c r="E58" s="5" t="n">
        <f aca="false" t="array" ref="E58:E58">PRODUCT(1+$D$4:D58)-1</f>
        <v>-0.090681354530152</v>
      </c>
      <c r="F58" s="45" t="n">
        <f aca="false">E58/COUNT($E$4:E58)</f>
        <v>-0.00164875190054822</v>
      </c>
      <c r="G58" s="5" t="n">
        <f aca="false">F58*252</f>
        <v>-0.415485478938151</v>
      </c>
      <c r="H58" s="46" t="n">
        <f aca="false">IF(D58&lt;F58,D58-F58,"")</f>
        <v>-0.0359512480994517</v>
      </c>
      <c r="I58" s="46" t="n">
        <f aca="false">IF(D58&lt;AVERAGE($D$43:D58),D58-AVERAGE($D$43:D58),"")</f>
        <v>-0.0299124999999999</v>
      </c>
      <c r="J58" s="0" t="n">
        <f aca="false">IF(ISBLANK(A59),MONTH(A58),IF(MONTH(A59)-MONTH(A58)=1,MONTH(A58),0))</f>
        <v>0</v>
      </c>
      <c r="K58" s="0" t="str">
        <f aca="false">IF(B59&gt;B58,IF(AND(B57&gt;B58,B59&gt;B58),"min",""),IF(AND(B57&gt;B58,B59&gt;B58),"",IF(AND(B57&lt;B58,B59&lt;B58),"max","")))</f>
        <v>min</v>
      </c>
      <c r="L58" s="0" t="n">
        <f aca="false">IF(K58="min",COUNTIF(K$4:K58,"min"),IF(K58="max",COUNTIF(K$4:K58,"max"),""))</f>
        <v>15</v>
      </c>
      <c r="M58" s="24" t="n">
        <f aca="false" t="array" ref="M58:M58">IF($K$3=0,IF(K58="min",INDEX($B$4:$B$254,(MATCH(1,($K$4:$K$254="max")*($L$4:$L$254=(L58-1)),0))),""),IF($K$3=1,IF(K58="min",INDEX($B$4:$B$254,(MATCH(1,($K$4:$K$254="max")*($L$4:$L$254=(L58)),0))),""),""))</f>
        <v>944844.810338578</v>
      </c>
      <c r="N58" s="29" t="n">
        <f aca="false">IF(AND(K56=0,K58="min",L58=1),B58-B57,IF(K58="min",B58-M58,""))</f>
        <v>-35526.1648687309</v>
      </c>
      <c r="O58" s="34" t="n">
        <f aca="false">IF(AND(K56=0,K58="min",L58=1),(B58-B57)/B57,IF(K58="min",(B58-M58)/M58,""))</f>
        <v>-0.0376000000000004</v>
      </c>
      <c r="P58" s="19" t="n">
        <f aca="false">D58-s_p!H58</f>
        <v>-0.0436205206478418</v>
      </c>
      <c r="Q58" s="19" t="n">
        <f aca="false">IF(P58&lt;0, P58^2, 0)</f>
        <v>0.00190274982158879</v>
      </c>
      <c r="R58" s="5"/>
      <c r="S58" s="5"/>
      <c r="T58" s="5"/>
      <c r="U58" s="5"/>
      <c r="V58" s="5"/>
    </row>
    <row r="59" customFormat="false" ht="13.8" hidden="false" customHeight="false" outlineLevel="0" collapsed="false">
      <c r="A59" s="6" t="n">
        <f aca="false">WORKDAY(A58,1,holiday!$B$2:$B$10)</f>
        <v>38799</v>
      </c>
      <c r="B59" s="24" t="n">
        <v>947873.756037769</v>
      </c>
      <c r="C59" s="24" t="n">
        <f aca="false">B59-B58</f>
        <v>38555.1105679215</v>
      </c>
      <c r="D59" s="5" t="n">
        <f aca="false">C59/B58</f>
        <v>0.0424</v>
      </c>
      <c r="E59" s="5" t="n">
        <f aca="false" t="array" ref="E59:E59">PRODUCT(1+$D$4:D59)-1</f>
        <v>-0.0521262439622305</v>
      </c>
      <c r="F59" s="45" t="n">
        <f aca="false">E59/COUNT($E$4:E59)</f>
        <v>-0.000930825785039831</v>
      </c>
      <c r="G59" s="5" t="n">
        <f aca="false">F59*252</f>
        <v>-0.234568097830037</v>
      </c>
      <c r="H59" s="46" t="str">
        <f aca="false">IF(D59&lt;F59,D59-F59,"")</f>
        <v/>
      </c>
      <c r="I59" s="46" t="str">
        <f aca="false">IF(D59&lt;AVERAGE($D$43:D59),D59-AVERAGE($D$43:D59),"")</f>
        <v/>
      </c>
      <c r="J59" s="0" t="n">
        <f aca="false">IF(ISBLANK(A60),MONTH(A59),IF(MONTH(A60)-MONTH(A59)=1,MONTH(A59),0))</f>
        <v>0</v>
      </c>
      <c r="K59" s="0" t="str">
        <f aca="false">IF(B60&gt;B59,IF(AND(B58&gt;B59,B60&gt;B59),"min",""),IF(AND(B58&gt;B59,B60&gt;B59),"",IF(AND(B58&lt;B59,B60&lt;B59),"max","")))</f>
        <v/>
      </c>
      <c r="L59" s="0" t="str">
        <f aca="false">IF(K59="min",COUNTIF(K$4:K59,"min"),IF(K59="max",COUNTIF(K$4:K59,"max"),""))</f>
        <v/>
      </c>
      <c r="M59" s="24" t="str">
        <f aca="false" t="array" ref="M59:M59">IF($K$3=0,IF(K59="min",INDEX($B$4:$B$254,(MATCH(1,($K$4:$K$254="max")*($L$4:$L$254=(L59-1)),0))),""),IF($K$3=1,IF(K59="min",INDEX($B$4:$B$254,(MATCH(1,($K$4:$K$254="max")*($L$4:$L$254=(L59)),0))),""),""))</f>
        <v/>
      </c>
      <c r="N59" s="29" t="str">
        <f aca="false">IF(AND(K57=0,K59="min",L59=1),B59-B58,IF(K59="min",B59-M59,""))</f>
        <v/>
      </c>
      <c r="O59" s="34" t="str">
        <f aca="false">IF(AND(K57=0,K59="min",L59=1),(B59-B58)/B58,IF(K59="min",(B59-M59)/M59,""))</f>
        <v/>
      </c>
      <c r="P59" s="19" t="n">
        <f aca="false">D59-s_p!H59</f>
        <v>0.0449822963280818</v>
      </c>
      <c r="Q59" s="19" t="n">
        <f aca="false">IF(P59&lt;0, P59^2, 0)</f>
        <v>0</v>
      </c>
      <c r="R59" s="5"/>
      <c r="S59" s="5"/>
      <c r="T59" s="5"/>
      <c r="U59" s="5"/>
      <c r="V59" s="5"/>
    </row>
    <row r="60" customFormat="false" ht="13.8" hidden="false" customHeight="false" outlineLevel="0" collapsed="false">
      <c r="A60" s="6" t="n">
        <f aca="false">WORKDAY(A59,1,holiday!$B$2:$B$10)</f>
        <v>38800</v>
      </c>
      <c r="B60" s="24" t="n">
        <v>985693.918903676</v>
      </c>
      <c r="C60" s="24" t="n">
        <f aca="false">B60-B59</f>
        <v>37820.162865907</v>
      </c>
      <c r="D60" s="5" t="n">
        <f aca="false">C60/B59</f>
        <v>0.0399</v>
      </c>
      <c r="E60" s="5" t="n">
        <f aca="false" t="array" ref="E60:E60">PRODUCT(1+$D$4:D60)-1</f>
        <v>-0.0143060810963235</v>
      </c>
      <c r="F60" s="45" t="n">
        <f aca="false">E60/COUNT($E$4:E60)</f>
        <v>-0.000250983878882868</v>
      </c>
      <c r="G60" s="5" t="n">
        <f aca="false">F60*252</f>
        <v>-0.0632479374784827</v>
      </c>
      <c r="H60" s="46" t="str">
        <f aca="false">IF(D60&lt;F60,D60-F60,"")</f>
        <v/>
      </c>
      <c r="I60" s="46" t="str">
        <f aca="false">IF(D60&lt;AVERAGE($D$43:D60),D60-AVERAGE($D$43:D60),"")</f>
        <v/>
      </c>
      <c r="J60" s="0" t="n">
        <f aca="false">IF(ISBLANK(A61),MONTH(A60),IF(MONTH(A61)-MONTH(A60)=1,MONTH(A60),0))</f>
        <v>0</v>
      </c>
      <c r="K60" s="0" t="str">
        <f aca="false">IF(B61&gt;B60,IF(AND(B59&gt;B60,B61&gt;B60),"min",""),IF(AND(B59&gt;B60,B61&gt;B60),"",IF(AND(B59&lt;B60,B61&lt;B60),"max","")))</f>
        <v/>
      </c>
      <c r="L60" s="0" t="str">
        <f aca="false">IF(K60="min",COUNTIF(K$4:K60,"min"),IF(K60="max",COUNTIF(K$4:K60,"max"),""))</f>
        <v/>
      </c>
      <c r="M60" s="24" t="str">
        <f aca="false" t="array" ref="M60:M60">IF($K$3=0,IF(K60="min",INDEX($B$4:$B$254,(MATCH(1,($K$4:$K$254="max")*($L$4:$L$254=(L60-1)),0))),""),IF($K$3=1,IF(K60="min",INDEX($B$4:$B$254,(MATCH(1,($K$4:$K$254="max")*($L$4:$L$254=(L60)),0))),""),""))</f>
        <v/>
      </c>
      <c r="N60" s="29" t="str">
        <f aca="false">IF(AND(K58=0,K60="min",L60=1),B60-B59,IF(K60="min",B60-M60,""))</f>
        <v/>
      </c>
      <c r="O60" s="34" t="str">
        <f aca="false">IF(AND(K58=0,K60="min",L60=1),(B60-B59)/B59,IF(K60="min",(B60-M60)/M60,""))</f>
        <v/>
      </c>
      <c r="P60" s="19" t="n">
        <f aca="false">D60-s_p!H60</f>
        <v>0.0389166478446918</v>
      </c>
      <c r="Q60" s="19" t="n">
        <f aca="false">IF(P60&lt;0, P60^2, 0)</f>
        <v>0</v>
      </c>
      <c r="R60" s="5"/>
      <c r="S60" s="5"/>
      <c r="T60" s="5"/>
      <c r="U60" s="5"/>
      <c r="V60" s="5"/>
    </row>
    <row r="61" customFormat="false" ht="13.8" hidden="false" customHeight="false" outlineLevel="0" collapsed="false">
      <c r="A61" s="6" t="n">
        <f aca="false">WORKDAY(A60,1,holiday!$B$2:$B$10)</f>
        <v>38803</v>
      </c>
      <c r="B61" s="24" t="n">
        <v>1004422.10336285</v>
      </c>
      <c r="C61" s="24" t="n">
        <f aca="false">B61-B60</f>
        <v>18728.1844591699</v>
      </c>
      <c r="D61" s="5" t="n">
        <f aca="false">C61/B60</f>
        <v>0.019</v>
      </c>
      <c r="E61" s="5" t="n">
        <f aca="false" t="array" ref="E61:E61">PRODUCT(1+$D$4:D61)-1</f>
        <v>0.00442210336284621</v>
      </c>
      <c r="F61" s="45" t="n">
        <f aca="false">E61/COUNT($E$4:E61)</f>
        <v>7.62431614283829E-005</v>
      </c>
      <c r="G61" s="5" t="n">
        <f aca="false">F61*252</f>
        <v>0.0192132766799525</v>
      </c>
      <c r="H61" s="46" t="str">
        <f aca="false">IF(D61&lt;F61,D61-F61,"")</f>
        <v/>
      </c>
      <c r="I61" s="46" t="str">
        <f aca="false">IF(D61&lt;AVERAGE($D$43:D61),D61-AVERAGE($D$43:D61),"")</f>
        <v/>
      </c>
      <c r="J61" s="0" t="n">
        <f aca="false">IF(ISBLANK(A62),MONTH(A61),IF(MONTH(A62)-MONTH(A61)=1,MONTH(A61),0))</f>
        <v>0</v>
      </c>
      <c r="K61" s="0" t="str">
        <f aca="false">IF(B62&gt;B61,IF(AND(B60&gt;B61,B62&gt;B61),"min",""),IF(AND(B60&gt;B61,B62&gt;B61),"",IF(AND(B60&lt;B61,B62&lt;B61),"max","")))</f>
        <v/>
      </c>
      <c r="L61" s="0" t="str">
        <f aca="false">IF(K61="min",COUNTIF(K$4:K61,"min"),IF(K61="max",COUNTIF(K$4:K61,"max"),""))</f>
        <v/>
      </c>
      <c r="M61" s="24" t="str">
        <f aca="false" t="array" ref="M61:M61">IF($K$3=0,IF(K61="min",INDEX($B$4:$B$254,(MATCH(1,($K$4:$K$254="max")*($L$4:$L$254=(L61-1)),0))),""),IF($K$3=1,IF(K61="min",INDEX($B$4:$B$254,(MATCH(1,($K$4:$K$254="max")*($L$4:$L$254=(L61)),0))),""),""))</f>
        <v/>
      </c>
      <c r="N61" s="29" t="str">
        <f aca="false">IF(AND(K59=0,K61="min",L61=1),B61-B60,IF(K61="min",B61-M61,""))</f>
        <v/>
      </c>
      <c r="O61" s="34" t="str">
        <f aca="false">IF(AND(K59=0,K61="min",L61=1),(B61-B60)/B60,IF(K61="min",(B61-M61)/M61,""))</f>
        <v/>
      </c>
      <c r="P61" s="19" t="n">
        <f aca="false">D61-s_p!H61</f>
        <v>0.0200284354733491</v>
      </c>
      <c r="Q61" s="19" t="n">
        <f aca="false">IF(P61&lt;0, P61^2, 0)</f>
        <v>0</v>
      </c>
      <c r="R61" s="5"/>
      <c r="S61" s="5"/>
      <c r="T61" s="5"/>
      <c r="U61" s="5"/>
      <c r="V61" s="5"/>
    </row>
    <row r="62" customFormat="false" ht="13.8" hidden="false" customHeight="false" outlineLevel="0" collapsed="false">
      <c r="A62" s="6" t="n">
        <f aca="false">WORKDAY(A61,1,holiday!$B$2:$B$10)</f>
        <v>38804</v>
      </c>
      <c r="B62" s="24" t="n">
        <v>1028126.46500221</v>
      </c>
      <c r="C62" s="24" t="n">
        <f aca="false">B62-B61</f>
        <v>23704.3616393631</v>
      </c>
      <c r="D62" s="5" t="n">
        <f aca="false">C62/B61</f>
        <v>0.0235999999999999</v>
      </c>
      <c r="E62" s="5" t="n">
        <f aca="false" t="array" ref="E62:E62">PRODUCT(1+$D$4:D62)-1</f>
        <v>0.0281264650022093</v>
      </c>
      <c r="F62" s="45" t="n">
        <f aca="false">E62/COUNT($E$4:E62)</f>
        <v>0.000476719745800157</v>
      </c>
      <c r="G62" s="5" t="n">
        <f aca="false">F62*252</f>
        <v>0.12013337594164</v>
      </c>
      <c r="H62" s="46" t="str">
        <f aca="false">IF(D62&lt;F62,D62-F62,"")</f>
        <v/>
      </c>
      <c r="I62" s="46" t="str">
        <f aca="false">IF(D62&lt;AVERAGE($D$43:D62),D62-AVERAGE($D$43:D62),"")</f>
        <v/>
      </c>
      <c r="J62" s="0" t="n">
        <f aca="false">IF(ISBLANK(A63),MONTH(A62),IF(MONTH(A63)-MONTH(A62)=1,MONTH(A62),0))</f>
        <v>0</v>
      </c>
      <c r="K62" s="0" t="str">
        <f aca="false">IF(B63&gt;B62,IF(AND(B61&gt;B62,B63&gt;B62),"min",""),IF(AND(B61&gt;B62,B63&gt;B62),"",IF(AND(B61&lt;B62,B63&lt;B62),"max","")))</f>
        <v>max</v>
      </c>
      <c r="L62" s="0" t="n">
        <f aca="false">IF(K62="min",COUNTIF(K$4:K62,"min"),IF(K62="max",COUNTIF(K$4:K62,"max"),""))</f>
        <v>15</v>
      </c>
      <c r="M62" s="24" t="str">
        <f aca="false" t="array" ref="M62:M62">IF($K$3=0,IF(K62="min",INDEX($B$4:$B$254,(MATCH(1,($K$4:$K$254="max")*($L$4:$L$254=(L62-1)),0))),""),IF($K$3=1,IF(K62="min",INDEX($B$4:$B$254,(MATCH(1,($K$4:$K$254="max")*($L$4:$L$254=(L62)),0))),""),""))</f>
        <v/>
      </c>
      <c r="N62" s="29" t="str">
        <f aca="false">IF(AND(K60=0,K62="min",L62=1),B62-B61,IF(K62="min",B62-M62,""))</f>
        <v/>
      </c>
      <c r="O62" s="34" t="str">
        <f aca="false">IF(AND(K60=0,K62="min",L62=1),(B62-B61)/B61,IF(K62="min",(B62-M62)/M62,""))</f>
        <v/>
      </c>
      <c r="P62" s="19" t="n">
        <f aca="false">D62-s_p!H62</f>
        <v>0.0300381804073415</v>
      </c>
      <c r="Q62" s="19" t="n">
        <f aca="false">IF(P62&lt;0, P62^2, 0)</f>
        <v>0</v>
      </c>
      <c r="R62" s="5"/>
      <c r="S62" s="5"/>
      <c r="T62" s="5"/>
      <c r="U62" s="5"/>
      <c r="V62" s="5"/>
    </row>
    <row r="63" customFormat="false" ht="13.8" hidden="false" customHeight="false" outlineLevel="0" collapsed="false">
      <c r="A63" s="6" t="n">
        <f aca="false">WORKDAY(A62,1,holiday!$B$2:$B$10)</f>
        <v>38805</v>
      </c>
      <c r="B63" s="24" t="n">
        <v>998927.673396146</v>
      </c>
      <c r="C63" s="24" t="n">
        <f aca="false">B63-B62</f>
        <v>-29198.7916060627</v>
      </c>
      <c r="D63" s="5" t="n">
        <f aca="false">C63/B62</f>
        <v>-0.0283999999999999</v>
      </c>
      <c r="E63" s="5" t="n">
        <f aca="false" t="array" ref="E63:E63">PRODUCT(1+$D$4:D63)-1</f>
        <v>-0.00107232660385337</v>
      </c>
      <c r="F63" s="45" t="n">
        <f aca="false">E63/COUNT($E$4:E63)</f>
        <v>-1.78721100642228E-005</v>
      </c>
      <c r="G63" s="5" t="n">
        <f aca="false">F63*252</f>
        <v>-0.00450377173618415</v>
      </c>
      <c r="H63" s="46" t="n">
        <f aca="false">IF(D63&lt;F63,D63-F63,"")</f>
        <v>-0.0283821278899357</v>
      </c>
      <c r="I63" s="46" t="n">
        <f aca="false">IF(D63&lt;AVERAGE($D$43:D63),D63-AVERAGE($D$43:D63),"")</f>
        <v>-0.0271380952380952</v>
      </c>
      <c r="J63" s="0" t="n">
        <f aca="false">IF(ISBLANK(A64),MONTH(A63),IF(MONTH(A64)-MONTH(A63)=1,MONTH(A63),0))</f>
        <v>0</v>
      </c>
      <c r="K63" s="0" t="str">
        <f aca="false">IF(B64&gt;B63,IF(AND(B62&gt;B63,B64&gt;B63),"min",""),IF(AND(B62&gt;B63,B64&gt;B63),"",IF(AND(B62&lt;B63,B64&lt;B63),"max","")))</f>
        <v/>
      </c>
      <c r="L63" s="0" t="str">
        <f aca="false">IF(K63="min",COUNTIF(K$4:K63,"min"),IF(K63="max",COUNTIF(K$4:K63,"max"),""))</f>
        <v/>
      </c>
      <c r="M63" s="24" t="str">
        <f aca="false" t="array" ref="M63:M63">IF($K$3=0,IF(K63="min",INDEX($B$4:$B$254,(MATCH(1,($K$4:$K$254="max")*($L$4:$L$254=(L63-1)),0))),""),IF($K$3=1,IF(K63="min",INDEX($B$4:$B$254,(MATCH(1,($K$4:$K$254="max")*($L$4:$L$254=(L63)),0))),""),""))</f>
        <v/>
      </c>
      <c r="N63" s="29" t="str">
        <f aca="false">IF(AND(K61=0,K63="min",L63=1),B63-B62,IF(K63="min",B63-M63,""))</f>
        <v/>
      </c>
      <c r="O63" s="34" t="str">
        <f aca="false">IF(AND(K61=0,K63="min",L63=1),(B63-B62)/B62,IF(K63="min",(B63-M63)/M63,""))</f>
        <v/>
      </c>
      <c r="P63" s="19" t="n">
        <f aca="false">D63-s_p!H63</f>
        <v>-0.035869668968397</v>
      </c>
      <c r="Q63" s="19" t="n">
        <f aca="false">IF(P63&lt;0, P63^2, 0)</f>
        <v>0.00128663315190238</v>
      </c>
      <c r="R63" s="5"/>
      <c r="S63" s="5"/>
      <c r="T63" s="5"/>
      <c r="U63" s="5"/>
      <c r="V63" s="5"/>
    </row>
    <row r="64" customFormat="false" ht="13.8" hidden="false" customHeight="false" outlineLevel="0" collapsed="false">
      <c r="A64" s="6" t="n">
        <f aca="false">WORKDAY(A63,1,holiday!$B$2:$B$10)</f>
        <v>38806</v>
      </c>
      <c r="B64" s="24" t="n">
        <v>964864.239733338</v>
      </c>
      <c r="C64" s="24" t="n">
        <f aca="false">B64-B63</f>
        <v>-34063.4336628086</v>
      </c>
      <c r="D64" s="5" t="n">
        <f aca="false">C64/B63</f>
        <v>-0.0341</v>
      </c>
      <c r="E64" s="5" t="n">
        <f aca="false" t="array" ref="E64:E64">PRODUCT(1+$D$4:D64)-1</f>
        <v>-0.035135760266662</v>
      </c>
      <c r="F64" s="45" t="n">
        <f aca="false">E64/COUNT($E$4:E64)</f>
        <v>-0.000575996069945278</v>
      </c>
      <c r="G64" s="5" t="n">
        <f aca="false">F64*252</f>
        <v>-0.14515100962621</v>
      </c>
      <c r="H64" s="46" t="n">
        <f aca="false">IF(D64&lt;F64,D64-F64,"")</f>
        <v>-0.0335240039300547</v>
      </c>
      <c r="I64" s="46" t="n">
        <f aca="false">IF(D64&lt;AVERAGE($D$43:D64),D64-AVERAGE($D$43:D64),"")</f>
        <v>-0.0313454545454546</v>
      </c>
      <c r="J64" s="0" t="n">
        <f aca="false">IF(ISBLANK(A65),MONTH(A64),IF(MONTH(A65)-MONTH(A64)=1,MONTH(A64),0))</f>
        <v>0</v>
      </c>
      <c r="K64" s="0" t="str">
        <f aca="false">IF(B65&gt;B64,IF(AND(B63&gt;B64,B65&gt;B64),"min",""),IF(AND(B63&gt;B64,B65&gt;B64),"",IF(AND(B63&lt;B64,B65&lt;B64),"max","")))</f>
        <v>min</v>
      </c>
      <c r="L64" s="0" t="n">
        <f aca="false">IF(K64="min",COUNTIF(K$4:K64,"min"),IF(K64="max",COUNTIF(K$4:K64,"max"),""))</f>
        <v>16</v>
      </c>
      <c r="M64" s="24" t="n">
        <f aca="false" t="array" ref="M64:M64">IF($K$3=0,IF(K64="min",INDEX($B$4:$B$254,(MATCH(1,($K$4:$K$254="max")*($L$4:$L$254=(L64-1)),0))),""),IF($K$3=1,IF(K64="min",INDEX($B$4:$B$254,(MATCH(1,($K$4:$K$254="max")*($L$4:$L$254=(L64)),0))),""),""))</f>
        <v>1028126.46500221</v>
      </c>
      <c r="N64" s="29" t="n">
        <f aca="false">IF(AND(K62=0,K64="min",L64=1),B64-B63,IF(K64="min",B64-M64,""))</f>
        <v>-63262.225268872</v>
      </c>
      <c r="O64" s="34" t="n">
        <f aca="false">IF(AND(K62=0,K64="min",L64=1),(B64-B63)/B63,IF(K64="min",(B64-M64)/M64,""))</f>
        <v>-0.0615315600000006</v>
      </c>
      <c r="P64" s="19" t="n">
        <f aca="false">D64-s_p!H64</f>
        <v>-0.0320737353114997</v>
      </c>
      <c r="Q64" s="19" t="n">
        <f aca="false">IF(P64&lt;0, P64^2, 0)</f>
        <v>0.00102872449683214</v>
      </c>
      <c r="R64" s="5"/>
      <c r="S64" s="5"/>
      <c r="T64" s="5"/>
      <c r="U64" s="5"/>
      <c r="V64" s="5"/>
    </row>
    <row r="65" customFormat="false" ht="13.8" hidden="false" customHeight="false" outlineLevel="0" collapsed="false">
      <c r="A65" s="6" t="n">
        <f aca="false">WORKDAY(A64,1,holiday!$B$2:$B$10)</f>
        <v>38807</v>
      </c>
      <c r="B65" s="24" t="n">
        <v>990529.628510244</v>
      </c>
      <c r="C65" s="24" t="n">
        <f aca="false">B65-B64</f>
        <v>25665.3887769068</v>
      </c>
      <c r="D65" s="5" t="n">
        <f aca="false">C65/B64</f>
        <v>0.0266</v>
      </c>
      <c r="E65" s="5" t="n">
        <f aca="false" t="array" ref="E65:E65">PRODUCT(1+$D$4:D65)-1</f>
        <v>-0.00947037148975527</v>
      </c>
      <c r="F65" s="45" t="n">
        <f aca="false">E65/COUNT($E$4:E65)</f>
        <v>-0.000152747927254117</v>
      </c>
      <c r="G65" s="5" t="n">
        <f aca="false">F65*252</f>
        <v>-0.0384924776680375</v>
      </c>
      <c r="H65" s="46" t="str">
        <f aca="false">IF(D65&lt;F65,D65-F65,"")</f>
        <v/>
      </c>
      <c r="I65" s="46" t="str">
        <f aca="false">IF(D65&lt;AVERAGE($D$43:D65),D65-AVERAGE($D$43:D65),"")</f>
        <v/>
      </c>
      <c r="J65" s="0" t="n">
        <f aca="false">IF(ISBLANK(A66),MONTH(A65),IF(MONTH(A66)-MONTH(A65)=1,MONTH(A65),0))</f>
        <v>3</v>
      </c>
      <c r="K65" s="0" t="str">
        <f aca="false">IF(B66&gt;B65,IF(AND(B64&gt;B65,B66&gt;B65),"min",""),IF(AND(B64&gt;B65,B66&gt;B65),"",IF(AND(B64&lt;B65,B66&lt;B65),"max","")))</f>
        <v/>
      </c>
      <c r="L65" s="0" t="str">
        <f aca="false">IF(K65="min",COUNTIF(K$4:K65,"min"),IF(K65="max",COUNTIF(K$4:K65,"max"),""))</f>
        <v/>
      </c>
      <c r="M65" s="24" t="str">
        <f aca="false" t="array" ref="M65:M65">IF($K$3=0,IF(K65="min",INDEX($B$4:$B$254,(MATCH(1,($K$4:$K$254="max")*($L$4:$L$254=(L65-1)),0))),""),IF($K$3=1,IF(K65="min",INDEX($B$4:$B$254,(MATCH(1,($K$4:$K$254="max")*($L$4:$L$254=(L65)),0))),""),""))</f>
        <v/>
      </c>
      <c r="N65" s="29" t="str">
        <f aca="false">IF(AND(K63=0,K65="min",L65=1),B65-B64,IF(K65="min",B65-M65,""))</f>
        <v/>
      </c>
      <c r="O65" s="34" t="str">
        <f aca="false">IF(AND(K63=0,K65="min",L65=1),(B65-B64)/B64,IF(K65="min",(B65-M65)/M65,""))</f>
        <v/>
      </c>
      <c r="P65" s="19" t="n">
        <f aca="false">D65-s_p!H65</f>
        <v>0.0307376658334936</v>
      </c>
      <c r="Q65" s="19" t="n">
        <f aca="false">IF(P65&lt;0, P65^2, 0)</f>
        <v>0</v>
      </c>
      <c r="R65" s="5"/>
      <c r="S65" s="5"/>
      <c r="T65" s="5"/>
      <c r="U65" s="5"/>
      <c r="V65" s="5"/>
    </row>
    <row r="66" customFormat="false" ht="13.8" hidden="false" customHeight="false" outlineLevel="0" collapsed="false">
      <c r="A66" s="6" t="n">
        <f aca="false">WORKDAY(A65,1,holiday!$B$2:$B$10)</f>
        <v>38810</v>
      </c>
      <c r="B66" s="24" t="n">
        <v>1040056.10993576</v>
      </c>
      <c r="C66" s="24" t="n">
        <f aca="false">B66-B65</f>
        <v>49526.4814255122</v>
      </c>
      <c r="D66" s="5" t="n">
        <f aca="false">C66/B65</f>
        <v>0.05</v>
      </c>
      <c r="E66" s="5" t="n">
        <f aca="false" t="array" ref="E66:E66">PRODUCT(1+$D$4:D66)-1</f>
        <v>0.040056109935757</v>
      </c>
      <c r="F66" s="45" t="n">
        <f aca="false">E66/COUNT($E$4:E66)</f>
        <v>0.00063581126882154</v>
      </c>
      <c r="G66" s="5" t="n">
        <f aca="false">F66*252</f>
        <v>0.160224439743028</v>
      </c>
      <c r="H66" s="46" t="str">
        <f aca="false">IF(D66&lt;F66,D66-F66,"")</f>
        <v/>
      </c>
      <c r="I66" s="46" t="str">
        <f aca="false">IF(D66&lt;AVERAGE($D$66:D66),D66-AVERAGE($D$66:D66),"")</f>
        <v/>
      </c>
      <c r="J66" s="0" t="n">
        <f aca="false">IF(ISBLANK(A67),MONTH(A66),IF(MONTH(A67)-MONTH(A66)=1,MONTH(A66),0))</f>
        <v>0</v>
      </c>
      <c r="K66" s="0" t="str">
        <f aca="false">IF(B67&gt;B66,IF(AND(B65&gt;B66,B67&gt;B66),"min",""),IF(AND(B65&gt;B66,B67&gt;B66),"",IF(AND(B65&lt;B66,B67&lt;B66),"max","")))</f>
        <v/>
      </c>
      <c r="L66" s="0" t="str">
        <f aca="false">IF(K66="min",COUNTIF(K$4:K66,"min"),IF(K66="max",COUNTIF(K$4:K66,"max"),""))</f>
        <v/>
      </c>
      <c r="M66" s="24" t="str">
        <f aca="false" t="array" ref="M66:M66">IF($K$3=0,IF(K66="min",INDEX($B$4:$B$254,(MATCH(1,($K$4:$K$254="max")*($L$4:$L$254=(L66-1)),0))),""),IF($K$3=1,IF(K66="min",INDEX($B$4:$B$254,(MATCH(1,($K$4:$K$254="max")*($L$4:$L$254=(L66)),0))),""),""))</f>
        <v/>
      </c>
      <c r="N66" s="29" t="str">
        <f aca="false">IF(AND(K64=0,K66="min",L66=1),B66-B65,IF(K66="min",B66-M66,""))</f>
        <v/>
      </c>
      <c r="O66" s="34" t="str">
        <f aca="false">IF(AND(K64=0,K66="min",L66=1),(B66-B65)/B65,IF(K66="min",(B66-M66)/M66,""))</f>
        <v/>
      </c>
      <c r="P66" s="19" t="n">
        <f aca="false">D66-s_p!H66</f>
        <v>0.0477295018032697</v>
      </c>
      <c r="Q66" s="19" t="n">
        <f aca="false">IF(P66&lt;0, P66^2, 0)</f>
        <v>0</v>
      </c>
      <c r="R66" s="5"/>
      <c r="S66" s="5"/>
      <c r="T66" s="5"/>
      <c r="U66" s="5"/>
      <c r="V66" s="5"/>
    </row>
    <row r="67" customFormat="false" ht="13.8" hidden="false" customHeight="false" outlineLevel="0" collapsed="false">
      <c r="A67" s="6" t="n">
        <f aca="false">WORKDAY(A66,1,holiday!$B$2:$B$10)</f>
        <v>38811</v>
      </c>
      <c r="B67" s="24" t="n">
        <v>1047232.49709431</v>
      </c>
      <c r="C67" s="24" t="n">
        <f aca="false">B67-B66</f>
        <v>7176.38715855673</v>
      </c>
      <c r="D67" s="5" t="n">
        <f aca="false">C67/B66</f>
        <v>0.0069</v>
      </c>
      <c r="E67" s="5" t="n">
        <f aca="false" t="array" ref="E67:E67">PRODUCT(1+$D$4:D67)-1</f>
        <v>0.0472324970943139</v>
      </c>
      <c r="F67" s="45" t="n">
        <f aca="false">E67/COUNT($E$4:E67)</f>
        <v>0.000738007767098654</v>
      </c>
      <c r="G67" s="5" t="n">
        <f aca="false">F67*252</f>
        <v>0.185977957308861</v>
      </c>
      <c r="H67" s="46" t="str">
        <f aca="false">IF(D67&lt;F67,D67-F67,"")</f>
        <v/>
      </c>
      <c r="I67" s="46" t="n">
        <f aca="false">IF(D67&lt;AVERAGE($D$66:D67),D67-AVERAGE($D$66:D67),"")</f>
        <v>-0.02155</v>
      </c>
      <c r="J67" s="0" t="n">
        <f aca="false">IF(ISBLANK(A68),MONTH(A67),IF(MONTH(A68)-MONTH(A67)=1,MONTH(A67),0))</f>
        <v>0</v>
      </c>
      <c r="K67" s="0" t="str">
        <f aca="false">IF(B68&gt;B67,IF(AND(B66&gt;B67,B68&gt;B67),"min",""),IF(AND(B66&gt;B67,B68&gt;B67),"",IF(AND(B66&lt;B67,B68&lt;B67),"max","")))</f>
        <v>max</v>
      </c>
      <c r="L67" s="0" t="n">
        <f aca="false">IF(K67="min",COUNTIF(K$4:K67,"min"),IF(K67="max",COUNTIF(K$4:K67,"max"),""))</f>
        <v>16</v>
      </c>
      <c r="M67" s="24" t="str">
        <f aca="false" t="array" ref="M67:M67">IF($K$3=0,IF(K67="min",INDEX($B$4:$B$254,(MATCH(1,($K$4:$K$254="max")*($L$4:$L$254=(L67-1)),0))),""),IF($K$3=1,IF(K67="min",INDEX($B$4:$B$254,(MATCH(1,($K$4:$K$254="max")*($L$4:$L$254=(L67)),0))),""),""))</f>
        <v/>
      </c>
      <c r="N67" s="29" t="str">
        <f aca="false">IF(AND(K65=0,K67="min",L67=1),B67-B66,IF(K67="min",B67-M67,""))</f>
        <v/>
      </c>
      <c r="O67" s="34" t="str">
        <f aca="false">IF(AND(K65=0,K67="min",L67=1),(B67-B66)/B66,IF(K67="min",(B67-M67)/M67,""))</f>
        <v/>
      </c>
      <c r="P67" s="19" t="n">
        <f aca="false">D67-s_p!H67</f>
        <v>0.000643306030928868</v>
      </c>
      <c r="Q67" s="19" t="n">
        <f aca="false">IF(P67&lt;0, P67^2, 0)</f>
        <v>0</v>
      </c>
      <c r="R67" s="5"/>
      <c r="S67" s="5"/>
      <c r="T67" s="5"/>
      <c r="U67" s="5"/>
      <c r="V67" s="5"/>
    </row>
    <row r="68" customFormat="false" ht="13.8" hidden="false" customHeight="false" outlineLevel="0" collapsed="false">
      <c r="A68" s="6" t="n">
        <f aca="false">WORKDAY(A67,1,holiday!$B$2:$B$10)</f>
        <v>38812</v>
      </c>
      <c r="B68" s="24" t="n">
        <v>1000944.82072274</v>
      </c>
      <c r="C68" s="24" t="n">
        <f aca="false">B68-B67</f>
        <v>-46287.6763715687</v>
      </c>
      <c r="D68" s="5" t="n">
        <f aca="false">C68/B67</f>
        <v>-0.0442000000000001</v>
      </c>
      <c r="E68" s="5" t="n">
        <f aca="false" t="array" ref="E68:E68">PRODUCT(1+$D$4:D68)-1</f>
        <v>0.000944820722744932</v>
      </c>
      <c r="F68" s="45" t="n">
        <f aca="false">E68/COUNT($E$4:E68)</f>
        <v>1.45357034268451E-005</v>
      </c>
      <c r="G68" s="5" t="n">
        <f aca="false">F68*252</f>
        <v>0.00366299726356497</v>
      </c>
      <c r="H68" s="46" t="n">
        <f aca="false">IF(D68&lt;F68,D68-F68,"")</f>
        <v>-0.0442145357034269</v>
      </c>
      <c r="I68" s="46" t="n">
        <f aca="false">IF(D68&lt;AVERAGE($D$66:D68),D68-AVERAGE($D$66:D68),"")</f>
        <v>-0.0484333333333334</v>
      </c>
      <c r="J68" s="0" t="n">
        <f aca="false">IF(ISBLANK(A69),MONTH(A68),IF(MONTH(A69)-MONTH(A68)=1,MONTH(A68),0))</f>
        <v>0</v>
      </c>
      <c r="K68" s="0" t="str">
        <f aca="false">IF(B69&gt;B68,IF(AND(B67&gt;B68,B69&gt;B68),"min",""),IF(AND(B67&gt;B68,B69&gt;B68),"",IF(AND(B67&lt;B68,B69&lt;B68),"max","")))</f>
        <v/>
      </c>
      <c r="L68" s="0" t="str">
        <f aca="false">IF(K68="min",COUNTIF(K$4:K68,"min"),IF(K68="max",COUNTIF(K$4:K68,"max"),""))</f>
        <v/>
      </c>
      <c r="M68" s="24" t="str">
        <f aca="false" t="array" ref="M68:M68">IF($K$3=0,IF(K68="min",INDEX($B$4:$B$254,(MATCH(1,($K$4:$K$254="max")*($L$4:$L$254=(L68-1)),0))),""),IF($K$3=1,IF(K68="min",INDEX($B$4:$B$254,(MATCH(1,($K$4:$K$254="max")*($L$4:$L$254=(L68)),0))),""),""))</f>
        <v/>
      </c>
      <c r="N68" s="29" t="str">
        <f aca="false">IF(AND(K66=0,K68="min",L68=1),B68-B67,IF(K68="min",B68-M68,""))</f>
        <v/>
      </c>
      <c r="O68" s="34" t="str">
        <f aca="false">IF(AND(K66=0,K68="min",L68=1),(B68-B67)/B67,IF(K68="min",(B68-M68)/M68,""))</f>
        <v/>
      </c>
      <c r="P68" s="19" t="n">
        <f aca="false">D68-s_p!H68</f>
        <v>-0.0485111039642248</v>
      </c>
      <c r="Q68" s="19" t="n">
        <f aca="false">IF(P68&lt;0, P68^2, 0)</f>
        <v>0.00235332720782783</v>
      </c>
      <c r="R68" s="5"/>
      <c r="S68" s="5"/>
      <c r="T68" s="5"/>
      <c r="U68" s="5"/>
      <c r="V68" s="5"/>
    </row>
    <row r="69" customFormat="false" ht="13.8" hidden="false" customHeight="false" outlineLevel="0" collapsed="false">
      <c r="A69" s="6" t="n">
        <f aca="false">WORKDAY(A68,1,holiday!$B$2:$B$10)</f>
        <v>38813</v>
      </c>
      <c r="B69" s="24" t="n">
        <v>984929.703591181</v>
      </c>
      <c r="C69" s="24" t="n">
        <f aca="false">B69-B68</f>
        <v>-16015.117131564</v>
      </c>
      <c r="D69" s="5" t="n">
        <f aca="false">C69/B68</f>
        <v>-0.016</v>
      </c>
      <c r="E69" s="5" t="n">
        <f aca="false" t="array" ref="E69:E69">PRODUCT(1+$D$4:D69)-1</f>
        <v>-0.015070296408819</v>
      </c>
      <c r="F69" s="45" t="n">
        <f aca="false">E69/COUNT($E$4:E69)</f>
        <v>-0.000228337824376045</v>
      </c>
      <c r="G69" s="5" t="n">
        <f aca="false">F69*252</f>
        <v>-0.0575411317427633</v>
      </c>
      <c r="H69" s="46" t="n">
        <f aca="false">IF(D69&lt;F69,D69-F69,"")</f>
        <v>-0.015771662175624</v>
      </c>
      <c r="I69" s="46" t="n">
        <f aca="false">IF(D69&lt;AVERAGE($D$66:D69),D69-AVERAGE($D$66:D69),"")</f>
        <v>-0.015175</v>
      </c>
      <c r="J69" s="0" t="n">
        <f aca="false">IF(ISBLANK(A70),MONTH(A69),IF(MONTH(A70)-MONTH(A69)=1,MONTH(A69),0))</f>
        <v>0</v>
      </c>
      <c r="K69" s="0" t="str">
        <f aca="false">IF(B70&gt;B69,IF(AND(B68&gt;B69,B70&gt;B69),"min",""),IF(AND(B68&gt;B69,B70&gt;B69),"",IF(AND(B68&lt;B69,B70&lt;B69),"max","")))</f>
        <v>min</v>
      </c>
      <c r="L69" s="0" t="n">
        <f aca="false">IF(K69="min",COUNTIF(K$4:K69,"min"),IF(K69="max",COUNTIF(K$4:K69,"max"),""))</f>
        <v>17</v>
      </c>
      <c r="M69" s="24" t="n">
        <f aca="false" t="array" ref="M69:M69">IF($K$3=0,IF(K69="min",INDEX($B$4:$B$254,(MATCH(1,($K$4:$K$254="max")*($L$4:$L$254=(L69-1)),0))),""),IF($K$3=1,IF(K69="min",INDEX($B$4:$B$254,(MATCH(1,($K$4:$K$254="max")*($L$4:$L$254=(L69)),0))),""),""))</f>
        <v>1047232.49709431</v>
      </c>
      <c r="N69" s="29" t="n">
        <f aca="false">IF(AND(K67=0,K69="min",L69=1),B69-B68,IF(K69="min",B69-M69,""))</f>
        <v>-62302.793503129</v>
      </c>
      <c r="O69" s="34" t="n">
        <f aca="false">IF(AND(K67=0,K69="min",L69=1),(B69-B68)/B68,IF(K69="min",(B69-M69)/M69,""))</f>
        <v>-0.0594927999999968</v>
      </c>
      <c r="P69" s="19" t="n">
        <f aca="false">D69-s_p!H69</f>
        <v>-0.0140786239287566</v>
      </c>
      <c r="Q69" s="19" t="n">
        <f aca="false">IF(P69&lt;0, P69^2, 0)</f>
        <v>0.000198207651727358</v>
      </c>
      <c r="R69" s="5"/>
      <c r="S69" s="5"/>
      <c r="T69" s="5"/>
      <c r="U69" s="5"/>
      <c r="V69" s="5"/>
    </row>
    <row r="70" customFormat="false" ht="13.8" hidden="false" customHeight="false" outlineLevel="0" collapsed="false">
      <c r="A70" s="6" t="n">
        <f aca="false">WORKDAY(A69,1,holiday!$B$2:$B$10)</f>
        <v>38814</v>
      </c>
      <c r="B70" s="24" t="n">
        <v>1001968.98746331</v>
      </c>
      <c r="C70" s="24" t="n">
        <f aca="false">B70-B69</f>
        <v>17039.2838721274</v>
      </c>
      <c r="D70" s="5" t="n">
        <f aca="false">C70/B69</f>
        <v>0.0173</v>
      </c>
      <c r="E70" s="5" t="n">
        <f aca="false" t="array" ref="E70:E70">PRODUCT(1+$D$4:D70)-1</f>
        <v>0.00196898746330842</v>
      </c>
      <c r="F70" s="45" t="n">
        <f aca="false">E70/COUNT($E$4:E70)</f>
        <v>2.93878725866929E-005</v>
      </c>
      <c r="G70" s="5" t="n">
        <f aca="false">F70*252</f>
        <v>0.00740574389184661</v>
      </c>
      <c r="H70" s="46" t="str">
        <f aca="false">IF(D70&lt;F70,D70-F70,"")</f>
        <v/>
      </c>
      <c r="I70" s="46" t="str">
        <f aca="false">IF(D70&lt;AVERAGE($D$66:D70),D70-AVERAGE($D$66:D70),"")</f>
        <v/>
      </c>
      <c r="J70" s="0" t="n">
        <f aca="false">IF(ISBLANK(A71),MONTH(A70),IF(MONTH(A71)-MONTH(A70)=1,MONTH(A70),0))</f>
        <v>0</v>
      </c>
      <c r="K70" s="0" t="str">
        <f aca="false">IF(B71&gt;B70,IF(AND(B69&gt;B70,B71&gt;B70),"min",""),IF(AND(B69&gt;B70,B71&gt;B70),"",IF(AND(B69&lt;B70,B71&lt;B70),"max","")))</f>
        <v/>
      </c>
      <c r="L70" s="0" t="str">
        <f aca="false">IF(K70="min",COUNTIF(K$4:K70,"min"),IF(K70="max",COUNTIF(K$4:K70,"max"),""))</f>
        <v/>
      </c>
      <c r="M70" s="24" t="str">
        <f aca="false" t="array" ref="M70:M70">IF($K$3=0,IF(K70="min",INDEX($B$4:$B$254,(MATCH(1,($K$4:$K$254="max")*($L$4:$L$254=(L70-1)),0))),""),IF($K$3=1,IF(K70="min",INDEX($B$4:$B$254,(MATCH(1,($K$4:$K$254="max")*($L$4:$L$254=(L70)),0))),""),""))</f>
        <v/>
      </c>
      <c r="N70" s="29" t="str">
        <f aca="false">IF(AND(K68=0,K70="min",L70=1),B70-B69,IF(K70="min",B70-M70,""))</f>
        <v/>
      </c>
      <c r="O70" s="34" t="str">
        <f aca="false">IF(AND(K68=0,K70="min",L70=1),(B70-B69)/B69,IF(K70="min",(B70-M70)/M70,""))</f>
        <v/>
      </c>
      <c r="P70" s="19" t="n">
        <f aca="false">D70-s_p!H70</f>
        <v>0.0276434578011366</v>
      </c>
      <c r="Q70" s="19" t="n">
        <f aca="false">IF(P70&lt;0, P70^2, 0)</f>
        <v>0</v>
      </c>
      <c r="R70" s="5"/>
      <c r="S70" s="5"/>
      <c r="T70" s="5"/>
      <c r="U70" s="5"/>
      <c r="V70" s="5"/>
    </row>
    <row r="71" customFormat="false" ht="13.8" hidden="false" customHeight="false" outlineLevel="0" collapsed="false">
      <c r="A71" s="6" t="n">
        <f aca="false">WORKDAY(A70,1,holiday!$B$2:$B$10)</f>
        <v>38817</v>
      </c>
      <c r="B71" s="24" t="n">
        <v>1036837.50822703</v>
      </c>
      <c r="C71" s="24" t="n">
        <f aca="false">B71-B70</f>
        <v>34868.5207637231</v>
      </c>
      <c r="D71" s="5" t="n">
        <f aca="false">C71/B70</f>
        <v>0.0347999999999999</v>
      </c>
      <c r="E71" s="5" t="n">
        <f aca="false" t="array" ref="E71:E71">PRODUCT(1+$D$4:D71)-1</f>
        <v>0.0368375082270316</v>
      </c>
      <c r="F71" s="45" t="n">
        <f aca="false">E71/COUNT($E$4:E71)</f>
        <v>0.000541728062162229</v>
      </c>
      <c r="G71" s="5" t="n">
        <f aca="false">F71*252</f>
        <v>0.136515471664882</v>
      </c>
      <c r="H71" s="46" t="str">
        <f aca="false">IF(D71&lt;F71,D71-F71,"")</f>
        <v/>
      </c>
      <c r="I71" s="46" t="str">
        <f aca="false">IF(D71&lt;AVERAGE($D$66:D71),D71-AVERAGE($D$66:D71),"")</f>
        <v/>
      </c>
      <c r="J71" s="0" t="n">
        <f aca="false">IF(ISBLANK(A72),MONTH(A71),IF(MONTH(A72)-MONTH(A71)=1,MONTH(A71),0))</f>
        <v>0</v>
      </c>
      <c r="K71" s="0" t="str">
        <f aca="false">IF(B72&gt;B71,IF(AND(B70&gt;B71,B72&gt;B71),"min",""),IF(AND(B70&gt;B71,B72&gt;B71),"",IF(AND(B70&lt;B71,B72&lt;B71),"max","")))</f>
        <v>max</v>
      </c>
      <c r="L71" s="0" t="n">
        <f aca="false">IF(K71="min",COUNTIF(K$4:K71,"min"),IF(K71="max",COUNTIF(K$4:K71,"max"),""))</f>
        <v>17</v>
      </c>
      <c r="M71" s="24" t="str">
        <f aca="false" t="array" ref="M71:M71">IF($K$3=0,IF(K71="min",INDEX($B$4:$B$254,(MATCH(1,($K$4:$K$254="max")*($L$4:$L$254=(L71-1)),0))),""),IF($K$3=1,IF(K71="min",INDEX($B$4:$B$254,(MATCH(1,($K$4:$K$254="max")*($L$4:$L$254=(L71)),0))),""),""))</f>
        <v/>
      </c>
      <c r="N71" s="29" t="str">
        <f aca="false">IF(AND(K69=0,K71="min",L71=1),B71-B70,IF(K71="min",B71-M71,""))</f>
        <v/>
      </c>
      <c r="O71" s="34" t="str">
        <f aca="false">IF(AND(K69=0,K71="min",L71=1),(B71-B70)/B70,IF(K71="min",(B71-M71)/M71,""))</f>
        <v/>
      </c>
      <c r="P71" s="19" t="n">
        <f aca="false">D71-s_p!H71</f>
        <v>0.0339354689309148</v>
      </c>
      <c r="Q71" s="19" t="n">
        <f aca="false">IF(P71&lt;0, P71^2, 0)</f>
        <v>0</v>
      </c>
      <c r="R71" s="5"/>
      <c r="S71" s="5"/>
      <c r="T71" s="5"/>
      <c r="U71" s="5"/>
      <c r="V71" s="5"/>
    </row>
    <row r="72" customFormat="false" ht="13.8" hidden="false" customHeight="false" outlineLevel="0" collapsed="false">
      <c r="A72" s="6" t="n">
        <f aca="false">WORKDAY(A71,1,holiday!$B$2:$B$10)</f>
        <v>38818</v>
      </c>
      <c r="B72" s="24" t="n">
        <v>994949.272894659</v>
      </c>
      <c r="C72" s="24" t="n">
        <f aca="false">B72-B71</f>
        <v>-41888.235332372</v>
      </c>
      <c r="D72" s="5" t="n">
        <f aca="false">C72/B71</f>
        <v>-0.0404</v>
      </c>
      <c r="E72" s="5" t="n">
        <f aca="false" t="array" ref="E72:E72">PRODUCT(1+$D$4:D72)-1</f>
        <v>-0.00505072710534038</v>
      </c>
      <c r="F72" s="45" t="n">
        <f aca="false">E72/COUNT($E$4:E72)</f>
        <v>-7.31989435556577E-005</v>
      </c>
      <c r="G72" s="5" t="n">
        <f aca="false">F72*252</f>
        <v>-0.0184461337760257</v>
      </c>
      <c r="H72" s="46" t="n">
        <f aca="false">IF(D72&lt;F72,D72-F72,"")</f>
        <v>-0.0403268010564443</v>
      </c>
      <c r="I72" s="46" t="n">
        <f aca="false">IF(D72&lt;AVERAGE($D$66:D72),D72-AVERAGE($D$66:D72),"")</f>
        <v>-0.0416</v>
      </c>
      <c r="J72" s="0" t="n">
        <f aca="false">IF(ISBLANK(A73),MONTH(A72),IF(MONTH(A73)-MONTH(A72)=1,MONTH(A72),0))</f>
        <v>0</v>
      </c>
      <c r="K72" s="0" t="str">
        <f aca="false">IF(B73&gt;B72,IF(AND(B71&gt;B72,B73&gt;B72),"min",""),IF(AND(B71&gt;B72,B73&gt;B72),"",IF(AND(B71&lt;B72,B73&lt;B72),"max","")))</f>
        <v/>
      </c>
      <c r="L72" s="0" t="str">
        <f aca="false">IF(K72="min",COUNTIF(K$4:K72,"min"),IF(K72="max",COUNTIF(K$4:K72,"max"),""))</f>
        <v/>
      </c>
      <c r="M72" s="24" t="str">
        <f aca="false" t="array" ref="M72:M72">IF($K$3=0,IF(K72="min",INDEX($B$4:$B$254,(MATCH(1,($K$4:$K$254="max")*($L$4:$L$254=(L72-1)),0))),""),IF($K$3=1,IF(K72="min",INDEX($B$4:$B$254,(MATCH(1,($K$4:$K$254="max")*($L$4:$L$254=(L72)),0))),""),""))</f>
        <v/>
      </c>
      <c r="N72" s="29" t="str">
        <f aca="false">IF(AND(K70=0,K72="min",L72=1),B72-B71,IF(K72="min",B72-M72,""))</f>
        <v/>
      </c>
      <c r="O72" s="34" t="str">
        <f aca="false">IF(AND(K70=0,K72="min",L72=1),(B72-B71)/B71,IF(K72="min",(B72-M72)/M72,""))</f>
        <v/>
      </c>
      <c r="P72" s="19" t="n">
        <f aca="false">D72-s_p!H72</f>
        <v>-0.0326490783730005</v>
      </c>
      <c r="Q72" s="19" t="n">
        <f aca="false">IF(P72&lt;0, P72^2, 0)</f>
        <v>0.00106596231860633</v>
      </c>
      <c r="R72" s="5"/>
      <c r="S72" s="5"/>
      <c r="T72" s="5"/>
      <c r="U72" s="5"/>
      <c r="V72" s="5"/>
    </row>
    <row r="73" customFormat="false" ht="13.8" hidden="false" customHeight="false" outlineLevel="0" collapsed="false">
      <c r="A73" s="6" t="n">
        <f aca="false">WORKDAY(A72,1,holiday!$B$2:$B$10)</f>
        <v>38819</v>
      </c>
      <c r="B73" s="24" t="n">
        <v>988183.617838975</v>
      </c>
      <c r="C73" s="24" t="n">
        <f aca="false">B73-B72</f>
        <v>-6765.65505568369</v>
      </c>
      <c r="D73" s="5" t="n">
        <f aca="false">C73/B72</f>
        <v>-0.00680000000000001</v>
      </c>
      <c r="E73" s="5" t="n">
        <f aca="false" t="array" ref="E73:E73">PRODUCT(1+$D$4:D73)-1</f>
        <v>-0.0118163821610242</v>
      </c>
      <c r="F73" s="45" t="n">
        <f aca="false">E73/COUNT($E$4:E73)</f>
        <v>-0.000168805459443203</v>
      </c>
      <c r="G73" s="5" t="n">
        <f aca="false">F73*252</f>
        <v>-0.0425389757796872</v>
      </c>
      <c r="H73" s="46" t="n">
        <f aca="false">IF(D73&lt;F73,D73-F73,"")</f>
        <v>-0.00663119454055681</v>
      </c>
      <c r="I73" s="46" t="n">
        <f aca="false">IF(D73&lt;AVERAGE($D$66:D73),D73-AVERAGE($D$66:D73),"")</f>
        <v>-0.00699999999999999</v>
      </c>
      <c r="J73" s="0" t="n">
        <f aca="false">IF(ISBLANK(A74),MONTH(A73),IF(MONTH(A74)-MONTH(A73)=1,MONTH(A73),0))</f>
        <v>0</v>
      </c>
      <c r="K73" s="0" t="str">
        <f aca="false">IF(B74&gt;B73,IF(AND(B72&gt;B73,B74&gt;B73),"min",""),IF(AND(B72&gt;B73,B74&gt;B73),"",IF(AND(B72&lt;B73,B74&lt;B73),"max","")))</f>
        <v/>
      </c>
      <c r="L73" s="0" t="str">
        <f aca="false">IF(K73="min",COUNTIF(K$4:K73,"min"),IF(K73="max",COUNTIF(K$4:K73,"max"),""))</f>
        <v/>
      </c>
      <c r="M73" s="24" t="str">
        <f aca="false" t="array" ref="M73:M73">IF($K$3=0,IF(K73="min",INDEX($B$4:$B$254,(MATCH(1,($K$4:$K$254="max")*($L$4:$L$254=(L73-1)),0))),""),IF($K$3=1,IF(K73="min",INDEX($B$4:$B$254,(MATCH(1,($K$4:$K$254="max")*($L$4:$L$254=(L73)),0))),""),""))</f>
        <v/>
      </c>
      <c r="N73" s="29" t="str">
        <f aca="false">IF(AND(K71=0,K73="min",L73=1),B73-B72,IF(K73="min",B73-M73,""))</f>
        <v/>
      </c>
      <c r="O73" s="34" t="str">
        <f aca="false">IF(AND(K71=0,K73="min",L73=1),(B73-B72)/B72,IF(K73="min",(B73-M73)/M73,""))</f>
        <v/>
      </c>
      <c r="P73" s="19" t="n">
        <f aca="false">D73-s_p!H73</f>
        <v>-0.00800475372502083</v>
      </c>
      <c r="Q73" s="19" t="n">
        <f aca="false">IF(P73&lt;0, P73^2, 0)</f>
        <v>6.40760821982349E-005</v>
      </c>
      <c r="R73" s="5"/>
      <c r="S73" s="5"/>
      <c r="T73" s="5"/>
      <c r="U73" s="5"/>
      <c r="V73" s="5"/>
    </row>
    <row r="74" customFormat="false" ht="13.8" hidden="false" customHeight="false" outlineLevel="0" collapsed="false">
      <c r="A74" s="6" t="n">
        <f aca="false">WORKDAY(A73,1,holiday!$B$2:$B$10)</f>
        <v>38820</v>
      </c>
      <c r="B74" s="24" t="n">
        <v>951027.91380823</v>
      </c>
      <c r="C74" s="24" t="n">
        <f aca="false">B74-B73</f>
        <v>-37155.7040307454</v>
      </c>
      <c r="D74" s="5" t="n">
        <f aca="false">C74/B73</f>
        <v>-0.0376</v>
      </c>
      <c r="E74" s="5" t="n">
        <f aca="false" t="array" ref="E74:E74">PRODUCT(1+$D$4:D74)-1</f>
        <v>-0.0489720861917696</v>
      </c>
      <c r="F74" s="45" t="n">
        <f aca="false">E74/COUNT($E$4:E74)</f>
        <v>-0.000689747692841826</v>
      </c>
      <c r="G74" s="5" t="n">
        <f aca="false">F74*252</f>
        <v>-0.17381641859614</v>
      </c>
      <c r="H74" s="46" t="n">
        <f aca="false">IF(D74&lt;F74,D74-F74,"")</f>
        <v>-0.0369102523071582</v>
      </c>
      <c r="I74" s="46" t="n">
        <f aca="false">IF(D74&lt;AVERAGE($D$66:D74),D74-AVERAGE($D$66:D74),"")</f>
        <v>-0.0335999999999999</v>
      </c>
      <c r="J74" s="0" t="n">
        <f aca="false">IF(ISBLANK(A75),MONTH(A74),IF(MONTH(A75)-MONTH(A74)=1,MONTH(A74),0))</f>
        <v>0</v>
      </c>
      <c r="K74" s="0" t="str">
        <f aca="false">IF(B75&gt;B74,IF(AND(B73&gt;B74,B75&gt;B74),"min",""),IF(AND(B73&gt;B74,B75&gt;B74),"",IF(AND(B73&lt;B74,B75&lt;B74),"max","")))</f>
        <v>min</v>
      </c>
      <c r="L74" s="0" t="n">
        <f aca="false">IF(K74="min",COUNTIF(K$4:K74,"min"),IF(K74="max",COUNTIF(K$4:K74,"max"),""))</f>
        <v>18</v>
      </c>
      <c r="M74" s="24" t="n">
        <f aca="false" t="array" ref="M74:M74">IF($K$3=0,IF(K74="min",INDEX($B$4:$B$254,(MATCH(1,($K$4:$K$254="max")*($L$4:$L$254=(L74-1)),0))),""),IF($K$3=1,IF(K74="min",INDEX($B$4:$B$254,(MATCH(1,($K$4:$K$254="max")*($L$4:$L$254=(L74)),0))),""),""))</f>
        <v>1036837.50822703</v>
      </c>
      <c r="N74" s="29" t="n">
        <f aca="false">IF(AND(K72=0,K74="min",L74=1),B74-B73,IF(K74="min",B74-M74,""))</f>
        <v>-85809.5944188001</v>
      </c>
      <c r="O74" s="34" t="n">
        <f aca="false">IF(AND(K72=0,K74="min",L74=1),(B74-B73)/B73,IF(K74="min",(B74-M74)/M74,""))</f>
        <v>-0.082760889471999</v>
      </c>
      <c r="P74" s="19" t="n">
        <f aca="false">D74-s_p!H74</f>
        <v>-0.0383763251870944</v>
      </c>
      <c r="Q74" s="19" t="n">
        <f aca="false">IF(P74&lt;0, P74^2, 0)</f>
        <v>0.00147274233486562</v>
      </c>
      <c r="R74" s="5"/>
      <c r="S74" s="5"/>
      <c r="T74" s="5"/>
      <c r="U74" s="5"/>
      <c r="V74" s="5"/>
    </row>
    <row r="75" customFormat="false" ht="13.8" hidden="false" customHeight="false" outlineLevel="0" collapsed="false">
      <c r="A75" s="6" t="n">
        <f aca="false">WORKDAY(A74,1,holiday!$B$2:$B$10)</f>
        <v>38824</v>
      </c>
      <c r="B75" s="24" t="n">
        <v>984884.507539803</v>
      </c>
      <c r="C75" s="24" t="n">
        <f aca="false">B75-B74</f>
        <v>33856.593731573</v>
      </c>
      <c r="D75" s="5" t="n">
        <f aca="false">C75/B74</f>
        <v>0.0356</v>
      </c>
      <c r="E75" s="5" t="n">
        <f aca="false" t="array" ref="E75:E75">PRODUCT(1+$D$4:D75)-1</f>
        <v>-0.0151154924601966</v>
      </c>
      <c r="F75" s="45" t="n">
        <f aca="false">E75/COUNT($E$4:E75)</f>
        <v>-0.000209937395280508</v>
      </c>
      <c r="G75" s="5" t="n">
        <f aca="false">F75*252</f>
        <v>-0.0529042236106881</v>
      </c>
      <c r="H75" s="46" t="str">
        <f aca="false">IF(D75&lt;F75,D75-F75,"")</f>
        <v/>
      </c>
      <c r="I75" s="46" t="str">
        <f aca="false">IF(D75&lt;AVERAGE($D$66:D75),D75-AVERAGE($D$66:D75),"")</f>
        <v/>
      </c>
      <c r="J75" s="0" t="n">
        <f aca="false">IF(ISBLANK(A76),MONTH(A75),IF(MONTH(A76)-MONTH(A75)=1,MONTH(A75),0))</f>
        <v>0</v>
      </c>
      <c r="K75" s="0" t="str">
        <f aca="false">IF(B76&gt;B75,IF(AND(B74&gt;B75,B76&gt;B75),"min",""),IF(AND(B74&gt;B75,B76&gt;B75),"",IF(AND(B74&lt;B75,B76&lt;B75),"max","")))</f>
        <v/>
      </c>
      <c r="L75" s="0" t="str">
        <f aca="false">IF(K75="min",COUNTIF(K$4:K75,"min"),IF(K75="max",COUNTIF(K$4:K75,"max"),""))</f>
        <v/>
      </c>
      <c r="M75" s="24" t="str">
        <f aca="false" t="array" ref="M75:M75">IF($K$3=0,IF(K75="min",INDEX($B$4:$B$254,(MATCH(1,($K$4:$K$254="max")*($L$4:$L$254=(L75-1)),0))),""),IF($K$3=1,IF(K75="min",INDEX($B$4:$B$254,(MATCH(1,($K$4:$K$254="max")*($L$4:$L$254=(L75)),0))),""),""))</f>
        <v/>
      </c>
      <c r="N75" s="29" t="str">
        <f aca="false">IF(AND(K73=0,K75="min",L75=1),B75-B74,IF(K75="min",B75-M75,""))</f>
        <v/>
      </c>
      <c r="O75" s="34" t="str">
        <f aca="false">IF(AND(K73=0,K75="min",L75=1),(B75-B74)/B74,IF(K75="min",(B75-M75)/M75,""))</f>
        <v/>
      </c>
      <c r="P75" s="19" t="n">
        <f aca="false">D75-s_p!H75</f>
        <v>0.0385399900707458</v>
      </c>
      <c r="Q75" s="19" t="n">
        <f aca="false">IF(P75&lt;0, P75^2, 0)</f>
        <v>0</v>
      </c>
      <c r="R75" s="5"/>
      <c r="S75" s="5"/>
      <c r="T75" s="5"/>
      <c r="U75" s="5"/>
      <c r="V75" s="5"/>
    </row>
    <row r="76" customFormat="false" ht="13.8" hidden="false" customHeight="false" outlineLevel="0" collapsed="false">
      <c r="A76" s="6" t="n">
        <f aca="false">WORKDAY(A75,1,holiday!$B$2:$B$10)</f>
        <v>38825</v>
      </c>
      <c r="B76" s="24" t="n">
        <v>989119.510922224</v>
      </c>
      <c r="C76" s="24" t="n">
        <f aca="false">B76-B75</f>
        <v>4235.0033824211</v>
      </c>
      <c r="D76" s="5" t="n">
        <f aca="false">C76/B75</f>
        <v>0.00429999999999995</v>
      </c>
      <c r="E76" s="5" t="n">
        <f aca="false" t="array" ref="E76:E76">PRODUCT(1+$D$4:D76)-1</f>
        <v>-0.0108804890777755</v>
      </c>
      <c r="F76" s="45" t="n">
        <f aca="false">E76/COUNT($E$4:E76)</f>
        <v>-0.000149047795585966</v>
      </c>
      <c r="G76" s="5" t="n">
        <f aca="false">F76*252</f>
        <v>-0.0375600444876634</v>
      </c>
      <c r="H76" s="46" t="str">
        <f aca="false">IF(D76&lt;F76,D76-F76,"")</f>
        <v/>
      </c>
      <c r="I76" s="46" t="str">
        <f aca="false">IF(D76&lt;AVERAGE($D$66:D76),D76-AVERAGE($D$66:D76),"")</f>
        <v/>
      </c>
      <c r="J76" s="0" t="n">
        <f aca="false">IF(ISBLANK(A77),MONTH(A76),IF(MONTH(A77)-MONTH(A76)=1,MONTH(A76),0))</f>
        <v>0</v>
      </c>
      <c r="K76" s="0" t="str">
        <f aca="false">IF(B77&gt;B76,IF(AND(B75&gt;B76,B77&gt;B76),"min",""),IF(AND(B75&gt;B76,B77&gt;B76),"",IF(AND(B75&lt;B76,B77&lt;B76),"max","")))</f>
        <v>max</v>
      </c>
      <c r="L76" s="0" t="n">
        <f aca="false">IF(K76="min",COUNTIF(K$4:K76,"min"),IF(K76="max",COUNTIF(K$4:K76,"max"),""))</f>
        <v>18</v>
      </c>
      <c r="M76" s="24" t="str">
        <f aca="false" t="array" ref="M76:M76">IF($K$3=0,IF(K76="min",INDEX($B$4:$B$254,(MATCH(1,($K$4:$K$254="max")*($L$4:$L$254=(L76-1)),0))),""),IF($K$3=1,IF(K76="min",INDEX($B$4:$B$254,(MATCH(1,($K$4:$K$254="max")*($L$4:$L$254=(L76)),0))),""),""))</f>
        <v/>
      </c>
      <c r="N76" s="29" t="str">
        <f aca="false">IF(AND(K74=0,K76="min",L76=1),B76-B75,IF(K76="min",B76-M76,""))</f>
        <v/>
      </c>
      <c r="O76" s="34" t="str">
        <f aca="false">IF(AND(K74=0,K76="min",L76=1),(B76-B75)/B75,IF(K76="min",(B76-M76)/M76,""))</f>
        <v/>
      </c>
      <c r="P76" s="19" t="n">
        <f aca="false">D76-s_p!H76</f>
        <v>-0.0127773264453488</v>
      </c>
      <c r="Q76" s="19" t="n">
        <f aca="false">IF(P76&lt;0, P76^2, 0)</f>
        <v>0.00016326007109101</v>
      </c>
      <c r="R76" s="5"/>
      <c r="S76" s="5"/>
      <c r="T76" s="5"/>
      <c r="U76" s="5"/>
      <c r="V76" s="5"/>
    </row>
    <row r="77" customFormat="false" ht="13.8" hidden="false" customHeight="false" outlineLevel="0" collapsed="false">
      <c r="A77" s="6" t="n">
        <f aca="false">WORKDAY(A76,1,holiday!$B$2:$B$10)</f>
        <v>38826</v>
      </c>
      <c r="B77" s="24" t="n">
        <v>941542.862446865</v>
      </c>
      <c r="C77" s="24" t="n">
        <f aca="false">B77-B76</f>
        <v>-47576.648475359</v>
      </c>
      <c r="D77" s="5" t="n">
        <f aca="false">C77/B76</f>
        <v>-0.0481</v>
      </c>
      <c r="E77" s="5" t="n">
        <f aca="false" t="array" ref="E77:E77">PRODUCT(1+$D$4:D77)-1</f>
        <v>-0.0584571375531346</v>
      </c>
      <c r="F77" s="45" t="n">
        <f aca="false">E77/COUNT($E$4:E77)</f>
        <v>-0.000789961318285603</v>
      </c>
      <c r="G77" s="5" t="n">
        <f aca="false">F77*252</f>
        <v>-0.199070252207972</v>
      </c>
      <c r="H77" s="46" t="n">
        <f aca="false">IF(D77&lt;F77,D77-F77,"")</f>
        <v>-0.0473100386817144</v>
      </c>
      <c r="I77" s="46" t="n">
        <f aca="false">IF(D77&lt;AVERAGE($D$66:D77),D77-AVERAGE($D$66:D77),"")</f>
        <v>-0.0444166666666666</v>
      </c>
      <c r="J77" s="0" t="n">
        <f aca="false">IF(ISBLANK(A78),MONTH(A77),IF(MONTH(A78)-MONTH(A77)=1,MONTH(A77),0))</f>
        <v>0</v>
      </c>
      <c r="K77" s="0" t="str">
        <f aca="false">IF(B78&gt;B77,IF(AND(B76&gt;B77,B78&gt;B77),"min",""),IF(AND(B76&gt;B77,B78&gt;B77),"",IF(AND(B76&lt;B77,B78&lt;B77),"max","")))</f>
        <v/>
      </c>
      <c r="L77" s="0" t="str">
        <f aca="false">IF(K77="min",COUNTIF(K$4:K77,"min"),IF(K77="max",COUNTIF(K$4:K77,"max"),""))</f>
        <v/>
      </c>
      <c r="M77" s="24" t="str">
        <f aca="false" t="array" ref="M77:M77">IF($K$3=0,IF(K77="min",INDEX($B$4:$B$254,(MATCH(1,($K$4:$K$254="max")*($L$4:$L$254=(L77-1)),0))),""),IF($K$3=1,IF(K77="min",INDEX($B$4:$B$254,(MATCH(1,($K$4:$K$254="max")*($L$4:$L$254=(L77)),0))),""),""))</f>
        <v/>
      </c>
      <c r="N77" s="29" t="str">
        <f aca="false">IF(AND(K75=0,K77="min",L77=1),B77-B76,IF(K77="min",B77-M77,""))</f>
        <v/>
      </c>
      <c r="O77" s="34" t="str">
        <f aca="false">IF(AND(K75=0,K77="min",L77=1),(B77-B76)/B76,IF(K77="min",(B77-M77)/M77,""))</f>
        <v/>
      </c>
      <c r="P77" s="19" t="n">
        <f aca="false">D77-s_p!H77</f>
        <v>-0.0501271097240072</v>
      </c>
      <c r="Q77" s="19" t="n">
        <f aca="false">IF(P77&lt;0, P77^2, 0)</f>
        <v>0.00251272712928266</v>
      </c>
      <c r="R77" s="5"/>
      <c r="S77" s="5"/>
      <c r="T77" s="5"/>
      <c r="U77" s="5"/>
      <c r="V77" s="5"/>
    </row>
    <row r="78" customFormat="false" ht="13.8" hidden="false" customHeight="false" outlineLevel="0" collapsed="false">
      <c r="A78" s="6" t="n">
        <f aca="false">WORKDAY(A77,1,holiday!$B$2:$B$10)</f>
        <v>38827</v>
      </c>
      <c r="B78" s="24" t="n">
        <v>928926.188090077</v>
      </c>
      <c r="C78" s="24" t="n">
        <f aca="false">B78-B77</f>
        <v>-12616.674356788</v>
      </c>
      <c r="D78" s="5" t="n">
        <f aca="false">C78/B77</f>
        <v>-0.0134000000000001</v>
      </c>
      <c r="E78" s="5" t="n">
        <f aca="false" t="array" ref="E78:E78">PRODUCT(1+$D$4:D78)-1</f>
        <v>-0.0710738119099227</v>
      </c>
      <c r="F78" s="45" t="n">
        <f aca="false">E78/COUNT($E$4:E78)</f>
        <v>-0.000947650825465636</v>
      </c>
      <c r="G78" s="5" t="n">
        <f aca="false">F78*252</f>
        <v>-0.23880800801734</v>
      </c>
      <c r="H78" s="46" t="n">
        <f aca="false">IF(D78&lt;F78,D78-F78,"")</f>
        <v>-0.0124523491745345</v>
      </c>
      <c r="I78" s="46" t="n">
        <f aca="false">IF(D78&lt;AVERAGE($D$66:D78),D78-AVERAGE($D$66:D78),"")</f>
        <v>-0.00896923076923082</v>
      </c>
      <c r="J78" s="0" t="n">
        <f aca="false">IF(ISBLANK(A79),MONTH(A78),IF(MONTH(A79)-MONTH(A78)=1,MONTH(A78),0))</f>
        <v>0</v>
      </c>
      <c r="K78" s="0" t="str">
        <f aca="false">IF(B79&gt;B78,IF(AND(B77&gt;B78,B79&gt;B78),"min",""),IF(AND(B77&gt;B78,B79&gt;B78),"",IF(AND(B77&lt;B78,B79&lt;B78),"max","")))</f>
        <v>min</v>
      </c>
      <c r="L78" s="0" t="n">
        <f aca="false">IF(K78="min",COUNTIF(K$4:K78,"min"),IF(K78="max",COUNTIF(K$4:K78,"max"),""))</f>
        <v>19</v>
      </c>
      <c r="M78" s="24" t="n">
        <f aca="false" t="array" ref="M78:M78">IF($K$3=0,IF(K78="min",INDEX($B$4:$B$254,(MATCH(1,($K$4:$K$254="max")*($L$4:$L$254=(L78-1)),0))),""),IF($K$3=1,IF(K78="min",INDEX($B$4:$B$254,(MATCH(1,($K$4:$K$254="max")*($L$4:$L$254=(L78)),0))),""),""))</f>
        <v>989119.510922224</v>
      </c>
      <c r="N78" s="29" t="n">
        <f aca="false">IF(AND(K76=0,K78="min",L78=1),B78-B77,IF(K78="min",B78-M78,""))</f>
        <v>-60193.322832147</v>
      </c>
      <c r="O78" s="34" t="n">
        <f aca="false">IF(AND(K76=0,K78="min",L78=1),(B78-B77)/B77,IF(K78="min",(B78-M78)/M78,""))</f>
        <v>-0.06085546</v>
      </c>
      <c r="P78" s="19" t="n">
        <f aca="false">D78-s_p!H78</f>
        <v>-0.0145680013435834</v>
      </c>
      <c r="Q78" s="19" t="n">
        <f aca="false">IF(P78&lt;0, P78^2, 0)</f>
        <v>0.000212226663146648</v>
      </c>
      <c r="R78" s="5"/>
      <c r="S78" s="5"/>
      <c r="T78" s="5"/>
      <c r="U78" s="5"/>
      <c r="V78" s="5"/>
    </row>
    <row r="79" customFormat="false" ht="13.8" hidden="false" customHeight="false" outlineLevel="0" collapsed="false">
      <c r="A79" s="6" t="n">
        <f aca="false">WORKDAY(A78,1,holiday!$B$2:$B$10)</f>
        <v>38828</v>
      </c>
      <c r="B79" s="24" t="n">
        <v>952799.591123992</v>
      </c>
      <c r="C79" s="24" t="n">
        <f aca="false">B79-B78</f>
        <v>23873.403033915</v>
      </c>
      <c r="D79" s="5" t="n">
        <f aca="false">C79/B78</f>
        <v>0.0257</v>
      </c>
      <c r="E79" s="5" t="n">
        <f aca="false" t="array" ref="E79:E79">PRODUCT(1+$D$4:D79)-1</f>
        <v>-0.0472004088760076</v>
      </c>
      <c r="F79" s="45" t="n">
        <f aca="false">E79/COUNT($E$4:E79)</f>
        <v>-0.000621058011526416</v>
      </c>
      <c r="G79" s="5" t="n">
        <f aca="false">F79*252</f>
        <v>-0.156506618904657</v>
      </c>
      <c r="H79" s="46" t="str">
        <f aca="false">IF(D79&lt;F79,D79-F79,"")</f>
        <v/>
      </c>
      <c r="I79" s="46" t="str">
        <f aca="false">IF(D79&lt;AVERAGE($D$66:D79),D79-AVERAGE($D$66:D79),"")</f>
        <v/>
      </c>
      <c r="J79" s="0" t="n">
        <f aca="false">IF(ISBLANK(A80),MONTH(A79),IF(MONTH(A80)-MONTH(A79)=1,MONTH(A79),0))</f>
        <v>0</v>
      </c>
      <c r="K79" s="0" t="str">
        <f aca="false">IF(B80&gt;B79,IF(AND(B78&gt;B79,B80&gt;B79),"min",""),IF(AND(B78&gt;B79,B80&gt;B79),"",IF(AND(B78&lt;B79,B80&lt;B79),"max","")))</f>
        <v/>
      </c>
      <c r="L79" s="0" t="str">
        <f aca="false">IF(K79="min",COUNTIF(K$4:K79,"min"),IF(K79="max",COUNTIF(K$4:K79,"max"),""))</f>
        <v/>
      </c>
      <c r="M79" s="24" t="str">
        <f aca="false" t="array" ref="M79:M79">IF($K$3=0,IF(K79="min",INDEX($B$4:$B$254,(MATCH(1,($K$4:$K$254="max")*($L$4:$L$254=(L79-1)),0))),""),IF($K$3=1,IF(K79="min",INDEX($B$4:$B$254,(MATCH(1,($K$4:$K$254="max")*($L$4:$L$254=(L79)),0))),""),""))</f>
        <v/>
      </c>
      <c r="N79" s="29" t="str">
        <f aca="false">IF(AND(K77=0,K79="min",L79=1),B79-B78,IF(K79="min",B79-M79,""))</f>
        <v/>
      </c>
      <c r="O79" s="34" t="str">
        <f aca="false">IF(AND(K77=0,K79="min",L79=1),(B79-B78)/B78,IF(K79="min",(B79-M79)/M79,""))</f>
        <v/>
      </c>
      <c r="P79" s="19" t="n">
        <f aca="false">D79-s_p!H79</f>
        <v>0.0258372516127065</v>
      </c>
      <c r="Q79" s="19" t="n">
        <f aca="false">IF(P79&lt;0, P79^2, 0)</f>
        <v>0</v>
      </c>
      <c r="R79" s="5"/>
      <c r="S79" s="5"/>
      <c r="T79" s="5"/>
      <c r="U79" s="5"/>
      <c r="V79" s="5"/>
    </row>
    <row r="80" customFormat="false" ht="13.8" hidden="false" customHeight="false" outlineLevel="0" collapsed="false">
      <c r="A80" s="6" t="n">
        <f aca="false">WORKDAY(A79,1,holiday!$B$2:$B$10)</f>
        <v>38831</v>
      </c>
      <c r="B80" s="24" t="n">
        <v>994913.333051673</v>
      </c>
      <c r="C80" s="24" t="n">
        <f aca="false">B80-B79</f>
        <v>42113.7419276804</v>
      </c>
      <c r="D80" s="5" t="n">
        <f aca="false">C80/B79</f>
        <v>0.0442</v>
      </c>
      <c r="E80" s="5" t="n">
        <f aca="false" t="array" ref="E80:E80">PRODUCT(1+$D$4:D80)-1</f>
        <v>-0.00508666694832716</v>
      </c>
      <c r="F80" s="45" t="n">
        <f aca="false">E80/COUNT($E$4:E80)</f>
        <v>-6.60606097185345E-005</v>
      </c>
      <c r="G80" s="5" t="n">
        <f aca="false">F80*252</f>
        <v>-0.0166472736490707</v>
      </c>
      <c r="H80" s="46" t="str">
        <f aca="false">IF(D80&lt;F80,D80-F80,"")</f>
        <v/>
      </c>
      <c r="I80" s="46" t="str">
        <f aca="false">IF(D80&lt;AVERAGE($D$66:D80),D80-AVERAGE($D$66:D80),"")</f>
        <v/>
      </c>
      <c r="J80" s="0" t="n">
        <f aca="false">IF(ISBLANK(A81),MONTH(A80),IF(MONTH(A81)-MONTH(A80)=1,MONTH(A80),0))</f>
        <v>0</v>
      </c>
      <c r="K80" s="0" t="str">
        <f aca="false">IF(B81&gt;B80,IF(AND(B79&gt;B80,B81&gt;B80),"min",""),IF(AND(B79&gt;B80,B81&gt;B80),"",IF(AND(B79&lt;B80,B81&lt;B80),"max","")))</f>
        <v/>
      </c>
      <c r="L80" s="0" t="str">
        <f aca="false">IF(K80="min",COUNTIF(K$4:K80,"min"),IF(K80="max",COUNTIF(K$4:K80,"max"),""))</f>
        <v/>
      </c>
      <c r="M80" s="24" t="str">
        <f aca="false" t="array" ref="M80:M80">IF($K$3=0,IF(K80="min",INDEX($B$4:$B$254,(MATCH(1,($K$4:$K$254="max")*($L$4:$L$254=(L80-1)),0))),""),IF($K$3=1,IF(K80="min",INDEX($B$4:$B$254,(MATCH(1,($K$4:$K$254="max")*($L$4:$L$254=(L80)),0))),""),""))</f>
        <v/>
      </c>
      <c r="N80" s="29" t="str">
        <f aca="false">IF(AND(K78=0,K80="min",L80=1),B80-B79,IF(K80="min",B80-M80,""))</f>
        <v/>
      </c>
      <c r="O80" s="34" t="str">
        <f aca="false">IF(AND(K78=0,K80="min",L80=1),(B80-B79)/B79,IF(K80="min",(B80-M80)/M80,""))</f>
        <v/>
      </c>
      <c r="P80" s="19" t="n">
        <f aca="false">D80-s_p!H80</f>
        <v>0.0466174852052956</v>
      </c>
      <c r="Q80" s="19" t="n">
        <f aca="false">IF(P80&lt;0, P80^2, 0)</f>
        <v>0</v>
      </c>
      <c r="R80" s="5"/>
      <c r="S80" s="5"/>
      <c r="T80" s="5"/>
      <c r="U80" s="5"/>
      <c r="V80" s="5"/>
    </row>
    <row r="81" customFormat="false" ht="13.8" hidden="false" customHeight="false" outlineLevel="0" collapsed="false">
      <c r="A81" s="6" t="n">
        <f aca="false">WORKDAY(A80,1,holiday!$B$2:$B$10)</f>
        <v>38832</v>
      </c>
      <c r="B81" s="24" t="n">
        <v>1018194.30504508</v>
      </c>
      <c r="C81" s="24" t="n">
        <f aca="false">B81-B80</f>
        <v>23280.9719934091</v>
      </c>
      <c r="D81" s="5" t="n">
        <f aca="false">C81/B80</f>
        <v>0.0234</v>
      </c>
      <c r="E81" s="5" t="n">
        <f aca="false" t="array" ref="E81:E81">PRODUCT(1+$D$4:D81)-1</f>
        <v>0.0181943050450821</v>
      </c>
      <c r="F81" s="45" t="n">
        <f aca="false">E81/COUNT($E$4:E81)</f>
        <v>0.000233260321090796</v>
      </c>
      <c r="G81" s="5" t="n">
        <f aca="false">F81*252</f>
        <v>0.0587816009148807</v>
      </c>
      <c r="H81" s="46" t="str">
        <f aca="false">IF(D81&lt;F81,D81-F81,"")</f>
        <v/>
      </c>
      <c r="I81" s="46" t="str">
        <f aca="false">IF(D81&lt;AVERAGE($D$66:D81),D81-AVERAGE($D$66:D81),"")</f>
        <v/>
      </c>
      <c r="J81" s="0" t="n">
        <f aca="false">IF(ISBLANK(A82),MONTH(A81),IF(MONTH(A82)-MONTH(A81)=1,MONTH(A81),0))</f>
        <v>0</v>
      </c>
      <c r="K81" s="0" t="str">
        <f aca="false">IF(B82&gt;B81,IF(AND(B80&gt;B81,B82&gt;B81),"min",""),IF(AND(B80&gt;B81,B82&gt;B81),"",IF(AND(B80&lt;B81,B82&lt;B81),"max","")))</f>
        <v/>
      </c>
      <c r="L81" s="0" t="str">
        <f aca="false">IF(K81="min",COUNTIF(K$4:K81,"min"),IF(K81="max",COUNTIF(K$4:K81,"max"),""))</f>
        <v/>
      </c>
      <c r="M81" s="24" t="str">
        <f aca="false" t="array" ref="M81:M81">IF($K$3=0,IF(K81="min",INDEX($B$4:$B$254,(MATCH(1,($K$4:$K$254="max")*($L$4:$L$254=(L81-1)),0))),""),IF($K$3=1,IF(K81="min",INDEX($B$4:$B$254,(MATCH(1,($K$4:$K$254="max")*($L$4:$L$254=(L81)),0))),""),""))</f>
        <v/>
      </c>
      <c r="N81" s="29" t="str">
        <f aca="false">IF(AND(K79=0,K81="min",L81=1),B81-B80,IF(K81="min",B81-M81,""))</f>
        <v/>
      </c>
      <c r="O81" s="34" t="str">
        <f aca="false">IF(AND(K79=0,K81="min",L81=1),(B81-B80)/B80,IF(K81="min",(B81-M81)/M81,""))</f>
        <v/>
      </c>
      <c r="P81" s="19" t="n">
        <f aca="false">D81-s_p!H81</f>
        <v>0.0282696210563331</v>
      </c>
      <c r="Q81" s="19" t="n">
        <f aca="false">IF(P81&lt;0, P81^2, 0)</f>
        <v>0</v>
      </c>
      <c r="R81" s="5"/>
      <c r="S81" s="5"/>
      <c r="T81" s="5"/>
      <c r="U81" s="5"/>
      <c r="V81" s="5"/>
    </row>
    <row r="82" customFormat="false" ht="13.8" hidden="false" customHeight="false" outlineLevel="0" collapsed="false">
      <c r="A82" s="6" t="n">
        <f aca="false">WORKDAY(A81,1,holiday!$B$2:$B$10)</f>
        <v>38833</v>
      </c>
      <c r="B82" s="24" t="n">
        <v>1058311.16066386</v>
      </c>
      <c r="C82" s="24" t="n">
        <f aca="false">B82-B81</f>
        <v>40116.8556187763</v>
      </c>
      <c r="D82" s="5" t="n">
        <f aca="false">C82/B81</f>
        <v>0.0394000000000001</v>
      </c>
      <c r="E82" s="5" t="n">
        <f aca="false" t="array" ref="E82:E82">PRODUCT(1+$D$4:D82)-1</f>
        <v>0.0583111606638584</v>
      </c>
      <c r="F82" s="45" t="n">
        <f aca="false">E82/COUNT($E$4:E82)</f>
        <v>0.00073811595777036</v>
      </c>
      <c r="G82" s="5" t="n">
        <f aca="false">F82*252</f>
        <v>0.186005221358131</v>
      </c>
      <c r="H82" s="46" t="str">
        <f aca="false">IF(D82&lt;F82,D82-F82,"")</f>
        <v/>
      </c>
      <c r="I82" s="46" t="str">
        <f aca="false">IF(D82&lt;AVERAGE($D$66:D82),D82-AVERAGE($D$66:D82),"")</f>
        <v/>
      </c>
      <c r="J82" s="0" t="n">
        <f aca="false">IF(ISBLANK(A83),MONTH(A82),IF(MONTH(A83)-MONTH(A82)=1,MONTH(A82),0))</f>
        <v>0</v>
      </c>
      <c r="K82" s="0" t="str">
        <f aca="false">IF(B83&gt;B82,IF(AND(B81&gt;B82,B83&gt;B82),"min",""),IF(AND(B81&gt;B82,B83&gt;B82),"",IF(AND(B81&lt;B82,B83&lt;B82),"max","")))</f>
        <v/>
      </c>
      <c r="L82" s="0" t="str">
        <f aca="false">IF(K82="min",COUNTIF(K$4:K82,"min"),IF(K82="max",COUNTIF(K$4:K82,"max"),""))</f>
        <v/>
      </c>
      <c r="M82" s="24" t="str">
        <f aca="false" t="array" ref="M82:M82">IF($K$3=0,IF(K82="min",INDEX($B$4:$B$254,(MATCH(1,($K$4:$K$254="max")*($L$4:$L$254=(L82-1)),0))),""),IF($K$3=1,IF(K82="min",INDEX($B$4:$B$254,(MATCH(1,($K$4:$K$254="max")*($L$4:$L$254=(L82)),0))),""),""))</f>
        <v/>
      </c>
      <c r="N82" s="29" t="str">
        <f aca="false">IF(AND(K80=0,K82="min",L82=1),B82-B81,IF(K82="min",B82-M82,""))</f>
        <v/>
      </c>
      <c r="O82" s="34" t="str">
        <f aca="false">IF(AND(K80=0,K82="min",L82=1),(B82-B81)/B81,IF(K82="min",(B82-M82)/M82,""))</f>
        <v/>
      </c>
      <c r="P82" s="19" t="n">
        <f aca="false">D82-s_p!H82</f>
        <v>0.0365806966060811</v>
      </c>
      <c r="Q82" s="19" t="n">
        <f aca="false">IF(P82&lt;0, P82^2, 0)</f>
        <v>0</v>
      </c>
      <c r="R82" s="5"/>
      <c r="S82" s="5"/>
      <c r="T82" s="5"/>
      <c r="U82" s="5"/>
      <c r="V82" s="5"/>
    </row>
    <row r="83" customFormat="false" ht="13.8" hidden="false" customHeight="false" outlineLevel="0" collapsed="false">
      <c r="A83" s="6" t="n">
        <f aca="false">WORKDAY(A82,1,holiday!$B$2:$B$10)</f>
        <v>38834</v>
      </c>
      <c r="B83" s="24" t="n">
        <v>1098103.66030482</v>
      </c>
      <c r="C83" s="24" t="n">
        <f aca="false">B83-B82</f>
        <v>39792.4996409609</v>
      </c>
      <c r="D83" s="5" t="n">
        <f aca="false">C83/B82</f>
        <v>0.0375999999999999</v>
      </c>
      <c r="E83" s="5" t="n">
        <f aca="false" t="array" ref="E83:E83">PRODUCT(1+$D$4:D83)-1</f>
        <v>0.0981036603048193</v>
      </c>
      <c r="F83" s="45" t="n">
        <f aca="false">E83/COUNT($E$4:E83)</f>
        <v>0.00122629575381024</v>
      </c>
      <c r="G83" s="5" t="n">
        <f aca="false">F83*252</f>
        <v>0.309026529960181</v>
      </c>
      <c r="H83" s="46" t="str">
        <f aca="false">IF(D83&lt;F83,D83-F83,"")</f>
        <v/>
      </c>
      <c r="I83" s="46" t="str">
        <f aca="false">IF(D83&lt;AVERAGE($D$66:D83),D83-AVERAGE($D$66:D83),"")</f>
        <v/>
      </c>
      <c r="J83" s="0" t="n">
        <f aca="false">IF(ISBLANK(A84),MONTH(A83),IF(MONTH(A84)-MONTH(A83)=1,MONTH(A83),0))</f>
        <v>0</v>
      </c>
      <c r="K83" s="0" t="str">
        <f aca="false">IF(B84&gt;B83,IF(AND(B82&gt;B83,B84&gt;B83),"min",""),IF(AND(B82&gt;B83,B84&gt;B83),"",IF(AND(B82&lt;B83,B84&lt;B83),"max","")))</f>
        <v>max</v>
      </c>
      <c r="L83" s="0" t="n">
        <f aca="false">IF(K83="min",COUNTIF(K$4:K83,"min"),IF(K83="max",COUNTIF(K$4:K83,"max"),""))</f>
        <v>19</v>
      </c>
      <c r="M83" s="24" t="str">
        <f aca="false" t="array" ref="M83:M83">IF($K$3=0,IF(K83="min",INDEX($B$4:$B$254,(MATCH(1,($K$4:$K$254="max")*($L$4:$L$254=(L83-1)),0))),""),IF($K$3=1,IF(K83="min",INDEX($B$4:$B$254,(MATCH(1,($K$4:$K$254="max")*($L$4:$L$254=(L83)),0))),""),""))</f>
        <v/>
      </c>
      <c r="N83" s="29" t="str">
        <f aca="false">IF(AND(K81=0,K83="min",L83=1),B83-B82,IF(K83="min",B83-M83,""))</f>
        <v/>
      </c>
      <c r="O83" s="34" t="str">
        <f aca="false">IF(AND(K81=0,K83="min",L83=1),(B83-B82)/B82,IF(K83="min",(B83-M83)/M83,""))</f>
        <v/>
      </c>
      <c r="P83" s="19" t="n">
        <f aca="false">D83-s_p!H83</f>
        <v>0.0342983553059957</v>
      </c>
      <c r="Q83" s="19" t="n">
        <f aca="false">IF(P83&lt;0, P83^2, 0)</f>
        <v>0</v>
      </c>
      <c r="R83" s="5"/>
      <c r="S83" s="5"/>
      <c r="T83" s="5"/>
      <c r="U83" s="5"/>
      <c r="V83" s="5"/>
    </row>
    <row r="84" customFormat="false" ht="13.8" hidden="false" customHeight="false" outlineLevel="0" collapsed="false">
      <c r="A84" s="6" t="n">
        <f aca="false">WORKDAY(A83,1,holiday!$B$2:$B$10)</f>
        <v>38835</v>
      </c>
      <c r="B84" s="24" t="n">
        <v>1081961.53649834</v>
      </c>
      <c r="C84" s="24" t="n">
        <f aca="false">B84-B83</f>
        <v>-16142.1238064808</v>
      </c>
      <c r="D84" s="5" t="n">
        <f aca="false">C84/B83</f>
        <v>-0.0147</v>
      </c>
      <c r="E84" s="5" t="n">
        <f aca="false" t="array" ref="E84:E84">PRODUCT(1+$D$4:D84)-1</f>
        <v>0.0819615364983384</v>
      </c>
      <c r="F84" s="45" t="n">
        <f aca="false">E84/COUNT($E$4:E84)</f>
        <v>0.00101187082096714</v>
      </c>
      <c r="G84" s="5" t="n">
        <f aca="false">F84*252</f>
        <v>0.254991446883719</v>
      </c>
      <c r="H84" s="46" t="n">
        <f aca="false">IF(D84&lt;F84,D84-F84,"")</f>
        <v>-0.0157118708209671</v>
      </c>
      <c r="I84" s="46" t="n">
        <f aca="false">IF(D84&lt;AVERAGE($D$66:D84),D84-AVERAGE($D$66:D84),"")</f>
        <v>-0.019857894736842</v>
      </c>
      <c r="J84" s="0" t="n">
        <f aca="false">IF(ISBLANK(A85),MONTH(A84),IF(MONTH(A85)-MONTH(A84)=1,MONTH(A84),0))</f>
        <v>4</v>
      </c>
      <c r="K84" s="0" t="str">
        <f aca="false">IF(B85&gt;B84,IF(AND(B83&gt;B84,B85&gt;B84),"min",""),IF(AND(B83&gt;B84,B85&gt;B84),"",IF(AND(B83&lt;B84,B85&lt;B84),"max","")))</f>
        <v/>
      </c>
      <c r="L84" s="0" t="str">
        <f aca="false">IF(K84="min",COUNTIF(K$4:K84,"min"),IF(K84="max",COUNTIF(K$4:K84,"max"),""))</f>
        <v/>
      </c>
      <c r="M84" s="24" t="str">
        <f aca="false" t="array" ref="M84:M84">IF($K$3=0,IF(K84="min",INDEX($B$4:$B$254,(MATCH(1,($K$4:$K$254="max")*($L$4:$L$254=(L84-1)),0))),""),IF($K$3=1,IF(K84="min",INDEX($B$4:$B$254,(MATCH(1,($K$4:$K$254="max")*($L$4:$L$254=(L84)),0))),""),""))</f>
        <v/>
      </c>
      <c r="N84" s="29" t="str">
        <f aca="false">IF(AND(K82=0,K84="min",L84=1),B84-B83,IF(K84="min",B84-M84,""))</f>
        <v/>
      </c>
      <c r="O84" s="34" t="str">
        <f aca="false">IF(AND(K82=0,K84="min",L84=1),(B84-B83)/B83,IF(K84="min",(B84-M84)/M84,""))</f>
        <v/>
      </c>
      <c r="P84" s="19" t="n">
        <f aca="false">D84-s_p!H84</f>
        <v>-0.0153795345570045</v>
      </c>
      <c r="Q84" s="19" t="n">
        <f aca="false">IF(P84&lt;0, P84^2, 0)</f>
        <v>0.000236530083190096</v>
      </c>
      <c r="R84" s="5"/>
      <c r="S84" s="5"/>
      <c r="T84" s="5"/>
      <c r="U84" s="5"/>
      <c r="V84" s="5"/>
    </row>
    <row r="85" customFormat="false" ht="13.8" hidden="false" customHeight="false" outlineLevel="0" collapsed="false">
      <c r="A85" s="6" t="n">
        <f aca="false">WORKDAY(A84,1,holiday!$B$2:$B$10)</f>
        <v>38838</v>
      </c>
      <c r="B85" s="24" t="n">
        <v>1071358.31344065</v>
      </c>
      <c r="C85" s="24" t="n">
        <f aca="false">B85-B84</f>
        <v>-10603.2230576838</v>
      </c>
      <c r="D85" s="5" t="n">
        <f aca="false">C85/B84</f>
        <v>-0.00980000000000007</v>
      </c>
      <c r="E85" s="5" t="n">
        <f aca="false" t="array" ref="E85:E85">PRODUCT(1+$D$4:D85)-1</f>
        <v>0.0713583134406548</v>
      </c>
      <c r="F85" s="45" t="n">
        <f aca="false">E85/COUNT($E$4:E85)</f>
        <v>0.000870223334642132</v>
      </c>
      <c r="G85" s="5" t="n">
        <f aca="false">F85*252</f>
        <v>0.219296280329817</v>
      </c>
      <c r="H85" s="46" t="n">
        <f aca="false">IF(D85&lt;F85,D85-F85,"")</f>
        <v>-0.0106702233346422</v>
      </c>
      <c r="I85" s="46" t="str">
        <f aca="false">IF(D85&lt;AVERAGE($D$85:D85),D85-AVERAGE($D$85:D85),"")</f>
        <v/>
      </c>
      <c r="J85" s="0" t="n">
        <f aca="false">IF(ISBLANK(A86),MONTH(A85),IF(MONTH(A86)-MONTH(A85)=1,MONTH(A85),0))</f>
        <v>0</v>
      </c>
      <c r="K85" s="0" t="str">
        <f aca="false">IF(B86&gt;B85,IF(AND(B84&gt;B85,B86&gt;B85),"min",""),IF(AND(B84&gt;B85,B86&gt;B85),"",IF(AND(B84&lt;B85,B86&lt;B85),"max","")))</f>
        <v>min</v>
      </c>
      <c r="L85" s="0" t="n">
        <f aca="false">IF(K85="min",COUNTIF(K$4:K85,"min"),IF(K85="max",COUNTIF(K$4:K85,"max"),""))</f>
        <v>20</v>
      </c>
      <c r="M85" s="24" t="n">
        <f aca="false" t="array" ref="M85:M85">IF($K$3=0,IF(K85="min",INDEX($B$4:$B$254,(MATCH(1,($K$4:$K$254="max")*($L$4:$L$254=(L85-1)),0))),""),IF($K$3=1,IF(K85="min",INDEX($B$4:$B$254,(MATCH(1,($K$4:$K$254="max")*($L$4:$L$254=(L85)),0))),""),""))</f>
        <v>1098103.66030482</v>
      </c>
      <c r="N85" s="29" t="n">
        <f aca="false">IF(AND(K83=0,K85="min",L85=1),B85-B84,IF(K85="min",B85-M85,""))</f>
        <v>-26745.3468641699</v>
      </c>
      <c r="O85" s="34" t="n">
        <f aca="false">IF(AND(K83=0,K85="min",L85=1),(B85-B84)/B84,IF(K85="min",(B85-M85)/M85,""))</f>
        <v>-0.0243559400000049</v>
      </c>
      <c r="P85" s="19" t="n">
        <f aca="false">D85-s_p!H85</f>
        <v>-0.00566452110086162</v>
      </c>
      <c r="Q85" s="19" t="n">
        <f aca="false">IF(P85&lt;0, P85^2, 0)</f>
        <v>3.20867993021065E-005</v>
      </c>
      <c r="R85" s="24" t="n">
        <v>84</v>
      </c>
      <c r="S85" s="5"/>
      <c r="T85" s="5"/>
      <c r="U85" s="5"/>
      <c r="V85" s="5"/>
    </row>
    <row r="86" customFormat="false" ht="13.8" hidden="false" customHeight="false" outlineLevel="0" collapsed="false">
      <c r="A86" s="6" t="n">
        <f aca="false">WORKDAY(A85,1,holiday!$B$2:$B$10)</f>
        <v>38839</v>
      </c>
      <c r="B86" s="24" t="n">
        <v>1122140.69749774</v>
      </c>
      <c r="C86" s="24" t="n">
        <f aca="false">B86-B85</f>
        <v>50782.3840570871</v>
      </c>
      <c r="D86" s="5" t="n">
        <f aca="false">C86/B85</f>
        <v>0.0474000000000001</v>
      </c>
      <c r="E86" s="5" t="n">
        <f aca="false" t="array" ref="E86:E86">PRODUCT(1+$D$4:D86)-1</f>
        <v>0.122140697497742</v>
      </c>
      <c r="F86" s="45" t="n">
        <f aca="false">E86/COUNT($E$4:E86)</f>
        <v>0.00147157466864749</v>
      </c>
      <c r="G86" s="5" t="n">
        <f aca="false">F86*252</f>
        <v>0.370836816499168</v>
      </c>
      <c r="H86" s="46" t="str">
        <f aca="false">IF(D86&lt;F86,D86-F86,"")</f>
        <v/>
      </c>
      <c r="I86" s="46" t="str">
        <f aca="false">IF(D86&lt;AVERAGE($D$85:D86),D86-AVERAGE($D$85:D86),"")</f>
        <v/>
      </c>
      <c r="J86" s="0" t="n">
        <f aca="false">IF(ISBLANK(A87),MONTH(A86),IF(MONTH(A87)-MONTH(A86)=1,MONTH(A86),0))</f>
        <v>0</v>
      </c>
      <c r="K86" s="0" t="str">
        <f aca="false">IF(B87&gt;B86,IF(AND(B85&gt;B86,B87&gt;B86),"min",""),IF(AND(B85&gt;B86,B87&gt;B86),"",IF(AND(B85&lt;B86,B87&lt;B86),"max","")))</f>
        <v>max</v>
      </c>
      <c r="L86" s="0" t="n">
        <f aca="false">IF(K86="min",COUNTIF(K$4:K86,"min"),IF(K86="max",COUNTIF(K$4:K86,"max"),""))</f>
        <v>20</v>
      </c>
      <c r="M86" s="24" t="str">
        <f aca="false" t="array" ref="M86:M86">IF($K$3=0,IF(K86="min",INDEX($B$4:$B$254,(MATCH(1,($K$4:$K$254="max")*($L$4:$L$254=(L86-1)),0))),""),IF($K$3=1,IF(K86="min",INDEX($B$4:$B$254,(MATCH(1,($K$4:$K$254="max")*($L$4:$L$254=(L86)),0))),""),""))</f>
        <v/>
      </c>
      <c r="N86" s="29" t="str">
        <f aca="false">IF(AND(K84=0,K86="min",L86=1),B86-B85,IF(K86="min",B86-M86,""))</f>
        <v/>
      </c>
      <c r="O86" s="34" t="str">
        <f aca="false">IF(AND(K84=0,K86="min",L86=1),(B86-B85)/B85,IF(K86="min",(B86-M86)/M86,""))</f>
        <v/>
      </c>
      <c r="P86" s="19" t="n">
        <f aca="false">D86-s_p!H86</f>
        <v>0.041255300760809</v>
      </c>
      <c r="Q86" s="19" t="n">
        <f aca="false">IF(P86&lt;0, P86^2, 0)</f>
        <v>0</v>
      </c>
      <c r="R86" s="24" t="n">
        <f aca="false">MATCH(MIN(B86:B92),B85:B106,0)+ROW(B85:B106)-1</f>
        <v>87</v>
      </c>
      <c r="S86" s="5"/>
      <c r="T86" s="5"/>
      <c r="U86" s="5"/>
      <c r="V86" s="5"/>
    </row>
    <row r="87" customFormat="false" ht="13.8" hidden="false" customHeight="false" outlineLevel="0" collapsed="false">
      <c r="A87" s="6" t="n">
        <f aca="false">WORKDAY(A86,1,holiday!$B$2:$B$10)</f>
        <v>38840</v>
      </c>
      <c r="B87" s="24" t="n">
        <v>1110694.86238326</v>
      </c>
      <c r="C87" s="24" t="n">
        <f aca="false">B87-B86</f>
        <v>-11445.835114477</v>
      </c>
      <c r="D87" s="5" t="n">
        <f aca="false">C87/B86</f>
        <v>-0.0102</v>
      </c>
      <c r="E87" s="5" t="n">
        <f aca="false" t="array" ref="E87:E87">PRODUCT(1+$D$4:D87)-1</f>
        <v>0.110694862383265</v>
      </c>
      <c r="F87" s="45" t="n">
        <f aca="false">E87/COUNT($E$4:E87)</f>
        <v>0.00131779598075316</v>
      </c>
      <c r="G87" s="5" t="n">
        <f aca="false">F87*252</f>
        <v>0.332084587149795</v>
      </c>
      <c r="H87" s="46" t="n">
        <f aca="false">IF(D87&lt;F87,D87-F87,"")</f>
        <v>-0.0115177959807532</v>
      </c>
      <c r="I87" s="46" t="n">
        <f aca="false">IF(D87&lt;AVERAGE($D$85:D87),D87-AVERAGE($D$85:D87),"")</f>
        <v>-0.0193333333333333</v>
      </c>
      <c r="J87" s="0" t="n">
        <f aca="false">IF(ISBLANK(A88),MONTH(A87),IF(MONTH(A88)-MONTH(A87)=1,MONTH(A87),0))</f>
        <v>0</v>
      </c>
      <c r="K87" s="0" t="str">
        <f aca="false">IF(B88&gt;B87,IF(AND(B86&gt;B87,B88&gt;B87),"min",""),IF(AND(B86&gt;B87,B88&gt;B87),"",IF(AND(B86&lt;B87,B88&lt;B87),"max","")))</f>
        <v>min</v>
      </c>
      <c r="L87" s="0" t="n">
        <f aca="false">IF(K87="min",COUNTIF(K$4:K87,"min"),IF(K87="max",COUNTIF(K$4:K87,"max"),""))</f>
        <v>21</v>
      </c>
      <c r="M87" s="24" t="n">
        <f aca="false" t="array" ref="M87:M87">IF($K$3=0,IF(K87="min",INDEX($B$4:$B$254,(MATCH(1,($K$4:$K$254="max")*($L$4:$L$254=(L87-1)),0))),""),IF($K$3=1,IF(K87="min",INDEX($B$4:$B$254,(MATCH(1,($K$4:$K$254="max")*($L$4:$L$254=(L87)),0))),""),""))</f>
        <v>1122140.69749774</v>
      </c>
      <c r="N87" s="29" t="n">
        <f aca="false">IF(AND(K85=0,K87="min",L87=1),B87-B86,IF(K87="min",B87-M87,""))</f>
        <v>-11445.83511448</v>
      </c>
      <c r="O87" s="34" t="n">
        <f aca="false">IF(AND(K85=0,K87="min",L87=1),(B87-B86)/B86,IF(K87="min",(B87-M87)/M87,""))</f>
        <v>-0.0102000000000027</v>
      </c>
      <c r="P87" s="19" t="n">
        <f aca="false">D87-s_p!H87</f>
        <v>-0.0063240014925259</v>
      </c>
      <c r="Q87" s="19" t="n">
        <f aca="false">IF(P87&lt;0, P87^2, 0)</f>
        <v>3.99929948774698E-005</v>
      </c>
      <c r="R87" s="24" t="n">
        <f aca="false">MATCH(MAX(B86:B92),B85:B106,0)+ROW(B85:B106)-1</f>
        <v>91</v>
      </c>
      <c r="S87" s="5"/>
      <c r="T87" s="5"/>
      <c r="U87" s="5"/>
      <c r="V87" s="5"/>
    </row>
    <row r="88" customFormat="false" ht="13.8" hidden="false" customHeight="false" outlineLevel="0" collapsed="false">
      <c r="A88" s="6" t="n">
        <f aca="false">WORKDAY(A87,1,holiday!$B$2:$B$10)</f>
        <v>38841</v>
      </c>
      <c r="B88" s="24" t="n">
        <v>1126022.45148415</v>
      </c>
      <c r="C88" s="24" t="n">
        <f aca="false">B88-B87</f>
        <v>15327.5891008892</v>
      </c>
      <c r="D88" s="5" t="n">
        <f aca="false">C88/B87</f>
        <v>0.0138000000000001</v>
      </c>
      <c r="E88" s="5" t="n">
        <f aca="false" t="array" ref="E88:E88">PRODUCT(1+$D$4:D88)-1</f>
        <v>0.126022451484154</v>
      </c>
      <c r="F88" s="45" t="n">
        <f aca="false">E88/COUNT($E$4:E88)</f>
        <v>0.00148261707628417</v>
      </c>
      <c r="G88" s="5" t="n">
        <f aca="false">F88*252</f>
        <v>0.37361950322361</v>
      </c>
      <c r="H88" s="46" t="str">
        <f aca="false">IF(D88&lt;F88,D88-F88,"")</f>
        <v/>
      </c>
      <c r="I88" s="46" t="str">
        <f aca="false">IF(D88&lt;AVERAGE($D$85:D88),D88-AVERAGE($D$85:D88),"")</f>
        <v/>
      </c>
      <c r="J88" s="0" t="n">
        <f aca="false">IF(ISBLANK(A89),MONTH(A88),IF(MONTH(A89)-MONTH(A88)=1,MONTH(A88),0))</f>
        <v>0</v>
      </c>
      <c r="K88" s="0" t="str">
        <f aca="false">IF(B89&gt;B88,IF(AND(B87&gt;B88,B89&gt;B88),"min",""),IF(AND(B87&gt;B88,B89&gt;B88),"",IF(AND(B87&lt;B88,B89&lt;B88),"max","")))</f>
        <v/>
      </c>
      <c r="L88" s="0" t="str">
        <f aca="false">IF(K88="min",COUNTIF(K$4:K88,"min"),IF(K88="max",COUNTIF(K$4:K88,"max"),""))</f>
        <v/>
      </c>
      <c r="M88" s="24" t="str">
        <f aca="false" t="array" ref="M88:M88">IF($K$3=0,IF(K88="min",INDEX($B$4:$B$254,(MATCH(1,($K$4:$K$254="max")*($L$4:$L$254=(L88-1)),0))),""),IF($K$3=1,IF(K88="min",INDEX($B$4:$B$254,(MATCH(1,($K$4:$K$254="max")*($L$4:$L$254=(L88)),0))),""),""))</f>
        <v/>
      </c>
      <c r="N88" s="29" t="str">
        <f aca="false">IF(AND(K86=0,K88="min",L88=1),B88-B87,IF(K88="min",B88-M88,""))</f>
        <v/>
      </c>
      <c r="O88" s="34" t="str">
        <f aca="false">IF(AND(K86=0,K88="min",L88=1),(B88-B87)/B87,IF(K88="min",(B88-M88)/M88,""))</f>
        <v/>
      </c>
      <c r="P88" s="19" t="n">
        <f aca="false">D88-s_p!H88</f>
        <v>0.0106427972968842</v>
      </c>
      <c r="Q88" s="19" t="n">
        <f aca="false">IF(P88&lt;0, P88^2, 0)</f>
        <v>0</v>
      </c>
      <c r="R88" s="24" t="n">
        <v>92</v>
      </c>
      <c r="S88" s="5"/>
      <c r="T88" s="5"/>
      <c r="U88" s="5"/>
      <c r="V88" s="5"/>
    </row>
    <row r="89" customFormat="false" ht="13.8" hidden="false" customHeight="false" outlineLevel="0" collapsed="false">
      <c r="A89" s="6" t="n">
        <f aca="false">WORKDAY(A88,1,holiday!$B$2:$B$10)</f>
        <v>38842</v>
      </c>
      <c r="B89" s="24" t="n">
        <v>1158226.6935966</v>
      </c>
      <c r="C89" s="24" t="n">
        <f aca="false">B89-B88</f>
        <v>32204.2421124468</v>
      </c>
      <c r="D89" s="5" t="n">
        <f aca="false">C89/B88</f>
        <v>0.0286</v>
      </c>
      <c r="E89" s="5" t="n">
        <f aca="false" t="array" ref="E89:E89">PRODUCT(1+$D$4:D89)-1</f>
        <v>0.158226693596601</v>
      </c>
      <c r="F89" s="45" t="n">
        <f aca="false">E89/COUNT($E$4:E89)</f>
        <v>0.00183984527437908</v>
      </c>
      <c r="G89" s="5" t="n">
        <f aca="false">F89*252</f>
        <v>0.463641009143529</v>
      </c>
      <c r="H89" s="46" t="str">
        <f aca="false">IF(D89&lt;F89,D89-F89,"")</f>
        <v/>
      </c>
      <c r="I89" s="46" t="str">
        <f aca="false">IF(D89&lt;AVERAGE($D$85:D89),D89-AVERAGE($D$85:D89),"")</f>
        <v/>
      </c>
      <c r="J89" s="0" t="n">
        <f aca="false">IF(ISBLANK(A90),MONTH(A89),IF(MONTH(A90)-MONTH(A89)=1,MONTH(A89),0))</f>
        <v>0</v>
      </c>
      <c r="K89" s="0" t="str">
        <f aca="false">IF(B90&gt;B89,IF(AND(B88&gt;B89,B90&gt;B89),"min",""),IF(AND(B88&gt;B89,B90&gt;B89),"",IF(AND(B88&lt;B89,B90&lt;B89),"max","")))</f>
        <v/>
      </c>
      <c r="L89" s="0" t="str">
        <f aca="false">IF(K89="min",COUNTIF(K$4:K89,"min"),IF(K89="max",COUNTIF(K$4:K89,"max"),""))</f>
        <v/>
      </c>
      <c r="M89" s="24" t="str">
        <f aca="false" t="array" ref="M89:M89">IF($K$3=0,IF(K89="min",INDEX($B$4:$B$254,(MATCH(1,($K$4:$K$254="max")*($L$4:$L$254=(L89-1)),0))),""),IF($K$3=1,IF(K89="min",INDEX($B$4:$B$254,(MATCH(1,($K$4:$K$254="max")*($L$4:$L$254=(L89)),0))),""),""))</f>
        <v/>
      </c>
      <c r="N89" s="29" t="str">
        <f aca="false">IF(AND(K87=0,K89="min",L89=1),B89-B88,IF(K89="min",B89-M89,""))</f>
        <v/>
      </c>
      <c r="O89" s="34" t="str">
        <f aca="false">IF(AND(K87=0,K89="min",L89=1),(B89-B88)/B88,IF(K89="min",(B89-M89)/M89,""))</f>
        <v/>
      </c>
      <c r="P89" s="19" t="n">
        <f aca="false">D89-s_p!H89</f>
        <v>0.0183047056582207</v>
      </c>
      <c r="Q89" s="19" t="n">
        <f aca="false">IF(P89&lt;0, P89^2, 0)</f>
        <v>0</v>
      </c>
      <c r="R89" s="24" t="n">
        <v>105</v>
      </c>
      <c r="S89" s="5"/>
      <c r="T89" s="5"/>
      <c r="U89" s="5"/>
      <c r="V89" s="5"/>
    </row>
    <row r="90" customFormat="false" ht="13.8" hidden="false" customHeight="false" outlineLevel="0" collapsed="false">
      <c r="A90" s="6" t="n">
        <f aca="false">WORKDAY(A89,1,holiday!$B$2:$B$10)</f>
        <v>38845</v>
      </c>
      <c r="B90" s="24" t="n">
        <v>1198417.1598644</v>
      </c>
      <c r="C90" s="24" t="n">
        <f aca="false">B90-B89</f>
        <v>40190.4662678021</v>
      </c>
      <c r="D90" s="5" t="n">
        <f aca="false">C90/B89</f>
        <v>0.0347</v>
      </c>
      <c r="E90" s="5" t="n">
        <f aca="false" t="array" ref="E90:E90">PRODUCT(1+$D$4:D90)-1</f>
        <v>0.198417159864403</v>
      </c>
      <c r="F90" s="45" t="n">
        <f aca="false">E90/COUNT($E$4:E90)</f>
        <v>0.00228065700993567</v>
      </c>
      <c r="G90" s="5" t="n">
        <f aca="false">F90*252</f>
        <v>0.574725566503788</v>
      </c>
      <c r="H90" s="46" t="str">
        <f aca="false">IF(D90&lt;F90,D90-F90,"")</f>
        <v/>
      </c>
      <c r="I90" s="46" t="str">
        <f aca="false">IF(D90&lt;AVERAGE($D$85:D90),D90-AVERAGE($D$85:D90),"")</f>
        <v/>
      </c>
      <c r="J90" s="0" t="n">
        <f aca="false">IF(ISBLANK(A91),MONTH(A90),IF(MONTH(A91)-MONTH(A90)=1,MONTH(A90),0))</f>
        <v>0</v>
      </c>
      <c r="K90" s="0" t="str">
        <f aca="false">IF(B91&gt;B90,IF(AND(B89&gt;B90,B91&gt;B90),"min",""),IF(AND(B89&gt;B90,B91&gt;B90),"",IF(AND(B89&lt;B90,B91&lt;B90),"max","")))</f>
        <v/>
      </c>
      <c r="L90" s="0" t="str">
        <f aca="false">IF(K90="min",COUNTIF(K$4:K90,"min"),IF(K90="max",COUNTIF(K$4:K90,"max"),""))</f>
        <v/>
      </c>
      <c r="M90" s="24" t="str">
        <f aca="false" t="array" ref="M90:M90">IF($K$3=0,IF(K90="min",INDEX($B$4:$B$254,(MATCH(1,($K$4:$K$254="max")*($L$4:$L$254=(L90-1)),0))),""),IF($K$3=1,IF(K90="min",INDEX($B$4:$B$254,(MATCH(1,($K$4:$K$254="max")*($L$4:$L$254=(L90)),0))),""),""))</f>
        <v/>
      </c>
      <c r="N90" s="29" t="str">
        <f aca="false">IF(AND(K88=0,K90="min",L90=1),B90-B89,IF(K90="min",B90-M90,""))</f>
        <v/>
      </c>
      <c r="O90" s="34" t="str">
        <f aca="false">IF(AND(K88=0,K90="min",L90=1),(B90-B89)/B89,IF(K90="min",(B90-M90)/M90,""))</f>
        <v/>
      </c>
      <c r="P90" s="19" t="n">
        <f aca="false">D90-s_p!H90</f>
        <v>0.0355297127685252</v>
      </c>
      <c r="Q90" s="19" t="n">
        <f aca="false">IF(P90&lt;0, P90^2, 0)</f>
        <v>0</v>
      </c>
      <c r="R90" s="5"/>
      <c r="S90" s="5"/>
      <c r="T90" s="5"/>
      <c r="U90" s="5"/>
      <c r="V90" s="5"/>
    </row>
    <row r="91" customFormat="false" ht="13.8" hidden="false" customHeight="false" outlineLevel="0" collapsed="false">
      <c r="A91" s="6" t="n">
        <f aca="false">WORKDAY(A90,1,holiday!$B$2:$B$10)</f>
        <v>38846</v>
      </c>
      <c r="B91" s="24" t="n">
        <v>1231852.99862462</v>
      </c>
      <c r="C91" s="24" t="n">
        <f aca="false">B91-B90</f>
        <v>33435.8387602167</v>
      </c>
      <c r="D91" s="5" t="n">
        <f aca="false">C91/B90</f>
        <v>0.0278999999999999</v>
      </c>
      <c r="E91" s="5" t="n">
        <f aca="false" t="array" ref="E91:E91">PRODUCT(1+$D$4:D91)-1</f>
        <v>0.231852998624619</v>
      </c>
      <c r="F91" s="45" t="n">
        <f aca="false">E91/COUNT($E$4:E91)</f>
        <v>0.00263469316618886</v>
      </c>
      <c r="G91" s="5" t="n">
        <f aca="false">F91*252</f>
        <v>0.663942677879592</v>
      </c>
      <c r="H91" s="46" t="str">
        <f aca="false">IF(D91&lt;F91,D91-F91,"")</f>
        <v/>
      </c>
      <c r="I91" s="46" t="str">
        <f aca="false">IF(D91&lt;AVERAGE($D$85:D91),D91-AVERAGE($D$85:D91),"")</f>
        <v/>
      </c>
      <c r="J91" s="0" t="n">
        <f aca="false">IF(ISBLANK(A92),MONTH(A91),IF(MONTH(A92)-MONTH(A91)=1,MONTH(A91),0))</f>
        <v>0</v>
      </c>
      <c r="K91" s="0" t="str">
        <f aca="false">IF(B92&gt;B91,IF(AND(B90&gt;B91,B92&gt;B91),"min",""),IF(AND(B90&gt;B91,B92&gt;B91),"",IF(AND(B90&lt;B91,B92&lt;B91),"max","")))</f>
        <v>max</v>
      </c>
      <c r="L91" s="0" t="n">
        <f aca="false">IF(K91="min",COUNTIF(K$4:K91,"min"),IF(K91="max",COUNTIF(K$4:K91,"max"),""))</f>
        <v>21</v>
      </c>
      <c r="M91" s="24" t="str">
        <f aca="false" t="array" ref="M91:M91">IF($K$3=0,IF(K91="min",INDEX($B$4:$B$254,(MATCH(1,($K$4:$K$254="max")*($L$4:$L$254=(L91-1)),0))),""),IF($K$3=1,IF(K91="min",INDEX($B$4:$B$254,(MATCH(1,($K$4:$K$254="max")*($L$4:$L$254=(L91)),0))),""),""))</f>
        <v/>
      </c>
      <c r="N91" s="29" t="str">
        <f aca="false">IF(AND(K89=0,K91="min",L91=1),B91-B90,IF(K91="min",B91-M91,""))</f>
        <v/>
      </c>
      <c r="O91" s="34" t="str">
        <f aca="false">IF(AND(K89=0,K91="min",L91=1),(B91-B90)/B90,IF(K91="min",(B91-M91)/M91,""))</f>
        <v/>
      </c>
      <c r="P91" s="19" t="n">
        <f aca="false">D91-s_p!H91</f>
        <v>0.0275376428668487</v>
      </c>
      <c r="Q91" s="19" t="n">
        <f aca="false">IF(P91&lt;0, P91^2, 0)</f>
        <v>0</v>
      </c>
      <c r="R91" s="5"/>
      <c r="S91" s="5"/>
      <c r="T91" s="5"/>
      <c r="U91" s="5"/>
      <c r="V91" s="5"/>
    </row>
    <row r="92" customFormat="false" ht="13.8" hidden="false" customHeight="false" outlineLevel="0" collapsed="false">
      <c r="A92" s="6" t="n">
        <f aca="false">WORKDAY(A91,1,holiday!$B$2:$B$10)</f>
        <v>38847</v>
      </c>
      <c r="B92" s="24" t="n">
        <v>1223599.58353383</v>
      </c>
      <c r="C92" s="24" t="n">
        <f aca="false">B92-B91</f>
        <v>-8253.4150907849</v>
      </c>
      <c r="D92" s="5" t="n">
        <f aca="false">C92/B91</f>
        <v>-0.00669999999999996</v>
      </c>
      <c r="E92" s="5" t="n">
        <f aca="false" t="array" ref="E92:E92">PRODUCT(1+$D$4:D92)-1</f>
        <v>0.223599583533835</v>
      </c>
      <c r="F92" s="45" t="n">
        <f aca="false">E92/COUNT($E$4:E92)</f>
        <v>0.00251235487116668</v>
      </c>
      <c r="G92" s="5" t="n">
        <f aca="false">F92*252</f>
        <v>0.633113427534004</v>
      </c>
      <c r="H92" s="46" t="n">
        <f aca="false">IF(D92&lt;F92,D92-F92,"")</f>
        <v>-0.00921235487116664</v>
      </c>
      <c r="I92" s="46" t="n">
        <f aca="false">IF(D92&lt;AVERAGE($D$85:D92),D92-AVERAGE($D$85:D92),"")</f>
        <v>-0.0224125</v>
      </c>
      <c r="J92" s="0" t="n">
        <f aca="false">IF(ISBLANK(A93),MONTH(A92),IF(MONTH(A93)-MONTH(A92)=1,MONTH(A92),0))</f>
        <v>0</v>
      </c>
      <c r="K92" s="0" t="str">
        <f aca="false">IF(B93&gt;B92,IF(AND(B91&gt;B92,B93&gt;B92),"min",""),IF(AND(B91&gt;B92,B93&gt;B92),"",IF(AND(B91&lt;B92,B93&lt;B92),"max","")))</f>
        <v>min</v>
      </c>
      <c r="L92" s="0" t="n">
        <f aca="false">IF(K92="min",COUNTIF(K$4:K92,"min"),IF(K92="max",COUNTIF(K$4:K92,"max"),""))</f>
        <v>22</v>
      </c>
      <c r="M92" s="24" t="n">
        <f aca="false" t="array" ref="M92:M92">IF($K$3=0,IF(K92="min",INDEX($B$4:$B$254,(MATCH(1,($K$4:$K$254="max")*($L$4:$L$254=(L92-1)),0))),""),IF($K$3=1,IF(K92="min",INDEX($B$4:$B$254,(MATCH(1,($K$4:$K$254="max")*($L$4:$L$254=(L92)),0))),""),""))</f>
        <v>1231852.99862462</v>
      </c>
      <c r="N92" s="29" t="n">
        <f aca="false">IF(AND(K90=0,K92="min",L92=1),B92-B91,IF(K92="min",B92-M92,""))</f>
        <v>-8253.41509079002</v>
      </c>
      <c r="O92" s="34" t="n">
        <f aca="false">IF(AND(K90=0,K92="min",L92=1),(B92-B91)/B91,IF(K92="min",(B92-M92)/M92,""))</f>
        <v>-0.00670000000000411</v>
      </c>
      <c r="P92" s="19" t="n">
        <f aca="false">D92-s_p!H92</f>
        <v>-0.00497188070694402</v>
      </c>
      <c r="Q92" s="19" t="n">
        <f aca="false">IF(P92&lt;0, P92^2, 0)</f>
        <v>2.47195977640822E-005</v>
      </c>
      <c r="R92" s="5"/>
      <c r="S92" s="5"/>
      <c r="T92" s="5"/>
      <c r="U92" s="5"/>
      <c r="V92" s="5"/>
    </row>
    <row r="93" customFormat="false" ht="13.8" hidden="false" customHeight="false" outlineLevel="0" collapsed="false">
      <c r="A93" s="6" t="n">
        <f aca="false">WORKDAY(A92,1,holiday!$B$2:$B$10)</f>
        <v>38848</v>
      </c>
      <c r="B93" s="24" t="n">
        <v>1280129.8842931</v>
      </c>
      <c r="C93" s="24" t="n">
        <f aca="false">B93-B92</f>
        <v>56530.3007592631</v>
      </c>
      <c r="D93" s="5" t="n">
        <f aca="false">C93/B92</f>
        <v>0.0462</v>
      </c>
      <c r="E93" s="5" t="n">
        <f aca="false" t="array" ref="E93:E93">PRODUCT(1+$D$4:D93)-1</f>
        <v>0.280129884293098</v>
      </c>
      <c r="F93" s="45" t="n">
        <f aca="false">E93/COUNT($E$4:E93)</f>
        <v>0.00311255426992331</v>
      </c>
      <c r="G93" s="5" t="n">
        <f aca="false">F93*252</f>
        <v>0.784363676020674</v>
      </c>
      <c r="H93" s="46" t="str">
        <f aca="false">IF(D93&lt;F93,D93-F93,"")</f>
        <v/>
      </c>
      <c r="I93" s="46" t="str">
        <f aca="false">IF(D93&lt;AVERAGE($D$85:D93),D93-AVERAGE($D$85:D93),"")</f>
        <v/>
      </c>
      <c r="J93" s="0" t="n">
        <f aca="false">IF(ISBLANK(A94),MONTH(A93),IF(MONTH(A94)-MONTH(A93)=1,MONTH(A93),0))</f>
        <v>0</v>
      </c>
      <c r="K93" s="0" t="str">
        <f aca="false">IF(B94&gt;B93,IF(AND(B92&gt;B93,B94&gt;B93),"min",""),IF(AND(B92&gt;B93,B94&gt;B93),"",IF(AND(B92&lt;B93,B94&lt;B93),"max","")))</f>
        <v>max</v>
      </c>
      <c r="L93" s="0" t="n">
        <f aca="false">IF(K93="min",COUNTIF(K$4:K93,"min"),IF(K93="max",COUNTIF(K$4:K93,"max"),""))</f>
        <v>22</v>
      </c>
      <c r="M93" s="24" t="str">
        <f aca="false" t="array" ref="M93:M93">IF($K$3=0,IF(K93="min",INDEX($B$4:$B$254,(MATCH(1,($K$4:$K$254="max")*($L$4:$L$254=(L93-1)),0))),""),IF($K$3=1,IF(K93="min",INDEX($B$4:$B$254,(MATCH(1,($K$4:$K$254="max")*($L$4:$L$254=(L93)),0))),""),""))</f>
        <v/>
      </c>
      <c r="N93" s="29" t="str">
        <f aca="false">IF(AND(K91=0,K93="min",L93=1),B93-B92,IF(K93="min",B93-M93,""))</f>
        <v/>
      </c>
      <c r="O93" s="34" t="str">
        <f aca="false">IF(AND(K91=0,K93="min",L93=1),(B93-B92)/B92,IF(K93="min",(B93-M93)/M93,""))</f>
        <v/>
      </c>
      <c r="P93" s="19" t="n">
        <f aca="false">D93-s_p!H93</f>
        <v>0.0589981252598554</v>
      </c>
      <c r="Q93" s="19" t="n">
        <f aca="false">IF(P93&lt;0, P93^2, 0)</f>
        <v>0</v>
      </c>
      <c r="R93" s="5"/>
      <c r="S93" s="5"/>
      <c r="T93" s="5"/>
      <c r="U93" s="5"/>
      <c r="V93" s="5"/>
    </row>
    <row r="94" customFormat="false" ht="13.8" hidden="false" customHeight="false" outlineLevel="0" collapsed="false">
      <c r="A94" s="6" t="n">
        <f aca="false">WORKDAY(A93,1,holiday!$B$2:$B$10)</f>
        <v>38849</v>
      </c>
      <c r="B94" s="24" t="n">
        <v>1224828.27329164</v>
      </c>
      <c r="C94" s="24" t="n">
        <f aca="false">B94-B93</f>
        <v>-55301.6110014617</v>
      </c>
      <c r="D94" s="5" t="n">
        <f aca="false">C94/B93</f>
        <v>-0.0432</v>
      </c>
      <c r="E94" s="5" t="n">
        <f aca="false" t="array" ref="E94:E94">PRODUCT(1+$D$4:D94)-1</f>
        <v>0.224828273291636</v>
      </c>
      <c r="F94" s="45" t="n">
        <f aca="false">E94/COUNT($E$4:E94)</f>
        <v>0.00247064036584216</v>
      </c>
      <c r="G94" s="5" t="n">
        <f aca="false">F94*252</f>
        <v>0.622601372192223</v>
      </c>
      <c r="H94" s="46" t="n">
        <f aca="false">IF(D94&lt;F94,D94-F94,"")</f>
        <v>-0.0456706403658422</v>
      </c>
      <c r="I94" s="46" t="n">
        <f aca="false">IF(D94&lt;AVERAGE($D$85:D94),D94-AVERAGE($D$85:D94),"")</f>
        <v>-0.05607</v>
      </c>
      <c r="J94" s="0" t="n">
        <f aca="false">IF(ISBLANK(A95),MONTH(A94),IF(MONTH(A95)-MONTH(A94)=1,MONTH(A94),0))</f>
        <v>0</v>
      </c>
      <c r="K94" s="0" t="str">
        <f aca="false">IF(B95&gt;B94,IF(AND(B93&gt;B94,B95&gt;B94),"min",""),IF(AND(B93&gt;B94,B95&gt;B94),"",IF(AND(B93&lt;B94,B95&lt;B94),"max","")))</f>
        <v>min</v>
      </c>
      <c r="L94" s="0" t="n">
        <f aca="false">IF(K94="min",COUNTIF(K$4:K94,"min"),IF(K94="max",COUNTIF(K$4:K94,"max"),""))</f>
        <v>23</v>
      </c>
      <c r="M94" s="24" t="n">
        <f aca="false" t="array" ref="M94:M94">IF($K$3=0,IF(K94="min",INDEX($B$4:$B$254,(MATCH(1,($K$4:$K$254="max")*($L$4:$L$254=(L94-1)),0))),""),IF($K$3=1,IF(K94="min",INDEX($B$4:$B$254,(MATCH(1,($K$4:$K$254="max")*($L$4:$L$254=(L94)),0))),""),""))</f>
        <v>1280129.8842931</v>
      </c>
      <c r="N94" s="29" t="n">
        <f aca="false">IF(AND(K92=0,K94="min",L94=1),B94-B93,IF(K94="min",B94-M94,""))</f>
        <v>-55301.6110014601</v>
      </c>
      <c r="O94" s="34" t="n">
        <f aca="false">IF(AND(K92=0,K94="min",L94=1),(B94-B93)/B93,IF(K94="min",(B94-M94)/M94,""))</f>
        <v>-0.0431999999999986</v>
      </c>
      <c r="P94" s="19" t="n">
        <f aca="false">D94-s_p!H94</f>
        <v>-0.0319588826268071</v>
      </c>
      <c r="Q94" s="19" t="n">
        <f aca="false">IF(P94&lt;0, P94^2, 0)</f>
        <v>0.00102137017875403</v>
      </c>
      <c r="R94" s="5"/>
      <c r="S94" s="5"/>
      <c r="T94" s="5"/>
      <c r="U94" s="5"/>
      <c r="V94" s="5"/>
    </row>
    <row r="95" customFormat="false" ht="13.8" hidden="false" customHeight="false" outlineLevel="0" collapsed="false">
      <c r="A95" s="6" t="n">
        <f aca="false">WORKDAY(A94,1,holiday!$B$2:$B$10)</f>
        <v>38852</v>
      </c>
      <c r="B95" s="24" t="n">
        <v>1255081.53164194</v>
      </c>
      <c r="C95" s="24" t="n">
        <f aca="false">B95-B94</f>
        <v>30253.2583503034</v>
      </c>
      <c r="D95" s="5" t="n">
        <f aca="false">C95/B94</f>
        <v>0.0247</v>
      </c>
      <c r="E95" s="5" t="n">
        <f aca="false" t="array" ref="E95:E95">PRODUCT(1+$D$4:D95)-1</f>
        <v>0.255081531641939</v>
      </c>
      <c r="F95" s="45" t="n">
        <f aca="false">E95/COUNT($E$4:E95)</f>
        <v>0.00277262534393412</v>
      </c>
      <c r="G95" s="5" t="n">
        <f aca="false">F95*252</f>
        <v>0.698701586671399</v>
      </c>
      <c r="H95" s="46" t="str">
        <f aca="false">IF(D95&lt;F95,D95-F95,"")</f>
        <v/>
      </c>
      <c r="I95" s="46" t="str">
        <f aca="false">IF(D95&lt;AVERAGE($D$85:D95),D95-AVERAGE($D$85:D95),"")</f>
        <v/>
      </c>
      <c r="J95" s="0" t="n">
        <f aca="false">IF(ISBLANK(A96),MONTH(A95),IF(MONTH(A96)-MONTH(A95)=1,MONTH(A95),0))</f>
        <v>0</v>
      </c>
      <c r="K95" s="0" t="str">
        <f aca="false">IF(B96&gt;B95,IF(AND(B94&gt;B95,B96&gt;B95),"min",""),IF(AND(B94&gt;B95,B96&gt;B95),"",IF(AND(B94&lt;B95,B96&lt;B95),"max","")))</f>
        <v/>
      </c>
      <c r="L95" s="0" t="str">
        <f aca="false">IF(K95="min",COUNTIF(K$4:K95,"min"),IF(K95="max",COUNTIF(K$4:K95,"max"),""))</f>
        <v/>
      </c>
      <c r="M95" s="24" t="str">
        <f aca="false" t="array" ref="M95:M95">IF($K$3=0,IF(K95="min",INDEX($B$4:$B$254,(MATCH(1,($K$4:$K$254="max")*($L$4:$L$254=(L95-1)),0))),""),IF($K$3=1,IF(K95="min",INDEX($B$4:$B$254,(MATCH(1,($K$4:$K$254="max")*($L$4:$L$254=(L95)),0))),""),""))</f>
        <v/>
      </c>
      <c r="N95" s="29" t="str">
        <f aca="false">IF(AND(K93=0,K95="min",L95=1),B95-B94,IF(K95="min",B95-M95,""))</f>
        <v/>
      </c>
      <c r="O95" s="34" t="str">
        <f aca="false">IF(AND(K93=0,K95="min",L95=1),(B95-B94)/B94,IF(K95="min",(B95-M95)/M95,""))</f>
        <v/>
      </c>
      <c r="P95" s="19" t="n">
        <f aca="false">D95-s_p!H95</f>
        <v>0.0221752950652086</v>
      </c>
      <c r="Q95" s="19" t="n">
        <f aca="false">IF(P95&lt;0, P95^2, 0)</f>
        <v>0</v>
      </c>
      <c r="R95" s="5"/>
      <c r="S95" s="5"/>
      <c r="T95" s="5"/>
      <c r="U95" s="5"/>
      <c r="V95" s="5"/>
    </row>
    <row r="96" customFormat="false" ht="13.8" hidden="false" customHeight="false" outlineLevel="0" collapsed="false">
      <c r="A96" s="6" t="n">
        <f aca="false">WORKDAY(A95,1,holiday!$B$2:$B$10)</f>
        <v>38853</v>
      </c>
      <c r="B96" s="24" t="n">
        <v>1276919.95029251</v>
      </c>
      <c r="C96" s="24" t="n">
        <f aca="false">B96-B95</f>
        <v>21838.4186505696</v>
      </c>
      <c r="D96" s="5" t="n">
        <f aca="false">C96/B95</f>
        <v>0.0173999999999999</v>
      </c>
      <c r="E96" s="5" t="n">
        <f aca="false" t="array" ref="E96:E96">PRODUCT(1+$D$4:D96)-1</f>
        <v>0.276919950292509</v>
      </c>
      <c r="F96" s="45" t="n">
        <f aca="false">E96/COUNT($E$4:E96)</f>
        <v>0.002977633874113</v>
      </c>
      <c r="G96" s="5" t="n">
        <f aca="false">F96*252</f>
        <v>0.750363736276476</v>
      </c>
      <c r="H96" s="46" t="str">
        <f aca="false">IF(D96&lt;F96,D96-F96,"")</f>
        <v/>
      </c>
      <c r="I96" s="46" t="str">
        <f aca="false">IF(D96&lt;AVERAGE($D$85:D96),D96-AVERAGE($D$85:D96),"")</f>
        <v/>
      </c>
      <c r="J96" s="0" t="n">
        <f aca="false">IF(ISBLANK(A97),MONTH(A96),IF(MONTH(A97)-MONTH(A96)=1,MONTH(A96),0))</f>
        <v>0</v>
      </c>
      <c r="K96" s="0" t="str">
        <f aca="false">IF(B97&gt;B96,IF(AND(B95&gt;B96,B97&gt;B96),"min",""),IF(AND(B95&gt;B96,B97&gt;B96),"",IF(AND(B95&lt;B96,B97&lt;B96),"max","")))</f>
        <v>max</v>
      </c>
      <c r="L96" s="0" t="n">
        <f aca="false">IF(K96="min",COUNTIF(K$4:K96,"min"),IF(K96="max",COUNTIF(K$4:K96,"max"),""))</f>
        <v>23</v>
      </c>
      <c r="M96" s="24" t="str">
        <f aca="false" t="array" ref="M96:M96">IF($K$3=0,IF(K96="min",INDEX($B$4:$B$254,(MATCH(1,($K$4:$K$254="max")*($L$4:$L$254=(L96-1)),0))),""),IF($K$3=1,IF(K96="min",INDEX($B$4:$B$254,(MATCH(1,($K$4:$K$254="max")*($L$4:$L$254=(L96)),0))),""),""))</f>
        <v/>
      </c>
      <c r="N96" s="29" t="str">
        <f aca="false">IF(AND(K94=0,K96="min",L96=1),B96-B95,IF(K96="min",B96-M96,""))</f>
        <v/>
      </c>
      <c r="O96" s="34" t="str">
        <f aca="false">IF(AND(K94=0,K96="min",L96=1),(B96-B95)/B95,IF(K96="min",(B96-M96)/M96,""))</f>
        <v/>
      </c>
      <c r="P96" s="19" t="n">
        <f aca="false">D96-s_p!H96</f>
        <v>0.0192694476631904</v>
      </c>
      <c r="Q96" s="19" t="n">
        <f aca="false">IF(P96&lt;0, P96^2, 0)</f>
        <v>0</v>
      </c>
      <c r="R96" s="5"/>
      <c r="S96" s="5"/>
      <c r="T96" s="5"/>
      <c r="U96" s="5"/>
      <c r="V96" s="5"/>
    </row>
    <row r="97" customFormat="false" ht="13.8" hidden="false" customHeight="false" outlineLevel="0" collapsed="false">
      <c r="A97" s="6" t="n">
        <f aca="false">WORKDAY(A96,1,holiday!$B$2:$B$10)</f>
        <v>38854</v>
      </c>
      <c r="B97" s="24" t="n">
        <v>1237973.89180859</v>
      </c>
      <c r="C97" s="24" t="n">
        <f aca="false">B97-B96</f>
        <v>-38946.0584839215</v>
      </c>
      <c r="D97" s="5" t="n">
        <f aca="false">C97/B96</f>
        <v>-0.0305</v>
      </c>
      <c r="E97" s="5" t="n">
        <f aca="false" t="array" ref="E97:E97">PRODUCT(1+$D$4:D97)-1</f>
        <v>0.237973891808587</v>
      </c>
      <c r="F97" s="45" t="n">
        <f aca="false">E97/COUNT($E$4:E97)</f>
        <v>0.00253163714689987</v>
      </c>
      <c r="G97" s="5" t="n">
        <f aca="false">F97*252</f>
        <v>0.637972561018766</v>
      </c>
      <c r="H97" s="46" t="n">
        <f aca="false">IF(D97&lt;F97,D97-F97,"")</f>
        <v>-0.0330316371468999</v>
      </c>
      <c r="I97" s="46" t="n">
        <f aca="false">IF(D97&lt;AVERAGE($D$85:D97),D97-AVERAGE($D$85:D97),"")</f>
        <v>-0.0412923076923077</v>
      </c>
      <c r="J97" s="0" t="n">
        <f aca="false">IF(ISBLANK(A98),MONTH(A97),IF(MONTH(A98)-MONTH(A97)=1,MONTH(A97),0))</f>
        <v>0</v>
      </c>
      <c r="K97" s="0" t="str">
        <f aca="false">IF(B98&gt;B97,IF(AND(B96&gt;B97,B98&gt;B97),"min",""),IF(AND(B96&gt;B97,B98&gt;B97),"",IF(AND(B96&lt;B97,B98&lt;B97),"max","")))</f>
        <v/>
      </c>
      <c r="L97" s="0" t="str">
        <f aca="false">IF(K97="min",COUNTIF(K$4:K97,"min"),IF(K97="max",COUNTIF(K$4:K97,"max"),""))</f>
        <v/>
      </c>
      <c r="M97" s="24" t="str">
        <f aca="false" t="array" ref="M97:M97">IF($K$3=0,IF(K97="min",INDEX($B$4:$B$254,(MATCH(1,($K$4:$K$254="max")*($L$4:$L$254=(L97-1)),0))),""),IF($K$3=1,IF(K97="min",INDEX($B$4:$B$254,(MATCH(1,($K$4:$K$254="max")*($L$4:$L$254=(L97)),0))),""),""))</f>
        <v/>
      </c>
      <c r="N97" s="29" t="str">
        <f aca="false">IF(AND(K95=0,K97="min",L97=1),B97-B96,IF(K97="min",B97-M97,""))</f>
        <v/>
      </c>
      <c r="O97" s="34" t="str">
        <f aca="false">IF(AND(K95=0,K97="min",L97=1),(B97-B96)/B96,IF(K97="min",(B97-M97)/M97,""))</f>
        <v/>
      </c>
      <c r="P97" s="19" t="n">
        <f aca="false">D97-s_p!H97</f>
        <v>-0.0136589375270881</v>
      </c>
      <c r="Q97" s="19" t="n">
        <f aca="false">IF(P97&lt;0, P97^2, 0)</f>
        <v>0.000186566574368896</v>
      </c>
      <c r="R97" s="5"/>
      <c r="S97" s="5"/>
      <c r="T97" s="5"/>
      <c r="U97" s="5"/>
      <c r="V97" s="5"/>
    </row>
    <row r="98" customFormat="false" ht="13.8" hidden="false" customHeight="false" outlineLevel="0" collapsed="false">
      <c r="A98" s="6" t="n">
        <f aca="false">WORKDAY(A97,1,holiday!$B$2:$B$10)</f>
        <v>38855</v>
      </c>
      <c r="B98" s="24" t="n">
        <v>1198730.11943826</v>
      </c>
      <c r="C98" s="24" t="n">
        <f aca="false">B98-B97</f>
        <v>-39243.7723703322</v>
      </c>
      <c r="D98" s="5" t="n">
        <f aca="false">C98/B97</f>
        <v>-0.0316999999999999</v>
      </c>
      <c r="E98" s="5" t="n">
        <f aca="false" t="array" ref="E98:E98">PRODUCT(1+$D$4:D98)-1</f>
        <v>0.198730119438255</v>
      </c>
      <c r="F98" s="45" t="n">
        <f aca="false">E98/COUNT($E$4:E98)</f>
        <v>0.0020918959940869</v>
      </c>
      <c r="G98" s="5" t="n">
        <f aca="false">F98*252</f>
        <v>0.527157790509898</v>
      </c>
      <c r="H98" s="46" t="n">
        <f aca="false">IF(D98&lt;F98,D98-F98,"")</f>
        <v>-0.0337918959940868</v>
      </c>
      <c r="I98" s="46" t="n">
        <f aca="false">IF(D98&lt;AVERAGE($D$85:D98),D98-AVERAGE($D$85:D98),"")</f>
        <v>-0.0394571428571428</v>
      </c>
      <c r="J98" s="0" t="n">
        <f aca="false">IF(ISBLANK(A99),MONTH(A98),IF(MONTH(A99)-MONTH(A98)=1,MONTH(A98),0))</f>
        <v>0</v>
      </c>
      <c r="K98" s="0" t="str">
        <f aca="false">IF(B99&gt;B98,IF(AND(B97&gt;B98,B99&gt;B98),"min",""),IF(AND(B97&gt;B98,B99&gt;B98),"",IF(AND(B97&lt;B98,B99&lt;B98),"max","")))</f>
        <v/>
      </c>
      <c r="L98" s="0" t="str">
        <f aca="false">IF(K98="min",COUNTIF(K$4:K98,"min"),IF(K98="max",COUNTIF(K$4:K98,"max"),""))</f>
        <v/>
      </c>
      <c r="M98" s="24" t="str">
        <f aca="false" t="array" ref="M98:M98">IF($K$3=0,IF(K98="min",INDEX($B$4:$B$254,(MATCH(1,($K$4:$K$254="max")*($L$4:$L$254=(L98-1)),0))),""),IF($K$3=1,IF(K98="min",INDEX($B$4:$B$254,(MATCH(1,($K$4:$K$254="max")*($L$4:$L$254=(L98)),0))),""),""))</f>
        <v/>
      </c>
      <c r="N98" s="29" t="str">
        <f aca="false">IF(AND(K96=0,K98="min",L98=1),B98-B97,IF(K98="min",B98-M98,""))</f>
        <v/>
      </c>
      <c r="O98" s="34" t="str">
        <f aca="false">IF(AND(K96=0,K98="min",L98=1),(B98-B97)/B97,IF(K98="min",(B98-M98)/M98,""))</f>
        <v/>
      </c>
      <c r="P98" s="19" t="n">
        <f aca="false">D98-s_p!H98</f>
        <v>-0.0250009005604886</v>
      </c>
      <c r="Q98" s="19" t="n">
        <f aca="false">IF(P98&lt;0, P98^2, 0)</f>
        <v>0.000625045028835439</v>
      </c>
      <c r="R98" s="5"/>
      <c r="S98" s="5"/>
      <c r="T98" s="5"/>
      <c r="U98" s="5"/>
      <c r="V98" s="5"/>
    </row>
    <row r="99" customFormat="false" ht="13.8" hidden="false" customHeight="false" outlineLevel="0" collapsed="false">
      <c r="A99" s="6" t="n">
        <f aca="false">WORKDAY(A98,1,holiday!$B$2:$B$10)</f>
        <v>38856</v>
      </c>
      <c r="B99" s="24" t="n">
        <v>1190578.75462607</v>
      </c>
      <c r="C99" s="24" t="n">
        <f aca="false">B99-B98</f>
        <v>-8151.36481218017</v>
      </c>
      <c r="D99" s="5" t="n">
        <f aca="false">C99/B98</f>
        <v>-0.00680000000000003</v>
      </c>
      <c r="E99" s="5" t="n">
        <f aca="false" t="array" ref="E99:E99">PRODUCT(1+$D$4:D99)-1</f>
        <v>0.190578754626075</v>
      </c>
      <c r="F99" s="45" t="n">
        <f aca="false">E99/COUNT($E$4:E99)</f>
        <v>0.00198519536068828</v>
      </c>
      <c r="G99" s="5" t="n">
        <f aca="false">F99*252</f>
        <v>0.500269230893447</v>
      </c>
      <c r="H99" s="46" t="n">
        <f aca="false">IF(D99&lt;F99,D99-F99,"")</f>
        <v>-0.00878519536068831</v>
      </c>
      <c r="I99" s="46" t="n">
        <f aca="false">IF(D99&lt;AVERAGE($D$85:D99),D99-AVERAGE($D$85:D99),"")</f>
        <v>-0.0135866666666667</v>
      </c>
      <c r="J99" s="0" t="n">
        <f aca="false">IF(ISBLANK(A100),MONTH(A99),IF(MONTH(A100)-MONTH(A99)=1,MONTH(A99),0))</f>
        <v>0</v>
      </c>
      <c r="K99" s="0" t="str">
        <f aca="false">IF(B100&gt;B99,IF(AND(B98&gt;B99,B100&gt;B99),"min",""),IF(AND(B98&gt;B99,B100&gt;B99),"",IF(AND(B98&lt;B99,B100&lt;B99),"max","")))</f>
        <v>min</v>
      </c>
      <c r="L99" s="0" t="n">
        <f aca="false">IF(K99="min",COUNTIF(K$4:K99,"min"),IF(K99="max",COUNTIF(K$4:K99,"max"),""))</f>
        <v>24</v>
      </c>
      <c r="M99" s="24" t="n">
        <f aca="false" t="array" ref="M99:M99">IF($K$3=0,IF(K99="min",INDEX($B$4:$B$254,(MATCH(1,($K$4:$K$254="max")*($L$4:$L$254=(L99-1)),0))),""),IF($K$3=1,IF(K99="min",INDEX($B$4:$B$254,(MATCH(1,($K$4:$K$254="max")*($L$4:$L$254=(L99)),0))),""),""))</f>
        <v>1276919.95029251</v>
      </c>
      <c r="N99" s="29" t="n">
        <f aca="false">IF(AND(K97=0,K99="min",L99=1),B99-B98,IF(K99="min",B99-M99,""))</f>
        <v>-86341.1956664401</v>
      </c>
      <c r="O99" s="34" t="n">
        <f aca="false">IF(AND(K97=0,K99="min",L99=1),(B99-B98)/B98,IF(K99="min",(B99-M99)/M99,""))</f>
        <v>-0.0676167645800048</v>
      </c>
      <c r="P99" s="19" t="n">
        <f aca="false">D99-s_p!H99</f>
        <v>-0.0109369144324424</v>
      </c>
      <c r="Q99" s="19" t="n">
        <f aca="false">IF(P99&lt;0, P99^2, 0)</f>
        <v>0.000119616097302567</v>
      </c>
      <c r="R99" s="5"/>
      <c r="S99" s="5"/>
      <c r="T99" s="5"/>
      <c r="U99" s="5"/>
      <c r="V99" s="5"/>
    </row>
    <row r="100" customFormat="false" ht="13.8" hidden="false" customHeight="false" outlineLevel="0" collapsed="false">
      <c r="A100" s="6" t="n">
        <f aca="false">WORKDAY(A99,1,holiday!$B$2:$B$10)</f>
        <v>38859</v>
      </c>
      <c r="B100" s="24" t="n">
        <v>1222010.0337482</v>
      </c>
      <c r="C100" s="24" t="n">
        <f aca="false">B100-B99</f>
        <v>31431.2791221284</v>
      </c>
      <c r="D100" s="5" t="n">
        <f aca="false">C100/B99</f>
        <v>0.0264</v>
      </c>
      <c r="E100" s="5" t="n">
        <f aca="false" t="array" ref="E100:E100">PRODUCT(1+$D$4:D100)-1</f>
        <v>0.222010033748203</v>
      </c>
      <c r="F100" s="45" t="n">
        <f aca="false">E100/COUNT($E$4:E100)</f>
        <v>0.00228876323451756</v>
      </c>
      <c r="G100" s="5" t="n">
        <f aca="false">F100*252</f>
        <v>0.576768335098425</v>
      </c>
      <c r="H100" s="46" t="str">
        <f aca="false">IF(D100&lt;F100,D100-F100,"")</f>
        <v/>
      </c>
      <c r="I100" s="46" t="str">
        <f aca="false">IF(D100&lt;AVERAGE($D$85:D100),D100-AVERAGE($D$85:D100),"")</f>
        <v/>
      </c>
      <c r="J100" s="0" t="n">
        <f aca="false">IF(ISBLANK(A101),MONTH(A100),IF(MONTH(A101)-MONTH(A100)=1,MONTH(A100),0))</f>
        <v>0</v>
      </c>
      <c r="K100" s="0" t="str">
        <f aca="false">IF(B101&gt;B100,IF(AND(B99&gt;B100,B101&gt;B100),"min",""),IF(AND(B99&gt;B100,B101&gt;B100),"",IF(AND(B99&lt;B100,B101&lt;B100),"max","")))</f>
        <v>max</v>
      </c>
      <c r="L100" s="0" t="n">
        <f aca="false">IF(K100="min",COUNTIF(K$4:K100,"min"),IF(K100="max",COUNTIF(K$4:K100,"max"),""))</f>
        <v>24</v>
      </c>
      <c r="M100" s="24" t="str">
        <f aca="false" t="array" ref="M100:M100">IF($K$3=0,IF(K100="min",INDEX($B$4:$B$254,(MATCH(1,($K$4:$K$254="max")*($L$4:$L$254=(L100-1)),0))),""),IF($K$3=1,IF(K100="min",INDEX($B$4:$B$254,(MATCH(1,($K$4:$K$254="max")*($L$4:$L$254=(L100)),0))),""),""))</f>
        <v/>
      </c>
      <c r="N100" s="29" t="str">
        <f aca="false">IF(AND(K98=0,K100="min",L100=1),B100-B99,IF(K100="min",B100-M100,""))</f>
        <v/>
      </c>
      <c r="O100" s="34" t="str">
        <f aca="false">IF(AND(K98=0,K100="min",L100=1),(B100-B99)/B99,IF(K100="min",(B100-M100)/M100,""))</f>
        <v/>
      </c>
      <c r="P100" s="19" t="n">
        <f aca="false">D100-s_p!H100</f>
        <v>0.0303146665824803</v>
      </c>
      <c r="Q100" s="19" t="n">
        <f aca="false">IF(P100&lt;0, P100^2, 0)</f>
        <v>0</v>
      </c>
      <c r="R100" s="5"/>
      <c r="S100" s="5"/>
      <c r="T100" s="5"/>
      <c r="U100" s="5"/>
      <c r="V100" s="5"/>
    </row>
    <row r="101" customFormat="false" ht="13.8" hidden="false" customHeight="false" outlineLevel="0" collapsed="false">
      <c r="A101" s="6" t="n">
        <f aca="false">WORKDAY(A100,1,holiday!$B$2:$B$10)</f>
        <v>38860</v>
      </c>
      <c r="B101" s="24" t="n">
        <v>1190604.37588087</v>
      </c>
      <c r="C101" s="24" t="n">
        <f aca="false">B101-B100</f>
        <v>-31405.6578673287</v>
      </c>
      <c r="D101" s="5" t="n">
        <f aca="false">C101/B100</f>
        <v>-0.0256999999999999</v>
      </c>
      <c r="E101" s="5" t="n">
        <f aca="false" t="array" ref="E101:E101">PRODUCT(1+$D$4:D101)-1</f>
        <v>0.190604375880875</v>
      </c>
      <c r="F101" s="45" t="n">
        <f aca="false">E101/COUNT($E$4:E101)</f>
        <v>0.00194494261102933</v>
      </c>
      <c r="G101" s="5" t="n">
        <f aca="false">F101*252</f>
        <v>0.490125537979392</v>
      </c>
      <c r="H101" s="46" t="n">
        <f aca="false">IF(D101&lt;F101,D101-F101,"")</f>
        <v>-0.0276449426110292</v>
      </c>
      <c r="I101" s="46" t="n">
        <f aca="false">IF(D101&lt;AVERAGE($D$85:D101),D101-AVERAGE($D$85:D101),"")</f>
        <v>-0.0317294117647058</v>
      </c>
      <c r="J101" s="0" t="n">
        <f aca="false">IF(ISBLANK(A102),MONTH(A101),IF(MONTH(A102)-MONTH(A101)=1,MONTH(A101),0))</f>
        <v>0</v>
      </c>
      <c r="K101" s="0" t="str">
        <f aca="false">IF(B102&gt;B101,IF(AND(B100&gt;B101,B102&gt;B101),"min",""),IF(AND(B100&gt;B101,B102&gt;B101),"",IF(AND(B100&lt;B101,B102&lt;B101),"max","")))</f>
        <v/>
      </c>
      <c r="L101" s="0" t="str">
        <f aca="false">IF(K101="min",COUNTIF(K$4:K101,"min"),IF(K101="max",COUNTIF(K$4:K101,"max"),""))</f>
        <v/>
      </c>
      <c r="M101" s="24" t="str">
        <f aca="false" t="array" ref="M101:M101">IF($K$3=0,IF(K101="min",INDEX($B$4:$B$254,(MATCH(1,($K$4:$K$254="max")*($L$4:$L$254=(L101-1)),0))),""),IF($K$3=1,IF(K101="min",INDEX($B$4:$B$254,(MATCH(1,($K$4:$K$254="max")*($L$4:$L$254=(L101)),0))),""),""))</f>
        <v/>
      </c>
      <c r="N101" s="29" t="str">
        <f aca="false">IF(AND(K99=0,K101="min",L101=1),B101-B100,IF(K101="min",B101-M101,""))</f>
        <v/>
      </c>
      <c r="O101" s="34" t="str">
        <f aca="false">IF(AND(K99=0,K101="min",L101=1),(B101-B100)/B100,IF(K101="min",(B101-M101)/M101,""))</f>
        <v/>
      </c>
      <c r="P101" s="19" t="n">
        <f aca="false">D101-s_p!H101</f>
        <v>-0.0213500035655708</v>
      </c>
      <c r="Q101" s="19" t="n">
        <f aca="false">IF(P101&lt;0, P101^2, 0)</f>
        <v>0.000455822652249886</v>
      </c>
      <c r="R101" s="5"/>
      <c r="S101" s="5"/>
      <c r="T101" s="5"/>
      <c r="U101" s="5"/>
      <c r="V101" s="5"/>
    </row>
    <row r="102" customFormat="false" ht="13.8" hidden="false" customHeight="false" outlineLevel="0" collapsed="false">
      <c r="A102" s="6" t="n">
        <f aca="false">WORKDAY(A101,1,holiday!$B$2:$B$10)</f>
        <v>38861</v>
      </c>
      <c r="B102" s="24" t="n">
        <v>1151552.55235198</v>
      </c>
      <c r="C102" s="24" t="n">
        <f aca="false">B102-B101</f>
        <v>-39051.8235288926</v>
      </c>
      <c r="D102" s="5" t="n">
        <f aca="false">C102/B101</f>
        <v>-0.0327999999999999</v>
      </c>
      <c r="E102" s="5" t="n">
        <f aca="false" t="array" ref="E102:E102">PRODUCT(1+$D$4:D102)-1</f>
        <v>0.151552552351982</v>
      </c>
      <c r="F102" s="45" t="n">
        <f aca="false">E102/COUNT($E$4:E102)</f>
        <v>0.00153083386214123</v>
      </c>
      <c r="G102" s="5" t="n">
        <f aca="false">F102*252</f>
        <v>0.385770133259591</v>
      </c>
      <c r="H102" s="46" t="n">
        <f aca="false">IF(D102&lt;F102,D102-F102,"")</f>
        <v>-0.0343308338621411</v>
      </c>
      <c r="I102" s="46" t="n">
        <f aca="false">IF(D102&lt;AVERAGE($D$85:D102),D102-AVERAGE($D$85:D102),"")</f>
        <v>-0.0366722222222222</v>
      </c>
      <c r="J102" s="0" t="n">
        <f aca="false">IF(ISBLANK(A103),MONTH(A102),IF(MONTH(A103)-MONTH(A102)=1,MONTH(A102),0))</f>
        <v>0</v>
      </c>
      <c r="K102" s="0" t="str">
        <f aca="false">IF(B103&gt;B102,IF(AND(B101&gt;B102,B103&gt;B102),"min",""),IF(AND(B101&gt;B102,B103&gt;B102),"",IF(AND(B101&lt;B102,B103&lt;B102),"max","")))</f>
        <v>min</v>
      </c>
      <c r="L102" s="0" t="n">
        <f aca="false">IF(K102="min",COUNTIF(K$4:K102,"min"),IF(K102="max",COUNTIF(K$4:K102,"max"),""))</f>
        <v>25</v>
      </c>
      <c r="M102" s="24" t="n">
        <f aca="false" t="array" ref="M102:M102">IF($K$3=0,IF(K102="min",INDEX($B$4:$B$254,(MATCH(1,($K$4:$K$254="max")*($L$4:$L$254=(L102-1)),0))),""),IF($K$3=1,IF(K102="min",INDEX($B$4:$B$254,(MATCH(1,($K$4:$K$254="max")*($L$4:$L$254=(L102)),0))),""),""))</f>
        <v>1222010.0337482</v>
      </c>
      <c r="N102" s="29" t="n">
        <f aca="false">IF(AND(K100=0,K102="min",L102=1),B102-B101,IF(K102="min",B102-M102,""))</f>
        <v>-70457.4813962199</v>
      </c>
      <c r="O102" s="34" t="n">
        <f aca="false">IF(AND(K100=0,K102="min",L102=1),(B102-B101)/B101,IF(K102="min",(B102-M102)/M102,""))</f>
        <v>-0.0576570399999989</v>
      </c>
      <c r="P102" s="19" t="n">
        <f aca="false">D102-s_p!H102</f>
        <v>-0.0343836635948367</v>
      </c>
      <c r="Q102" s="19" t="n">
        <f aca="false">IF(P102&lt;0, P102^2, 0)</f>
        <v>0.0011822363222029</v>
      </c>
      <c r="R102" s="5"/>
      <c r="S102" s="5"/>
      <c r="T102" s="5"/>
      <c r="U102" s="5"/>
      <c r="V102" s="5"/>
    </row>
    <row r="103" customFormat="false" ht="13.8" hidden="false" customHeight="false" outlineLevel="0" collapsed="false">
      <c r="A103" s="6" t="n">
        <f aca="false">WORKDAY(A102,1,holiday!$B$2:$B$10)</f>
        <v>38862</v>
      </c>
      <c r="B103" s="24" t="n">
        <v>1162146.83583362</v>
      </c>
      <c r="C103" s="24" t="n">
        <f aca="false">B103-B102</f>
        <v>10594.2834816382</v>
      </c>
      <c r="D103" s="5" t="n">
        <f aca="false">C103/B102</f>
        <v>0.00919999999999996</v>
      </c>
      <c r="E103" s="5" t="n">
        <f aca="false" t="array" ref="E103:E103">PRODUCT(1+$D$4:D103)-1</f>
        <v>0.16214683583362</v>
      </c>
      <c r="F103" s="45" t="n">
        <f aca="false">E103/COUNT($E$4:E103)</f>
        <v>0.0016214683583362</v>
      </c>
      <c r="G103" s="5" t="n">
        <f aca="false">F103*252</f>
        <v>0.408610026300723</v>
      </c>
      <c r="H103" s="46" t="str">
        <f aca="false">IF(D103&lt;F103,D103-F103,"")</f>
        <v/>
      </c>
      <c r="I103" s="46" t="str">
        <f aca="false">IF(D103&lt;AVERAGE($D$85:D103),D103-AVERAGE($D$85:D103),"")</f>
        <v/>
      </c>
      <c r="J103" s="0" t="n">
        <f aca="false">IF(ISBLANK(A104),MONTH(A103),IF(MONTH(A104)-MONTH(A103)=1,MONTH(A103),0))</f>
        <v>0</v>
      </c>
      <c r="K103" s="0" t="str">
        <f aca="false">IF(B104&gt;B103,IF(AND(B102&gt;B103,B104&gt;B103),"min",""),IF(AND(B102&gt;B103,B104&gt;B103),"",IF(AND(B102&lt;B103,B104&lt;B103),"max","")))</f>
        <v/>
      </c>
      <c r="L103" s="0" t="str">
        <f aca="false">IF(K103="min",COUNTIF(K$4:K103,"min"),IF(K103="max",COUNTIF(K$4:K103,"max"),""))</f>
        <v/>
      </c>
      <c r="M103" s="24" t="str">
        <f aca="false" t="array" ref="M103:M103">IF($K$3=0,IF(K103="min",INDEX($B$4:$B$254,(MATCH(1,($K$4:$K$254="max")*($L$4:$L$254=(L103-1)),0))),""),IF($K$3=1,IF(K103="min",INDEX($B$4:$B$254,(MATCH(1,($K$4:$K$254="max")*($L$4:$L$254=(L103)),0))),""),""))</f>
        <v/>
      </c>
      <c r="N103" s="29" t="str">
        <f aca="false">IF(AND(K101=0,K103="min",L103=1),B103-B102,IF(K103="min",B103-M103,""))</f>
        <v/>
      </c>
      <c r="O103" s="34" t="str">
        <f aca="false">IF(AND(K101=0,K103="min",L103=1),(B103-B102)/B102,IF(K103="min",(B103-M103)/M103,""))</f>
        <v/>
      </c>
      <c r="P103" s="19" t="n">
        <f aca="false">D103-s_p!H103</f>
        <v>-0.00217004695805581</v>
      </c>
      <c r="Q103" s="19" t="n">
        <f aca="false">IF(P103&lt;0, P103^2, 0)</f>
        <v>4.70910380016728E-006</v>
      </c>
      <c r="R103" s="5"/>
      <c r="S103" s="5"/>
      <c r="T103" s="5"/>
      <c r="U103" s="5"/>
      <c r="V103" s="5"/>
    </row>
    <row r="104" customFormat="false" ht="13.8" hidden="false" customHeight="false" outlineLevel="0" collapsed="false">
      <c r="A104" s="6" t="n">
        <f aca="false">WORKDAY(A103,1,holiday!$B$2:$B$10)</f>
        <v>38863</v>
      </c>
      <c r="B104" s="24" t="n">
        <v>1195616.66470563</v>
      </c>
      <c r="C104" s="24" t="n">
        <f aca="false">B104-B103</f>
        <v>33469.8288720082</v>
      </c>
      <c r="D104" s="5" t="n">
        <f aca="false">C104/B103</f>
        <v>0.0288</v>
      </c>
      <c r="E104" s="5" t="n">
        <f aca="false" t="array" ref="E104:E104">PRODUCT(1+$D$4:D104)-1</f>
        <v>0.195616664705628</v>
      </c>
      <c r="F104" s="45" t="n">
        <f aca="false">E104/COUNT($E$4:E104)</f>
        <v>0.00193679866045177</v>
      </c>
      <c r="G104" s="5" t="n">
        <f aca="false">F104*252</f>
        <v>0.488073262433845</v>
      </c>
      <c r="H104" s="46" t="str">
        <f aca="false">IF(D104&lt;F104,D104-F104,"")</f>
        <v/>
      </c>
      <c r="I104" s="46" t="str">
        <f aca="false">IF(D104&lt;AVERAGE($D$85:D104),D104-AVERAGE($D$85:D104),"")</f>
        <v/>
      </c>
      <c r="J104" s="0" t="n">
        <f aca="false">IF(ISBLANK(A105),MONTH(A104),IF(MONTH(A105)-MONTH(A104)=1,MONTH(A104),0))</f>
        <v>0</v>
      </c>
      <c r="K104" s="0" t="str">
        <f aca="false">IF(B105&gt;B104,IF(AND(B103&gt;B104,B105&gt;B104),"min",""),IF(AND(B103&gt;B104,B105&gt;B104),"",IF(AND(B103&lt;B104,B105&lt;B104),"max","")))</f>
        <v>max</v>
      </c>
      <c r="L104" s="0" t="n">
        <f aca="false">IF(K104="min",COUNTIF(K$4:K104,"min"),IF(K104="max",COUNTIF(K$4:K104,"max"),""))</f>
        <v>25</v>
      </c>
      <c r="M104" s="24" t="str">
        <f aca="false" t="array" ref="M104:M104">IF($K$3=0,IF(K104="min",INDEX($B$4:$B$254,(MATCH(1,($K$4:$K$254="max")*($L$4:$L$254=(L104-1)),0))),""),IF($K$3=1,IF(K104="min",INDEX($B$4:$B$254,(MATCH(1,($K$4:$K$254="max")*($L$4:$L$254=(L104)),0))),""),""))</f>
        <v/>
      </c>
      <c r="N104" s="29" t="str">
        <f aca="false">IF(AND(K102=0,K104="min",L104=1),B104-B103,IF(K104="min",B104-M104,""))</f>
        <v/>
      </c>
      <c r="O104" s="34" t="str">
        <f aca="false">IF(AND(K102=0,K104="min",L104=1),(B104-B103)/B103,IF(K104="min",(B104-M104)/M104,""))</f>
        <v/>
      </c>
      <c r="P104" s="19" t="n">
        <f aca="false">D104-s_p!H104</f>
        <v>0.0230806863176419</v>
      </c>
      <c r="Q104" s="19" t="n">
        <f aca="false">IF(P104&lt;0, P104^2, 0)</f>
        <v>0</v>
      </c>
      <c r="R104" s="5"/>
      <c r="S104" s="5"/>
      <c r="T104" s="5"/>
      <c r="U104" s="5"/>
      <c r="V104" s="5"/>
    </row>
    <row r="105" customFormat="false" ht="13.8" hidden="false" customHeight="false" outlineLevel="0" collapsed="false">
      <c r="A105" s="6" t="n">
        <f aca="false">WORKDAY(A104,1,holiday!$B$2:$B$10)</f>
        <v>38867</v>
      </c>
      <c r="B105" s="24" t="n">
        <v>1193225.43137622</v>
      </c>
      <c r="C105" s="24" t="n">
        <f aca="false">B105-B104</f>
        <v>-2391.23332941136</v>
      </c>
      <c r="D105" s="5" t="n">
        <f aca="false">C105/B104</f>
        <v>-0.00200000000000009</v>
      </c>
      <c r="E105" s="5" t="n">
        <f aca="false" t="array" ref="E105:E105">PRODUCT(1+$D$4:D105)-1</f>
        <v>0.193225431376217</v>
      </c>
      <c r="F105" s="45" t="n">
        <f aca="false">E105/COUNT($E$4:E105)</f>
        <v>0.00189436697427664</v>
      </c>
      <c r="G105" s="5" t="n">
        <f aca="false">F105*252</f>
        <v>0.477380477517713</v>
      </c>
      <c r="H105" s="46" t="n">
        <f aca="false">IF(D105&lt;F105,D105-F105,"")</f>
        <v>-0.00389436697427673</v>
      </c>
      <c r="I105" s="46" t="n">
        <f aca="false">IF(D105&lt;AVERAGE($D$85:D105),D105-AVERAGE($D$85:D105),"")</f>
        <v>-0.00703333333333343</v>
      </c>
      <c r="J105" s="0" t="n">
        <f aca="false">IF(ISBLANK(A106),MONTH(A105),IF(MONTH(A106)-MONTH(A105)=1,MONTH(A105),0))</f>
        <v>0</v>
      </c>
      <c r="K105" s="0" t="str">
        <f aca="false">IF(B106&gt;B105,IF(AND(B104&gt;B105,B106&gt;B105),"min",""),IF(AND(B104&gt;B105,B106&gt;B105),"",IF(AND(B104&lt;B105,B106&lt;B105),"max","")))</f>
        <v>min</v>
      </c>
      <c r="L105" s="0" t="n">
        <f aca="false">IF(K105="min",COUNTIF(K$4:K105,"min"),IF(K105="max",COUNTIF(K$4:K105,"max"),""))</f>
        <v>26</v>
      </c>
      <c r="M105" s="24" t="n">
        <f aca="false" t="array" ref="M105:M105">IF($K$3=0,IF(K105="min",INDEX($B$4:$B$254,(MATCH(1,($K$4:$K$254="max")*($L$4:$L$254=(L105-1)),0))),""),IF($K$3=1,IF(K105="min",INDEX($B$4:$B$254,(MATCH(1,($K$4:$K$254="max")*($L$4:$L$254=(L105)),0))),""),""))</f>
        <v>1195616.66470563</v>
      </c>
      <c r="N105" s="29" t="n">
        <f aca="false">IF(AND(K103=0,K105="min",L105=1),B105-B104,IF(K105="min",B105-M105,""))</f>
        <v>-2391.23332940997</v>
      </c>
      <c r="O105" s="34" t="n">
        <f aca="false">IF(AND(K103=0,K105="min",L105=1),(B105-B104)/B104,IF(K105="min",(B105-M105)/M105,""))</f>
        <v>-0.00199999999999892</v>
      </c>
      <c r="P105" s="19" t="n">
        <f aca="false">D105-s_p!H105</f>
        <v>0.0138495813023373</v>
      </c>
      <c r="Q105" s="19" t="n">
        <f aca="false">IF(P105&lt;0, P105^2, 0)</f>
        <v>0</v>
      </c>
      <c r="R105" s="5"/>
      <c r="S105" s="5"/>
      <c r="T105" s="5"/>
      <c r="U105" s="5"/>
      <c r="V105" s="5"/>
    </row>
    <row r="106" customFormat="false" ht="13.8" hidden="false" customHeight="false" outlineLevel="0" collapsed="false">
      <c r="A106" s="6" t="n">
        <f aca="false">WORKDAY(A105,1,holiday!$B$2:$B$10)</f>
        <v>38868</v>
      </c>
      <c r="B106" s="24" t="n">
        <v>1227590.32379985</v>
      </c>
      <c r="C106" s="24" t="n">
        <f aca="false">B106-B105</f>
        <v>34364.8924236351</v>
      </c>
      <c r="D106" s="5" t="n">
        <f aca="false">C106/B105</f>
        <v>0.0288000000000001</v>
      </c>
      <c r="E106" s="5" t="n">
        <f aca="false" t="array" ref="E106:E106">PRODUCT(1+$D$4:D106)-1</f>
        <v>0.227590323799852</v>
      </c>
      <c r="F106" s="45" t="n">
        <f aca="false">E106/COUNT($E$4:E106)</f>
        <v>0.00220961479417332</v>
      </c>
      <c r="G106" s="5" t="n">
        <f aca="false">F106*252</f>
        <v>0.556822928131678</v>
      </c>
      <c r="H106" s="46" t="str">
        <f aca="false">IF(D106&lt;F106,D106-F106,"")</f>
        <v/>
      </c>
      <c r="I106" s="46" t="str">
        <f aca="false">IF(D106&lt;AVERAGE($D$85:D106),D106-AVERAGE($D$85:D106),"")</f>
        <v/>
      </c>
      <c r="J106" s="0" t="n">
        <f aca="false">IF(ISBLANK(A107),MONTH(A106),IF(MONTH(A107)-MONTH(A106)=1,MONTH(A106),0))</f>
        <v>5</v>
      </c>
      <c r="K106" s="0" t="str">
        <f aca="false">IF(B107&gt;B106,IF(AND(B105&gt;B106,B107&gt;B106),"min",""),IF(AND(B105&gt;B106,B107&gt;B106),"",IF(AND(B105&lt;B106,B107&lt;B106),"max","")))</f>
        <v/>
      </c>
      <c r="L106" s="0" t="str">
        <f aca="false">IF(K106="min",COUNTIF(K$4:K106,"min"),IF(K106="max",COUNTIF(K$4:K106,"max"),""))</f>
        <v/>
      </c>
      <c r="M106" s="24" t="str">
        <f aca="false" t="array" ref="M106:M106">IF($K$3=0,IF(K106="min",INDEX($B$4:$B$254,(MATCH(1,($K$4:$K$254="max")*($L$4:$L$254=(L106-1)),0))),""),IF($K$3=1,IF(K106="min",INDEX($B$4:$B$254,(MATCH(1,($K$4:$K$254="max")*($L$4:$L$254=(L106)),0))),""),""))</f>
        <v/>
      </c>
      <c r="N106" s="29" t="str">
        <f aca="false">IF(AND(K104=0,K106="min",L106=1),B106-B105,IF(K106="min",B106-M106,""))</f>
        <v/>
      </c>
      <c r="O106" s="34" t="str">
        <f aca="false">IF(AND(K104=0,K106="min",L106=1),(B106-B105)/B105,IF(K106="min",(B106-M106)/M106,""))</f>
        <v/>
      </c>
      <c r="P106" s="19" t="n">
        <f aca="false">D106-s_p!H106</f>
        <v>0.020688051941867</v>
      </c>
      <c r="Q106" s="19" t="n">
        <f aca="false">IF(P106&lt;0, P106^2, 0)</f>
        <v>0</v>
      </c>
      <c r="R106" s="5"/>
      <c r="S106" s="5"/>
      <c r="T106" s="5"/>
      <c r="U106" s="5"/>
      <c r="V106" s="5"/>
    </row>
    <row r="107" customFormat="false" ht="13.8" hidden="false" customHeight="false" outlineLevel="0" collapsed="false">
      <c r="A107" s="6" t="n">
        <f aca="false">WORKDAY(A106,1,holiday!$B$2:$B$10)</f>
        <v>38869</v>
      </c>
      <c r="B107" s="24" t="n">
        <v>1261962.85286625</v>
      </c>
      <c r="C107" s="24" t="n">
        <f aca="false">B107-B106</f>
        <v>34372.5290663959</v>
      </c>
      <c r="D107" s="5" t="n">
        <f aca="false">C107/B106</f>
        <v>0.0280000000000001</v>
      </c>
      <c r="E107" s="5" t="n">
        <f aca="false" t="array" ref="E107:E107">PRODUCT(1+$D$4:D107)-1</f>
        <v>0.261962852866248</v>
      </c>
      <c r="F107" s="45" t="n">
        <f aca="false">E107/COUNT($E$4:E107)</f>
        <v>0.00251887358525239</v>
      </c>
      <c r="G107" s="5" t="n">
        <f aca="false">F107*252</f>
        <v>0.634756143483601</v>
      </c>
      <c r="H107" s="46" t="str">
        <f aca="false">IF(D107&lt;F107,D107-F107,"")</f>
        <v/>
      </c>
      <c r="I107" s="46" t="str">
        <f aca="false">IF(D107&lt;AVERAGE($D$107:D107),D107-AVERAGE($D$107:D107),"")</f>
        <v/>
      </c>
      <c r="J107" s="0" t="n">
        <f aca="false">IF(ISBLANK(A108),MONTH(A107),IF(MONTH(A108)-MONTH(A107)=1,MONTH(A107),0))</f>
        <v>0</v>
      </c>
      <c r="K107" s="0" t="str">
        <f aca="false">IF(B108&gt;B107,IF(AND(B106&gt;B107,B108&gt;B107),"min",""),IF(AND(B106&gt;B107,B108&gt;B107),"",IF(AND(B106&lt;B107,B108&lt;B107),"max","")))</f>
        <v>max</v>
      </c>
      <c r="L107" s="0" t="n">
        <f aca="false">IF(K107="min",COUNTIF(K$4:K107,"min"),IF(K107="max",COUNTIF(K$4:K107,"max"),""))</f>
        <v>26</v>
      </c>
      <c r="M107" s="24" t="str">
        <f aca="false" t="array" ref="M107:M107">IF($K$3=0,IF(K107="min",INDEX($B$4:$B$254,(MATCH(1,($K$4:$K$254="max")*($L$4:$L$254=(L107-1)),0))),""),IF($K$3=1,IF(K107="min",INDEX($B$4:$B$254,(MATCH(1,($K$4:$K$254="max")*($L$4:$L$254=(L107)),0))),""),""))</f>
        <v/>
      </c>
      <c r="N107" s="29" t="str">
        <f aca="false">IF(AND(K105=0,K107="min",L107=1),B107-B106,IF(K107="min",B107-M107,""))</f>
        <v/>
      </c>
      <c r="O107" s="34" t="str">
        <f aca="false">IF(AND(K105=0,K107="min",L107=1),(B107-B106)/B106,IF(K107="min",(B107-M107)/M107,""))</f>
        <v/>
      </c>
      <c r="P107" s="19" t="n">
        <f aca="false">D107-s_p!H107</f>
        <v>0.0157016589375556</v>
      </c>
      <c r="Q107" s="19" t="n">
        <f aca="false">IF(P107&lt;0, P107^2, 0)</f>
        <v>0</v>
      </c>
      <c r="R107" s="5"/>
      <c r="S107" s="5"/>
      <c r="T107" s="5"/>
      <c r="U107" s="5"/>
      <c r="V107" s="5"/>
    </row>
    <row r="108" customFormat="false" ht="13.8" hidden="false" customHeight="false" outlineLevel="0" collapsed="false">
      <c r="A108" s="6" t="n">
        <f aca="false">WORKDAY(A107,1,holiday!$B$2:$B$10)</f>
        <v>38870</v>
      </c>
      <c r="B108" s="24" t="n">
        <v>1250226.59833459</v>
      </c>
      <c r="C108" s="24" t="n">
        <f aca="false">B108-B107</f>
        <v>-11736.2545316562</v>
      </c>
      <c r="D108" s="5" t="n">
        <f aca="false">C108/B107</f>
        <v>-0.00930000000000004</v>
      </c>
      <c r="E108" s="5" t="n">
        <f aca="false" t="array" ref="E108:E108">PRODUCT(1+$D$4:D108)-1</f>
        <v>0.250226598334592</v>
      </c>
      <c r="F108" s="45" t="n">
        <f aca="false">E108/COUNT($E$4:E108)</f>
        <v>0.00238311046032945</v>
      </c>
      <c r="G108" s="5" t="n">
        <f aca="false">F108*252</f>
        <v>0.600543836003021</v>
      </c>
      <c r="H108" s="46" t="n">
        <f aca="false">IF(D108&lt;F108,D108-F108,"")</f>
        <v>-0.0116831104603295</v>
      </c>
      <c r="I108" s="46" t="n">
        <f aca="false">IF(D108&lt;AVERAGE($D$107:D108),D108-AVERAGE($D$107:D108),"")</f>
        <v>-0.0186500000000001</v>
      </c>
      <c r="J108" s="0" t="n">
        <f aca="false">IF(ISBLANK(A109),MONTH(A108),IF(MONTH(A109)-MONTH(A108)=1,MONTH(A108),0))</f>
        <v>0</v>
      </c>
      <c r="K108" s="0" t="str">
        <f aca="false">IF(B109&gt;B108,IF(AND(B107&gt;B108,B109&gt;B108),"min",""),IF(AND(B107&gt;B108,B109&gt;B108),"",IF(AND(B107&lt;B108,B109&lt;B108),"max","")))</f>
        <v>min</v>
      </c>
      <c r="L108" s="0" t="n">
        <f aca="false">IF(K108="min",COUNTIF(K$4:K108,"min"),IF(K108="max",COUNTIF(K$4:K108,"max"),""))</f>
        <v>27</v>
      </c>
      <c r="M108" s="24" t="n">
        <f aca="false" t="array" ref="M108:M108">IF($K$3=0,IF(K108="min",INDEX($B$4:$B$254,(MATCH(1,($K$4:$K$254="max")*($L$4:$L$254=(L108-1)),0))),""),IF($K$3=1,IF(K108="min",INDEX($B$4:$B$254,(MATCH(1,($K$4:$K$254="max")*($L$4:$L$254=(L108)),0))),""),""))</f>
        <v>1261962.85286625</v>
      </c>
      <c r="N108" s="29" t="n">
        <f aca="false">IF(AND(K106=0,K108="min",L108=1),B108-B107,IF(K108="min",B108-M108,""))</f>
        <v>-11736.2545316601</v>
      </c>
      <c r="O108" s="34" t="n">
        <f aca="false">IF(AND(K106=0,K108="min",L108=1),(B108-B107)/B107,IF(K108="min",(B108-M108)/M108,""))</f>
        <v>-0.00930000000000316</v>
      </c>
      <c r="P108" s="19" t="n">
        <f aca="false">D108-s_p!H108</f>
        <v>-0.0112522287296514</v>
      </c>
      <c r="Q108" s="19" t="n">
        <f aca="false">IF(P108&lt;0, P108^2, 0)</f>
        <v>0.000126612651384392</v>
      </c>
      <c r="R108" s="5"/>
      <c r="S108" s="5"/>
      <c r="T108" s="5"/>
      <c r="U108" s="5"/>
      <c r="V108" s="5"/>
    </row>
    <row r="109" customFormat="false" ht="13.8" hidden="false" customHeight="false" outlineLevel="0" collapsed="false">
      <c r="A109" s="6" t="n">
        <f aca="false">WORKDAY(A108,1,holiday!$B$2:$B$10)</f>
        <v>38873</v>
      </c>
      <c r="B109" s="24" t="n">
        <v>1272480.63178495</v>
      </c>
      <c r="C109" s="24" t="n">
        <f aca="false">B109-B108</f>
        <v>22254.0334503558</v>
      </c>
      <c r="D109" s="5" t="n">
        <f aca="false">C109/B108</f>
        <v>0.0178</v>
      </c>
      <c r="E109" s="5" t="n">
        <f aca="false" t="array" ref="E109:E109">PRODUCT(1+$D$4:D109)-1</f>
        <v>0.272480631784948</v>
      </c>
      <c r="F109" s="45" t="n">
        <f aca="false">E109/COUNT($E$4:E109)</f>
        <v>0.0025705719979712</v>
      </c>
      <c r="G109" s="5" t="n">
        <f aca="false">F109*252</f>
        <v>0.647784143488744</v>
      </c>
      <c r="H109" s="46" t="str">
        <f aca="false">IF(D109&lt;F109,D109-F109,"")</f>
        <v/>
      </c>
      <c r="I109" s="46" t="str">
        <f aca="false">IF(D109&lt;AVERAGE($D$107:D109),D109-AVERAGE($D$107:D109),"")</f>
        <v/>
      </c>
      <c r="J109" s="0" t="n">
        <f aca="false">IF(ISBLANK(A110),MONTH(A109),IF(MONTH(A110)-MONTH(A109)=1,MONTH(A109),0))</f>
        <v>0</v>
      </c>
      <c r="K109" s="0" t="str">
        <f aca="false">IF(B110&gt;B109,IF(AND(B108&gt;B109,B110&gt;B109),"min",""),IF(AND(B108&gt;B109,B110&gt;B109),"",IF(AND(B108&lt;B109,B110&lt;B109),"max","")))</f>
        <v>max</v>
      </c>
      <c r="L109" s="0" t="n">
        <f aca="false">IF(K109="min",COUNTIF(K$4:K109,"min"),IF(K109="max",COUNTIF(K$4:K109,"max"),""))</f>
        <v>27</v>
      </c>
      <c r="M109" s="24" t="str">
        <f aca="false" t="array" ref="M109:M109">IF($K$3=0,IF(K109="min",INDEX($B$4:$B$254,(MATCH(1,($K$4:$K$254="max")*($L$4:$L$254=(L109-1)),0))),""),IF($K$3=1,IF(K109="min",INDEX($B$4:$B$254,(MATCH(1,($K$4:$K$254="max")*($L$4:$L$254=(L109)),0))),""),""))</f>
        <v/>
      </c>
      <c r="N109" s="29" t="str">
        <f aca="false">IF(AND(K107=0,K109="min",L109=1),B109-B108,IF(K109="min",B109-M109,""))</f>
        <v/>
      </c>
      <c r="O109" s="34" t="str">
        <f aca="false">IF(AND(K107=0,K109="min",L109=1),(B109-B108)/B108,IF(K109="min",(B109-M109)/M109,""))</f>
        <v/>
      </c>
      <c r="P109" s="19" t="n">
        <f aca="false">D109-s_p!H109</f>
        <v>0.0355997547002842</v>
      </c>
      <c r="Q109" s="19" t="n">
        <f aca="false">IF(P109&lt;0, P109^2, 0)</f>
        <v>0</v>
      </c>
      <c r="R109" s="5"/>
      <c r="S109" s="5"/>
      <c r="T109" s="5"/>
      <c r="U109" s="5"/>
      <c r="V109" s="5"/>
    </row>
    <row r="110" customFormat="false" ht="13.8" hidden="false" customHeight="false" outlineLevel="0" collapsed="false">
      <c r="A110" s="6" t="n">
        <f aca="false">WORKDAY(A109,1,holiday!$B$2:$B$10)</f>
        <v>38874</v>
      </c>
      <c r="B110" s="24" t="n">
        <v>1226035.0887248</v>
      </c>
      <c r="C110" s="24" t="n">
        <f aca="false">B110-B109</f>
        <v>-46445.5430601507</v>
      </c>
      <c r="D110" s="5" t="n">
        <f aca="false">C110/B109</f>
        <v>-0.0365000000000001</v>
      </c>
      <c r="E110" s="5" t="n">
        <f aca="false" t="array" ref="E110:E110">PRODUCT(1+$D$4:D110)-1</f>
        <v>0.226035088724797</v>
      </c>
      <c r="F110" s="45" t="n">
        <f aca="false">E110/COUNT($E$4:E110)</f>
        <v>0.00211247746471773</v>
      </c>
      <c r="G110" s="5" t="n">
        <f aca="false">F110*252</f>
        <v>0.532344321108868</v>
      </c>
      <c r="H110" s="46" t="n">
        <f aca="false">IF(D110&lt;F110,D110-F110,"")</f>
        <v>-0.0386124774647178</v>
      </c>
      <c r="I110" s="46" t="n">
        <f aca="false">IF(D110&lt;AVERAGE($D$107:D110),D110-AVERAGE($D$107:D110),"")</f>
        <v>-0.0365000000000001</v>
      </c>
      <c r="J110" s="0" t="n">
        <f aca="false">IF(ISBLANK(A111),MONTH(A110),IF(MONTH(A111)-MONTH(A110)=1,MONTH(A110),0))</f>
        <v>0</v>
      </c>
      <c r="K110" s="0" t="str">
        <f aca="false">IF(B111&gt;B110,IF(AND(B109&gt;B110,B111&gt;B110),"min",""),IF(AND(B109&gt;B110,B111&gt;B110),"",IF(AND(B109&lt;B110,B111&lt;B110),"max","")))</f>
        <v/>
      </c>
      <c r="L110" s="0" t="str">
        <f aca="false">IF(K110="min",COUNTIF(K$4:K110,"min"),IF(K110="max",COUNTIF(K$4:K110,"max"),""))</f>
        <v/>
      </c>
      <c r="M110" s="24" t="str">
        <f aca="false" t="array" ref="M110:M110">IF($K$3=0,IF(K110="min",INDEX($B$4:$B$254,(MATCH(1,($K$4:$K$254="max")*($L$4:$L$254=(L110-1)),0))),""),IF($K$3=1,IF(K110="min",INDEX($B$4:$B$254,(MATCH(1,($K$4:$K$254="max")*($L$4:$L$254=(L110)),0))),""),""))</f>
        <v/>
      </c>
      <c r="N110" s="29" t="str">
        <f aca="false">IF(AND(K108=0,K110="min",L110=1),B110-B109,IF(K110="min",B110-M110,""))</f>
        <v/>
      </c>
      <c r="O110" s="34" t="str">
        <f aca="false">IF(AND(K108=0,K110="min",L110=1),(B110-B109)/B109,IF(K110="min",(B110-M110)/M110,""))</f>
        <v/>
      </c>
      <c r="P110" s="19" t="n">
        <f aca="false">D110-s_p!H110</f>
        <v>-0.0353619209825416</v>
      </c>
      <c r="Q110" s="19" t="n">
        <f aca="false">IF(P110&lt;0, P110^2, 0)</f>
        <v>0.00125046545557552</v>
      </c>
      <c r="R110" s="5"/>
      <c r="S110" s="5"/>
      <c r="T110" s="5"/>
      <c r="U110" s="5"/>
      <c r="V110" s="5"/>
    </row>
    <row r="111" customFormat="false" ht="13.8" hidden="false" customHeight="false" outlineLevel="0" collapsed="false">
      <c r="A111" s="6" t="n">
        <f aca="false">WORKDAY(A110,1,holiday!$B$2:$B$10)</f>
        <v>38875</v>
      </c>
      <c r="B111" s="24" t="n">
        <v>1215491.18696176</v>
      </c>
      <c r="C111" s="24" t="n">
        <f aca="false">B111-B110</f>
        <v>-10543.9017630334</v>
      </c>
      <c r="D111" s="5" t="n">
        <f aca="false">C111/B110</f>
        <v>-0.00860000000000008</v>
      </c>
      <c r="E111" s="5" t="n">
        <f aca="false" t="array" ref="E111:E111">PRODUCT(1+$D$4:D111)-1</f>
        <v>0.215491186961764</v>
      </c>
      <c r="F111" s="45" t="n">
        <f aca="false">E111/COUNT($E$4:E111)</f>
        <v>0.00199528876816448</v>
      </c>
      <c r="G111" s="5" t="n">
        <f aca="false">F111*252</f>
        <v>0.502812769577449</v>
      </c>
      <c r="H111" s="46" t="n">
        <f aca="false">IF(D111&lt;F111,D111-F111,"")</f>
        <v>-0.0105952887681646</v>
      </c>
      <c r="I111" s="46" t="n">
        <f aca="false">IF(D111&lt;AVERAGE($D$107:D111),D111-AVERAGE($D$107:D111),"")</f>
        <v>-0.00688000000000006</v>
      </c>
      <c r="J111" s="0" t="n">
        <f aca="false">IF(ISBLANK(A112),MONTH(A111),IF(MONTH(A112)-MONTH(A111)=1,MONTH(A111),0))</f>
        <v>0</v>
      </c>
      <c r="K111" s="0" t="str">
        <f aca="false">IF(B112&gt;B111,IF(AND(B110&gt;B111,B112&gt;B111),"min",""),IF(AND(B110&gt;B111,B112&gt;B111),"",IF(AND(B110&lt;B111,B112&lt;B111),"max","")))</f>
        <v/>
      </c>
      <c r="L111" s="0" t="str">
        <f aca="false">IF(K111="min",COUNTIF(K$4:K111,"min"),IF(K111="max",COUNTIF(K$4:K111,"max"),""))</f>
        <v/>
      </c>
      <c r="M111" s="24" t="str">
        <f aca="false" t="array" ref="M111:M111">IF($K$3=0,IF(K111="min",INDEX($B$4:$B$254,(MATCH(1,($K$4:$K$254="max")*($L$4:$L$254=(L111-1)),0))),""),IF($K$3=1,IF(K111="min",INDEX($B$4:$B$254,(MATCH(1,($K$4:$K$254="max")*($L$4:$L$254=(L111)),0))),""),""))</f>
        <v/>
      </c>
      <c r="N111" s="29" t="str">
        <f aca="false">IF(AND(K109=0,K111="min",L111=1),B111-B110,IF(K111="min",B111-M111,""))</f>
        <v/>
      </c>
      <c r="O111" s="34" t="str">
        <f aca="false">IF(AND(K109=0,K111="min",L111=1),(B111-B110)/B110,IF(K111="min",(B111-M111)/M111,""))</f>
        <v/>
      </c>
      <c r="P111" s="19" t="n">
        <f aca="false">D111-s_p!H111</f>
        <v>-0.00250750484630316</v>
      </c>
      <c r="Q111" s="19" t="n">
        <f aca="false">IF(P111&lt;0, P111^2, 0)</f>
        <v>6.28758055423384E-006</v>
      </c>
      <c r="R111" s="5"/>
      <c r="S111" s="5"/>
      <c r="T111" s="5"/>
      <c r="U111" s="5"/>
      <c r="V111" s="5"/>
    </row>
    <row r="112" customFormat="false" ht="13.8" hidden="false" customHeight="false" outlineLevel="0" collapsed="false">
      <c r="A112" s="6" t="n">
        <f aca="false">WORKDAY(A111,1,holiday!$B$2:$B$10)</f>
        <v>38876</v>
      </c>
      <c r="B112" s="24" t="n">
        <v>1199325.15417517</v>
      </c>
      <c r="C112" s="24" t="n">
        <f aca="false">B112-B111</f>
        <v>-16166.0327865914</v>
      </c>
      <c r="D112" s="5" t="n">
        <f aca="false">C112/B111</f>
        <v>-0.0133</v>
      </c>
      <c r="E112" s="5" t="n">
        <f aca="false" t="array" ref="E112:E112">PRODUCT(1+$D$4:D112)-1</f>
        <v>0.199325154175172</v>
      </c>
      <c r="F112" s="45" t="n">
        <f aca="false">E112/COUNT($E$4:E112)</f>
        <v>0.00182867113922177</v>
      </c>
      <c r="G112" s="5" t="n">
        <f aca="false">F112*252</f>
        <v>0.460825127083885</v>
      </c>
      <c r="H112" s="46" t="n">
        <f aca="false">IF(D112&lt;F112,D112-F112,"")</f>
        <v>-0.0151286711392218</v>
      </c>
      <c r="I112" s="46" t="n">
        <f aca="false">IF(D112&lt;AVERAGE($D$107:D112),D112-AVERAGE($D$107:D112),"")</f>
        <v>-0.00964999999999997</v>
      </c>
      <c r="J112" s="0" t="n">
        <f aca="false">IF(ISBLANK(A113),MONTH(A112),IF(MONTH(A113)-MONTH(A112)=1,MONTH(A112),0))</f>
        <v>0</v>
      </c>
      <c r="K112" s="0" t="str">
        <f aca="false">IF(B113&gt;B112,IF(AND(B111&gt;B112,B113&gt;B112),"min",""),IF(AND(B111&gt;B112,B113&gt;B112),"",IF(AND(B111&lt;B112,B113&lt;B112),"max","")))</f>
        <v/>
      </c>
      <c r="L112" s="0" t="str">
        <f aca="false">IF(K112="min",COUNTIF(K$4:K112,"min"),IF(K112="max",COUNTIF(K$4:K112,"max"),""))</f>
        <v/>
      </c>
      <c r="M112" s="24" t="str">
        <f aca="false" t="array" ref="M112:M112">IF($K$3=0,IF(K112="min",INDEX($B$4:$B$254,(MATCH(1,($K$4:$K$254="max")*($L$4:$L$254=(L112-1)),0))),""),IF($K$3=1,IF(K112="min",INDEX($B$4:$B$254,(MATCH(1,($K$4:$K$254="max")*($L$4:$L$254=(L112)),0))),""),""))</f>
        <v/>
      </c>
      <c r="N112" s="29" t="str">
        <f aca="false">IF(AND(K110=0,K112="min",L112=1),B112-B111,IF(K112="min",B112-M112,""))</f>
        <v/>
      </c>
      <c r="O112" s="34" t="str">
        <f aca="false">IF(AND(K110=0,K112="min",L112=1),(B112-B111)/B111,IF(K112="min",(B112-M112)/M112,""))</f>
        <v/>
      </c>
      <c r="P112" s="19" t="n">
        <f aca="false">D112-s_p!H112</f>
        <v>-0.0147170282211519</v>
      </c>
      <c r="Q112" s="19" t="n">
        <f aca="false">IF(P112&lt;0, P112^2, 0)</f>
        <v>0.000216590919662181</v>
      </c>
      <c r="R112" s="5"/>
      <c r="S112" s="5"/>
      <c r="T112" s="5"/>
      <c r="U112" s="5"/>
      <c r="V112" s="5"/>
    </row>
    <row r="113" customFormat="false" ht="13.8" hidden="false" customHeight="false" outlineLevel="0" collapsed="false">
      <c r="A113" s="6" t="n">
        <f aca="false">WORKDAY(A112,1,holiday!$B$2:$B$10)</f>
        <v>38877</v>
      </c>
      <c r="B113" s="24" t="n">
        <v>1162266.00691116</v>
      </c>
      <c r="C113" s="24" t="n">
        <f aca="false">B113-B112</f>
        <v>-37059.1472640128</v>
      </c>
      <c r="D113" s="5" t="n">
        <f aca="false">C113/B112</f>
        <v>-0.0309</v>
      </c>
      <c r="E113" s="5" t="n">
        <f aca="false" t="array" ref="E113:E113">PRODUCT(1+$D$4:D113)-1</f>
        <v>0.162266006911159</v>
      </c>
      <c r="F113" s="45" t="n">
        <f aca="false">E113/COUNT($E$4:E113)</f>
        <v>0.00147514551737418</v>
      </c>
      <c r="G113" s="5" t="n">
        <f aca="false">F113*252</f>
        <v>0.371736670378292</v>
      </c>
      <c r="H113" s="46" t="n">
        <f aca="false">IF(D113&lt;F113,D113-F113,"")</f>
        <v>-0.0323751455173742</v>
      </c>
      <c r="I113" s="46" t="n">
        <f aca="false">IF(D113&lt;AVERAGE($D$107:D113),D113-AVERAGE($D$107:D113),"")</f>
        <v>-0.0233571428571429</v>
      </c>
      <c r="J113" s="0" t="n">
        <f aca="false">IF(ISBLANK(A114),MONTH(A113),IF(MONTH(A114)-MONTH(A113)=1,MONTH(A113),0))</f>
        <v>0</v>
      </c>
      <c r="K113" s="0" t="str">
        <f aca="false">IF(B114&gt;B113,IF(AND(B112&gt;B113,B114&gt;B113),"min",""),IF(AND(B112&gt;B113,B114&gt;B113),"",IF(AND(B112&lt;B113,B114&lt;B113),"max","")))</f>
        <v>min</v>
      </c>
      <c r="L113" s="0" t="n">
        <f aca="false">IF(K113="min",COUNTIF(K$4:K113,"min"),IF(K113="max",COUNTIF(K$4:K113,"max"),""))</f>
        <v>28</v>
      </c>
      <c r="M113" s="24" t="n">
        <f aca="false" t="array" ref="M113:M113">IF($K$3=0,IF(K113="min",INDEX($B$4:$B$254,(MATCH(1,($K$4:$K$254="max")*($L$4:$L$254=(L113-1)),0))),""),IF($K$3=1,IF(K113="min",INDEX($B$4:$B$254,(MATCH(1,($K$4:$K$254="max")*($L$4:$L$254=(L113)),0))),""),""))</f>
        <v>1272480.63178495</v>
      </c>
      <c r="N113" s="29" t="n">
        <f aca="false">IF(AND(K111=0,K113="min",L113=1),B113-B112,IF(K113="min",B113-M113,""))</f>
        <v>-110214.62487379</v>
      </c>
      <c r="O113" s="34" t="n">
        <f aca="false">IF(AND(K111=0,K113="min",L113=1),(B113-B112)/B112,IF(K113="min",(B113-M113)/M113,""))</f>
        <v>-0.0866139901235183</v>
      </c>
      <c r="P113" s="19" t="n">
        <f aca="false">D113-s_p!H113</f>
        <v>-0.0264243932492268</v>
      </c>
      <c r="Q113" s="19" t="n">
        <f aca="false">IF(P113&lt;0, P113^2, 0)</f>
        <v>0.000698248558589783</v>
      </c>
      <c r="R113" s="5"/>
      <c r="S113" s="5"/>
      <c r="T113" s="5"/>
      <c r="U113" s="5"/>
      <c r="V113" s="5"/>
    </row>
    <row r="114" customFormat="false" ht="13.8" hidden="false" customHeight="false" outlineLevel="0" collapsed="false">
      <c r="A114" s="6" t="n">
        <f aca="false">WORKDAY(A113,1,holiday!$B$2:$B$10)</f>
        <v>38880</v>
      </c>
      <c r="B114" s="24" t="n">
        <v>1217241.18903806</v>
      </c>
      <c r="C114" s="24" t="n">
        <f aca="false">B114-B113</f>
        <v>54975.1821268979</v>
      </c>
      <c r="D114" s="5" t="n">
        <f aca="false">C114/B113</f>
        <v>0.0473</v>
      </c>
      <c r="E114" s="5" t="n">
        <f aca="false" t="array" ref="E114:E114">PRODUCT(1+$D$4:D114)-1</f>
        <v>0.217241189038057</v>
      </c>
      <c r="F114" s="45" t="n">
        <f aca="false">E114/COUNT($E$4:E114)</f>
        <v>0.00195712782917169</v>
      </c>
      <c r="G114" s="5" t="n">
        <f aca="false">F114*252</f>
        <v>0.493196212951265</v>
      </c>
      <c r="H114" s="46" t="str">
        <f aca="false">IF(D114&lt;F114,D114-F114,"")</f>
        <v/>
      </c>
      <c r="I114" s="46" t="str">
        <f aca="false">IF(D114&lt;AVERAGE($D$107:D114),D114-AVERAGE($D$107:D114),"")</f>
        <v/>
      </c>
      <c r="J114" s="0" t="n">
        <f aca="false">IF(ISBLANK(A115),MONTH(A114),IF(MONTH(A115)-MONTH(A114)=1,MONTH(A114),0))</f>
        <v>0</v>
      </c>
      <c r="K114" s="0" t="str">
        <f aca="false">IF(B115&gt;B114,IF(AND(B113&gt;B114,B115&gt;B114),"min",""),IF(AND(B113&gt;B114,B115&gt;B114),"",IF(AND(B113&lt;B114,B115&lt;B114),"max","")))</f>
        <v>max</v>
      </c>
      <c r="L114" s="0" t="n">
        <f aca="false">IF(K114="min",COUNTIF(K$4:K114,"min"),IF(K114="max",COUNTIF(K$4:K114,"max"),""))</f>
        <v>28</v>
      </c>
      <c r="M114" s="24" t="str">
        <f aca="false" t="array" ref="M114:M114">IF($K$3=0,IF(K114="min",INDEX($B$4:$B$254,(MATCH(1,($K$4:$K$254="max")*($L$4:$L$254=(L114-1)),0))),""),IF($K$3=1,IF(K114="min",INDEX($B$4:$B$254,(MATCH(1,($K$4:$K$254="max")*($L$4:$L$254=(L114)),0))),""),""))</f>
        <v/>
      </c>
      <c r="N114" s="29" t="str">
        <f aca="false">IF(AND(K112=0,K114="min",L114=1),B114-B113,IF(K114="min",B114-M114,""))</f>
        <v/>
      </c>
      <c r="O114" s="34" t="str">
        <f aca="false">IF(AND(K112=0,K114="min",L114=1),(B114-B113)/B113,IF(K114="min",(B114-M114)/M114,""))</f>
        <v/>
      </c>
      <c r="P114" s="19" t="n">
        <f aca="false">D114-s_p!H114</f>
        <v>0.0591661662540924</v>
      </c>
      <c r="Q114" s="19" t="n">
        <f aca="false">IF(P114&lt;0, P114^2, 0)</f>
        <v>0</v>
      </c>
      <c r="R114" s="5"/>
      <c r="S114" s="5"/>
      <c r="T114" s="5"/>
      <c r="U114" s="5"/>
      <c r="V114" s="5"/>
    </row>
    <row r="115" customFormat="false" ht="13.8" hidden="false" customHeight="false" outlineLevel="0" collapsed="false">
      <c r="A115" s="6" t="n">
        <f aca="false">WORKDAY(A114,1,holiday!$B$2:$B$10)</f>
        <v>38881</v>
      </c>
      <c r="B115" s="24" t="n">
        <v>1199104.29532139</v>
      </c>
      <c r="C115" s="24" t="n">
        <f aca="false">B115-B114</f>
        <v>-18136.8937166671</v>
      </c>
      <c r="D115" s="5" t="n">
        <f aca="false">C115/B114</f>
        <v>-0.0149</v>
      </c>
      <c r="E115" s="5" t="n">
        <f aca="false" t="array" ref="E115:E115">PRODUCT(1+$D$4:D115)-1</f>
        <v>0.19910429532139</v>
      </c>
      <c r="F115" s="45" t="n">
        <f aca="false">E115/COUNT($E$4:E115)</f>
        <v>0.00177771692251241</v>
      </c>
      <c r="G115" s="5" t="n">
        <f aca="false">F115*252</f>
        <v>0.447984664473127</v>
      </c>
      <c r="H115" s="46" t="n">
        <f aca="false">IF(D115&lt;F115,D115-F115,"")</f>
        <v>-0.0166777169225124</v>
      </c>
      <c r="I115" s="46" t="n">
        <f aca="false">IF(D115&lt;AVERAGE($D$107:D115),D115-AVERAGE($D$107:D115),"")</f>
        <v>-0.0126333333333333</v>
      </c>
      <c r="J115" s="0" t="n">
        <f aca="false">IF(ISBLANK(A116),MONTH(A115),IF(MONTH(A116)-MONTH(A115)=1,MONTH(A115),0))</f>
        <v>0</v>
      </c>
      <c r="K115" s="0" t="str">
        <f aca="false">IF(B116&gt;B115,IF(AND(B114&gt;B115,B116&gt;B115),"min",""),IF(AND(B114&gt;B115,B116&gt;B115),"",IF(AND(B114&lt;B115,B116&lt;B115),"max","")))</f>
        <v>min</v>
      </c>
      <c r="L115" s="0" t="n">
        <f aca="false">IF(K115="min",COUNTIF(K$4:K115,"min"),IF(K115="max",COUNTIF(K$4:K115,"max"),""))</f>
        <v>29</v>
      </c>
      <c r="M115" s="24" t="n">
        <f aca="false" t="array" ref="M115:M115">IF($K$3=0,IF(K115="min",INDEX($B$4:$B$254,(MATCH(1,($K$4:$K$254="max")*($L$4:$L$254=(L115-1)),0))),""),IF($K$3=1,IF(K115="min",INDEX($B$4:$B$254,(MATCH(1,($K$4:$K$254="max")*($L$4:$L$254=(L115)),0))),""),""))</f>
        <v>1217241.18903806</v>
      </c>
      <c r="N115" s="29" t="n">
        <f aca="false">IF(AND(K113=0,K115="min",L115=1),B115-B114,IF(K115="min",B115-M115,""))</f>
        <v>-18136.8937166699</v>
      </c>
      <c r="O115" s="34" t="n">
        <f aca="false">IF(AND(K113=0,K115="min",L115=1),(B115-B114)/B114,IF(K115="min",(B115-M115)/M115,""))</f>
        <v>-0.0149000000000023</v>
      </c>
      <c r="P115" s="19" t="n">
        <f aca="false">D115-s_p!H115</f>
        <v>-0.00378835014222911</v>
      </c>
      <c r="Q115" s="19" t="n">
        <f aca="false">IF(P115&lt;0, P115^2, 0)</f>
        <v>1.43515968001273E-005</v>
      </c>
      <c r="R115" s="5"/>
      <c r="S115" s="5"/>
      <c r="T115" s="5"/>
      <c r="U115" s="5"/>
      <c r="V115" s="5"/>
    </row>
    <row r="116" customFormat="false" ht="13.8" hidden="false" customHeight="false" outlineLevel="0" collapsed="false">
      <c r="A116" s="6" t="n">
        <f aca="false">WORKDAY(A115,1,holiday!$B$2:$B$10)</f>
        <v>38882</v>
      </c>
      <c r="B116" s="24" t="n">
        <v>1244430.43768454</v>
      </c>
      <c r="C116" s="24" t="n">
        <f aca="false">B116-B115</f>
        <v>45326.1423631485</v>
      </c>
      <c r="D116" s="5" t="n">
        <f aca="false">C116/B115</f>
        <v>0.0378</v>
      </c>
      <c r="E116" s="5" t="n">
        <f aca="false" t="array" ref="E116:E116">PRODUCT(1+$D$4:D116)-1</f>
        <v>0.244430437684539</v>
      </c>
      <c r="F116" s="45" t="n">
        <f aca="false">E116/COUNT($E$4:E116)</f>
        <v>0.00216310121844724</v>
      </c>
      <c r="G116" s="5" t="n">
        <f aca="false">F116*252</f>
        <v>0.545101507048705</v>
      </c>
      <c r="H116" s="46" t="str">
        <f aca="false">IF(D116&lt;F116,D116-F116,"")</f>
        <v/>
      </c>
      <c r="I116" s="46" t="str">
        <f aca="false">IF(D116&lt;AVERAGE($D$107:D116),D116-AVERAGE($D$107:D116),"")</f>
        <v/>
      </c>
      <c r="J116" s="0" t="n">
        <f aca="false">IF(ISBLANK(A117),MONTH(A116),IF(MONTH(A117)-MONTH(A116)=1,MONTH(A116),0))</f>
        <v>0</v>
      </c>
      <c r="K116" s="0" t="str">
        <f aca="false">IF(B117&gt;B116,IF(AND(B115&gt;B116,B117&gt;B116),"min",""),IF(AND(B115&gt;B116,B117&gt;B116),"",IF(AND(B115&lt;B116,B117&lt;B116),"max","")))</f>
        <v>max</v>
      </c>
      <c r="L116" s="0" t="n">
        <f aca="false">IF(K116="min",COUNTIF(K$4:K116,"min"),IF(K116="max",COUNTIF(K$4:K116,"max"),""))</f>
        <v>29</v>
      </c>
      <c r="M116" s="24" t="str">
        <f aca="false" t="array" ref="M116:M116">IF($K$3=0,IF(K116="min",INDEX($B$4:$B$254,(MATCH(1,($K$4:$K$254="max")*($L$4:$L$254=(L116-1)),0))),""),IF($K$3=1,IF(K116="min",INDEX($B$4:$B$254,(MATCH(1,($K$4:$K$254="max")*($L$4:$L$254=(L116)),0))),""),""))</f>
        <v/>
      </c>
      <c r="N116" s="29" t="str">
        <f aca="false">IF(AND(K114=0,K116="min",L116=1),B116-B115,IF(K116="min",B116-M116,""))</f>
        <v/>
      </c>
      <c r="O116" s="34" t="str">
        <f aca="false">IF(AND(K114=0,K116="min",L116=1),(B116-B115)/B115,IF(K116="min",(B116-M116)/M116,""))</f>
        <v/>
      </c>
      <c r="P116" s="19" t="n">
        <f aca="false">D116-s_p!H116</f>
        <v>0.0326107772393335</v>
      </c>
      <c r="Q116" s="19" t="n">
        <f aca="false">IF(P116&lt;0, P116^2, 0)</f>
        <v>0</v>
      </c>
      <c r="R116" s="5"/>
      <c r="S116" s="5"/>
      <c r="T116" s="5"/>
      <c r="U116" s="5"/>
      <c r="V116" s="5"/>
    </row>
    <row r="117" customFormat="false" ht="13.8" hidden="false" customHeight="false" outlineLevel="0" collapsed="false">
      <c r="A117" s="6" t="n">
        <f aca="false">WORKDAY(A116,1,holiday!$B$2:$B$10)</f>
        <v>38883</v>
      </c>
      <c r="B117" s="24" t="n">
        <v>1205106.43585371</v>
      </c>
      <c r="C117" s="24" t="n">
        <f aca="false">B117-B116</f>
        <v>-39324.0018308314</v>
      </c>
      <c r="D117" s="5" t="n">
        <f aca="false">C117/B116</f>
        <v>-0.0316</v>
      </c>
      <c r="E117" s="5" t="n">
        <f aca="false" t="array" ref="E117:E117">PRODUCT(1+$D$4:D117)-1</f>
        <v>0.205106435853707</v>
      </c>
      <c r="F117" s="45" t="n">
        <f aca="false">E117/COUNT($E$4:E117)</f>
        <v>0.00179917926187462</v>
      </c>
      <c r="G117" s="5" t="n">
        <f aca="false">F117*252</f>
        <v>0.453393173992405</v>
      </c>
      <c r="H117" s="46" t="n">
        <f aca="false">IF(D117&lt;F117,D117-F117,"")</f>
        <v>-0.0333991792618746</v>
      </c>
      <c r="I117" s="46" t="n">
        <f aca="false">IF(D117&lt;AVERAGE($D$107:D117),D117-AVERAGE($D$107:D117),"")</f>
        <v>-0.0303090909090909</v>
      </c>
      <c r="J117" s="0" t="n">
        <f aca="false">IF(ISBLANK(A118),MONTH(A117),IF(MONTH(A118)-MONTH(A117)=1,MONTH(A117),0))</f>
        <v>0</v>
      </c>
      <c r="K117" s="0" t="str">
        <f aca="false">IF(B118&gt;B117,IF(AND(B116&gt;B117,B118&gt;B117),"min",""),IF(AND(B116&gt;B117,B118&gt;B117),"",IF(AND(B116&lt;B117,B118&lt;B117),"max","")))</f>
        <v/>
      </c>
      <c r="L117" s="0" t="str">
        <f aca="false">IF(K117="min",COUNTIF(K$4:K117,"min"),IF(K117="max",COUNTIF(K$4:K117,"max"),""))</f>
        <v/>
      </c>
      <c r="M117" s="24" t="str">
        <f aca="false" t="array" ref="M117:M117">IF($K$3=0,IF(K117="min",INDEX($B$4:$B$254,(MATCH(1,($K$4:$K$254="max")*($L$4:$L$254=(L117-1)),0))),""),IF($K$3=1,IF(K117="min",INDEX($B$4:$B$254,(MATCH(1,($K$4:$K$254="max")*($L$4:$L$254=(L117)),0))),""),""))</f>
        <v/>
      </c>
      <c r="N117" s="29" t="str">
        <f aca="false">IF(AND(K115=0,K117="min",L117=1),B117-B116,IF(K117="min",B117-M117,""))</f>
        <v/>
      </c>
      <c r="O117" s="34" t="str">
        <f aca="false">IF(AND(K115=0,K117="min",L117=1),(B117-B116)/B116,IF(K117="min",(B117-M117)/M117,""))</f>
        <v/>
      </c>
      <c r="P117" s="19" t="n">
        <f aca="false">D117-s_p!H117</f>
        <v>-0.0528350817859583</v>
      </c>
      <c r="Q117" s="19" t="n">
        <f aca="false">IF(P117&lt;0, P117^2, 0)</f>
        <v>0.0027915458673289</v>
      </c>
      <c r="R117" s="5"/>
      <c r="S117" s="5"/>
      <c r="T117" s="5"/>
      <c r="U117" s="5"/>
      <c r="V117" s="5"/>
    </row>
    <row r="118" customFormat="false" ht="13.8" hidden="false" customHeight="false" outlineLevel="0" collapsed="false">
      <c r="A118" s="6" t="n">
        <f aca="false">WORKDAY(A117,1,holiday!$B$2:$B$10)</f>
        <v>38884</v>
      </c>
      <c r="B118" s="24" t="n">
        <v>1169917.32792678</v>
      </c>
      <c r="C118" s="24" t="n">
        <f aca="false">B118-B117</f>
        <v>-35189.1079269282</v>
      </c>
      <c r="D118" s="5" t="n">
        <f aca="false">C118/B117</f>
        <v>-0.0292</v>
      </c>
      <c r="E118" s="5" t="n">
        <f aca="false" t="array" ref="E118:E118">PRODUCT(1+$D$4:D118)-1</f>
        <v>0.169917327926779</v>
      </c>
      <c r="F118" s="45" t="n">
        <f aca="false">E118/COUNT($E$4:E118)</f>
        <v>0.00147754198197199</v>
      </c>
      <c r="G118" s="5" t="n">
        <f aca="false">F118*252</f>
        <v>0.372340579456942</v>
      </c>
      <c r="H118" s="46" t="n">
        <f aca="false">IF(D118&lt;F118,D118-F118,"")</f>
        <v>-0.030677541981972</v>
      </c>
      <c r="I118" s="46" t="n">
        <f aca="false">IF(D118&lt;AVERAGE($D$107:D118),D118-AVERAGE($D$107:D118),"")</f>
        <v>-0.0255833333333333</v>
      </c>
      <c r="J118" s="0" t="n">
        <f aca="false">IF(ISBLANK(A119),MONTH(A118),IF(MONTH(A119)-MONTH(A118)=1,MONTH(A118),0))</f>
        <v>0</v>
      </c>
      <c r="K118" s="0" t="str">
        <f aca="false">IF(B119&gt;B118,IF(AND(B117&gt;B118,B119&gt;B118),"min",""),IF(AND(B117&gt;B118,B119&gt;B118),"",IF(AND(B117&lt;B118,B119&lt;B118),"max","")))</f>
        <v/>
      </c>
      <c r="L118" s="0" t="str">
        <f aca="false">IF(K118="min",COUNTIF(K$4:K118,"min"),IF(K118="max",COUNTIF(K$4:K118,"max"),""))</f>
        <v/>
      </c>
      <c r="M118" s="24" t="str">
        <f aca="false" t="array" ref="M118:M118">IF($K$3=0,IF(K118="min",INDEX($B$4:$B$254,(MATCH(1,($K$4:$K$254="max")*($L$4:$L$254=(L118-1)),0))),""),IF($K$3=1,IF(K118="min",INDEX($B$4:$B$254,(MATCH(1,($K$4:$K$254="max")*($L$4:$L$254=(L118)),0))),""),""))</f>
        <v/>
      </c>
      <c r="N118" s="29" t="str">
        <f aca="false">IF(AND(K116=0,K118="min",L118=1),B118-B117,IF(K118="min",B118-M118,""))</f>
        <v/>
      </c>
      <c r="O118" s="34" t="str">
        <f aca="false">IF(AND(K116=0,K118="min",L118=1),(B118-B117)/B117,IF(K118="min",(B118-M118)/M118,""))</f>
        <v/>
      </c>
      <c r="P118" s="19" t="n">
        <f aca="false">D118-s_p!H118</f>
        <v>-0.0255221245701183</v>
      </c>
      <c r="Q118" s="19" t="n">
        <f aca="false">IF(P118&lt;0, P118^2, 0)</f>
        <v>0.000651378842572636</v>
      </c>
      <c r="R118" s="5"/>
      <c r="S118" s="5"/>
      <c r="T118" s="5"/>
      <c r="U118" s="5"/>
      <c r="V118" s="5"/>
    </row>
    <row r="119" customFormat="false" ht="13.8" hidden="false" customHeight="false" outlineLevel="0" collapsed="false">
      <c r="A119" s="6" t="n">
        <f aca="false">WORKDAY(A118,1,holiday!$B$2:$B$10)</f>
        <v>38887</v>
      </c>
      <c r="B119" s="24" t="n">
        <v>1116920.0729717</v>
      </c>
      <c r="C119" s="24" t="n">
        <f aca="false">B119-B118</f>
        <v>-52997.2549550831</v>
      </c>
      <c r="D119" s="5" t="n">
        <f aca="false">C119/B118</f>
        <v>-0.0453</v>
      </c>
      <c r="E119" s="5" t="n">
        <f aca="false" t="array" ref="E119:E119">PRODUCT(1+$D$4:D119)-1</f>
        <v>0.116920072971696</v>
      </c>
      <c r="F119" s="45" t="n">
        <f aca="false">E119/COUNT($E$4:E119)</f>
        <v>0.0010079316635491</v>
      </c>
      <c r="G119" s="5" t="n">
        <f aca="false">F119*252</f>
        <v>0.253998779214374</v>
      </c>
      <c r="H119" s="46" t="n">
        <f aca="false">IF(D119&lt;F119,D119-F119,"")</f>
        <v>-0.0463079316635491</v>
      </c>
      <c r="I119" s="46" t="n">
        <f aca="false">IF(D119&lt;AVERAGE($D$107:D119),D119-AVERAGE($D$107:D119),"")</f>
        <v>-0.0384769230769231</v>
      </c>
      <c r="J119" s="0" t="n">
        <f aca="false">IF(ISBLANK(A120),MONTH(A119),IF(MONTH(A120)-MONTH(A119)=1,MONTH(A119),0))</f>
        <v>0</v>
      </c>
      <c r="K119" s="0" t="str">
        <f aca="false">IF(B120&gt;B119,IF(AND(B118&gt;B119,B120&gt;B119),"min",""),IF(AND(B118&gt;B119,B120&gt;B119),"",IF(AND(B118&lt;B119,B120&lt;B119),"max","")))</f>
        <v/>
      </c>
      <c r="L119" s="0" t="str">
        <f aca="false">IF(K119="min",COUNTIF(K$4:K119,"min"),IF(K119="max",COUNTIF(K$4:K119,"max"),""))</f>
        <v/>
      </c>
      <c r="M119" s="24" t="str">
        <f aca="false" t="array" ref="M119:M119">IF($K$3=0,IF(K119="min",INDEX($B$4:$B$254,(MATCH(1,($K$4:$K$254="max")*($L$4:$L$254=(L119-1)),0))),""),IF($K$3=1,IF(K119="min",INDEX($B$4:$B$254,(MATCH(1,($K$4:$K$254="max")*($L$4:$L$254=(L119)),0))),""),""))</f>
        <v/>
      </c>
      <c r="N119" s="29" t="str">
        <f aca="false">IF(AND(K117=0,K119="min",L119=1),B119-B118,IF(K119="min",B119-M119,""))</f>
        <v/>
      </c>
      <c r="O119" s="34" t="str">
        <f aca="false">IF(AND(K117=0,K119="min",L119=1),(B119-B118)/B118,IF(K119="min",(B119-M119)/M119,""))</f>
        <v/>
      </c>
      <c r="P119" s="19" t="n">
        <f aca="false">D119-s_p!H119</f>
        <v>-0.0361832318583506</v>
      </c>
      <c r="Q119" s="19" t="n">
        <f aca="false">IF(P119&lt;0, P119^2, 0)</f>
        <v>0.00130922626771516</v>
      </c>
      <c r="R119" s="5"/>
      <c r="S119" s="5"/>
      <c r="T119" s="5"/>
      <c r="U119" s="5"/>
      <c r="V119" s="5"/>
    </row>
    <row r="120" customFormat="false" ht="13.8" hidden="false" customHeight="false" outlineLevel="0" collapsed="false">
      <c r="A120" s="6" t="n">
        <f aca="false">WORKDAY(A119,1,holiday!$B$2:$B$10)</f>
        <v>38888</v>
      </c>
      <c r="B120" s="24" t="n">
        <v>1066546.97768067</v>
      </c>
      <c r="C120" s="24" t="n">
        <f aca="false">B120-B119</f>
        <v>-50373.0952910234</v>
      </c>
      <c r="D120" s="5" t="n">
        <f aca="false">C120/B119</f>
        <v>-0.0450999999999999</v>
      </c>
      <c r="E120" s="5" t="n">
        <f aca="false" t="array" ref="E120:E120">PRODUCT(1+$D$4:D120)-1</f>
        <v>0.0665469776806726</v>
      </c>
      <c r="F120" s="45" t="n">
        <f aca="false">E120/COUNT($E$4:E120)</f>
        <v>0.000568777587014296</v>
      </c>
      <c r="G120" s="5" t="n">
        <f aca="false">F120*252</f>
        <v>0.143331951927603</v>
      </c>
      <c r="H120" s="46" t="n">
        <f aca="false">IF(D120&lt;F120,D120-F120,"")</f>
        <v>-0.0456687775870142</v>
      </c>
      <c r="I120" s="46" t="n">
        <f aca="false">IF(D120&lt;AVERAGE($D$107:D120),D120-AVERAGE($D$107:D120),"")</f>
        <v>-0.035542857142857</v>
      </c>
      <c r="J120" s="0" t="n">
        <f aca="false">IF(ISBLANK(A121),MONTH(A120),IF(MONTH(A121)-MONTH(A120)=1,MONTH(A120),0))</f>
        <v>0</v>
      </c>
      <c r="K120" s="0" t="str">
        <f aca="false">IF(B121&gt;B120,IF(AND(B119&gt;B120,B121&gt;B120),"min",""),IF(AND(B119&gt;B120,B121&gt;B120),"",IF(AND(B119&lt;B120,B121&lt;B120),"max","")))</f>
        <v>min</v>
      </c>
      <c r="L120" s="0" t="n">
        <f aca="false">IF(K120="min",COUNTIF(K$4:K120,"min"),IF(K120="max",COUNTIF(K$4:K120,"max"),""))</f>
        <v>30</v>
      </c>
      <c r="M120" s="24" t="n">
        <f aca="false" t="array" ref="M120:M120">IF($K$3=0,IF(K120="min",INDEX($B$4:$B$254,(MATCH(1,($K$4:$K$254="max")*($L$4:$L$254=(L120-1)),0))),""),IF($K$3=1,IF(K120="min",INDEX($B$4:$B$254,(MATCH(1,($K$4:$K$254="max")*($L$4:$L$254=(L120)),0))),""),""))</f>
        <v>1244430.43768454</v>
      </c>
      <c r="N120" s="29" t="n">
        <f aca="false">IF(AND(K118=0,K120="min",L120=1),B120-B119,IF(K120="min",B120-M120,""))</f>
        <v>-177883.46000387</v>
      </c>
      <c r="O120" s="34" t="n">
        <f aca="false">IF(AND(K118=0,K120="min",L120=1),(B120-B119)/B119,IF(K120="min",(B120-M120)/M120,""))</f>
        <v>-0.142943674967361</v>
      </c>
      <c r="P120" s="19" t="n">
        <f aca="false">D120-s_p!H120</f>
        <v>-0.0450919363292556</v>
      </c>
      <c r="Q120" s="19" t="n">
        <f aca="false">IF(P120&lt;0, P120^2, 0)</f>
        <v>0.00203328272192164</v>
      </c>
      <c r="R120" s="5"/>
      <c r="S120" s="5"/>
      <c r="T120" s="5"/>
      <c r="U120" s="5"/>
      <c r="V120" s="5"/>
    </row>
    <row r="121" customFormat="false" ht="13.8" hidden="false" customHeight="false" outlineLevel="0" collapsed="false">
      <c r="A121" s="6" t="n">
        <f aca="false">WORKDAY(A120,1,holiday!$B$2:$B$10)</f>
        <v>38889</v>
      </c>
      <c r="B121" s="24" t="n">
        <v>1076465.8645731</v>
      </c>
      <c r="C121" s="24" t="n">
        <f aca="false">B121-B120</f>
        <v>9918.88689243025</v>
      </c>
      <c r="D121" s="5" t="n">
        <f aca="false">C121/B120</f>
        <v>0.0093</v>
      </c>
      <c r="E121" s="5" t="n">
        <f aca="false" t="array" ref="E121:E121">PRODUCT(1+$D$4:D121)-1</f>
        <v>0.0764658645731029</v>
      </c>
      <c r="F121" s="45" t="n">
        <f aca="false">E121/COUNT($E$4:E121)</f>
        <v>0.000648015801466974</v>
      </c>
      <c r="G121" s="5" t="n">
        <f aca="false">F121*252</f>
        <v>0.163299981969677</v>
      </c>
      <c r="H121" s="46" t="str">
        <f aca="false">IF(D121&lt;F121,D121-F121,"")</f>
        <v/>
      </c>
      <c r="I121" s="46" t="str">
        <f aca="false">IF(D121&lt;AVERAGE($D$107:D121),D121-AVERAGE($D$107:D121),"")</f>
        <v/>
      </c>
      <c r="J121" s="0" t="n">
        <f aca="false">IF(ISBLANK(A122),MONTH(A121),IF(MONTH(A122)-MONTH(A121)=1,MONTH(A121),0))</f>
        <v>0</v>
      </c>
      <c r="K121" s="0" t="str">
        <f aca="false">IF(B122&gt;B121,IF(AND(B120&gt;B121,B122&gt;B121),"min",""),IF(AND(B120&gt;B121,B122&gt;B121),"",IF(AND(B120&lt;B121,B122&lt;B121),"max","")))</f>
        <v/>
      </c>
      <c r="L121" s="0" t="str">
        <f aca="false">IF(K121="min",COUNTIF(K$4:K121,"min"),IF(K121="max",COUNTIF(K$4:K121,"max"),""))</f>
        <v/>
      </c>
      <c r="M121" s="24" t="str">
        <f aca="false" t="array" ref="M121:M121">IF($K$3=0,IF(K121="min",INDEX($B$4:$B$254,(MATCH(1,($K$4:$K$254="max")*($L$4:$L$254=(L121-1)),0))),""),IF($K$3=1,IF(K121="min",INDEX($B$4:$B$254,(MATCH(1,($K$4:$K$254="max")*($L$4:$L$254=(L121)),0))),""),""))</f>
        <v/>
      </c>
      <c r="N121" s="29" t="str">
        <f aca="false">IF(AND(K119=0,K121="min",L121=1),B121-B120,IF(K121="min",B121-M121,""))</f>
        <v/>
      </c>
      <c r="O121" s="34" t="str">
        <f aca="false">IF(AND(K119=0,K121="min",L121=1),(B121-B120)/B120,IF(K121="min",(B121-M121)/M121,""))</f>
        <v/>
      </c>
      <c r="P121" s="19" t="n">
        <f aca="false">D121-s_p!H121</f>
        <v>-0.00044099280714791</v>
      </c>
      <c r="Q121" s="19" t="n">
        <f aca="false">IF(P121&lt;0, P121^2, 0)</f>
        <v>1.94474655956194E-007</v>
      </c>
      <c r="R121" s="5"/>
      <c r="S121" s="5"/>
      <c r="T121" s="5"/>
      <c r="U121" s="5"/>
      <c r="V121" s="5"/>
    </row>
    <row r="122" customFormat="false" ht="13.8" hidden="false" customHeight="false" outlineLevel="0" collapsed="false">
      <c r="A122" s="6" t="n">
        <f aca="false">WORKDAY(A121,1,holiday!$B$2:$B$10)</f>
        <v>38890</v>
      </c>
      <c r="B122" s="24" t="n">
        <v>1119201.55939665</v>
      </c>
      <c r="C122" s="24" t="n">
        <f aca="false">B122-B121</f>
        <v>42735.6948235522</v>
      </c>
      <c r="D122" s="5" t="n">
        <f aca="false">C122/B121</f>
        <v>0.0397</v>
      </c>
      <c r="E122" s="5" t="n">
        <f aca="false" t="array" ref="E122:E122">PRODUCT(1+$D$4:D122)-1</f>
        <v>0.119201559396655</v>
      </c>
      <c r="F122" s="45" t="n">
        <f aca="false">E122/COUNT($E$4:E122)</f>
        <v>0.00100169377644248</v>
      </c>
      <c r="G122" s="5" t="n">
        <f aca="false">F122*252</f>
        <v>0.252426831663505</v>
      </c>
      <c r="H122" s="46" t="str">
        <f aca="false">IF(D122&lt;F122,D122-F122,"")</f>
        <v/>
      </c>
      <c r="I122" s="46" t="str">
        <f aca="false">IF(D122&lt;AVERAGE($D$107:D122),D122-AVERAGE($D$107:D122),"")</f>
        <v/>
      </c>
      <c r="J122" s="0" t="n">
        <f aca="false">IF(ISBLANK(A123),MONTH(A122),IF(MONTH(A123)-MONTH(A122)=1,MONTH(A122),0))</f>
        <v>0</v>
      </c>
      <c r="K122" s="0" t="str">
        <f aca="false">IF(B123&gt;B122,IF(AND(B121&gt;B122,B123&gt;B122),"min",""),IF(AND(B121&gt;B122,B123&gt;B122),"",IF(AND(B121&lt;B122,B123&lt;B122),"max","")))</f>
        <v>max</v>
      </c>
      <c r="L122" s="0" t="n">
        <f aca="false">IF(K122="min",COUNTIF(K$4:K122,"min"),IF(K122="max",COUNTIF(K$4:K122,"max"),""))</f>
        <v>30</v>
      </c>
      <c r="M122" s="24" t="str">
        <f aca="false" t="array" ref="M122:M122">IF($K$3=0,IF(K122="min",INDEX($B$4:$B$254,(MATCH(1,($K$4:$K$254="max")*($L$4:$L$254=(L122-1)),0))),""),IF($K$3=1,IF(K122="min",INDEX($B$4:$B$254,(MATCH(1,($K$4:$K$254="max")*($L$4:$L$254=(L122)),0))),""),""))</f>
        <v/>
      </c>
      <c r="N122" s="29" t="str">
        <f aca="false">IF(AND(K120=0,K122="min",L122=1),B122-B121,IF(K122="min",B122-M122,""))</f>
        <v/>
      </c>
      <c r="O122" s="34" t="str">
        <f aca="false">IF(AND(K120=0,K122="min",L122=1),(B122-B121)/B121,IF(K122="min",(B122-M122)/M122,""))</f>
        <v/>
      </c>
      <c r="P122" s="19" t="n">
        <f aca="false">D122-s_p!H122</f>
        <v>0.0449707235265933</v>
      </c>
      <c r="Q122" s="19" t="n">
        <f aca="false">IF(P122&lt;0, P122^2, 0)</f>
        <v>0</v>
      </c>
      <c r="R122" s="5"/>
      <c r="S122" s="5"/>
      <c r="T122" s="5"/>
      <c r="U122" s="5"/>
      <c r="V122" s="5"/>
    </row>
    <row r="123" customFormat="false" ht="13.8" hidden="false" customHeight="false" outlineLevel="0" collapsed="false">
      <c r="A123" s="6" t="n">
        <f aca="false">WORKDAY(A122,1,holiday!$B$2:$B$10)</f>
        <v>38891</v>
      </c>
      <c r="B123" s="24" t="n">
        <v>1078798.38310244</v>
      </c>
      <c r="C123" s="24" t="n">
        <f aca="false">B123-B122</f>
        <v>-40403.1762942192</v>
      </c>
      <c r="D123" s="5" t="n">
        <f aca="false">C123/B122</f>
        <v>-0.0361</v>
      </c>
      <c r="E123" s="5" t="n">
        <f aca="false" t="array" ref="E123:E123">PRODUCT(1+$D$4:D123)-1</f>
        <v>0.0787983831024361</v>
      </c>
      <c r="F123" s="45" t="n">
        <f aca="false">E123/COUNT($E$4:E123)</f>
        <v>0.000656653192520301</v>
      </c>
      <c r="G123" s="5" t="n">
        <f aca="false">F123*252</f>
        <v>0.165476604515116</v>
      </c>
      <c r="H123" s="46" t="n">
        <f aca="false">IF(D123&lt;F123,D123-F123,"")</f>
        <v>-0.0367566531925203</v>
      </c>
      <c r="I123" s="46" t="n">
        <f aca="false">IF(D123&lt;AVERAGE($D$107:D123),D123-AVERAGE($D$107:D123),"")</f>
        <v>-0.0289882352941176</v>
      </c>
      <c r="J123" s="0" t="n">
        <f aca="false">IF(ISBLANK(A124),MONTH(A123),IF(MONTH(A124)-MONTH(A123)=1,MONTH(A123),0))</f>
        <v>0</v>
      </c>
      <c r="K123" s="0" t="str">
        <f aca="false">IF(B124&gt;B123,IF(AND(B122&gt;B123,B124&gt;B123),"min",""),IF(AND(B122&gt;B123,B124&gt;B123),"",IF(AND(B122&lt;B123,B124&lt;B123),"max","")))</f>
        <v/>
      </c>
      <c r="L123" s="0" t="str">
        <f aca="false">IF(K123="min",COUNTIF(K$4:K123,"min"),IF(K123="max",COUNTIF(K$4:K123,"max"),""))</f>
        <v/>
      </c>
      <c r="M123" s="24" t="str">
        <f aca="false" t="array" ref="M123:M123">IF($K$3=0,IF(K123="min",INDEX($B$4:$B$254,(MATCH(1,($K$4:$K$254="max")*($L$4:$L$254=(L123-1)),0))),""),IF($K$3=1,IF(K123="min",INDEX($B$4:$B$254,(MATCH(1,($K$4:$K$254="max")*($L$4:$L$254=(L123)),0))),""),""))</f>
        <v/>
      </c>
      <c r="N123" s="29" t="str">
        <f aca="false">IF(AND(K121=0,K123="min",L123=1),B123-B122,IF(K123="min",B123-M123,""))</f>
        <v/>
      </c>
      <c r="O123" s="34" t="str">
        <f aca="false">IF(AND(K121=0,K123="min",L123=1),(B123-B122)/B122,IF(K123="min",(B123-M123)/M123,""))</f>
        <v/>
      </c>
      <c r="P123" s="19" t="n">
        <f aca="false">D123-s_p!H123</f>
        <v>-0.035216891457932</v>
      </c>
      <c r="Q123" s="19" t="n">
        <f aca="false">IF(P123&lt;0, P123^2, 0)</f>
        <v>0.00124022944395976</v>
      </c>
      <c r="R123" s="5"/>
      <c r="S123" s="5"/>
      <c r="T123" s="5"/>
      <c r="U123" s="5"/>
      <c r="V123" s="5"/>
    </row>
    <row r="124" customFormat="false" ht="13.8" hidden="false" customHeight="false" outlineLevel="0" collapsed="false">
      <c r="A124" s="6" t="n">
        <f aca="false">WORKDAY(A123,1,holiday!$B$2:$B$10)</f>
        <v>38894</v>
      </c>
      <c r="B124" s="24" t="n">
        <v>1060674.57026631</v>
      </c>
      <c r="C124" s="24" t="n">
        <f aca="false">B124-B123</f>
        <v>-18123.8128361208</v>
      </c>
      <c r="D124" s="5" t="n">
        <f aca="false">C124/B123</f>
        <v>-0.0167999999999999</v>
      </c>
      <c r="E124" s="5" t="n">
        <f aca="false" t="array" ref="E124:E124">PRODUCT(1+$D$4:D124)-1</f>
        <v>0.0606745702663152</v>
      </c>
      <c r="F124" s="45" t="n">
        <f aca="false">E124/COUNT($E$4:E124)</f>
        <v>0.000501442729473679</v>
      </c>
      <c r="G124" s="5" t="n">
        <f aca="false">F124*252</f>
        <v>0.126363567827367</v>
      </c>
      <c r="H124" s="46" t="n">
        <f aca="false">IF(D124&lt;F124,D124-F124,"")</f>
        <v>-0.0173014427294736</v>
      </c>
      <c r="I124" s="46" t="n">
        <f aca="false">IF(D124&lt;AVERAGE($D$107:D124),D124-AVERAGE($D$107:D124),"")</f>
        <v>-0.00914999999999992</v>
      </c>
      <c r="J124" s="0" t="n">
        <f aca="false">IF(ISBLANK(A125),MONTH(A124),IF(MONTH(A125)-MONTH(A124)=1,MONTH(A124),0))</f>
        <v>0</v>
      </c>
      <c r="K124" s="0" t="str">
        <f aca="false">IF(B125&gt;B124,IF(AND(B123&gt;B124,B125&gt;B124),"min",""),IF(AND(B123&gt;B124,B125&gt;B124),"",IF(AND(B123&lt;B124,B125&lt;B124),"max","")))</f>
        <v/>
      </c>
      <c r="L124" s="0" t="str">
        <f aca="false">IF(K124="min",COUNTIF(K$4:K124,"min"),IF(K124="max",COUNTIF(K$4:K124,"max"),""))</f>
        <v/>
      </c>
      <c r="M124" s="24" t="str">
        <f aca="false" t="array" ref="M124:M124">IF($K$3=0,IF(K124="min",INDEX($B$4:$B$254,(MATCH(1,($K$4:$K$254="max")*($L$4:$L$254=(L124-1)),0))),""),IF($K$3=1,IF(K124="min",INDEX($B$4:$B$254,(MATCH(1,($K$4:$K$254="max")*($L$4:$L$254=(L124)),0))),""),""))</f>
        <v/>
      </c>
      <c r="N124" s="29" t="str">
        <f aca="false">IF(AND(K122=0,K124="min",L124=1),B124-B123,IF(K124="min",B124-M124,""))</f>
        <v/>
      </c>
      <c r="O124" s="34" t="str">
        <f aca="false">IF(AND(K122=0,K124="min",L124=1),(B124-B123)/B123,IF(K124="min",(B124-M124)/M124,""))</f>
        <v/>
      </c>
      <c r="P124" s="19" t="n">
        <f aca="false">D124-s_p!H124</f>
        <v>-0.0216694254720771</v>
      </c>
      <c r="Q124" s="19" t="n">
        <f aca="false">IF(P124&lt;0, P124^2, 0)</f>
        <v>0.000469564000289904</v>
      </c>
      <c r="R124" s="5"/>
      <c r="S124" s="5"/>
      <c r="T124" s="5"/>
      <c r="U124" s="5"/>
      <c r="V124" s="5"/>
    </row>
    <row r="125" customFormat="false" ht="13.8" hidden="false" customHeight="false" outlineLevel="0" collapsed="false">
      <c r="A125" s="6" t="n">
        <f aca="false">WORKDAY(A124,1,holiday!$B$2:$B$10)</f>
        <v>38895</v>
      </c>
      <c r="B125" s="24" t="n">
        <v>1008277.24649516</v>
      </c>
      <c r="C125" s="24" t="n">
        <f aca="false">B125-B124</f>
        <v>-52397.3237711559</v>
      </c>
      <c r="D125" s="5" t="n">
        <f aca="false">C125/B124</f>
        <v>-0.0494</v>
      </c>
      <c r="E125" s="5" t="n">
        <f aca="false" t="array" ref="E125:E125">PRODUCT(1+$D$4:D125)-1</f>
        <v>0.00827724649515926</v>
      </c>
      <c r="F125" s="45" t="n">
        <f aca="false">E125/COUNT($E$4:E125)</f>
        <v>6.78462827472071E-005</v>
      </c>
      <c r="G125" s="5" t="n">
        <f aca="false">F125*252</f>
        <v>0.0170972632522962</v>
      </c>
      <c r="H125" s="46" t="n">
        <f aca="false">IF(D125&lt;F125,D125-F125,"")</f>
        <v>-0.0494678462827472</v>
      </c>
      <c r="I125" s="46" t="n">
        <f aca="false">IF(D125&lt;AVERAGE($D$107:D125),D125-AVERAGE($D$107:D125),"")</f>
        <v>-0.0395526315789473</v>
      </c>
      <c r="J125" s="0" t="n">
        <f aca="false">IF(ISBLANK(A126),MONTH(A125),IF(MONTH(A126)-MONTH(A125)=1,MONTH(A125),0))</f>
        <v>0</v>
      </c>
      <c r="K125" s="0" t="str">
        <f aca="false">IF(B126&gt;B125,IF(AND(B124&gt;B125,B126&gt;B125),"min",""),IF(AND(B124&gt;B125,B126&gt;B125),"",IF(AND(B124&lt;B125,B126&lt;B125),"max","")))</f>
        <v/>
      </c>
      <c r="L125" s="0" t="str">
        <f aca="false">IF(K125="min",COUNTIF(K$4:K125,"min"),IF(K125="max",COUNTIF(K$4:K125,"max"),""))</f>
        <v/>
      </c>
      <c r="M125" s="24" t="str">
        <f aca="false" t="array" ref="M125:M125">IF($K$3=0,IF(K125="min",INDEX($B$4:$B$254,(MATCH(1,($K$4:$K$254="max")*($L$4:$L$254=(L125-1)),0))),""),IF($K$3=1,IF(K125="min",INDEX($B$4:$B$254,(MATCH(1,($K$4:$K$254="max")*($L$4:$L$254=(L125)),0))),""),""))</f>
        <v/>
      </c>
      <c r="N125" s="29" t="str">
        <f aca="false">IF(AND(K123=0,K125="min",L125=1),B125-B124,IF(K125="min",B125-M125,""))</f>
        <v/>
      </c>
      <c r="O125" s="34" t="str">
        <f aca="false">IF(AND(K123=0,K125="min",L125=1),(B125-B124)/B124,IF(K125="min",(B125-M125)/M125,""))</f>
        <v/>
      </c>
      <c r="P125" s="19" t="n">
        <f aca="false">D125-s_p!H125</f>
        <v>-0.0403160696008189</v>
      </c>
      <c r="Q125" s="19" t="n">
        <f aca="false">IF(P125&lt;0, P125^2, 0)</f>
        <v>0.00162538546805807</v>
      </c>
      <c r="R125" s="5"/>
      <c r="S125" s="5"/>
      <c r="T125" s="5"/>
      <c r="U125" s="5"/>
      <c r="V125" s="5"/>
    </row>
    <row r="126" customFormat="false" ht="13.8" hidden="false" customHeight="false" outlineLevel="0" collapsed="false">
      <c r="A126" s="6" t="n">
        <f aca="false">WORKDAY(A125,1,holiday!$B$2:$B$10)</f>
        <v>38896</v>
      </c>
      <c r="B126" s="24" t="n">
        <v>993858.881870278</v>
      </c>
      <c r="C126" s="24" t="n">
        <f aca="false">B126-B125</f>
        <v>-14418.3646248807</v>
      </c>
      <c r="D126" s="5" t="n">
        <f aca="false">C126/B125</f>
        <v>-0.0142999999999999</v>
      </c>
      <c r="E126" s="5" t="n">
        <f aca="false" t="array" ref="E126:E126">PRODUCT(1+$D$4:D126)-1</f>
        <v>-0.00614111812972151</v>
      </c>
      <c r="F126" s="45" t="n">
        <f aca="false">E126/COUNT($E$4:E126)</f>
        <v>-4.99277896725326E-005</v>
      </c>
      <c r="G126" s="5" t="n">
        <f aca="false">F126*252</f>
        <v>-0.0125818029974782</v>
      </c>
      <c r="H126" s="46" t="n">
        <f aca="false">IF(D126&lt;F126,D126-F126,"")</f>
        <v>-0.0142500722103274</v>
      </c>
      <c r="I126" s="46" t="n">
        <f aca="false">IF(D126&lt;AVERAGE($D$107:D126),D126-AVERAGE($D$107:D126),"")</f>
        <v>-0.00422999999999995</v>
      </c>
      <c r="J126" s="0" t="n">
        <f aca="false">IF(ISBLANK(A127),MONTH(A126),IF(MONTH(A127)-MONTH(A126)=1,MONTH(A126),0))</f>
        <v>0</v>
      </c>
      <c r="K126" s="0" t="str">
        <f aca="false">IF(B127&gt;B126,IF(AND(B125&gt;B126,B127&gt;B126),"min",""),IF(AND(B125&gt;B126,B127&gt;B126),"",IF(AND(B125&lt;B126,B127&lt;B126),"max","")))</f>
        <v/>
      </c>
      <c r="L126" s="0" t="str">
        <f aca="false">IF(K126="min",COUNTIF(K$4:K126,"min"),IF(K126="max",COUNTIF(K$4:K126,"max"),""))</f>
        <v/>
      </c>
      <c r="M126" s="24" t="str">
        <f aca="false" t="array" ref="M126:M126">IF($K$3=0,IF(K126="min",INDEX($B$4:$B$254,(MATCH(1,($K$4:$K$254="max")*($L$4:$L$254=(L126-1)),0))),""),IF($K$3=1,IF(K126="min",INDEX($B$4:$B$254,(MATCH(1,($K$4:$K$254="max")*($L$4:$L$254=(L126)),0))),""),""))</f>
        <v/>
      </c>
      <c r="N126" s="29" t="str">
        <f aca="false">IF(AND(K124=0,K126="min",L126=1),B126-B125,IF(K126="min",B126-M126,""))</f>
        <v/>
      </c>
      <c r="O126" s="34" t="str">
        <f aca="false">IF(AND(K124=0,K126="min",L126=1),(B126-B125)/B125,IF(K126="min",(B126-M126)/M126,""))</f>
        <v/>
      </c>
      <c r="P126" s="19" t="n">
        <f aca="false">D126-s_p!H126</f>
        <v>-0.0197874112330536</v>
      </c>
      <c r="Q126" s="19" t="n">
        <f aca="false">IF(P126&lt;0, P126^2, 0)</f>
        <v>0.000391541643305976</v>
      </c>
      <c r="R126" s="5"/>
      <c r="S126" s="5"/>
      <c r="T126" s="5"/>
      <c r="U126" s="5"/>
      <c r="V126" s="5"/>
    </row>
    <row r="127" customFormat="false" ht="13.8" hidden="false" customHeight="false" outlineLevel="0" collapsed="false">
      <c r="A127" s="6" t="n">
        <f aca="false">WORKDAY(A126,1,holiday!$B$2:$B$10)</f>
        <v>38897</v>
      </c>
      <c r="B127" s="24" t="n">
        <v>953607.597154532</v>
      </c>
      <c r="C127" s="24" t="n">
        <f aca="false">B127-B126</f>
        <v>-40251.2847157463</v>
      </c>
      <c r="D127" s="5" t="n">
        <f aca="false">C127/B126</f>
        <v>-0.0405</v>
      </c>
      <c r="E127" s="5" t="n">
        <f aca="false" t="array" ref="E127:E127">PRODUCT(1+$D$4:D127)-1</f>
        <v>-0.0463924028454677</v>
      </c>
      <c r="F127" s="45" t="n">
        <f aca="false">E127/COUNT($E$4:E127)</f>
        <v>-0.000374132281011837</v>
      </c>
      <c r="G127" s="5" t="n">
        <f aca="false">F127*252</f>
        <v>-0.0942813348149828</v>
      </c>
      <c r="H127" s="46" t="n">
        <f aca="false">IF(D127&lt;F127,D127-F127,"")</f>
        <v>-0.0401258677189882</v>
      </c>
      <c r="I127" s="46" t="n">
        <f aca="false">IF(D127&lt;AVERAGE($D$107:D127),D127-AVERAGE($D$107:D127),"")</f>
        <v>-0.0289809523809524</v>
      </c>
      <c r="J127" s="0" t="n">
        <f aca="false">IF(ISBLANK(A128),MONTH(A127),IF(MONTH(A128)-MONTH(A127)=1,MONTH(A127),0))</f>
        <v>0</v>
      </c>
      <c r="K127" s="0" t="str">
        <f aca="false">IF(B128&gt;B127,IF(AND(B126&gt;B127,B128&gt;B127),"min",""),IF(AND(B126&gt;B127,B128&gt;B127),"",IF(AND(B126&lt;B127,B128&lt;B127),"max","")))</f>
        <v/>
      </c>
      <c r="L127" s="0" t="str">
        <f aca="false">IF(K127="min",COUNTIF(K$4:K127,"min"),IF(K127="max",COUNTIF(K$4:K127,"max"),""))</f>
        <v/>
      </c>
      <c r="M127" s="24" t="str">
        <f aca="false" t="array" ref="M127:M127">IF($K$3=0,IF(K127="min",INDEX($B$4:$B$254,(MATCH(1,($K$4:$K$254="max")*($L$4:$L$254=(L127-1)),0))),""),IF($K$3=1,IF(K127="min",INDEX($B$4:$B$254,(MATCH(1,($K$4:$K$254="max")*($L$4:$L$254=(L127)),0))),""),""))</f>
        <v/>
      </c>
      <c r="N127" s="29" t="str">
        <f aca="false">IF(AND(K125=0,K127="min",L127=1),B127-B126,IF(K127="min",B127-M127,""))</f>
        <v/>
      </c>
      <c r="O127" s="34" t="str">
        <f aca="false">IF(AND(K125=0,K127="min",L127=1),(B127-B126)/B126,IF(K127="min",(B127-M127)/M127,""))</f>
        <v/>
      </c>
      <c r="P127" s="19" t="n">
        <f aca="false">D127-s_p!H127</f>
        <v>-0.0620650080256822</v>
      </c>
      <c r="Q127" s="19" t="n">
        <f aca="false">IF(P127&lt;0, P127^2, 0)</f>
        <v>0.003852065221228</v>
      </c>
      <c r="R127" s="5"/>
      <c r="S127" s="5"/>
      <c r="T127" s="5"/>
      <c r="U127" s="5"/>
      <c r="V127" s="5"/>
    </row>
    <row r="128" customFormat="false" ht="13.8" hidden="false" customHeight="false" outlineLevel="0" collapsed="false">
      <c r="A128" s="6" t="n">
        <f aca="false">WORKDAY(A127,1,holiday!$B$2:$B$10)</f>
        <v>38898</v>
      </c>
      <c r="B128" s="24" t="n">
        <v>920326.692013839</v>
      </c>
      <c r="C128" s="24" t="n">
        <f aca="false">B128-B127</f>
        <v>-33280.9051406932</v>
      </c>
      <c r="D128" s="5" t="n">
        <f aca="false">C128/B127</f>
        <v>-0.0349</v>
      </c>
      <c r="E128" s="5" t="n">
        <f aca="false" t="array" ref="E128:E128">PRODUCT(1+$D$4:D128)-1</f>
        <v>-0.0796733079861609</v>
      </c>
      <c r="F128" s="45" t="n">
        <f aca="false">E128/COUNT($E$4:E128)</f>
        <v>-0.000637386463889287</v>
      </c>
      <c r="G128" s="5" t="n">
        <f aca="false">F128*252</f>
        <v>-0.1606213889001</v>
      </c>
      <c r="H128" s="46" t="n">
        <f aca="false">IF(D128&lt;F128,D128-F128,"")</f>
        <v>-0.0342626135361107</v>
      </c>
      <c r="I128" s="46" t="n">
        <f aca="false">IF(D128&lt;AVERAGE($D$107:D128),D128-AVERAGE($D$107:D128),"")</f>
        <v>-0.0223181818181818</v>
      </c>
      <c r="J128" s="0" t="n">
        <f aca="false">IF(ISBLANK(A129),MONTH(A128),IF(MONTH(A129)-MONTH(A128)=1,MONTH(A128),0))</f>
        <v>6</v>
      </c>
      <c r="K128" s="0" t="str">
        <f aca="false">IF(B129&gt;B128,IF(AND(B127&gt;B128,B129&gt;B128),"min",""),IF(AND(B127&gt;B128,B129&gt;B128),"",IF(AND(B127&lt;B128,B129&lt;B128),"max","")))</f>
        <v>min</v>
      </c>
      <c r="L128" s="0" t="n">
        <f aca="false">IF(K128="min",COUNTIF(K$4:K128,"min"),IF(K128="max",COUNTIF(K$4:K128,"max"),""))</f>
        <v>31</v>
      </c>
      <c r="M128" s="24" t="n">
        <f aca="false" t="array" ref="M128:M128">IF($K$3=0,IF(K128="min",INDEX($B$4:$B$254,(MATCH(1,($K$4:$K$254="max")*($L$4:$L$254=(L128-1)),0))),""),IF($K$3=1,IF(K128="min",INDEX($B$4:$B$254,(MATCH(1,($K$4:$K$254="max")*($L$4:$L$254=(L128)),0))),""),""))</f>
        <v>1119201.55939665</v>
      </c>
      <c r="N128" s="29" t="n">
        <f aca="false">IF(AND(K126=0,K128="min",L128=1),B128-B127,IF(K128="min",B128-M128,""))</f>
        <v>-198874.867382811</v>
      </c>
      <c r="O128" s="34" t="n">
        <f aca="false">IF(AND(K126=0,K128="min",L128=1),(B128-B127)/B127,IF(K128="min",(B128-M128)/M128,""))</f>
        <v>-0.177693522416125</v>
      </c>
      <c r="P128" s="19" t="n">
        <f aca="false">D128-s_p!H128</f>
        <v>-0.0328023780904571</v>
      </c>
      <c r="Q128" s="19" t="n">
        <f aca="false">IF(P128&lt;0, P128^2, 0)</f>
        <v>0.0010759960083893</v>
      </c>
      <c r="R128" s="5"/>
      <c r="S128" s="5"/>
      <c r="T128" s="5"/>
      <c r="U128" s="5"/>
      <c r="V128" s="5"/>
    </row>
    <row r="129" customFormat="false" ht="13.8" hidden="false" customHeight="false" outlineLevel="0" collapsed="false">
      <c r="A129" s="6" t="n">
        <f aca="false">WORKDAY(A128,1,holiday!$B$2:$B$10)</f>
        <v>38901</v>
      </c>
      <c r="B129" s="24" t="n">
        <v>926676.946188734</v>
      </c>
      <c r="C129" s="24" t="n">
        <f aca="false">B129-B128</f>
        <v>6350.25417489547</v>
      </c>
      <c r="D129" s="5" t="n">
        <f aca="false">C129/B128</f>
        <v>0.00689999999999998</v>
      </c>
      <c r="E129" s="5" t="n">
        <f aca="false" t="array" ref="E129:E129">PRODUCT(1+$D$4:D129)-1</f>
        <v>-0.0733230538112656</v>
      </c>
      <c r="F129" s="45" t="n">
        <f aca="false">E129/COUNT($E$4:E129)</f>
        <v>-0.000581928998502108</v>
      </c>
      <c r="G129" s="5" t="n">
        <f aca="false">F129*252</f>
        <v>-0.146646107622531</v>
      </c>
      <c r="H129" s="46" t="str">
        <f aca="false">IF(D129&lt;F129,D129-F129,"")</f>
        <v/>
      </c>
      <c r="I129" s="46" t="str">
        <f aca="false">IF(D129&lt;AVERAGE($D$129:D129),D129-AVERAGE($D$129:D129),"")</f>
        <v/>
      </c>
      <c r="J129" s="0" t="n">
        <f aca="false">IF(ISBLANK(A130),MONTH(A129),IF(MONTH(A130)-MONTH(A129)=1,MONTH(A129),0))</f>
        <v>0</v>
      </c>
      <c r="K129" s="0" t="str">
        <f aca="false">IF(B130&gt;B129,IF(AND(B128&gt;B129,B130&gt;B129),"min",""),IF(AND(B128&gt;B129,B130&gt;B129),"",IF(AND(B128&lt;B129,B130&lt;B129),"max","")))</f>
        <v/>
      </c>
      <c r="L129" s="0" t="str">
        <f aca="false">IF(K129="min",COUNTIF(K$4:K129,"min"),IF(K129="max",COUNTIF(K$4:K129,"max"),""))</f>
        <v/>
      </c>
      <c r="M129" s="24" t="str">
        <f aca="false" t="array" ref="M129:M129">IF($K$3=0,IF(K129="min",INDEX($B$4:$B$254,(MATCH(1,($K$4:$K$254="max")*($L$4:$L$254=(L129-1)),0))),""),IF($K$3=1,IF(K129="min",INDEX($B$4:$B$254,(MATCH(1,($K$4:$K$254="max")*($L$4:$L$254=(L129)),0))),""),""))</f>
        <v/>
      </c>
      <c r="N129" s="29" t="str">
        <f aca="false">IF(AND(K127=0,K129="min",L129=1),B129-B128,IF(K129="min",B129-M129,""))</f>
        <v/>
      </c>
      <c r="O129" s="34" t="str">
        <f aca="false">IF(AND(K127=0,K129="min",L129=1),(B129-B128)/B128,IF(K129="min",(B129-M129)/M129,""))</f>
        <v/>
      </c>
      <c r="P129" s="19" t="n">
        <f aca="false">D129-s_p!H129</f>
        <v>-0.000964903164855905</v>
      </c>
      <c r="Q129" s="19" t="n">
        <f aca="false">IF(P129&lt;0, P129^2, 0)</f>
        <v>9.31038117548942E-007</v>
      </c>
      <c r="R129" s="5"/>
      <c r="S129" s="5"/>
      <c r="T129" s="5"/>
      <c r="U129" s="5"/>
      <c r="V129" s="5"/>
    </row>
    <row r="130" customFormat="false" ht="13.8" hidden="false" customHeight="false" outlineLevel="0" collapsed="false">
      <c r="A130" s="6" t="n">
        <f aca="false">WORKDAY(A129,1,holiday!$B$2:$B$10)</f>
        <v>38903</v>
      </c>
      <c r="B130" s="24" t="n">
        <v>961705.334754668</v>
      </c>
      <c r="C130" s="24" t="n">
        <f aca="false">B130-B129</f>
        <v>35028.3885659341</v>
      </c>
      <c r="D130" s="5" t="n">
        <f aca="false">C130/B129</f>
        <v>0.0378</v>
      </c>
      <c r="E130" s="5" t="n">
        <f aca="false" t="array" ref="E130:E130">PRODUCT(1+$D$4:D130)-1</f>
        <v>-0.0382946652453314</v>
      </c>
      <c r="F130" s="45" t="n">
        <f aca="false">E130/COUNT($E$4:E130)</f>
        <v>-0.000301532797207334</v>
      </c>
      <c r="G130" s="5" t="n">
        <f aca="false">F130*252</f>
        <v>-0.0759862648962482</v>
      </c>
      <c r="H130" s="46" t="str">
        <f aca="false">IF(D130&lt;F130,D130-F130,"")</f>
        <v/>
      </c>
      <c r="I130" s="46" t="str">
        <f aca="false">IF(D130&lt;AVERAGE($D$129:D130),D130-AVERAGE($D$129:D130),"")</f>
        <v/>
      </c>
      <c r="J130" s="0" t="n">
        <f aca="false">IF(ISBLANK(A131),MONTH(A130),IF(MONTH(A131)-MONTH(A130)=1,MONTH(A130),0))</f>
        <v>0</v>
      </c>
      <c r="K130" s="0" t="str">
        <f aca="false">IF(B131&gt;B130,IF(AND(B129&gt;B130,B131&gt;B130),"min",""),IF(AND(B129&gt;B130,B131&gt;B130),"",IF(AND(B129&lt;B130,B131&lt;B130),"max","")))</f>
        <v>max</v>
      </c>
      <c r="L130" s="0" t="n">
        <f aca="false">IF(K130="min",COUNTIF(K$4:K130,"min"),IF(K130="max",COUNTIF(K$4:K130,"max"),""))</f>
        <v>31</v>
      </c>
      <c r="M130" s="24" t="str">
        <f aca="false" t="array" ref="M130:M130">IF($K$3=0,IF(K130="min",INDEX($B$4:$B$254,(MATCH(1,($K$4:$K$254="max")*($L$4:$L$254=(L130-1)),0))),""),IF($K$3=1,IF(K130="min",INDEX($B$4:$B$254,(MATCH(1,($K$4:$K$254="max")*($L$4:$L$254=(L130)),0))),""),""))</f>
        <v/>
      </c>
      <c r="N130" s="29" t="str">
        <f aca="false">IF(AND(K128=0,K130="min",L130=1),B130-B129,IF(K130="min",B130-M130,""))</f>
        <v/>
      </c>
      <c r="O130" s="34" t="str">
        <f aca="false">IF(AND(K128=0,K130="min",L130=1),(B130-B129)/B129,IF(K130="min",(B130-M130)/M130,""))</f>
        <v/>
      </c>
      <c r="P130" s="19" t="n">
        <f aca="false">D130-s_p!H130</f>
        <v>0.0450489239878455</v>
      </c>
      <c r="Q130" s="19" t="n">
        <f aca="false">IF(P130&lt;0, P130^2, 0)</f>
        <v>0</v>
      </c>
      <c r="R130" s="5"/>
      <c r="S130" s="5"/>
      <c r="T130" s="5"/>
      <c r="U130" s="5"/>
      <c r="V130" s="5"/>
    </row>
    <row r="131" customFormat="false" ht="13.8" hidden="false" customHeight="false" outlineLevel="0" collapsed="false">
      <c r="A131" s="6" t="n">
        <f aca="false">WORKDAY(A130,1,holiday!$B$2:$B$10)</f>
        <v>38904</v>
      </c>
      <c r="B131" s="24" t="n">
        <v>939297.600454884</v>
      </c>
      <c r="C131" s="24" t="n">
        <f aca="false">B131-B130</f>
        <v>-22407.7342997838</v>
      </c>
      <c r="D131" s="5" t="n">
        <f aca="false">C131/B130</f>
        <v>-0.0233000000000001</v>
      </c>
      <c r="E131" s="5" t="n">
        <f aca="false" t="array" ref="E131:E131">PRODUCT(1+$D$4:D131)-1</f>
        <v>-0.0607023995451153</v>
      </c>
      <c r="F131" s="45" t="n">
        <f aca="false">E131/COUNT($E$4:E131)</f>
        <v>-0.000474237496446213</v>
      </c>
      <c r="G131" s="5" t="n">
        <f aca="false">F131*252</f>
        <v>-0.119507849104446</v>
      </c>
      <c r="H131" s="46" t="n">
        <f aca="false">IF(D131&lt;F131,D131-F131,"")</f>
        <v>-0.0228257625035539</v>
      </c>
      <c r="I131" s="46" t="n">
        <f aca="false">IF(D131&lt;AVERAGE($D$129:D131),D131-AVERAGE($D$129:D131),"")</f>
        <v>-0.0304333333333334</v>
      </c>
      <c r="J131" s="0" t="n">
        <v>0</v>
      </c>
      <c r="K131" s="0" t="str">
        <f aca="false">IF(B132&gt;B131,IF(AND(B130&gt;B131,B132&gt;B131),"min",""),IF(AND(B130&gt;B131,B132&gt;B131),"",IF(AND(B130&lt;B131,B132&lt;B131),"max","")))</f>
        <v/>
      </c>
      <c r="L131" s="0" t="str">
        <f aca="false">IF(K131="min",COUNTIF(K$4:K131,"min"),IF(K131="max",COUNTIF(K$4:K131,"max"),""))</f>
        <v/>
      </c>
      <c r="M131" s="24" t="str">
        <f aca="false" t="array" ref="M131:M131">IF($K$3=0,IF(K131="min",INDEX($B$4:$B$254,(MATCH(1,($K$4:$K$254="max")*($L$4:$L$254=(L131-1)),0))),""),IF($K$3=1,IF(K131="min",INDEX($B$4:$B$254,(MATCH(1,($K$4:$K$254="max")*($L$4:$L$254=(L131)),0))),""),""))</f>
        <v/>
      </c>
      <c r="N131" s="29" t="str">
        <f aca="false">IF(AND(K129=0,K131="min",L131=1),B131-B130,IF(K131="min",B131-M131,""))</f>
        <v/>
      </c>
      <c r="O131" s="34" t="str">
        <f aca="false">IF(AND(K129=0,K131="min",L131=1),(B131-B130)/B130,IF(K131="min",(B131-M131)/M131,""))</f>
        <v/>
      </c>
      <c r="P131" s="19" t="n">
        <f aca="false">D131-s_p!H131</f>
        <v>-0.0257942757551674</v>
      </c>
      <c r="Q131" s="19" t="n">
        <f aca="false">IF(P131&lt;0, P131^2, 0)</f>
        <v>0.000665344661733617</v>
      </c>
      <c r="R131" s="5"/>
      <c r="S131" s="5"/>
      <c r="T131" s="5"/>
      <c r="U131" s="5"/>
      <c r="V131" s="5"/>
    </row>
    <row r="132" customFormat="false" ht="13.8" hidden="false" customHeight="false" outlineLevel="0" collapsed="false">
      <c r="A132" s="6" t="n">
        <f aca="false">WORKDAY(A131,1,holiday!$B$2:$B$10)</f>
        <v>38905</v>
      </c>
      <c r="B132" s="24" t="n">
        <v>893084.158512504</v>
      </c>
      <c r="C132" s="24" t="n">
        <f aca="false">B132-B131</f>
        <v>-46213.4419423803</v>
      </c>
      <c r="D132" s="5" t="n">
        <f aca="false">C132/B131</f>
        <v>-0.0492</v>
      </c>
      <c r="E132" s="5" t="n">
        <f aca="false" t="array" ref="E132:E132">PRODUCT(1+$D$4:D132)-1</f>
        <v>-0.106915841487496</v>
      </c>
      <c r="F132" s="45" t="n">
        <f aca="false">E132/COUNT($E$4:E132)</f>
        <v>-0.000828804972771283</v>
      </c>
      <c r="G132" s="5" t="n">
        <f aca="false">F132*252</f>
        <v>-0.208858853138363</v>
      </c>
      <c r="H132" s="46" t="n">
        <f aca="false">IF(D132&lt;F132,D132-F132,"")</f>
        <v>-0.0483711950272287</v>
      </c>
      <c r="I132" s="46" t="n">
        <f aca="false">IF(D132&lt;AVERAGE($D$129:D132),D132-AVERAGE($D$129:D132),"")</f>
        <v>-0.0422499999999999</v>
      </c>
      <c r="J132" s="0" t="n">
        <f aca="false">IF(ISBLANK(A133),MONTH(A132),IF(MONTH(A133)-MONTH(A132)=1,MONTH(A132),0))</f>
        <v>0</v>
      </c>
      <c r="K132" s="0" t="str">
        <f aca="false">IF(B133&gt;B132,IF(AND(B131&gt;B132,B133&gt;B132),"min",""),IF(AND(B131&gt;B132,B133&gt;B132),"",IF(AND(B131&lt;B132,B133&lt;B132),"max","")))</f>
        <v>min</v>
      </c>
      <c r="L132" s="0" t="n">
        <f aca="false">IF(K132="min",COUNTIF(K$4:K132,"min"),IF(K132="max",COUNTIF(K$4:K132,"max"),""))</f>
        <v>32</v>
      </c>
      <c r="M132" s="24" t="n">
        <f aca="false" t="array" ref="M132:M132">IF($K$3=0,IF(K132="min",INDEX($B$4:$B$254,(MATCH(1,($K$4:$K$254="max")*($L$4:$L$254=(L132-1)),0))),""),IF($K$3=1,IF(K132="min",INDEX($B$4:$B$254,(MATCH(1,($K$4:$K$254="max")*($L$4:$L$254=(L132)),0))),""),""))</f>
        <v>961705.334754668</v>
      </c>
      <c r="N132" s="29" t="n">
        <f aca="false">IF(AND(K130=0,K132="min",L132=1),B132-B131,IF(K132="min",B132-M132,""))</f>
        <v>-68621.176242164</v>
      </c>
      <c r="O132" s="34" t="n">
        <f aca="false">IF(AND(K130=0,K132="min",L132=1),(B132-B131)/B131,IF(K132="min",(B132-M132)/M132,""))</f>
        <v>-0.0713536399999999</v>
      </c>
      <c r="P132" s="19" t="n">
        <f aca="false">D132-s_p!H132</f>
        <v>-0.0424500313952028</v>
      </c>
      <c r="Q132" s="19" t="n">
        <f aca="false">IF(P132&lt;0, P132^2, 0)</f>
        <v>0.0018020051654537</v>
      </c>
      <c r="R132" s="5"/>
      <c r="S132" s="5"/>
      <c r="T132" s="5"/>
      <c r="U132" s="5"/>
      <c r="V132" s="5"/>
    </row>
    <row r="133" customFormat="false" ht="13.8" hidden="false" customHeight="false" outlineLevel="0" collapsed="false">
      <c r="A133" s="6" t="n">
        <f aca="false">WORKDAY(A132,1,holiday!$B$2:$B$10)</f>
        <v>38908</v>
      </c>
      <c r="B133" s="24" t="n">
        <v>909159.673365729</v>
      </c>
      <c r="C133" s="24" t="n">
        <f aca="false">B133-B132</f>
        <v>16075.5148532251</v>
      </c>
      <c r="D133" s="5" t="n">
        <f aca="false">C133/B132</f>
        <v>0.018</v>
      </c>
      <c r="E133" s="5" t="n">
        <f aca="false" t="array" ref="E133:E133">PRODUCT(1+$D$4:D133)-1</f>
        <v>-0.0908403266342704</v>
      </c>
      <c r="F133" s="45" t="n">
        <f aca="false">E133/COUNT($E$4:E133)</f>
        <v>-0.000698771743340542</v>
      </c>
      <c r="G133" s="5" t="n">
        <f aca="false">F133*252</f>
        <v>-0.176090479321817</v>
      </c>
      <c r="H133" s="46" t="str">
        <f aca="false">IF(D133&lt;F133,D133-F133,"")</f>
        <v/>
      </c>
      <c r="I133" s="46" t="str">
        <f aca="false">IF(D133&lt;AVERAGE($D$129:D133),D133-AVERAGE($D$129:D133),"")</f>
        <v/>
      </c>
      <c r="J133" s="0" t="n">
        <f aca="false">IF(ISBLANK(A134),MONTH(A133),IF(MONTH(A134)-MONTH(A133)=1,MONTH(A133),0))</f>
        <v>0</v>
      </c>
      <c r="K133" s="0" t="str">
        <f aca="false">IF(B134&gt;B133,IF(AND(B132&gt;B133,B134&gt;B133),"min",""),IF(AND(B132&gt;B133,B134&gt;B133),"",IF(AND(B132&lt;B133,B134&lt;B133),"max","")))</f>
        <v>max</v>
      </c>
      <c r="L133" s="0" t="n">
        <f aca="false">IF(K133="min",COUNTIF(K$4:K133,"min"),IF(K133="max",COUNTIF(K$4:K133,"max"),""))</f>
        <v>32</v>
      </c>
      <c r="M133" s="24" t="str">
        <f aca="false" t="array" ref="M133:M133">IF($K$3=0,IF(K133="min",INDEX($B$4:$B$254,(MATCH(1,($K$4:$K$254="max")*($L$4:$L$254=(L133-1)),0))),""),IF($K$3=1,IF(K133="min",INDEX($B$4:$B$254,(MATCH(1,($K$4:$K$254="max")*($L$4:$L$254=(L133)),0))),""),""))</f>
        <v/>
      </c>
      <c r="N133" s="29" t="str">
        <f aca="false">IF(AND(K131=0,K133="min",L133=1),B133-B132,IF(K133="min",B133-M133,""))</f>
        <v/>
      </c>
      <c r="O133" s="34" t="str">
        <f aca="false">IF(AND(K131=0,K133="min",L133=1),(B133-B132)/B132,IF(K133="min",(B133-M133)/M133,""))</f>
        <v/>
      </c>
      <c r="P133" s="19" t="n">
        <f aca="false">D133-s_p!H133</f>
        <v>0.0165302019786959</v>
      </c>
      <c r="Q133" s="19" t="n">
        <f aca="false">IF(P133&lt;0, P133^2, 0)</f>
        <v>0</v>
      </c>
      <c r="R133" s="5"/>
      <c r="S133" s="5"/>
      <c r="T133" s="5"/>
      <c r="U133" s="5"/>
      <c r="V133" s="5"/>
    </row>
    <row r="134" customFormat="false" ht="13.8" hidden="false" customHeight="false" outlineLevel="0" collapsed="false">
      <c r="A134" s="6" t="n">
        <f aca="false">WORKDAY(A133,1,holiday!$B$2:$B$10)</f>
        <v>38909</v>
      </c>
      <c r="B134" s="24" t="n">
        <v>874066.109973812</v>
      </c>
      <c r="C134" s="24" t="n">
        <f aca="false">B134-B133</f>
        <v>-35093.5633919171</v>
      </c>
      <c r="D134" s="5" t="n">
        <f aca="false">C134/B133</f>
        <v>-0.0386</v>
      </c>
      <c r="E134" s="5" t="n">
        <f aca="false" t="array" ref="E134:E134">PRODUCT(1+$D$4:D134)-1</f>
        <v>-0.125933890026188</v>
      </c>
      <c r="F134" s="45" t="n">
        <f aca="false">E134/COUNT($E$4:E134)</f>
        <v>-0.000961327404780057</v>
      </c>
      <c r="G134" s="5" t="n">
        <f aca="false">F134*252</f>
        <v>-0.242254506004574</v>
      </c>
      <c r="H134" s="46" t="n">
        <f aca="false">IF(D134&lt;F134,D134-F134,"")</f>
        <v>-0.0376386725952199</v>
      </c>
      <c r="I134" s="46" t="n">
        <f aca="false">IF(D134&lt;AVERAGE($D$129:D134),D134-AVERAGE($D$129:D134),"")</f>
        <v>-0.0305333333333333</v>
      </c>
      <c r="J134" s="0" t="n">
        <f aca="false">IF(ISBLANK(A135),MONTH(A134),IF(MONTH(A135)-MONTH(A134)=1,MONTH(A134),0))</f>
        <v>0</v>
      </c>
      <c r="K134" s="0" t="str">
        <f aca="false">IF(B135&gt;B134,IF(AND(B133&gt;B134,B135&gt;B134),"min",""),IF(AND(B133&gt;B134,B135&gt;B134),"",IF(AND(B133&lt;B134,B135&lt;B134),"max","")))</f>
        <v>min</v>
      </c>
      <c r="L134" s="0" t="n">
        <f aca="false">IF(K134="min",COUNTIF(K$4:K134,"min"),IF(K134="max",COUNTIF(K$4:K134,"max"),""))</f>
        <v>33</v>
      </c>
      <c r="M134" s="24" t="n">
        <f aca="false" t="array" ref="M134:M134">IF($K$3=0,IF(K134="min",INDEX($B$4:$B$254,(MATCH(1,($K$4:$K$254="max")*($L$4:$L$254=(L134-1)),0))),""),IF($K$3=1,IF(K134="min",INDEX($B$4:$B$254,(MATCH(1,($K$4:$K$254="max")*($L$4:$L$254=(L134)),0))),""),""))</f>
        <v>909159.673365729</v>
      </c>
      <c r="N134" s="29" t="n">
        <f aca="false">IF(AND(K132=0,K134="min",L134=1),B134-B133,IF(K134="min",B134-M134,""))</f>
        <v>-35093.563391917</v>
      </c>
      <c r="O134" s="34" t="n">
        <f aca="false">IF(AND(K132=0,K134="min",L134=1),(B134-B133)/B133,IF(K134="min",(B134-M134)/M134,""))</f>
        <v>-0.0385999999999999</v>
      </c>
      <c r="P134" s="19" t="n">
        <f aca="false">D134-s_p!H134</f>
        <v>-0.0426162860795052</v>
      </c>
      <c r="Q134" s="19" t="n">
        <f aca="false">IF(P134&lt;0, P134^2, 0)</f>
        <v>0.00181614783921023</v>
      </c>
      <c r="R134" s="5"/>
      <c r="S134" s="5"/>
      <c r="T134" s="5"/>
      <c r="U134" s="5"/>
      <c r="V134" s="5"/>
    </row>
    <row r="135" customFormat="false" ht="13.8" hidden="false" customHeight="false" outlineLevel="0" collapsed="false">
      <c r="A135" s="6" t="n">
        <f aca="false">WORKDAY(A134,1,holiday!$B$2:$B$10)</f>
        <v>38910</v>
      </c>
      <c r="B135" s="24" t="n">
        <v>903696.951101924</v>
      </c>
      <c r="C135" s="24" t="n">
        <f aca="false">B135-B134</f>
        <v>29630.8411281123</v>
      </c>
      <c r="D135" s="5" t="n">
        <f aca="false">C135/B134</f>
        <v>0.0339000000000001</v>
      </c>
      <c r="E135" s="5" t="n">
        <f aca="false" t="array" ref="E135:E135">PRODUCT(1+$D$4:D135)-1</f>
        <v>-0.0963030488980753</v>
      </c>
      <c r="F135" s="45" t="n">
        <f aca="false">E135/COUNT($E$4:E135)</f>
        <v>-0.000729568552258146</v>
      </c>
      <c r="G135" s="5" t="n">
        <f aca="false">F135*252</f>
        <v>-0.183851275169053</v>
      </c>
      <c r="H135" s="46" t="str">
        <f aca="false">IF(D135&lt;F135,D135-F135,"")</f>
        <v/>
      </c>
      <c r="I135" s="46" t="str">
        <f aca="false">IF(D135&lt;AVERAGE($D$129:D135),D135-AVERAGE($D$129:D135),"")</f>
        <v/>
      </c>
      <c r="J135" s="0" t="n">
        <f aca="false">IF(ISBLANK(A136),MONTH(A135),IF(MONTH(A136)-MONTH(A135)=1,MONTH(A135),0))</f>
        <v>0</v>
      </c>
      <c r="K135" s="0" t="str">
        <f aca="false">IF(B136&gt;B135,IF(AND(B134&gt;B135,B136&gt;B135),"min",""),IF(AND(B134&gt;B135,B136&gt;B135),"",IF(AND(B134&lt;B135,B136&lt;B135),"max","")))</f>
        <v/>
      </c>
      <c r="L135" s="0" t="str">
        <f aca="false">IF(K135="min",COUNTIF(K$4:K135,"min"),IF(K135="max",COUNTIF(K$4:K135,"max"),""))</f>
        <v/>
      </c>
      <c r="M135" s="24" t="str">
        <f aca="false" t="array" ref="M135:M135">IF($K$3=0,IF(K135="min",INDEX($B$4:$B$254,(MATCH(1,($K$4:$K$254="max")*($L$4:$L$254=(L135-1)),0))),""),IF($K$3=1,IF(K135="min",INDEX($B$4:$B$254,(MATCH(1,($K$4:$K$254="max")*($L$4:$L$254=(L135)),0))),""),""))</f>
        <v/>
      </c>
      <c r="N135" s="29" t="str">
        <f aca="false">IF(AND(K133=0,K135="min",L135=1),B135-B134,IF(K135="min",B135-M135,""))</f>
        <v/>
      </c>
      <c r="O135" s="34" t="str">
        <f aca="false">IF(AND(K133=0,K135="min",L135=1),(B135-B134)/B134,IF(K135="min",(B135-M135)/M135,""))</f>
        <v/>
      </c>
      <c r="P135" s="19" t="n">
        <f aca="false">D135-s_p!H135</f>
        <v>0.0447689672516368</v>
      </c>
      <c r="Q135" s="19" t="n">
        <f aca="false">IF(P135&lt;0, P135^2, 0)</f>
        <v>0</v>
      </c>
      <c r="R135" s="5"/>
      <c r="S135" s="5"/>
      <c r="T135" s="5"/>
      <c r="U135" s="5"/>
      <c r="V135" s="5"/>
    </row>
    <row r="136" customFormat="false" ht="13.8" hidden="false" customHeight="false" outlineLevel="0" collapsed="false">
      <c r="A136" s="6" t="n">
        <f aca="false">WORKDAY(A135,1,holiday!$B$2:$B$10)</f>
        <v>38911</v>
      </c>
      <c r="B136" s="24" t="n">
        <v>914450.944820037</v>
      </c>
      <c r="C136" s="24" t="n">
        <f aca="false">B136-B135</f>
        <v>10753.9937181129</v>
      </c>
      <c r="D136" s="5" t="n">
        <f aca="false">C136/B135</f>
        <v>0.0119</v>
      </c>
      <c r="E136" s="5" t="n">
        <f aca="false" t="array" ref="E136:E136">PRODUCT(1+$D$4:D136)-1</f>
        <v>-0.0855490551799624</v>
      </c>
      <c r="F136" s="45" t="n">
        <f aca="false">E136/COUNT($E$4:E136)</f>
        <v>-0.000643225978796709</v>
      </c>
      <c r="G136" s="5" t="n">
        <f aca="false">F136*252</f>
        <v>-0.162092946656771</v>
      </c>
      <c r="H136" s="46" t="str">
        <f aca="false">IF(D136&lt;F136,D136-F136,"")</f>
        <v/>
      </c>
      <c r="I136" s="46" t="str">
        <f aca="false">IF(D136&lt;AVERAGE($D$129:D136),D136-AVERAGE($D$129:D136),"")</f>
        <v/>
      </c>
      <c r="J136" s="0" t="n">
        <f aca="false">IF(ISBLANK(A137),MONTH(A136),IF(MONTH(A137)-MONTH(A136)=1,MONTH(A136),0))</f>
        <v>0</v>
      </c>
      <c r="K136" s="0" t="str">
        <f aca="false">IF(B137&gt;B136,IF(AND(B135&gt;B136,B137&gt;B136),"min",""),IF(AND(B135&gt;B136,B137&gt;B136),"",IF(AND(B135&lt;B136,B137&lt;B136),"max","")))</f>
        <v/>
      </c>
      <c r="L136" s="0" t="str">
        <f aca="false">IF(K136="min",COUNTIF(K$4:K136,"min"),IF(K136="max",COUNTIF(K$4:K136,"max"),""))</f>
        <v/>
      </c>
      <c r="M136" s="24" t="str">
        <f aca="false" t="array" ref="M136:M136">IF($K$3=0,IF(K136="min",INDEX($B$4:$B$254,(MATCH(1,($K$4:$K$254="max")*($L$4:$L$254=(L136-1)),0))),""),IF($K$3=1,IF(K136="min",INDEX($B$4:$B$254,(MATCH(1,($K$4:$K$254="max")*($L$4:$L$254=(L136)),0))),""),""))</f>
        <v/>
      </c>
      <c r="N136" s="29" t="str">
        <f aca="false">IF(AND(K134=0,K136="min",L136=1),B136-B135,IF(K136="min",B136-M136,""))</f>
        <v/>
      </c>
      <c r="O136" s="34" t="str">
        <f aca="false">IF(AND(K134=0,K136="min",L136=1),(B136-B135)/B135,IF(K136="min",(B136-M136)/M136,""))</f>
        <v/>
      </c>
      <c r="P136" s="19" t="n">
        <f aca="false">D136-s_p!H136</f>
        <v>0.0248667884951534</v>
      </c>
      <c r="Q136" s="19" t="n">
        <f aca="false">IF(P136&lt;0, P136^2, 0)</f>
        <v>0</v>
      </c>
      <c r="R136" s="5"/>
      <c r="S136" s="5"/>
      <c r="T136" s="5"/>
      <c r="U136" s="5"/>
      <c r="V136" s="5"/>
    </row>
    <row r="137" customFormat="false" ht="13.8" hidden="false" customHeight="false" outlineLevel="0" collapsed="false">
      <c r="A137" s="6" t="n">
        <f aca="false">WORKDAY(A136,1,holiday!$B$2:$B$10)</f>
        <v>38912</v>
      </c>
      <c r="B137" s="24" t="n">
        <v>955967.017714867</v>
      </c>
      <c r="C137" s="24" t="n">
        <f aca="false">B137-B136</f>
        <v>41516.0728948297</v>
      </c>
      <c r="D137" s="5" t="n">
        <f aca="false">C137/B136</f>
        <v>0.0454</v>
      </c>
      <c r="E137" s="5" t="n">
        <f aca="false" t="array" ref="E137:E137">PRODUCT(1+$D$4:D137)-1</f>
        <v>-0.0440329822851325</v>
      </c>
      <c r="F137" s="45" t="n">
        <f aca="false">E137/COUNT($E$4:E137)</f>
        <v>-0.000328604345411437</v>
      </c>
      <c r="G137" s="5" t="n">
        <f aca="false">F137*252</f>
        <v>-0.0828082950436821</v>
      </c>
      <c r="H137" s="46" t="str">
        <f aca="false">IF(D137&lt;F137,D137-F137,"")</f>
        <v/>
      </c>
      <c r="I137" s="46" t="str">
        <f aca="false">IF(D137&lt;AVERAGE($D$129:D137),D137-AVERAGE($D$129:D137),"")</f>
        <v/>
      </c>
      <c r="J137" s="0" t="n">
        <f aca="false">IF(ISBLANK(A138),MONTH(A137),IF(MONTH(A138)-MONTH(A137)=1,MONTH(A137),0))</f>
        <v>0</v>
      </c>
      <c r="K137" s="0" t="str">
        <f aca="false">IF(B138&gt;B137,IF(AND(B136&gt;B137,B138&gt;B137),"min",""),IF(AND(B136&gt;B137,B138&gt;B137),"",IF(AND(B136&lt;B137,B138&lt;B137),"max","")))</f>
        <v/>
      </c>
      <c r="L137" s="0" t="str">
        <f aca="false">IF(K137="min",COUNTIF(K$4:K137,"min"),IF(K137="max",COUNTIF(K$4:K137,"max"),""))</f>
        <v/>
      </c>
      <c r="M137" s="24" t="str">
        <f aca="false" t="array" ref="M137:M137">IF($K$3=0,IF(K137="min",INDEX($B$4:$B$254,(MATCH(1,($K$4:$K$254="max")*($L$4:$L$254=(L137-1)),0))),""),IF($K$3=1,IF(K137="min",INDEX($B$4:$B$254,(MATCH(1,($K$4:$K$254="max")*($L$4:$L$254=(L137)),0))),""),""))</f>
        <v/>
      </c>
      <c r="N137" s="29" t="str">
        <f aca="false">IF(AND(K135=0,K137="min",L137=1),B137-B136,IF(K137="min",B137-M137,""))</f>
        <v/>
      </c>
      <c r="O137" s="34" t="str">
        <f aca="false">IF(AND(K135=0,K137="min",L137=1),(B137-B136)/B136,IF(K137="min",(B137-M137)/M137,""))</f>
        <v/>
      </c>
      <c r="P137" s="19" t="n">
        <f aca="false">D137-s_p!H137</f>
        <v>0.0502942267443732</v>
      </c>
      <c r="Q137" s="19" t="n">
        <f aca="false">IF(P137&lt;0, P137^2, 0)</f>
        <v>0</v>
      </c>
      <c r="R137" s="5"/>
      <c r="S137" s="5"/>
      <c r="T137" s="5"/>
      <c r="U137" s="5"/>
      <c r="V137" s="5"/>
    </row>
    <row r="138" customFormat="false" ht="13.8" hidden="false" customHeight="false" outlineLevel="0" collapsed="false">
      <c r="A138" s="6" t="n">
        <f aca="false">WORKDAY(A137,1,holiday!$B$2:$B$10)</f>
        <v>38915</v>
      </c>
      <c r="B138" s="24" t="n">
        <v>967247.428523902</v>
      </c>
      <c r="C138" s="24" t="n">
        <f aca="false">B138-B137</f>
        <v>11280.4108090354</v>
      </c>
      <c r="D138" s="5" t="n">
        <f aca="false">C138/B137</f>
        <v>0.0118</v>
      </c>
      <c r="E138" s="5" t="n">
        <f aca="false" t="array" ref="E138:E138">PRODUCT(1+$D$4:D138)-1</f>
        <v>-0.032752571476097</v>
      </c>
      <c r="F138" s="45" t="n">
        <f aca="false">E138/COUNT($E$4:E138)</f>
        <v>-0.000242611640563681</v>
      </c>
      <c r="G138" s="5" t="n">
        <f aca="false">F138*252</f>
        <v>-0.0611381334220477</v>
      </c>
      <c r="H138" s="46" t="str">
        <f aca="false">IF(D138&lt;F138,D138-F138,"")</f>
        <v/>
      </c>
      <c r="I138" s="46" t="str">
        <f aca="false">IF(D138&lt;AVERAGE($D$129:D138),D138-AVERAGE($D$129:D138),"")</f>
        <v/>
      </c>
      <c r="J138" s="0" t="n">
        <f aca="false">IF(ISBLANK(A139),MONTH(A138),IF(MONTH(A139)-MONTH(A138)=1,MONTH(A138),0))</f>
        <v>0</v>
      </c>
      <c r="K138" s="0" t="str">
        <f aca="false">IF(B139&gt;B138,IF(AND(B137&gt;B138,B139&gt;B138),"min",""),IF(AND(B137&gt;B138,B139&gt;B138),"",IF(AND(B137&lt;B138,B139&lt;B138),"max","")))</f>
        <v>max</v>
      </c>
      <c r="L138" s="0" t="n">
        <f aca="false">IF(K138="min",COUNTIF(K$4:K138,"min"),IF(K138="max",COUNTIF(K$4:K138,"max"),""))</f>
        <v>33</v>
      </c>
      <c r="M138" s="24" t="str">
        <f aca="false" t="array" ref="M138:M138">IF($K$3=0,IF(K138="min",INDEX($B$4:$B$254,(MATCH(1,($K$4:$K$254="max")*($L$4:$L$254=(L138-1)),0))),""),IF($K$3=1,IF(K138="min",INDEX($B$4:$B$254,(MATCH(1,($K$4:$K$254="max")*($L$4:$L$254=(L138)),0))),""),""))</f>
        <v/>
      </c>
      <c r="N138" s="29" t="str">
        <f aca="false">IF(AND(K136=0,K138="min",L138=1),B138-B137,IF(K138="min",B138-M138,""))</f>
        <v/>
      </c>
      <c r="O138" s="34" t="str">
        <f aca="false">IF(AND(K136=0,K138="min",L138=1),(B138-B137)/B137,IF(K138="min",(B138-M138)/M138,""))</f>
        <v/>
      </c>
      <c r="P138" s="19" t="n">
        <f aca="false">D138-s_p!H138</f>
        <v>0.0131832713153211</v>
      </c>
      <c r="Q138" s="19" t="n">
        <f aca="false">IF(P138&lt;0, P138^2, 0)</f>
        <v>0</v>
      </c>
      <c r="R138" s="5"/>
      <c r="S138" s="5"/>
      <c r="T138" s="5"/>
      <c r="U138" s="5"/>
      <c r="V138" s="5"/>
    </row>
    <row r="139" customFormat="false" ht="13.8" hidden="false" customHeight="false" outlineLevel="0" collapsed="false">
      <c r="A139" s="6" t="n">
        <f aca="false">WORKDAY(A138,1,holiday!$B$2:$B$10)</f>
        <v>38916</v>
      </c>
      <c r="B139" s="24" t="n">
        <v>956607.70681014</v>
      </c>
      <c r="C139" s="24" t="n">
        <f aca="false">B139-B138</f>
        <v>-10639.721713763</v>
      </c>
      <c r="D139" s="5" t="n">
        <f aca="false">C139/B138</f>
        <v>-0.011</v>
      </c>
      <c r="E139" s="5" t="n">
        <f aca="false" t="array" ref="E139:E139">PRODUCT(1+$D$4:D139)-1</f>
        <v>-0.0433922931898599</v>
      </c>
      <c r="F139" s="45" t="n">
        <f aca="false">E139/COUNT($E$4:E139)</f>
        <v>-0.000319060979337205</v>
      </c>
      <c r="G139" s="5" t="n">
        <f aca="false">F139*252</f>
        <v>-0.0804033667929758</v>
      </c>
      <c r="H139" s="46" t="n">
        <f aca="false">IF(D139&lt;F139,D139-F139,"")</f>
        <v>-0.0106809390206628</v>
      </c>
      <c r="I139" s="46" t="n">
        <f aca="false">IF(D139&lt;AVERAGE($D$129:D139),D139-AVERAGE($D$129:D139),"")</f>
        <v>-0.0149636363636364</v>
      </c>
      <c r="J139" s="0" t="n">
        <f aca="false">IF(ISBLANK(A140),MONTH(A139),IF(MONTH(A140)-MONTH(A139)=1,MONTH(A139),0))</f>
        <v>0</v>
      </c>
      <c r="K139" s="0" t="str">
        <f aca="false">IF(B140&gt;B139,IF(AND(B138&gt;B139,B140&gt;B139),"min",""),IF(AND(B138&gt;B139,B140&gt;B139),"",IF(AND(B138&lt;B139,B140&lt;B139),"max","")))</f>
        <v/>
      </c>
      <c r="L139" s="0" t="str">
        <f aca="false">IF(K139="min",COUNTIF(K$4:K139,"min"),IF(K139="max",COUNTIF(K$4:K139,"max"),""))</f>
        <v/>
      </c>
      <c r="M139" s="24" t="str">
        <f aca="false" t="array" ref="M139:M139">IF($K$3=0,IF(K139="min",INDEX($B$4:$B$254,(MATCH(1,($K$4:$K$254="max")*($L$4:$L$254=(L139-1)),0))),""),IF($K$3=1,IF(K139="min",INDEX($B$4:$B$254,(MATCH(1,($K$4:$K$254="max")*($L$4:$L$254=(L139)),0))),""),""))</f>
        <v/>
      </c>
      <c r="N139" s="29" t="str">
        <f aca="false">IF(AND(K137=0,K139="min",L139=1),B139-B138,IF(K139="min",B139-M139,""))</f>
        <v/>
      </c>
      <c r="O139" s="34" t="str">
        <f aca="false">IF(AND(K137=0,K139="min",L139=1),(B139-B138)/B138,IF(K139="min",(B139-M139)/M139,""))</f>
        <v/>
      </c>
      <c r="P139" s="19" t="n">
        <f aca="false">D139-s_p!H139</f>
        <v>-0.0129198211407139</v>
      </c>
      <c r="Q139" s="19" t="n">
        <f aca="false">IF(P139&lt;0, P139^2, 0)</f>
        <v>0.000166921778308038</v>
      </c>
      <c r="R139" s="5"/>
      <c r="S139" s="5"/>
      <c r="T139" s="5"/>
      <c r="U139" s="5"/>
      <c r="V139" s="5"/>
    </row>
    <row r="140" customFormat="false" ht="13.8" hidden="false" customHeight="false" outlineLevel="0" collapsed="false">
      <c r="A140" s="6" t="n">
        <f aca="false">WORKDAY(A139,1,holiday!$B$2:$B$10)</f>
        <v>38917</v>
      </c>
      <c r="B140" s="24" t="n">
        <v>932309.871057162</v>
      </c>
      <c r="C140" s="24" t="n">
        <f aca="false">B140-B139</f>
        <v>-24297.8357529775</v>
      </c>
      <c r="D140" s="5" t="n">
        <f aca="false">C140/B139</f>
        <v>-0.0254</v>
      </c>
      <c r="E140" s="5" t="n">
        <f aca="false" t="array" ref="E140:E140">PRODUCT(1+$D$4:D140)-1</f>
        <v>-0.0676901289428375</v>
      </c>
      <c r="F140" s="45" t="n">
        <f aca="false">E140/COUNT($E$4:E140)</f>
        <v>-0.000494088532429471</v>
      </c>
      <c r="G140" s="5" t="n">
        <f aca="false">F140*252</f>
        <v>-0.124510310172227</v>
      </c>
      <c r="H140" s="46" t="n">
        <f aca="false">IF(D140&lt;F140,D140-F140,"")</f>
        <v>-0.0249059114675705</v>
      </c>
      <c r="I140" s="46" t="n">
        <f aca="false">IF(D140&lt;AVERAGE($D$129:D140),D140-AVERAGE($D$129:D140),"")</f>
        <v>-0.0269166666666666</v>
      </c>
      <c r="J140" s="0" t="n">
        <f aca="false">IF(ISBLANK(A141),MONTH(A140),IF(MONTH(A141)-MONTH(A140)=1,MONTH(A140),0))</f>
        <v>0</v>
      </c>
      <c r="K140" s="0" t="str">
        <f aca="false">IF(B141&gt;B140,IF(AND(B139&gt;B140,B141&gt;B140),"min",""),IF(AND(B139&gt;B140,B141&gt;B140),"",IF(AND(B139&lt;B140,B141&lt;B140),"max","")))</f>
        <v>min</v>
      </c>
      <c r="L140" s="0" t="n">
        <f aca="false">IF(K140="min",COUNTIF(K$4:K140,"min"),IF(K140="max",COUNTIF(K$4:K140,"max"),""))</f>
        <v>34</v>
      </c>
      <c r="M140" s="24" t="n">
        <f aca="false" t="array" ref="M140:M140">IF($K$3=0,IF(K140="min",INDEX($B$4:$B$254,(MATCH(1,($K$4:$K$254="max")*($L$4:$L$254=(L140-1)),0))),""),IF($K$3=1,IF(K140="min",INDEX($B$4:$B$254,(MATCH(1,($K$4:$K$254="max")*($L$4:$L$254=(L140)),0))),""),""))</f>
        <v>967247.428523902</v>
      </c>
      <c r="N140" s="29" t="n">
        <f aca="false">IF(AND(K138=0,K140="min",L140=1),B140-B139,IF(K140="min",B140-M140,""))</f>
        <v>-34937.55746674</v>
      </c>
      <c r="O140" s="34" t="n">
        <f aca="false">IF(AND(K138=0,K140="min",L140=1),(B140-B139)/B139,IF(K140="min",(B140-M140)/M140,""))</f>
        <v>-0.0361205999999996</v>
      </c>
      <c r="P140" s="19" t="n">
        <f aca="false">D140-s_p!H140</f>
        <v>-0.0439550506928835</v>
      </c>
      <c r="Q140" s="19" t="n">
        <f aca="false">IF(P140&lt;0, P140^2, 0)</f>
        <v>0.00193204648141396</v>
      </c>
      <c r="R140" s="5"/>
      <c r="S140" s="5"/>
      <c r="T140" s="5"/>
      <c r="U140" s="5"/>
      <c r="V140" s="5"/>
    </row>
    <row r="141" customFormat="false" ht="13.8" hidden="false" customHeight="false" outlineLevel="0" collapsed="false">
      <c r="A141" s="6" t="n">
        <f aca="false">WORKDAY(A140,1,holiday!$B$2:$B$10)</f>
        <v>38918</v>
      </c>
      <c r="B141" s="24" t="n">
        <v>957109.313627283</v>
      </c>
      <c r="C141" s="24" t="n">
        <f aca="false">B141-B140</f>
        <v>24799.4425701206</v>
      </c>
      <c r="D141" s="5" t="n">
        <f aca="false">C141/B140</f>
        <v>0.0266000000000001</v>
      </c>
      <c r="E141" s="5" t="n">
        <f aca="false" t="array" ref="E141:E141">PRODUCT(1+$D$4:D141)-1</f>
        <v>-0.0428906863727169</v>
      </c>
      <c r="F141" s="45" t="n">
        <f aca="false">E141/COUNT($E$4:E141)</f>
        <v>-0.000310802075164615</v>
      </c>
      <c r="G141" s="5" t="n">
        <f aca="false">F141*252</f>
        <v>-0.078322122941483</v>
      </c>
      <c r="H141" s="46" t="str">
        <f aca="false">IF(D141&lt;F141,D141-F141,"")</f>
        <v/>
      </c>
      <c r="I141" s="46" t="str">
        <f aca="false">IF(D141&lt;AVERAGE($D$129:D141),D141-AVERAGE($D$129:D141),"")</f>
        <v/>
      </c>
      <c r="J141" s="0" t="n">
        <f aca="false">IF(ISBLANK(A142),MONTH(A141),IF(MONTH(A142)-MONTH(A141)=1,MONTH(A141),0))</f>
        <v>0</v>
      </c>
      <c r="K141" s="0" t="str">
        <f aca="false">IF(B142&gt;B141,IF(AND(B140&gt;B141,B142&gt;B141),"min",""),IF(AND(B140&gt;B141,B142&gt;B141),"",IF(AND(B140&lt;B141,B142&lt;B141),"max","")))</f>
        <v>max</v>
      </c>
      <c r="L141" s="0" t="n">
        <f aca="false">IF(K141="min",COUNTIF(K$4:K141,"min"),IF(K141="max",COUNTIF(K$4:K141,"max"),""))</f>
        <v>34</v>
      </c>
      <c r="M141" s="24" t="str">
        <f aca="false" t="array" ref="M141:M141">IF($K$3=0,IF(K141="min",INDEX($B$4:$B$254,(MATCH(1,($K$4:$K$254="max")*($L$4:$L$254=(L141-1)),0))),""),IF($K$3=1,IF(K141="min",INDEX($B$4:$B$254,(MATCH(1,($K$4:$K$254="max")*($L$4:$L$254=(L141)),0))),""),""))</f>
        <v/>
      </c>
      <c r="N141" s="29" t="str">
        <f aca="false">IF(AND(K139=0,K141="min",L141=1),B141-B140,IF(K141="min",B141-M141,""))</f>
        <v/>
      </c>
      <c r="O141" s="34" t="str">
        <f aca="false">IF(AND(K139=0,K141="min",L141=1),(B141-B140)/B140,IF(K141="min",(B141-M141)/M141,""))</f>
        <v/>
      </c>
      <c r="P141" s="19" t="n">
        <f aca="false">D141-s_p!H141</f>
        <v>0.035077468824664</v>
      </c>
      <c r="Q141" s="19" t="n">
        <f aca="false">IF(P141&lt;0, P141^2, 0)</f>
        <v>0</v>
      </c>
      <c r="R141" s="5"/>
      <c r="S141" s="5"/>
      <c r="T141" s="5"/>
      <c r="U141" s="5"/>
      <c r="V141" s="5"/>
    </row>
    <row r="142" customFormat="false" ht="13.8" hidden="false" customHeight="false" outlineLevel="0" collapsed="false">
      <c r="A142" s="6" t="n">
        <f aca="false">WORKDAY(A141,1,holiday!$B$2:$B$10)</f>
        <v>38919</v>
      </c>
      <c r="B142" s="24" t="n">
        <v>922079.112748524</v>
      </c>
      <c r="C142" s="24" t="n">
        <f aca="false">B142-B141</f>
        <v>-35030.2008787586</v>
      </c>
      <c r="D142" s="5" t="n">
        <f aca="false">C142/B141</f>
        <v>-0.0366</v>
      </c>
      <c r="E142" s="5" t="n">
        <f aca="false" t="array" ref="E142:E142">PRODUCT(1+$D$4:D142)-1</f>
        <v>-0.0779208872514754</v>
      </c>
      <c r="F142" s="45" t="n">
        <f aca="false">E142/COUNT($E$4:E142)</f>
        <v>-0.000560581922672485</v>
      </c>
      <c r="G142" s="5" t="n">
        <f aca="false">F142*252</f>
        <v>-0.141266644513466</v>
      </c>
      <c r="H142" s="46" t="n">
        <f aca="false">IF(D142&lt;F142,D142-F142,"")</f>
        <v>-0.0360394180773275</v>
      </c>
      <c r="I142" s="46" t="n">
        <f aca="false">IF(D142&lt;AVERAGE($D$129:D142),D142-AVERAGE($D$129:D142),"")</f>
        <v>-0.0371857142857143</v>
      </c>
      <c r="J142" s="0" t="n">
        <f aca="false">IF(ISBLANK(A143),MONTH(A142),IF(MONTH(A143)-MONTH(A142)=1,MONTH(A142),0))</f>
        <v>0</v>
      </c>
      <c r="K142" s="0" t="str">
        <f aca="false">IF(B143&gt;B142,IF(AND(B141&gt;B142,B143&gt;B142),"min",""),IF(AND(B141&gt;B142,B143&gt;B142),"",IF(AND(B141&lt;B142,B143&lt;B142),"max","")))</f>
        <v/>
      </c>
      <c r="L142" s="0" t="str">
        <f aca="false">IF(K142="min",COUNTIF(K$4:K142,"min"),IF(K142="max",COUNTIF(K$4:K142,"max"),""))</f>
        <v/>
      </c>
      <c r="M142" s="24" t="str">
        <f aca="false" t="array" ref="M142:M142">IF($K$3=0,IF(K142="min",INDEX($B$4:$B$254,(MATCH(1,($K$4:$K$254="max")*($L$4:$L$254=(L142-1)),0))),""),IF($K$3=1,IF(K142="min",INDEX($B$4:$B$254,(MATCH(1,($K$4:$K$254="max")*($L$4:$L$254=(L142)),0))),""),""))</f>
        <v/>
      </c>
      <c r="N142" s="29" t="str">
        <f aca="false">IF(AND(K140=0,K142="min",L142=1),B142-B141,IF(K142="min",B142-M142,""))</f>
        <v/>
      </c>
      <c r="O142" s="34" t="str">
        <f aca="false">IF(AND(K140=0,K142="min",L142=1),(B142-B141)/B141,IF(K142="min",(B142-M142)/M142,""))</f>
        <v/>
      </c>
      <c r="P142" s="19" t="n">
        <f aca="false">D142-s_p!H142</f>
        <v>-0.029523074459824</v>
      </c>
      <c r="Q142" s="19" t="n">
        <f aca="false">IF(P142&lt;0, P142^2, 0)</f>
        <v>0.000871611925560312</v>
      </c>
      <c r="R142" s="5"/>
      <c r="S142" s="5"/>
      <c r="T142" s="5"/>
      <c r="U142" s="5"/>
      <c r="V142" s="5"/>
    </row>
    <row r="143" customFormat="false" ht="13.8" hidden="false" customHeight="false" outlineLevel="0" collapsed="false">
      <c r="A143" s="6" t="n">
        <f aca="false">WORKDAY(A142,1,holiday!$B$2:$B$10)</f>
        <v>38922</v>
      </c>
      <c r="B143" s="24" t="n">
        <v>902623.24346953</v>
      </c>
      <c r="C143" s="24" t="n">
        <f aca="false">B143-B142</f>
        <v>-19455.8692789938</v>
      </c>
      <c r="D143" s="5" t="n">
        <f aca="false">C143/B142</f>
        <v>-0.0210999999999999</v>
      </c>
      <c r="E143" s="5" t="n">
        <f aca="false" t="array" ref="E143:E143">PRODUCT(1+$D$4:D143)-1</f>
        <v>-0.0973767565304692</v>
      </c>
      <c r="F143" s="45" t="n">
        <f aca="false">E143/COUNT($E$4:E143)</f>
        <v>-0.000695548260931923</v>
      </c>
      <c r="G143" s="5" t="n">
        <f aca="false">F143*252</f>
        <v>-0.175278161754845</v>
      </c>
      <c r="H143" s="46" t="n">
        <f aca="false">IF(D143&lt;F143,D143-F143,"")</f>
        <v>-0.020404451739068</v>
      </c>
      <c r="I143" s="46" t="n">
        <f aca="false">IF(D143&lt;AVERAGE($D$129:D143),D143-AVERAGE($D$129:D143),"")</f>
        <v>-0.02024</v>
      </c>
      <c r="J143" s="0" t="n">
        <f aca="false">IF(ISBLANK(A144),MONTH(A143),IF(MONTH(A144)-MONTH(A143)=1,MONTH(A143),0))</f>
        <v>0</v>
      </c>
      <c r="K143" s="0" t="str">
        <f aca="false">IF(B144&gt;B143,IF(AND(B142&gt;B143,B144&gt;B143),"min",""),IF(AND(B142&gt;B143,B144&gt;B143),"",IF(AND(B142&lt;B143,B144&lt;B143),"max","")))</f>
        <v>min</v>
      </c>
      <c r="L143" s="0" t="n">
        <f aca="false">IF(K143="min",COUNTIF(K$4:K143,"min"),IF(K143="max",COUNTIF(K$4:K143,"max"),""))</f>
        <v>35</v>
      </c>
      <c r="M143" s="24" t="n">
        <f aca="false" t="array" ref="M143:M143">IF($K$3=0,IF(K143="min",INDEX($B$4:$B$254,(MATCH(1,($K$4:$K$254="max")*($L$4:$L$254=(L143-1)),0))),""),IF($K$3=1,IF(K143="min",INDEX($B$4:$B$254,(MATCH(1,($K$4:$K$254="max")*($L$4:$L$254=(L143)),0))),""),""))</f>
        <v>957109.313627283</v>
      </c>
      <c r="N143" s="29" t="n">
        <f aca="false">IF(AND(K141=0,K143="min",L143=1),B143-B142,IF(K143="min",B143-M143,""))</f>
        <v>-54486.070157753</v>
      </c>
      <c r="O143" s="34" t="n">
        <f aca="false">IF(AND(K141=0,K143="min",L143=1),(B143-B142)/B142,IF(K143="min",(B143-M143)/M143,""))</f>
        <v>-0.0569277400000006</v>
      </c>
      <c r="P143" s="19" t="n">
        <f aca="false">D143-s_p!H143</f>
        <v>-0.0377251441195204</v>
      </c>
      <c r="Q143" s="19" t="n">
        <f aca="false">IF(P143&lt;0, P143^2, 0)</f>
        <v>0.00142318649883859</v>
      </c>
      <c r="R143" s="5"/>
      <c r="S143" s="5"/>
      <c r="T143" s="5"/>
      <c r="U143" s="5"/>
      <c r="V143" s="5"/>
    </row>
    <row r="144" customFormat="false" ht="13.8" hidden="false" customHeight="false" outlineLevel="0" collapsed="false">
      <c r="A144" s="6" t="n">
        <f aca="false">WORKDAY(A143,1,holiday!$B$2:$B$10)</f>
        <v>38923</v>
      </c>
      <c r="B144" s="24" t="n">
        <v>938637.910883964</v>
      </c>
      <c r="C144" s="24" t="n">
        <f aca="false">B144-B143</f>
        <v>36014.6674144343</v>
      </c>
      <c r="D144" s="5" t="n">
        <f aca="false">C144/B143</f>
        <v>0.0399</v>
      </c>
      <c r="E144" s="5" t="n">
        <f aca="false" t="array" ref="E144:E144">PRODUCT(1+$D$4:D144)-1</f>
        <v>-0.0613620891160349</v>
      </c>
      <c r="F144" s="45" t="n">
        <f aca="false">E144/COUNT($E$4:E144)</f>
        <v>-0.000435192121390319</v>
      </c>
      <c r="G144" s="5" t="n">
        <f aca="false">F144*252</f>
        <v>-0.10966841459036</v>
      </c>
      <c r="H144" s="46" t="str">
        <f aca="false">IF(D144&lt;F144,D144-F144,"")</f>
        <v/>
      </c>
      <c r="I144" s="46" t="str">
        <f aca="false">IF(D144&lt;AVERAGE($D$129:D144),D144-AVERAGE($D$129:D144),"")</f>
        <v/>
      </c>
      <c r="J144" s="0" t="n">
        <f aca="false">IF(ISBLANK(A145),MONTH(A144),IF(MONTH(A145)-MONTH(A144)=1,MONTH(A144),0))</f>
        <v>0</v>
      </c>
      <c r="K144" s="0" t="str">
        <f aca="false">IF(B145&gt;B144,IF(AND(B143&gt;B144,B145&gt;B144),"min",""),IF(AND(B143&gt;B144,B145&gt;B144),"",IF(AND(B143&lt;B144,B145&lt;B144),"max","")))</f>
        <v/>
      </c>
      <c r="L144" s="0" t="str">
        <f aca="false">IF(K144="min",COUNTIF(K$4:K144,"min"),IF(K144="max",COUNTIF(K$4:K144,"max"),""))</f>
        <v/>
      </c>
      <c r="M144" s="24" t="str">
        <f aca="false" t="array" ref="M144:M144">IF($K$3=0,IF(K144="min",INDEX($B$4:$B$254,(MATCH(1,($K$4:$K$254="max")*($L$4:$L$254=(L144-1)),0))),""),IF($K$3=1,IF(K144="min",INDEX($B$4:$B$254,(MATCH(1,($K$4:$K$254="max")*($L$4:$L$254=(L144)),0))),""),""))</f>
        <v/>
      </c>
      <c r="N144" s="29" t="str">
        <f aca="false">IF(AND(K142=0,K144="min",L144=1),B144-B143,IF(K144="min",B144-M144,""))</f>
        <v/>
      </c>
      <c r="O144" s="34" t="str">
        <f aca="false">IF(AND(K142=0,K144="min",L144=1),(B144-B143)/B143,IF(K144="min",(B144-M144)/M144,""))</f>
        <v/>
      </c>
      <c r="P144" s="19" t="n">
        <f aca="false">D144-s_p!H144</f>
        <v>0.0335791682197779</v>
      </c>
      <c r="Q144" s="19" t="n">
        <f aca="false">IF(P144&lt;0, P144^2, 0)</f>
        <v>0</v>
      </c>
      <c r="R144" s="5"/>
      <c r="S144" s="5"/>
      <c r="T144" s="5"/>
      <c r="U144" s="5"/>
      <c r="V144" s="5"/>
    </row>
    <row r="145" customFormat="false" ht="13.8" hidden="false" customHeight="false" outlineLevel="0" collapsed="false">
      <c r="A145" s="6" t="n">
        <f aca="false">WORKDAY(A144,1,holiday!$B$2:$B$10)</f>
        <v>38924</v>
      </c>
      <c r="B145" s="24" t="n">
        <v>967454.094748102</v>
      </c>
      <c r="C145" s="24" t="n">
        <f aca="false">B145-B144</f>
        <v>28816.1838641377</v>
      </c>
      <c r="D145" s="5" t="n">
        <f aca="false">C145/B144</f>
        <v>0.0307</v>
      </c>
      <c r="E145" s="5" t="n">
        <f aca="false" t="array" ref="E145:E145">PRODUCT(1+$D$4:D145)-1</f>
        <v>-0.0325459052518972</v>
      </c>
      <c r="F145" s="45" t="n">
        <f aca="false">E145/COUNT($E$4:E145)</f>
        <v>-0.000229196515858431</v>
      </c>
      <c r="G145" s="5" t="n">
        <f aca="false">F145*252</f>
        <v>-0.0577575219963245</v>
      </c>
      <c r="H145" s="46" t="str">
        <f aca="false">IF(D145&lt;F145,D145-F145,"")</f>
        <v/>
      </c>
      <c r="I145" s="46" t="str">
        <f aca="false">IF(D145&lt;AVERAGE($D$129:D145),D145-AVERAGE($D$129:D145),"")</f>
        <v/>
      </c>
      <c r="J145" s="0" t="n">
        <f aca="false">IF(ISBLANK(A146),MONTH(A145),IF(MONTH(A146)-MONTH(A145)=1,MONTH(A145),0))</f>
        <v>0</v>
      </c>
      <c r="K145" s="0" t="str">
        <f aca="false">IF(B146&gt;B145,IF(AND(B144&gt;B145,B146&gt;B145),"min",""),IF(AND(B144&gt;B145,B146&gt;B145),"",IF(AND(B144&lt;B145,B146&lt;B145),"max","")))</f>
        <v/>
      </c>
      <c r="L145" s="0" t="str">
        <f aca="false">IF(K145="min",COUNTIF(K$4:K145,"min"),IF(K145="max",COUNTIF(K$4:K145,"max"),""))</f>
        <v/>
      </c>
      <c r="M145" s="24" t="str">
        <f aca="false" t="array" ref="M145:M145">IF($K$3=0,IF(K145="min",INDEX($B$4:$B$254,(MATCH(1,($K$4:$K$254="max")*($L$4:$L$254=(L145-1)),0))),""),IF($K$3=1,IF(K145="min",INDEX($B$4:$B$254,(MATCH(1,($K$4:$K$254="max")*($L$4:$L$254=(L145)),0))),""),""))</f>
        <v/>
      </c>
      <c r="N145" s="29" t="str">
        <f aca="false">IF(AND(K143=0,K145="min",L145=1),B145-B144,IF(K145="min",B145-M145,""))</f>
        <v/>
      </c>
      <c r="O145" s="34" t="str">
        <f aca="false">IF(AND(K143=0,K145="min",L145=1),(B145-B144)/B144,IF(K145="min",(B145-M145)/M145,""))</f>
        <v/>
      </c>
      <c r="P145" s="19" t="n">
        <f aca="false">D145-s_p!H145</f>
        <v>0.0310782863627766</v>
      </c>
      <c r="Q145" s="19" t="n">
        <f aca="false">IF(P145&lt;0, P145^2, 0)</f>
        <v>0</v>
      </c>
      <c r="R145" s="5"/>
      <c r="S145" s="5"/>
      <c r="T145" s="5"/>
      <c r="U145" s="5"/>
      <c r="V145" s="5"/>
    </row>
    <row r="146" customFormat="false" ht="13.8" hidden="false" customHeight="false" outlineLevel="0" collapsed="false">
      <c r="A146" s="6" t="n">
        <f aca="false">WORKDAY(A145,1,holiday!$B$2:$B$10)</f>
        <v>38925</v>
      </c>
      <c r="B146" s="24" t="n">
        <v>1001314.98806429</v>
      </c>
      <c r="C146" s="24" t="n">
        <f aca="false">B146-B145</f>
        <v>33860.8933161836</v>
      </c>
      <c r="D146" s="5" t="n">
        <f aca="false">C146/B145</f>
        <v>0.035</v>
      </c>
      <c r="E146" s="5" t="n">
        <f aca="false" t="array" ref="E146:E146">PRODUCT(1+$D$4:D146)-1</f>
        <v>0.0013149880642862</v>
      </c>
      <c r="F146" s="45" t="n">
        <f aca="false">E146/COUNT($E$4:E146)</f>
        <v>9.19572072927416E-006</v>
      </c>
      <c r="G146" s="5" t="n">
        <f aca="false">F146*252</f>
        <v>0.00231732162377709</v>
      </c>
      <c r="H146" s="46" t="str">
        <f aca="false">IF(D146&lt;F146,D146-F146,"")</f>
        <v/>
      </c>
      <c r="I146" s="46" t="str">
        <f aca="false">IF(D146&lt;AVERAGE($D$129:D146),D146-AVERAGE($D$129:D146),"")</f>
        <v/>
      </c>
      <c r="J146" s="0" t="n">
        <f aca="false">IF(ISBLANK(A147),MONTH(A146),IF(MONTH(A147)-MONTH(A146)=1,MONTH(A146),0))</f>
        <v>0</v>
      </c>
      <c r="K146" s="0" t="str">
        <f aca="false">IF(B147&gt;B146,IF(AND(B145&gt;B146,B147&gt;B146),"min",""),IF(AND(B145&gt;B146,B147&gt;B146),"",IF(AND(B145&lt;B146,B147&lt;B146),"max","")))</f>
        <v>max</v>
      </c>
      <c r="L146" s="0" t="n">
        <f aca="false">IF(K146="min",COUNTIF(K$4:K146,"min"),IF(K146="max",COUNTIF(K$4:K146,"max"),""))</f>
        <v>35</v>
      </c>
      <c r="M146" s="24" t="str">
        <f aca="false" t="array" ref="M146:M146">IF($K$3=0,IF(K146="min",INDEX($B$4:$B$254,(MATCH(1,($K$4:$K$254="max")*($L$4:$L$254=(L146-1)),0))),""),IF($K$3=1,IF(K146="min",INDEX($B$4:$B$254,(MATCH(1,($K$4:$K$254="max")*($L$4:$L$254=(L146)),0))),""),""))</f>
        <v/>
      </c>
      <c r="N146" s="29" t="str">
        <f aca="false">IF(AND(K144=0,K146="min",L146=1),B146-B145,IF(K146="min",B146-M146,""))</f>
        <v/>
      </c>
      <c r="O146" s="34" t="str">
        <f aca="false">IF(AND(K144=0,K146="min",L146=1),(B146-B145)/B145,IF(K146="min",(B146-M146)/M146,""))</f>
        <v/>
      </c>
      <c r="P146" s="19" t="n">
        <f aca="false">D146-s_p!H146</f>
        <v>0.0390996531062757</v>
      </c>
      <c r="Q146" s="19" t="n">
        <f aca="false">IF(P146&lt;0, P146^2, 0)</f>
        <v>0</v>
      </c>
      <c r="R146" s="5"/>
      <c r="S146" s="5"/>
      <c r="T146" s="5"/>
      <c r="U146" s="5"/>
      <c r="V146" s="5"/>
    </row>
    <row r="147" customFormat="false" ht="13.8" hidden="false" customHeight="false" outlineLevel="0" collapsed="false">
      <c r="A147" s="6" t="n">
        <f aca="false">WORKDAY(A146,1,holiday!$B$2:$B$10)</f>
        <v>38926</v>
      </c>
      <c r="B147" s="24" t="n">
        <v>961062.125544101</v>
      </c>
      <c r="C147" s="24" t="n">
        <f aca="false">B147-B146</f>
        <v>-40252.8625201843</v>
      </c>
      <c r="D147" s="5" t="n">
        <f aca="false">C147/B146</f>
        <v>-0.0402</v>
      </c>
      <c r="E147" s="5" t="n">
        <f aca="false" t="array" ref="E147:E147">PRODUCT(1+$D$4:D147)-1</f>
        <v>-0.038937874455898</v>
      </c>
      <c r="F147" s="45" t="n">
        <f aca="false">E147/COUNT($E$4:E147)</f>
        <v>-0.000270401905943736</v>
      </c>
      <c r="G147" s="5" t="n">
        <f aca="false">F147*252</f>
        <v>-0.0681412802978215</v>
      </c>
      <c r="H147" s="46" t="n">
        <f aca="false">IF(D147&lt;F147,D147-F147,"")</f>
        <v>-0.0399295980940563</v>
      </c>
      <c r="I147" s="46" t="n">
        <f aca="false">IF(D147&lt;AVERAGE($D$129:D147),D147-AVERAGE($D$129:D147),"")</f>
        <v>-0.0429631578947368</v>
      </c>
      <c r="J147" s="0" t="n">
        <f aca="false">IF(ISBLANK(A148),MONTH(A147),IF(MONTH(A148)-MONTH(A147)=1,MONTH(A147),0))</f>
        <v>0</v>
      </c>
      <c r="K147" s="0" t="str">
        <f aca="false">IF(B148&gt;B147,IF(AND(B146&gt;B147,B148&gt;B147),"min",""),IF(AND(B146&gt;B147,B148&gt;B147),"",IF(AND(B146&lt;B147,B148&lt;B147),"max","")))</f>
        <v>min</v>
      </c>
      <c r="L147" s="0" t="n">
        <f aca="false">IF(K147="min",COUNTIF(K$4:K147,"min"),IF(K147="max",COUNTIF(K$4:K147,"max"),""))</f>
        <v>36</v>
      </c>
      <c r="M147" s="24" t="n">
        <f aca="false" t="array" ref="M147:M147">IF($K$3=0,IF(K147="min",INDEX($B$4:$B$254,(MATCH(1,($K$4:$K$254="max")*($L$4:$L$254=(L147-1)),0))),""),IF($K$3=1,IF(K147="min",INDEX($B$4:$B$254,(MATCH(1,($K$4:$K$254="max")*($L$4:$L$254=(L147)),0))),""),""))</f>
        <v>1001314.98806429</v>
      </c>
      <c r="N147" s="29" t="n">
        <f aca="false">IF(AND(K145=0,K147="min",L147=1),B147-B146,IF(K147="min",B147-M147,""))</f>
        <v>-40252.862520189</v>
      </c>
      <c r="O147" s="34" t="n">
        <f aca="false">IF(AND(K145=0,K147="min",L147=1),(B147-B146)/B146,IF(K147="min",(B147-M147)/M147,""))</f>
        <v>-0.0402000000000046</v>
      </c>
      <c r="P147" s="19" t="n">
        <f aca="false">D147-s_p!H147</f>
        <v>-0.0523516782773907</v>
      </c>
      <c r="Q147" s="19" t="n">
        <f aca="false">IF(P147&lt;0, P147^2, 0)</f>
        <v>0.00274069821845942</v>
      </c>
      <c r="R147" s="5"/>
      <c r="S147" s="5"/>
      <c r="T147" s="5"/>
      <c r="U147" s="5"/>
      <c r="V147" s="5"/>
    </row>
    <row r="148" customFormat="false" ht="13.8" hidden="false" customHeight="false" outlineLevel="0" collapsed="false">
      <c r="A148" s="6" t="n">
        <f aca="false">WORKDAY(A147,1,holiday!$B$2:$B$10)</f>
        <v>38929</v>
      </c>
      <c r="B148" s="24" t="n">
        <v>990278.414160642</v>
      </c>
      <c r="C148" s="24" t="n">
        <f aca="false">B148-B147</f>
        <v>29216.2886165407</v>
      </c>
      <c r="D148" s="5" t="n">
        <f aca="false">C148/B147</f>
        <v>0.0304</v>
      </c>
      <c r="E148" s="5" t="n">
        <f aca="false" t="array" ref="E148:E148">PRODUCT(1+$D$4:D148)-1</f>
        <v>-0.00972158583935734</v>
      </c>
      <c r="F148" s="45" t="n">
        <f aca="false">E148/COUNT($E$4:E148)</f>
        <v>-6.70454195817748E-005</v>
      </c>
      <c r="G148" s="5" t="n">
        <f aca="false">F148*252</f>
        <v>-0.0168954457346072</v>
      </c>
      <c r="H148" s="46" t="str">
        <f aca="false">IF(D148&lt;F148,D148-F148,"")</f>
        <v/>
      </c>
      <c r="I148" s="46" t="str">
        <f aca="false">IF(D148&lt;AVERAGE($D$129:D148),D148-AVERAGE($D$129:D148),"")</f>
        <v/>
      </c>
      <c r="J148" s="0" t="n">
        <f aca="false">IF(ISBLANK(A149),MONTH(A148),IF(MONTH(A149)-MONTH(A148)=1,MONTH(A148),0))</f>
        <v>7</v>
      </c>
      <c r="K148" s="0" t="str">
        <f aca="false">IF(B149&gt;B148,IF(AND(B147&gt;B148,B149&gt;B148),"min",""),IF(AND(B147&gt;B148,B149&gt;B148),"",IF(AND(B147&lt;B148,B149&lt;B148),"max","")))</f>
        <v>max</v>
      </c>
      <c r="L148" s="0" t="n">
        <f aca="false">IF(K148="min",COUNTIF(K$4:K148,"min"),IF(K148="max",COUNTIF(K$4:K148,"max"),""))</f>
        <v>36</v>
      </c>
      <c r="M148" s="24" t="str">
        <f aca="false" t="array" ref="M148:M148">IF($K$3=0,IF(K148="min",INDEX($B$4:$B$254,(MATCH(1,($K$4:$K$254="max")*($L$4:$L$254=(L148-1)),0))),""),IF($K$3=1,IF(K148="min",INDEX($B$4:$B$254,(MATCH(1,($K$4:$K$254="max")*($L$4:$L$254=(L148)),0))),""),""))</f>
        <v/>
      </c>
      <c r="N148" s="29" t="str">
        <f aca="false">IF(AND(K146=0,K148="min",L148=1),B148-B147,IF(K148="min",B148-M148,""))</f>
        <v/>
      </c>
      <c r="O148" s="34" t="str">
        <f aca="false">IF(AND(K146=0,K148="min",L148=1),(B148-B147)/B147,IF(K148="min",(B148-M148)/M148,""))</f>
        <v/>
      </c>
      <c r="P148" s="19" t="n">
        <f aca="false">D148-s_p!H148</f>
        <v>0.0318782370654256</v>
      </c>
      <c r="Q148" s="19" t="n">
        <f aca="false">IF(P148&lt;0, P148^2, 0)</f>
        <v>0</v>
      </c>
      <c r="R148" s="5"/>
      <c r="S148" s="5"/>
      <c r="T148" s="5"/>
      <c r="U148" s="5"/>
      <c r="V148" s="5"/>
    </row>
    <row r="149" customFormat="false" ht="13.8" hidden="false" customHeight="false" outlineLevel="0" collapsed="false">
      <c r="A149" s="6" t="n">
        <f aca="false">WORKDAY(A148,1,holiday!$B$2:$B$10)</f>
        <v>38930</v>
      </c>
      <c r="B149" s="24" t="n">
        <v>987208.551076744</v>
      </c>
      <c r="C149" s="24" t="n">
        <f aca="false">B149-B148</f>
        <v>-3069.86308389797</v>
      </c>
      <c r="D149" s="5" t="n">
        <f aca="false">C149/B148</f>
        <v>-0.00309999999999998</v>
      </c>
      <c r="E149" s="5" t="n">
        <f aca="false" t="array" ref="E149:E149">PRODUCT(1+$D$4:D149)-1</f>
        <v>-0.0127914489232553</v>
      </c>
      <c r="F149" s="45" t="n">
        <f aca="false">E149/COUNT($E$4:E149)</f>
        <v>-8.76126638579133E-005</v>
      </c>
      <c r="G149" s="5" t="n">
        <f aca="false">F149*252</f>
        <v>-0.0220783912921942</v>
      </c>
      <c r="H149" s="46" t="n">
        <f aca="false">IF(D149&lt;F149,D149-F149,"")</f>
        <v>-0.00301238733614207</v>
      </c>
      <c r="I149" s="46" t="str">
        <f aca="false">IF(D149&lt;AVERAGE($D$149:D149),D149-AVERAGE($D$149:D149),"")</f>
        <v/>
      </c>
      <c r="J149" s="0" t="n">
        <f aca="false">IF(ISBLANK(A150),MONTH(A149),IF(MONTH(A150)-MONTH(A149)=1,MONTH(A149),0))</f>
        <v>0</v>
      </c>
      <c r="K149" s="0" t="str">
        <f aca="false">IF(B150&gt;B149,IF(AND(B148&gt;B149,B150&gt;B149),"min",""),IF(AND(B148&gt;B149,B150&gt;B149),"",IF(AND(B148&lt;B149,B150&lt;B149),"max","")))</f>
        <v>min</v>
      </c>
      <c r="L149" s="0" t="n">
        <f aca="false">IF(K149="min",COUNTIF(K$4:K149,"min"),IF(K149="max",COUNTIF(K$4:K149,"max"),""))</f>
        <v>37</v>
      </c>
      <c r="M149" s="24" t="n">
        <f aca="false" t="array" ref="M149:M149">IF($K$3=0,IF(K149="min",INDEX($B$4:$B$254,(MATCH(1,($K$4:$K$254="max")*($L$4:$L$254=(L149-1)),0))),""),IF($K$3=1,IF(K149="min",INDEX($B$4:$B$254,(MATCH(1,($K$4:$K$254="max")*($L$4:$L$254=(L149)),0))),""),""))</f>
        <v>990278.414160642</v>
      </c>
      <c r="N149" s="29" t="n">
        <f aca="false">IF(AND(K147=0,K149="min",L149=1),B149-B148,IF(K149="min",B149-M149,""))</f>
        <v>-3069.86308389797</v>
      </c>
      <c r="O149" s="34" t="n">
        <f aca="false">IF(AND(K147=0,K149="min",L149=1),(B149-B148)/B148,IF(K149="min",(B149-M149)/M149,""))</f>
        <v>-0.00309999999999998</v>
      </c>
      <c r="P149" s="19" t="n">
        <f aca="false">D149-s_p!H149</f>
        <v>0.00139610702927951</v>
      </c>
      <c r="Q149" s="19" t="n">
        <f aca="false">IF(P149&lt;0, P149^2, 0)</f>
        <v>0</v>
      </c>
      <c r="R149" s="5"/>
      <c r="S149" s="5"/>
      <c r="T149" s="5"/>
      <c r="U149" s="5"/>
      <c r="V149" s="5"/>
    </row>
    <row r="150" customFormat="false" ht="13.8" hidden="false" customHeight="false" outlineLevel="0" collapsed="false">
      <c r="A150" s="6" t="n">
        <f aca="false">WORKDAY(A149,1,holiday!$B$2:$B$10)</f>
        <v>38931</v>
      </c>
      <c r="B150" s="24" t="n">
        <v>1012481.08998431</v>
      </c>
      <c r="C150" s="24" t="n">
        <f aca="false">B150-B149</f>
        <v>25272.5389075647</v>
      </c>
      <c r="D150" s="5" t="n">
        <f aca="false">C150/B149</f>
        <v>0.0256000000000001</v>
      </c>
      <c r="E150" s="5" t="n">
        <f aca="false" t="array" ref="E150:E150">PRODUCT(1+$D$4:D150)-1</f>
        <v>0.0124810899843095</v>
      </c>
      <c r="F150" s="45" t="n">
        <f aca="false">E150/COUNT($E$4:E150)</f>
        <v>8.49053740429219E-005</v>
      </c>
      <c r="G150" s="5" t="n">
        <f aca="false">F150*252</f>
        <v>0.0213961542588163</v>
      </c>
      <c r="H150" s="46" t="str">
        <f aca="false">IF(D150&lt;F150,D150-F150,"")</f>
        <v/>
      </c>
      <c r="I150" s="46" t="str">
        <f aca="false">IF(D150&lt;AVERAGE($D$149:D150),D150-AVERAGE($D$149:D150),"")</f>
        <v/>
      </c>
      <c r="J150" s="0" t="n">
        <f aca="false">IF(ISBLANK(A151),MONTH(A150),IF(MONTH(A151)-MONTH(A150)=1,MONTH(A150),0))</f>
        <v>0</v>
      </c>
      <c r="K150" s="0" t="str">
        <f aca="false">IF(B151&gt;B150,IF(AND(B149&gt;B150,B151&gt;B150),"min",""),IF(AND(B149&gt;B150,B151&gt;B150),"",IF(AND(B149&lt;B150,B151&lt;B150),"max","")))</f>
        <v/>
      </c>
      <c r="L150" s="0" t="str">
        <f aca="false">IF(K150="min",COUNTIF(K$4:K150,"min"),IF(K150="max",COUNTIF(K$4:K150,"max"),""))</f>
        <v/>
      </c>
      <c r="M150" s="24" t="str">
        <f aca="false" t="array" ref="M150:M150">IF($K$3=0,IF(K150="min",INDEX($B$4:$B$254,(MATCH(1,($K$4:$K$254="max")*($L$4:$L$254=(L150-1)),0))),""),IF($K$3=1,IF(K150="min",INDEX($B$4:$B$254,(MATCH(1,($K$4:$K$254="max")*($L$4:$L$254=(L150)),0))),""),""))</f>
        <v/>
      </c>
      <c r="N150" s="29" t="str">
        <f aca="false">IF(AND(K148=0,K150="min",L150=1),B150-B149,IF(K150="min",B150-M150,""))</f>
        <v/>
      </c>
      <c r="O150" s="34" t="str">
        <f aca="false">IF(AND(K148=0,K150="min",L150=1),(B150-B149)/B149,IF(K150="min",(B150-M150)/M150,""))</f>
        <v/>
      </c>
      <c r="P150" s="19" t="n">
        <f aca="false">D150-s_p!H150</f>
        <v>0.0204934630031788</v>
      </c>
      <c r="Q150" s="19" t="n">
        <f aca="false">IF(P150&lt;0, P150^2, 0)</f>
        <v>0</v>
      </c>
      <c r="R150" s="5"/>
      <c r="S150" s="5"/>
      <c r="T150" s="5"/>
      <c r="U150" s="5"/>
      <c r="V150" s="5"/>
    </row>
    <row r="151" customFormat="false" ht="13.8" hidden="false" customHeight="false" outlineLevel="0" collapsed="false">
      <c r="A151" s="6" t="n">
        <f aca="false">WORKDAY(A150,1,holiday!$B$2:$B$10)</f>
        <v>38932</v>
      </c>
      <c r="B151" s="24" t="n">
        <v>1026048.3365901</v>
      </c>
      <c r="C151" s="24" t="n">
        <f aca="false">B151-B150</f>
        <v>13567.2466057898</v>
      </c>
      <c r="D151" s="5" t="n">
        <f aca="false">C151/B150</f>
        <v>0.0134</v>
      </c>
      <c r="E151" s="5" t="n">
        <f aca="false" t="array" ref="E151:E151">PRODUCT(1+$D$4:D151)-1</f>
        <v>0.0260483365900992</v>
      </c>
      <c r="F151" s="45" t="n">
        <f aca="false">E151/COUNT($E$4:E151)</f>
        <v>0.000176002274257427</v>
      </c>
      <c r="G151" s="5" t="n">
        <f aca="false">F151*252</f>
        <v>0.0443525731128716</v>
      </c>
      <c r="H151" s="46" t="str">
        <f aca="false">IF(D151&lt;F151,D151-F151,"")</f>
        <v/>
      </c>
      <c r="I151" s="46" t="str">
        <f aca="false">IF(D151&lt;AVERAGE($D$149:D151),D151-AVERAGE($D$149:D151),"")</f>
        <v/>
      </c>
      <c r="J151" s="0" t="n">
        <f aca="false">IF(ISBLANK(A152),MONTH(A151),IF(MONTH(A152)-MONTH(A151)=1,MONTH(A151),0))</f>
        <v>0</v>
      </c>
      <c r="K151" s="0" t="str">
        <f aca="false">IF(B152&gt;B151,IF(AND(B150&gt;B151,B152&gt;B151),"min",""),IF(AND(B150&gt;B151,B152&gt;B151),"",IF(AND(B150&lt;B151,B152&lt;B151),"max","")))</f>
        <v>max</v>
      </c>
      <c r="L151" s="0" t="n">
        <f aca="false">IF(K151="min",COUNTIF(K$4:K151,"min"),IF(K151="max",COUNTIF(K$4:K151,"max"),""))</f>
        <v>37</v>
      </c>
      <c r="M151" s="24" t="str">
        <f aca="false" t="array" ref="M151:M151">IF($K$3=0,IF(K151="min",INDEX($B$4:$B$254,(MATCH(1,($K$4:$K$254="max")*($L$4:$L$254=(L151-1)),0))),""),IF($K$3=1,IF(K151="min",INDEX($B$4:$B$254,(MATCH(1,($K$4:$K$254="max")*($L$4:$L$254=(L151)),0))),""),""))</f>
        <v/>
      </c>
      <c r="N151" s="29" t="str">
        <f aca="false">IF(AND(K149=0,K151="min",L151=1),B151-B150,IF(K151="min",B151-M151,""))</f>
        <v/>
      </c>
      <c r="O151" s="34" t="str">
        <f aca="false">IF(AND(K149=0,K151="min",L151=1),(B151-B150)/B150,IF(K151="min",(B151-M151)/M151,""))</f>
        <v/>
      </c>
      <c r="P151" s="19" t="n">
        <f aca="false">D151-s_p!H151</f>
        <v>0.0111610947150877</v>
      </c>
      <c r="Q151" s="19" t="n">
        <f aca="false">IF(P151&lt;0, P151^2, 0)</f>
        <v>0</v>
      </c>
      <c r="R151" s="5"/>
      <c r="S151" s="5"/>
      <c r="T151" s="5"/>
      <c r="U151" s="5"/>
      <c r="V151" s="5"/>
    </row>
    <row r="152" customFormat="false" ht="13.8" hidden="false" customHeight="false" outlineLevel="0" collapsed="false">
      <c r="A152" s="6" t="n">
        <f aca="false">WORKDAY(A151,1,holiday!$B$2:$B$10)</f>
        <v>38933</v>
      </c>
      <c r="B152" s="24" t="n">
        <v>1024098.84475058</v>
      </c>
      <c r="C152" s="24" t="n">
        <f aca="false">B152-B151</f>
        <v>-1949.49183952122</v>
      </c>
      <c r="D152" s="5" t="n">
        <f aca="false">C152/B151</f>
        <v>-0.00190000000000003</v>
      </c>
      <c r="E152" s="5" t="n">
        <f aca="false" t="array" ref="E152:E152">PRODUCT(1+$D$4:D152)-1</f>
        <v>0.0240988447505779</v>
      </c>
      <c r="F152" s="45" t="n">
        <f aca="false">E152/COUNT($E$4:E152)</f>
        <v>0.000161737213091127</v>
      </c>
      <c r="G152" s="5" t="n">
        <f aca="false">F152*252</f>
        <v>0.0407577776989639</v>
      </c>
      <c r="H152" s="46" t="n">
        <f aca="false">IF(D152&lt;F152,D152-F152,"")</f>
        <v>-0.00206173721309116</v>
      </c>
      <c r="I152" s="46" t="n">
        <f aca="false">IF(D152&lt;AVERAGE($D$149:D152),D152-AVERAGE($D$149:D152),"")</f>
        <v>-0.0104</v>
      </c>
      <c r="J152" s="0" t="n">
        <f aca="false">IF(ISBLANK(A153),MONTH(A152),IF(MONTH(A153)-MONTH(A152)=1,MONTH(A152),0))</f>
        <v>0</v>
      </c>
      <c r="K152" s="0" t="str">
        <f aca="false">IF(B153&gt;B152,IF(AND(B151&gt;B152,B153&gt;B152),"min",""),IF(AND(B151&gt;B152,B153&gt;B152),"",IF(AND(B151&lt;B152,B153&lt;B152),"max","")))</f>
        <v/>
      </c>
      <c r="L152" s="0" t="str">
        <f aca="false">IF(K152="min",COUNTIF(K$4:K152,"min"),IF(K152="max",COUNTIF(K$4:K152,"max"),""))</f>
        <v/>
      </c>
      <c r="M152" s="24" t="str">
        <f aca="false" t="array" ref="M152:M152">IF($K$3=0,IF(K152="min",INDEX($B$4:$B$254,(MATCH(1,($K$4:$K$254="max")*($L$4:$L$254=(L152-1)),0))),""),IF($K$3=1,IF(K152="min",INDEX($B$4:$B$254,(MATCH(1,($K$4:$K$254="max")*($L$4:$L$254=(L152)),0))),""),""))</f>
        <v/>
      </c>
      <c r="N152" s="29" t="str">
        <f aca="false">IF(AND(K150=0,K152="min",L152=1),B152-B151,IF(K152="min",B152-M152,""))</f>
        <v/>
      </c>
      <c r="O152" s="34" t="str">
        <f aca="false">IF(AND(K150=0,K152="min",L152=1),(B152-B151)/B151,IF(K152="min",(B152-M152)/M152,""))</f>
        <v/>
      </c>
      <c r="P152" s="19" t="n">
        <f aca="false">D152-s_p!H152</f>
        <v>-0.00118921243175264</v>
      </c>
      <c r="Q152" s="19" t="n">
        <f aca="false">IF(P152&lt;0, P152^2, 0)</f>
        <v>1.41422620783503E-006</v>
      </c>
      <c r="R152" s="5"/>
      <c r="S152" s="5"/>
      <c r="T152" s="5"/>
      <c r="U152" s="5"/>
      <c r="V152" s="5"/>
    </row>
    <row r="153" customFormat="false" ht="13.8" hidden="false" customHeight="false" outlineLevel="0" collapsed="false">
      <c r="A153" s="6" t="n">
        <f aca="false">WORKDAY(A152,1,holiday!$B$2:$B$10)</f>
        <v>38936</v>
      </c>
      <c r="B153" s="24" t="n">
        <v>1000032.52189894</v>
      </c>
      <c r="C153" s="24" t="n">
        <f aca="false">B153-B152</f>
        <v>-24066.3228516385</v>
      </c>
      <c r="D153" s="5" t="n">
        <f aca="false">C153/B152</f>
        <v>-0.0235</v>
      </c>
      <c r="E153" s="5" t="n">
        <f aca="false" t="array" ref="E153:E153">PRODUCT(1+$D$4:D153)-1</f>
        <v>3.25218989394305E-005</v>
      </c>
      <c r="F153" s="45" t="n">
        <f aca="false">E153/COUNT($E$4:E153)</f>
        <v>2.16812659596203E-007</v>
      </c>
      <c r="G153" s="5" t="n">
        <f aca="false">F153*252</f>
        <v>5.46367902182432E-005</v>
      </c>
      <c r="H153" s="46" t="n">
        <f aca="false">IF(D153&lt;F153,D153-F153,"")</f>
        <v>-0.0235002168126596</v>
      </c>
      <c r="I153" s="46" t="n">
        <f aca="false">IF(D153&lt;AVERAGE($D$149:D153),D153-AVERAGE($D$149:D153),"")</f>
        <v>-0.0256</v>
      </c>
      <c r="J153" s="0" t="n">
        <f aca="false">IF(ISBLANK(A154),MONTH(A153),IF(MONTH(A154)-MONTH(A153)=1,MONTH(A153),0))</f>
        <v>0</v>
      </c>
      <c r="K153" s="0" t="str">
        <f aca="false">IF(B154&gt;B153,IF(AND(B152&gt;B153,B154&gt;B153),"min",""),IF(AND(B152&gt;B153,B154&gt;B153),"",IF(AND(B152&lt;B153,B154&lt;B153),"max","")))</f>
        <v/>
      </c>
      <c r="L153" s="0" t="str">
        <f aca="false">IF(K153="min",COUNTIF(K$4:K153,"min"),IF(K153="max",COUNTIF(K$4:K153,"max"),""))</f>
        <v/>
      </c>
      <c r="M153" s="24" t="str">
        <f aca="false" t="array" ref="M153:M153">IF($K$3=0,IF(K153="min",INDEX($B$4:$B$254,(MATCH(1,($K$4:$K$254="max")*($L$4:$L$254=(L153-1)),0))),""),IF($K$3=1,IF(K153="min",INDEX($B$4:$B$254,(MATCH(1,($K$4:$K$254="max")*($L$4:$L$254=(L153)),0))),""),""))</f>
        <v/>
      </c>
      <c r="N153" s="29" t="str">
        <f aca="false">IF(AND(K151=0,K153="min",L153=1),B153-B152,IF(K153="min",B153-M153,""))</f>
        <v/>
      </c>
      <c r="O153" s="34" t="str">
        <f aca="false">IF(AND(K151=0,K153="min",L153=1),(B153-B152)/B152,IF(K153="min",(B153-M153)/M153,""))</f>
        <v/>
      </c>
      <c r="P153" s="19" t="n">
        <f aca="false">D153-s_p!H153</f>
        <v>-0.0206939094547274</v>
      </c>
      <c r="Q153" s="19" t="n">
        <f aca="false">IF(P153&lt;0, P153^2, 0)</f>
        <v>0.000428237888520456</v>
      </c>
      <c r="R153" s="5"/>
      <c r="S153" s="5"/>
      <c r="T153" s="5"/>
      <c r="U153" s="5"/>
      <c r="V153" s="5"/>
    </row>
    <row r="154" customFormat="false" ht="13.8" hidden="false" customHeight="false" outlineLevel="0" collapsed="false">
      <c r="A154" s="6" t="n">
        <f aca="false">WORKDAY(A153,1,holiday!$B$2:$B$10)</f>
        <v>38937</v>
      </c>
      <c r="B154" s="24" t="n">
        <v>994232.333271925</v>
      </c>
      <c r="C154" s="24" t="n">
        <f aca="false">B154-B153</f>
        <v>-5800.18862701382</v>
      </c>
      <c r="D154" s="5" t="n">
        <f aca="false">C154/B153</f>
        <v>-0.00579999999999997</v>
      </c>
      <c r="E154" s="5" t="n">
        <f aca="false" t="array" ref="E154:E154">PRODUCT(1+$D$4:D154)-1</f>
        <v>-0.00576766672807427</v>
      </c>
      <c r="F154" s="45" t="n">
        <f aca="false">E154/COUNT($E$4:E154)</f>
        <v>-3.81964683978429E-005</v>
      </c>
      <c r="G154" s="5" t="n">
        <f aca="false">F154*252</f>
        <v>-0.0096255100362564</v>
      </c>
      <c r="H154" s="46" t="n">
        <f aca="false">IF(D154&lt;F154,D154-F154,"")</f>
        <v>-0.00576180353160213</v>
      </c>
      <c r="I154" s="46" t="n">
        <f aca="false">IF(D154&lt;AVERAGE($D$149:D154),D154-AVERAGE($D$149:D154),"")</f>
        <v>-0.00658333333333333</v>
      </c>
      <c r="J154" s="0" t="n">
        <f aca="false">IF(ISBLANK(A155),MONTH(A154),IF(MONTH(A155)-MONTH(A154)=1,MONTH(A154),0))</f>
        <v>0</v>
      </c>
      <c r="K154" s="0" t="str">
        <f aca="false">IF(B155&gt;B154,IF(AND(B153&gt;B154,B155&gt;B154),"min",""),IF(AND(B153&gt;B154,B155&gt;B154),"",IF(AND(B153&lt;B154,B155&lt;B154),"max","")))</f>
        <v/>
      </c>
      <c r="L154" s="0" t="str">
        <f aca="false">IF(K154="min",COUNTIF(K$4:K154,"min"),IF(K154="max",COUNTIF(K$4:K154,"max"),""))</f>
        <v/>
      </c>
      <c r="M154" s="24" t="str">
        <f aca="false" t="array" ref="M154:M154">IF($K$3=0,IF(K154="min",INDEX($B$4:$B$254,(MATCH(1,($K$4:$K$254="max")*($L$4:$L$254=(L154-1)),0))),""),IF($K$3=1,IF(K154="min",INDEX($B$4:$B$254,(MATCH(1,($K$4:$K$254="max")*($L$4:$L$254=(L154)),0))),""),""))</f>
        <v/>
      </c>
      <c r="N154" s="29" t="str">
        <f aca="false">IF(AND(K152=0,K154="min",L154=1),B154-B153,IF(K154="min",B154-M154,""))</f>
        <v/>
      </c>
      <c r="O154" s="34" t="str">
        <f aca="false">IF(AND(K152=0,K154="min",L154=1),(B154-B153)/B153,IF(K154="min",(B154-M154)/M154,""))</f>
        <v/>
      </c>
      <c r="P154" s="19" t="n">
        <f aca="false">D154-s_p!H154</f>
        <v>-0.00243732490966237</v>
      </c>
      <c r="Q154" s="19" t="n">
        <f aca="false">IF(P154&lt;0, P154^2, 0)</f>
        <v>5.94055271526068E-006</v>
      </c>
      <c r="R154" s="5"/>
      <c r="S154" s="5"/>
      <c r="T154" s="5"/>
      <c r="U154" s="5"/>
      <c r="V154" s="5"/>
    </row>
    <row r="155" customFormat="false" ht="13.8" hidden="false" customHeight="false" outlineLevel="0" collapsed="false">
      <c r="A155" s="6" t="n">
        <f aca="false">WORKDAY(A154,1,holiday!$B$2:$B$10)</f>
        <v>38938</v>
      </c>
      <c r="B155" s="24" t="n">
        <v>982599.814972644</v>
      </c>
      <c r="C155" s="24" t="n">
        <f aca="false">B155-B154</f>
        <v>-11632.5182992815</v>
      </c>
      <c r="D155" s="5" t="n">
        <f aca="false">C155/B154</f>
        <v>-0.0117</v>
      </c>
      <c r="E155" s="5" t="n">
        <f aca="false" t="array" ref="E155:E155">PRODUCT(1+$D$4:D155)-1</f>
        <v>-0.0174001850273559</v>
      </c>
      <c r="F155" s="45" t="n">
        <f aca="false">E155/COUNT($E$4:E155)</f>
        <v>-0.000114474901495762</v>
      </c>
      <c r="G155" s="5" t="n">
        <f aca="false">F155*252</f>
        <v>-0.0288476751769321</v>
      </c>
      <c r="H155" s="46" t="n">
        <f aca="false">IF(D155&lt;F155,D155-F155,"")</f>
        <v>-0.0115855250985042</v>
      </c>
      <c r="I155" s="46" t="n">
        <f aca="false">IF(D155&lt;AVERAGE($D$149:D155),D155-AVERAGE($D$149:D155),"")</f>
        <v>-0.0107</v>
      </c>
      <c r="J155" s="0" t="n">
        <f aca="false">IF(ISBLANK(A156),MONTH(A155),IF(MONTH(A156)-MONTH(A155)=1,MONTH(A155),0))</f>
        <v>0</v>
      </c>
      <c r="K155" s="0" t="str">
        <f aca="false">IF(B156&gt;B155,IF(AND(B154&gt;B155,B156&gt;B155),"min",""),IF(AND(B154&gt;B155,B156&gt;B155),"",IF(AND(B154&lt;B155,B156&lt;B155),"max","")))</f>
        <v>min</v>
      </c>
      <c r="L155" s="0" t="n">
        <f aca="false">IF(K155="min",COUNTIF(K$4:K155,"min"),IF(K155="max",COUNTIF(K$4:K155,"max"),""))</f>
        <v>38</v>
      </c>
      <c r="M155" s="24" t="n">
        <f aca="false" t="array" ref="M155:M155">IF($K$3=0,IF(K155="min",INDEX($B$4:$B$254,(MATCH(1,($K$4:$K$254="max")*($L$4:$L$254=(L155-1)),0))),""),IF($K$3=1,IF(K155="min",INDEX($B$4:$B$254,(MATCH(1,($K$4:$K$254="max")*($L$4:$L$254=(L155)),0))),""),""))</f>
        <v>1026048.3365901</v>
      </c>
      <c r="N155" s="29" t="n">
        <f aca="false">IF(AND(K153=0,K155="min",L155=1),B155-B154,IF(K155="min",B155-M155,""))</f>
        <v>-43448.521617456</v>
      </c>
      <c r="O155" s="34" t="n">
        <f aca="false">IF(AND(K153=0,K155="min",L155=1),(B155-B154)/B154,IF(K155="min",(B155-M155)/M155,""))</f>
        <v>-0.0423454919890518</v>
      </c>
      <c r="P155" s="19" t="n">
        <f aca="false">D155-s_p!H155</f>
        <v>-0.00735073772296848</v>
      </c>
      <c r="Q155" s="19" t="n">
        <f aca="false">IF(P155&lt;0, P155^2, 0)</f>
        <v>5.40333450718718E-005</v>
      </c>
      <c r="R155" s="5"/>
      <c r="S155" s="5"/>
      <c r="T155" s="5"/>
      <c r="U155" s="5"/>
      <c r="V155" s="5"/>
    </row>
    <row r="156" customFormat="false" ht="13.8" hidden="false" customHeight="false" outlineLevel="0" collapsed="false">
      <c r="A156" s="6" t="n">
        <f aca="false">WORKDAY(A155,1,holiday!$B$2:$B$10)</f>
        <v>38939</v>
      </c>
      <c r="B156" s="24" t="n">
        <v>987611.074029004</v>
      </c>
      <c r="C156" s="24" t="n">
        <f aca="false">B156-B155</f>
        <v>5011.25905636046</v>
      </c>
      <c r="D156" s="5" t="n">
        <f aca="false">C156/B155</f>
        <v>0.00509999999999998</v>
      </c>
      <c r="E156" s="5" t="n">
        <f aca="false" t="array" ref="E156:E156">PRODUCT(1+$D$4:D156)-1</f>
        <v>-0.0123889259709955</v>
      </c>
      <c r="F156" s="45" t="n">
        <f aca="false">E156/COUNT($E$4:E156)</f>
        <v>-8.09733723594477E-005</v>
      </c>
      <c r="G156" s="5" t="n">
        <f aca="false">F156*252</f>
        <v>-0.0204052898345808</v>
      </c>
      <c r="H156" s="46" t="str">
        <f aca="false">IF(D156&lt;F156,D156-F156,"")</f>
        <v/>
      </c>
      <c r="I156" s="46" t="str">
        <f aca="false">IF(D156&lt;AVERAGE($D$149:D156),D156-AVERAGE($D$149:D156),"")</f>
        <v/>
      </c>
      <c r="J156" s="0" t="n">
        <f aca="false">IF(ISBLANK(A157),MONTH(A156),IF(MONTH(A157)-MONTH(A156)=1,MONTH(A156),0))</f>
        <v>0</v>
      </c>
      <c r="K156" s="0" t="str">
        <f aca="false">IF(B157&gt;B156,IF(AND(B155&gt;B156,B157&gt;B156),"min",""),IF(AND(B155&gt;B156,B157&gt;B156),"",IF(AND(B155&lt;B156,B157&lt;B156),"max","")))</f>
        <v>max</v>
      </c>
      <c r="L156" s="0" t="n">
        <f aca="false">IF(K156="min",COUNTIF(K$4:K156,"min"),IF(K156="max",COUNTIF(K$4:K156,"max"),""))</f>
        <v>38</v>
      </c>
      <c r="M156" s="24" t="str">
        <f aca="false" t="array" ref="M156:M156">IF($K$3=0,IF(K156="min",INDEX($B$4:$B$254,(MATCH(1,($K$4:$K$254="max")*($L$4:$L$254=(L156-1)),0))),""),IF($K$3=1,IF(K156="min",INDEX($B$4:$B$254,(MATCH(1,($K$4:$K$254="max")*($L$4:$L$254=(L156)),0))),""),""))</f>
        <v/>
      </c>
      <c r="N156" s="29" t="str">
        <f aca="false">IF(AND(K154=0,K156="min",L156=1),B156-B155,IF(K156="min",B156-M156,""))</f>
        <v/>
      </c>
      <c r="O156" s="34" t="str">
        <f aca="false">IF(AND(K154=0,K156="min",L156=1),(B156-B155)/B155,IF(K156="min",(B156-M156)/M156,""))</f>
        <v/>
      </c>
      <c r="P156" s="19" t="n">
        <f aca="false">D156-s_p!H156</f>
        <v>0.000471065207946582</v>
      </c>
      <c r="Q156" s="19" t="n">
        <f aca="false">IF(P156&lt;0, P156^2, 0)</f>
        <v>0</v>
      </c>
      <c r="R156" s="5"/>
      <c r="S156" s="5"/>
      <c r="T156" s="5"/>
      <c r="U156" s="5"/>
      <c r="V156" s="5"/>
    </row>
    <row r="157" customFormat="false" ht="13.8" hidden="false" customHeight="false" outlineLevel="0" collapsed="false">
      <c r="A157" s="6" t="n">
        <f aca="false">WORKDAY(A156,1,holiday!$B$2:$B$10)</f>
        <v>38940</v>
      </c>
      <c r="B157" s="24" t="n">
        <v>943069.814590296</v>
      </c>
      <c r="C157" s="24" t="n">
        <f aca="false">B157-B156</f>
        <v>-44541.2594387081</v>
      </c>
      <c r="D157" s="5" t="n">
        <f aca="false">C157/B156</f>
        <v>-0.0451</v>
      </c>
      <c r="E157" s="5" t="n">
        <f aca="false" t="array" ref="E157:E157">PRODUCT(1+$D$4:D157)-1</f>
        <v>-0.0569301854097036</v>
      </c>
      <c r="F157" s="45" t="n">
        <f aca="false">E157/COUNT($E$4:E157)</f>
        <v>-0.000369676528634439</v>
      </c>
      <c r="G157" s="5" t="n">
        <f aca="false">F157*252</f>
        <v>-0.0931584852158787</v>
      </c>
      <c r="H157" s="46" t="n">
        <f aca="false">IF(D157&lt;F157,D157-F157,"")</f>
        <v>-0.0447303234713656</v>
      </c>
      <c r="I157" s="46" t="n">
        <f aca="false">IF(D157&lt;AVERAGE($D$149:D157),D157-AVERAGE($D$149:D157),"")</f>
        <v>-0.0398777777777778</v>
      </c>
      <c r="J157" s="0" t="n">
        <f aca="false">IF(ISBLANK(A158),MONTH(A157),IF(MONTH(A158)-MONTH(A157)=1,MONTH(A157),0))</f>
        <v>0</v>
      </c>
      <c r="K157" s="0" t="str">
        <f aca="false">IF(B158&gt;B157,IF(AND(B156&gt;B157,B158&gt;B157),"min",""),IF(AND(B156&gt;B157,B158&gt;B157),"",IF(AND(B156&lt;B157,B158&lt;B157),"max","")))</f>
        <v/>
      </c>
      <c r="L157" s="0" t="str">
        <f aca="false">IF(K157="min",COUNTIF(K$4:K157,"min"),IF(K157="max",COUNTIF(K$4:K157,"max"),""))</f>
        <v/>
      </c>
      <c r="M157" s="24" t="str">
        <f aca="false" t="array" ref="M157:M157">IF($K$3=0,IF(K157="min",INDEX($B$4:$B$254,(MATCH(1,($K$4:$K$254="max")*($L$4:$L$254=(L157-1)),0))),""),IF($K$3=1,IF(K157="min",INDEX($B$4:$B$254,(MATCH(1,($K$4:$K$254="max")*($L$4:$L$254=(L157)),0))),""),""))</f>
        <v/>
      </c>
      <c r="N157" s="29" t="str">
        <f aca="false">IF(AND(K155=0,K157="min",L157=1),B157-B156,IF(K157="min",B157-M157,""))</f>
        <v/>
      </c>
      <c r="O157" s="34" t="str">
        <f aca="false">IF(AND(K155=0,K157="min",L157=1),(B157-B156)/B156,IF(K157="min",(B157-M157)/M157,""))</f>
        <v/>
      </c>
      <c r="P157" s="19" t="n">
        <f aca="false">D157-s_p!H157</f>
        <v>-0.0411135554839167</v>
      </c>
      <c r="Q157" s="19" t="n">
        <f aca="false">IF(P157&lt;0, P157^2, 0)</f>
        <v>0.0016903244445291</v>
      </c>
      <c r="R157" s="5"/>
      <c r="S157" s="5"/>
      <c r="T157" s="5"/>
      <c r="U157" s="5"/>
      <c r="V157" s="5"/>
    </row>
    <row r="158" customFormat="false" ht="13.8" hidden="false" customHeight="false" outlineLevel="0" collapsed="false">
      <c r="A158" s="6" t="n">
        <f aca="false">WORKDAY(A157,1,holiday!$B$2:$B$10)</f>
        <v>38943</v>
      </c>
      <c r="B158" s="24" t="n">
        <v>899122.761230388</v>
      </c>
      <c r="C158" s="24" t="n">
        <f aca="false">B158-B157</f>
        <v>-43947.0533599078</v>
      </c>
      <c r="D158" s="5" t="n">
        <f aca="false">C158/B157</f>
        <v>-0.0466</v>
      </c>
      <c r="E158" s="5" t="n">
        <f aca="false" t="array" ref="E158:E158">PRODUCT(1+$D$4:D158)-1</f>
        <v>-0.100877238769611</v>
      </c>
      <c r="F158" s="45" t="n">
        <f aca="false">E158/COUNT($E$4:E158)</f>
        <v>-0.000650820895287816</v>
      </c>
      <c r="G158" s="5" t="n">
        <f aca="false">F158*252</f>
        <v>-0.16400686561253</v>
      </c>
      <c r="H158" s="46" t="n">
        <f aca="false">IF(D158&lt;F158,D158-F158,"")</f>
        <v>-0.0459491791047122</v>
      </c>
      <c r="I158" s="46" t="n">
        <f aca="false">IF(D158&lt;AVERAGE($D$149:D158),D158-AVERAGE($D$149:D158),"")</f>
        <v>-0.03724</v>
      </c>
      <c r="J158" s="0" t="n">
        <f aca="false">IF(ISBLANK(A159),MONTH(A158),IF(MONTH(A159)-MONTH(A158)=1,MONTH(A158),0))</f>
        <v>0</v>
      </c>
      <c r="K158" s="0" t="str">
        <f aca="false">IF(B159&gt;B158,IF(AND(B157&gt;B158,B159&gt;B158),"min",""),IF(AND(B157&gt;B158,B159&gt;B158),"",IF(AND(B157&lt;B158,B159&lt;B158),"max","")))</f>
        <v/>
      </c>
      <c r="L158" s="0" t="str">
        <f aca="false">IF(K158="min",COUNTIF(K$4:K158,"min"),IF(K158="max",COUNTIF(K$4:K158,"max"),""))</f>
        <v/>
      </c>
      <c r="M158" s="24" t="str">
        <f aca="false" t="array" ref="M158:M158">IF($K$3=0,IF(K158="min",INDEX($B$4:$B$254,(MATCH(1,($K$4:$K$254="max")*($L$4:$L$254=(L158-1)),0))),""),IF($K$3=1,IF(K158="min",INDEX($B$4:$B$254,(MATCH(1,($K$4:$K$254="max")*($L$4:$L$254=(L158)),0))),""),""))</f>
        <v/>
      </c>
      <c r="N158" s="29" t="str">
        <f aca="false">IF(AND(K156=0,K158="min",L158=1),B158-B157,IF(K158="min",B158-M158,""))</f>
        <v/>
      </c>
      <c r="O158" s="34" t="str">
        <f aca="false">IF(AND(K156=0,K158="min",L158=1),(B158-B157)/B157,IF(K158="min",(B158-M158)/M158,""))</f>
        <v/>
      </c>
      <c r="P158" s="19" t="n">
        <f aca="false">D158-s_p!H158</f>
        <v>-0.0477604591313135</v>
      </c>
      <c r="Q158" s="19" t="n">
        <f aca="false">IF(P158&lt;0, P158^2, 0)</f>
        <v>0.00228106145643387</v>
      </c>
      <c r="R158" s="5"/>
      <c r="S158" s="5"/>
      <c r="T158" s="5"/>
      <c r="U158" s="5"/>
      <c r="V158" s="5"/>
    </row>
    <row r="159" customFormat="false" ht="13.8" hidden="false" customHeight="false" outlineLevel="0" collapsed="false">
      <c r="A159" s="6" t="n">
        <f aca="false">WORKDAY(A158,1,holiday!$B$2:$B$10)</f>
        <v>38944</v>
      </c>
      <c r="B159" s="24" t="n">
        <v>887973.638991131</v>
      </c>
      <c r="C159" s="24" t="n">
        <f aca="false">B159-B158</f>
        <v>-11149.1222392569</v>
      </c>
      <c r="D159" s="5" t="n">
        <f aca="false">C159/B158</f>
        <v>-0.0124000000000001</v>
      </c>
      <c r="E159" s="5" t="n">
        <f aca="false" t="array" ref="E159:E159">PRODUCT(1+$D$4:D159)-1</f>
        <v>-0.112026361008868</v>
      </c>
      <c r="F159" s="45" t="n">
        <f aca="false">E159/COUNT($E$4:E159)</f>
        <v>-0.000718117698774798</v>
      </c>
      <c r="G159" s="5" t="n">
        <f aca="false">F159*252</f>
        <v>-0.180965660091249</v>
      </c>
      <c r="H159" s="46" t="n">
        <f aca="false">IF(D159&lt;F159,D159-F159,"")</f>
        <v>-0.0116818823012253</v>
      </c>
      <c r="I159" s="46" t="n">
        <f aca="false">IF(D159&lt;AVERAGE($D$149:D159),D159-AVERAGE($D$149:D159),"")</f>
        <v>-0.00276363636363642</v>
      </c>
      <c r="J159" s="0" t="n">
        <f aca="false">IF(ISBLANK(A160),MONTH(A159),IF(MONTH(A160)-MONTH(A159)=1,MONTH(A159),0))</f>
        <v>0</v>
      </c>
      <c r="K159" s="0" t="str">
        <f aca="false">IF(B160&gt;B159,IF(AND(B158&gt;B159,B160&gt;B159),"min",""),IF(AND(B158&gt;B159,B160&gt;B159),"",IF(AND(B158&lt;B159,B160&lt;B159),"max","")))</f>
        <v>min</v>
      </c>
      <c r="L159" s="0" t="n">
        <f aca="false">IF(K159="min",COUNTIF(K$4:K159,"min"),IF(K159="max",COUNTIF(K$4:K159,"max"),""))</f>
        <v>39</v>
      </c>
      <c r="M159" s="24" t="n">
        <f aca="false" t="array" ref="M159:M159">IF($K$3=0,IF(K159="min",INDEX($B$4:$B$254,(MATCH(1,($K$4:$K$254="max")*($L$4:$L$254=(L159-1)),0))),""),IF($K$3=1,IF(K159="min",INDEX($B$4:$B$254,(MATCH(1,($K$4:$K$254="max")*($L$4:$L$254=(L159)),0))),""),""))</f>
        <v>987611.074029004</v>
      </c>
      <c r="N159" s="29" t="n">
        <f aca="false">IF(AND(K157=0,K159="min",L159=1),B159-B158,IF(K159="min",B159-M159,""))</f>
        <v>-99637.435037873</v>
      </c>
      <c r="O159" s="34" t="n">
        <f aca="false">IF(AND(K157=0,K159="min",L159=1),(B159-B158)/B158,IF(K159="min",(B159-M159)/M159,""))</f>
        <v>-0.100887320584</v>
      </c>
      <c r="P159" s="19" t="n">
        <f aca="false">D159-s_p!H159</f>
        <v>-0.0260964698275522</v>
      </c>
      <c r="Q159" s="19" t="n">
        <f aca="false">IF(P159&lt;0, P159^2, 0)</f>
        <v>0.000681025737460342</v>
      </c>
      <c r="R159" s="5"/>
      <c r="S159" s="5"/>
      <c r="T159" s="5"/>
      <c r="U159" s="5"/>
      <c r="V159" s="5"/>
    </row>
    <row r="160" customFormat="false" ht="13.8" hidden="false" customHeight="false" outlineLevel="0" collapsed="false">
      <c r="A160" s="6" t="n">
        <f aca="false">WORKDAY(A159,1,holiday!$B$2:$B$10)</f>
        <v>38945</v>
      </c>
      <c r="B160" s="24" t="n">
        <v>913103.29297458</v>
      </c>
      <c r="C160" s="24" t="n">
        <f aca="false">B160-B159</f>
        <v>25129.653983449</v>
      </c>
      <c r="D160" s="5" t="n">
        <f aca="false">C160/B159</f>
        <v>0.0283</v>
      </c>
      <c r="E160" s="5" t="n">
        <f aca="false" t="array" ref="E160:E160">PRODUCT(1+$D$4:D160)-1</f>
        <v>-0.0868967070254194</v>
      </c>
      <c r="F160" s="45" t="n">
        <f aca="false">E160/COUNT($E$4:E160)</f>
        <v>-0.00055348221035299</v>
      </c>
      <c r="G160" s="5" t="n">
        <f aca="false">F160*252</f>
        <v>-0.139477517008953</v>
      </c>
      <c r="H160" s="46" t="str">
        <f aca="false">IF(D160&lt;F160,D160-F160,"")</f>
        <v/>
      </c>
      <c r="I160" s="46" t="str">
        <f aca="false">IF(D160&lt;AVERAGE($D$149:D160),D160-AVERAGE($D$149:D160),"")</f>
        <v/>
      </c>
      <c r="J160" s="0" t="n">
        <f aca="false">IF(ISBLANK(A161),MONTH(A160),IF(MONTH(A161)-MONTH(A160)=1,MONTH(A160),0))</f>
        <v>0</v>
      </c>
      <c r="K160" s="0" t="str">
        <f aca="false">IF(B161&gt;B160,IF(AND(B159&gt;B160,B161&gt;B160),"min",""),IF(AND(B159&gt;B160,B161&gt;B160),"",IF(AND(B159&lt;B160,B161&lt;B160),"max","")))</f>
        <v>max</v>
      </c>
      <c r="L160" s="0" t="n">
        <f aca="false">IF(K160="min",COUNTIF(K$4:K160,"min"),IF(K160="max",COUNTIF(K$4:K160,"max"),""))</f>
        <v>39</v>
      </c>
      <c r="M160" s="24" t="str">
        <f aca="false" t="array" ref="M160:M160">IF($K$3=0,IF(K160="min",INDEX($B$4:$B$254,(MATCH(1,($K$4:$K$254="max")*($L$4:$L$254=(L160-1)),0))),""),IF($K$3=1,IF(K160="min",INDEX($B$4:$B$254,(MATCH(1,($K$4:$K$254="max")*($L$4:$L$254=(L160)),0))),""),""))</f>
        <v/>
      </c>
      <c r="N160" s="29" t="str">
        <f aca="false">IF(AND(K158=0,K160="min",L160=1),B160-B159,IF(K160="min",B160-M160,""))</f>
        <v/>
      </c>
      <c r="O160" s="34" t="str">
        <f aca="false">IF(AND(K158=0,K160="min",L160=1),(B160-B159)/B159,IF(K160="min",(B160-M160)/M160,""))</f>
        <v/>
      </c>
      <c r="P160" s="19" t="n">
        <f aca="false">D160-s_p!H160</f>
        <v>0.0206380886448138</v>
      </c>
      <c r="Q160" s="19" t="n">
        <f aca="false">IF(P160&lt;0, P160^2, 0)</f>
        <v>0</v>
      </c>
      <c r="R160" s="5"/>
      <c r="S160" s="5"/>
      <c r="T160" s="5"/>
      <c r="U160" s="5"/>
      <c r="V160" s="5"/>
    </row>
    <row r="161" customFormat="false" ht="13.8" hidden="false" customHeight="false" outlineLevel="0" collapsed="false">
      <c r="A161" s="6" t="n">
        <f aca="false">WORKDAY(A160,1,holiday!$B$2:$B$10)</f>
        <v>38946</v>
      </c>
      <c r="B161" s="24" t="n">
        <v>867539.438655149</v>
      </c>
      <c r="C161" s="24" t="n">
        <f aca="false">B161-B160</f>
        <v>-45563.8543194316</v>
      </c>
      <c r="D161" s="5" t="n">
        <f aca="false">C161/B160</f>
        <v>-0.0499</v>
      </c>
      <c r="E161" s="5" t="n">
        <f aca="false" t="array" ref="E161:E161">PRODUCT(1+$D$4:D161)-1</f>
        <v>-0.132460561344851</v>
      </c>
      <c r="F161" s="45" t="n">
        <f aca="false">E161/COUNT($E$4:E161)</f>
        <v>-0.00083835798319526</v>
      </c>
      <c r="G161" s="5" t="n">
        <f aca="false">F161*252</f>
        <v>-0.211266211765205</v>
      </c>
      <c r="H161" s="46" t="n">
        <f aca="false">IF(D161&lt;F161,D161-F161,"")</f>
        <v>-0.0490616420168047</v>
      </c>
      <c r="I161" s="46" t="n">
        <f aca="false">IF(D161&lt;AVERAGE($D$149:D161),D161-AVERAGE($D$149:D161),"")</f>
        <v>-0.0400846153846154</v>
      </c>
      <c r="J161" s="0" t="n">
        <f aca="false">IF(ISBLANK(A162),MONTH(A161),IF(MONTH(A162)-MONTH(A161)=1,MONTH(A161),0))</f>
        <v>0</v>
      </c>
      <c r="K161" s="0" t="str">
        <f aca="false">IF(B162&gt;B161,IF(AND(B160&gt;B161,B162&gt;B161),"min",""),IF(AND(B160&gt;B161,B162&gt;B161),"",IF(AND(B160&lt;B161,B162&lt;B161),"max","")))</f>
        <v>min</v>
      </c>
      <c r="L161" s="0" t="n">
        <f aca="false">IF(K161="min",COUNTIF(K$4:K161,"min"),IF(K161="max",COUNTIF(K$4:K161,"max"),""))</f>
        <v>40</v>
      </c>
      <c r="M161" s="24" t="n">
        <f aca="false" t="array" ref="M161:M161">IF($K$3=0,IF(K161="min",INDEX($B$4:$B$254,(MATCH(1,($K$4:$K$254="max")*($L$4:$L$254=(L161-1)),0))),""),IF($K$3=1,IF(K161="min",INDEX($B$4:$B$254,(MATCH(1,($K$4:$K$254="max")*($L$4:$L$254=(L161)),0))),""),""))</f>
        <v>913103.29297458</v>
      </c>
      <c r="N161" s="29" t="n">
        <f aca="false">IF(AND(K159=0,K161="min",L161=1),B161-B160,IF(K161="min",B161-M161,""))</f>
        <v>-45563.854319431</v>
      </c>
      <c r="O161" s="34" t="n">
        <f aca="false">IF(AND(K159=0,K161="min",L161=1),(B161-B160)/B160,IF(K161="min",(B161-M161)/M161,""))</f>
        <v>-0.0498999999999994</v>
      </c>
      <c r="P161" s="19" t="n">
        <f aca="false">D161-s_p!H161</f>
        <v>-0.0514824861242986</v>
      </c>
      <c r="Q161" s="19" t="n">
        <f aca="false">IF(P161&lt;0, P161^2, 0)</f>
        <v>0.0026504463775386</v>
      </c>
      <c r="R161" s="5"/>
      <c r="S161" s="5"/>
      <c r="T161" s="5"/>
      <c r="U161" s="5"/>
      <c r="V161" s="5"/>
    </row>
    <row r="162" customFormat="false" ht="13.8" hidden="false" customHeight="false" outlineLevel="0" collapsed="false">
      <c r="A162" s="6" t="n">
        <f aca="false">WORKDAY(A161,1,holiday!$B$2:$B$10)</f>
        <v>38947</v>
      </c>
      <c r="B162" s="24" t="n">
        <v>895127.192804382</v>
      </c>
      <c r="C162" s="24" t="n">
        <f aca="false">B162-B161</f>
        <v>27587.7541492337</v>
      </c>
      <c r="D162" s="5" t="n">
        <f aca="false">C162/B161</f>
        <v>0.0318</v>
      </c>
      <c r="E162" s="5" t="n">
        <f aca="false" t="array" ref="E162:E162">PRODUCT(1+$D$4:D162)-1</f>
        <v>-0.104872807195617</v>
      </c>
      <c r="F162" s="45" t="n">
        <f aca="false">E162/COUNT($E$4:E162)</f>
        <v>-0.00065957740374602</v>
      </c>
      <c r="G162" s="5" t="n">
        <f aca="false">F162*252</f>
        <v>-0.166213505743997</v>
      </c>
      <c r="H162" s="46" t="str">
        <f aca="false">IF(D162&lt;F162,D162-F162,"")</f>
        <v/>
      </c>
      <c r="I162" s="46" t="str">
        <f aca="false">IF(D162&lt;AVERAGE($D$149:D162),D162-AVERAGE($D$149:D162),"")</f>
        <v/>
      </c>
      <c r="J162" s="0" t="n">
        <f aca="false">IF(ISBLANK(A163),MONTH(A162),IF(MONTH(A163)-MONTH(A162)=1,MONTH(A162),0))</f>
        <v>0</v>
      </c>
      <c r="K162" s="0" t="str">
        <f aca="false">IF(B163&gt;B162,IF(AND(B161&gt;B162,B163&gt;B162),"min",""),IF(AND(B161&gt;B162,B163&gt;B162),"",IF(AND(B161&lt;B162,B163&lt;B162),"max","")))</f>
        <v>max</v>
      </c>
      <c r="L162" s="0" t="n">
        <f aca="false">IF(K162="min",COUNTIF(K$4:K162,"min"),IF(K162="max",COUNTIF(K$4:K162,"max"),""))</f>
        <v>40</v>
      </c>
      <c r="M162" s="24" t="str">
        <f aca="false" t="array" ref="M162:M162">IF($K$3=0,IF(K162="min",INDEX($B$4:$B$254,(MATCH(1,($K$4:$K$254="max")*($L$4:$L$254=(L162-1)),0))),""),IF($K$3=1,IF(K162="min",INDEX($B$4:$B$254,(MATCH(1,($K$4:$K$254="max")*($L$4:$L$254=(L162)),0))),""),""))</f>
        <v/>
      </c>
      <c r="N162" s="29" t="str">
        <f aca="false">IF(AND(K160=0,K162="min",L162=1),B162-B161,IF(K162="min",B162-M162,""))</f>
        <v/>
      </c>
      <c r="O162" s="34" t="str">
        <f aca="false">IF(AND(K160=0,K162="min",L162=1),(B162-B161)/B161,IF(K162="min",(B162-M162)/M162,""))</f>
        <v/>
      </c>
      <c r="P162" s="19" t="n">
        <f aca="false">D162-s_p!H162</f>
        <v>0.028085106514166</v>
      </c>
      <c r="Q162" s="19" t="n">
        <f aca="false">IF(P162&lt;0, P162^2, 0)</f>
        <v>0</v>
      </c>
      <c r="R162" s="5"/>
      <c r="S162" s="5"/>
      <c r="T162" s="5"/>
      <c r="U162" s="5"/>
      <c r="V162" s="5"/>
    </row>
    <row r="163" customFormat="false" ht="13.8" hidden="false" customHeight="false" outlineLevel="0" collapsed="false">
      <c r="A163" s="6" t="n">
        <f aca="false">WORKDAY(A162,1,holiday!$B$2:$B$10)</f>
        <v>38950</v>
      </c>
      <c r="B163" s="24" t="n">
        <v>892620.83666453</v>
      </c>
      <c r="C163" s="24" t="n">
        <f aca="false">B163-B162</f>
        <v>-2506.35613985232</v>
      </c>
      <c r="D163" s="5" t="n">
        <f aca="false">C163/B162</f>
        <v>-0.00280000000000005</v>
      </c>
      <c r="E163" s="5" t="n">
        <f aca="false" t="array" ref="E163:E163">PRODUCT(1+$D$4:D163)-1</f>
        <v>-0.107379163335469</v>
      </c>
      <c r="F163" s="45" t="n">
        <f aca="false">E163/COUNT($E$4:E163)</f>
        <v>-0.000671119770846684</v>
      </c>
      <c r="G163" s="5" t="n">
        <f aca="false">F163*252</f>
        <v>-0.169122182253364</v>
      </c>
      <c r="H163" s="46" t="n">
        <f aca="false">IF(D163&lt;F163,D163-F163,"")</f>
        <v>-0.00212888022915337</v>
      </c>
      <c r="I163" s="46" t="str">
        <f aca="false">IF(D163&lt;AVERAGE($D$149:D163),D163-AVERAGE($D$149:D163),"")</f>
        <v/>
      </c>
      <c r="J163" s="0" t="n">
        <f aca="false">IF(ISBLANK(A164),MONTH(A163),IF(MONTH(A164)-MONTH(A163)=1,MONTH(A163),0))</f>
        <v>0</v>
      </c>
      <c r="K163" s="0" t="str">
        <f aca="false">IF(B164&gt;B163,IF(AND(B162&gt;B163,B164&gt;B163),"min",""),IF(AND(B162&gt;B163,B164&gt;B163),"",IF(AND(B162&lt;B163,B164&lt;B163),"max","")))</f>
        <v>min</v>
      </c>
      <c r="L163" s="0" t="n">
        <f aca="false">IF(K163="min",COUNTIF(K$4:K163,"min"),IF(K163="max",COUNTIF(K$4:K163,"max"),""))</f>
        <v>41</v>
      </c>
      <c r="M163" s="24" t="n">
        <f aca="false" t="array" ref="M163:M163">IF($K$3=0,IF(K163="min",INDEX($B$4:$B$254,(MATCH(1,($K$4:$K$254="max")*($L$4:$L$254=(L163-1)),0))),""),IF($K$3=1,IF(K163="min",INDEX($B$4:$B$254,(MATCH(1,($K$4:$K$254="max")*($L$4:$L$254=(L163)),0))),""),""))</f>
        <v>895127.192804382</v>
      </c>
      <c r="N163" s="29" t="n">
        <f aca="false">IF(AND(K161=0,K163="min",L163=1),B163-B162,IF(K163="min",B163-M163,""))</f>
        <v>-2506.35613985197</v>
      </c>
      <c r="O163" s="34" t="n">
        <f aca="false">IF(AND(K161=0,K163="min",L163=1),(B163-B162)/B162,IF(K163="min",(B163-M163)/M163,""))</f>
        <v>-0.00279999999999966</v>
      </c>
      <c r="P163" s="19" t="n">
        <f aca="false">D163-s_p!H163</f>
        <v>0.000870429240574318</v>
      </c>
      <c r="Q163" s="19" t="n">
        <f aca="false">IF(P163&lt;0, P163^2, 0)</f>
        <v>0</v>
      </c>
      <c r="R163" s="5"/>
      <c r="S163" s="5"/>
      <c r="T163" s="5"/>
      <c r="U163" s="5"/>
      <c r="V163" s="5"/>
    </row>
    <row r="164" customFormat="false" ht="13.8" hidden="false" customHeight="false" outlineLevel="0" collapsed="false">
      <c r="A164" s="6" t="n">
        <f aca="false">WORKDAY(A163,1,holiday!$B$2:$B$10)</f>
        <v>38951</v>
      </c>
      <c r="B164" s="24" t="n">
        <v>910741.03964882</v>
      </c>
      <c r="C164" s="24" t="n">
        <f aca="false">B164-B163</f>
        <v>18120.20298429</v>
      </c>
      <c r="D164" s="5" t="n">
        <f aca="false">C164/B163</f>
        <v>0.0203</v>
      </c>
      <c r="E164" s="5" t="n">
        <f aca="false" t="array" ref="E164:E164">PRODUCT(1+$D$4:D164)-1</f>
        <v>-0.0892589603511795</v>
      </c>
      <c r="F164" s="45" t="n">
        <f aca="false">E164/COUNT($E$4:E164)</f>
        <v>-0.000554403480442109</v>
      </c>
      <c r="G164" s="5" t="n">
        <f aca="false">F164*252</f>
        <v>-0.139709677071411</v>
      </c>
      <c r="H164" s="46" t="str">
        <f aca="false">IF(D164&lt;F164,D164-F164,"")</f>
        <v/>
      </c>
      <c r="I164" s="46" t="str">
        <f aca="false">IF(D164&lt;AVERAGE($D$149:D164),D164-AVERAGE($D$149:D164),"")</f>
        <v/>
      </c>
      <c r="J164" s="0" t="n">
        <f aca="false">IF(ISBLANK(A165),MONTH(A164),IF(MONTH(A165)-MONTH(A164)=1,MONTH(A164),0))</f>
        <v>0</v>
      </c>
      <c r="K164" s="0" t="str">
        <f aca="false">IF(B165&gt;B164,IF(AND(B163&gt;B164,B165&gt;B164),"min",""),IF(AND(B163&gt;B164,B165&gt;B164),"",IF(AND(B163&lt;B164,B165&lt;B164),"max","")))</f>
        <v/>
      </c>
      <c r="L164" s="0" t="str">
        <f aca="false">IF(K164="min",COUNTIF(K$4:K164,"min"),IF(K164="max",COUNTIF(K$4:K164,"max"),""))</f>
        <v/>
      </c>
      <c r="M164" s="24" t="str">
        <f aca="false" t="array" ref="M164:M164">IF($K$3=0,IF(K164="min",INDEX($B$4:$B$254,(MATCH(1,($K$4:$K$254="max")*($L$4:$L$254=(L164-1)),0))),""),IF($K$3=1,IF(K164="min",INDEX($B$4:$B$254,(MATCH(1,($K$4:$K$254="max")*($L$4:$L$254=(L164)),0))),""),""))</f>
        <v/>
      </c>
      <c r="N164" s="29" t="str">
        <f aca="false">IF(AND(K162=0,K164="min",L164=1),B164-B163,IF(K164="min",B164-M164,""))</f>
        <v/>
      </c>
      <c r="O164" s="34" t="str">
        <f aca="false">IF(AND(K162=0,K164="min",L164=1),(B164-B163)/B163,IF(K164="min",(B164-M164)/M164,""))</f>
        <v/>
      </c>
      <c r="P164" s="19" t="n">
        <f aca="false">D164-s_p!H164</f>
        <v>0.0192980886614465</v>
      </c>
      <c r="Q164" s="19" t="n">
        <f aca="false">IF(P164&lt;0, P164^2, 0)</f>
        <v>0</v>
      </c>
      <c r="R164" s="5"/>
      <c r="S164" s="5"/>
      <c r="T164" s="5"/>
      <c r="U164" s="5"/>
      <c r="V164" s="5"/>
    </row>
    <row r="165" customFormat="false" ht="13.8" hidden="false" customHeight="false" outlineLevel="0" collapsed="false">
      <c r="A165" s="6" t="n">
        <f aca="false">WORKDAY(A164,1,holiday!$B$2:$B$10)</f>
        <v>38952</v>
      </c>
      <c r="B165" s="24" t="n">
        <v>915294.744847064</v>
      </c>
      <c r="C165" s="24" t="n">
        <f aca="false">B165-B164</f>
        <v>4553.70519824408</v>
      </c>
      <c r="D165" s="5" t="n">
        <f aca="false">C165/B164</f>
        <v>0.00499999999999997</v>
      </c>
      <c r="E165" s="5" t="n">
        <f aca="false" t="array" ref="E165:E165">PRODUCT(1+$D$4:D165)-1</f>
        <v>-0.0847052551529356</v>
      </c>
      <c r="F165" s="45" t="n">
        <f aca="false">E165/COUNT($E$4:E165)</f>
        <v>-0.000522871945388491</v>
      </c>
      <c r="G165" s="5" t="n">
        <f aca="false">F165*252</f>
        <v>-0.1317637302379</v>
      </c>
      <c r="H165" s="46" t="str">
        <f aca="false">IF(D165&lt;F165,D165-F165,"")</f>
        <v/>
      </c>
      <c r="I165" s="46" t="str">
        <f aca="false">IF(D165&lt;AVERAGE($D$149:D165),D165-AVERAGE($D$149:D165),"")</f>
        <v/>
      </c>
      <c r="J165" s="0" t="n">
        <f aca="false">IF(ISBLANK(A166),MONTH(A165),IF(MONTH(A166)-MONTH(A165)=1,MONTH(A165),0))</f>
        <v>0</v>
      </c>
      <c r="K165" s="0" t="str">
        <f aca="false">IF(B166&gt;B165,IF(AND(B164&gt;B165,B166&gt;B165),"min",""),IF(AND(B164&gt;B165,B166&gt;B165),"",IF(AND(B164&lt;B165,B166&lt;B165),"max","")))</f>
        <v/>
      </c>
      <c r="L165" s="0" t="str">
        <f aca="false">IF(K165="min",COUNTIF(K$4:K165,"min"),IF(K165="max",COUNTIF(K$4:K165,"max"),""))</f>
        <v/>
      </c>
      <c r="M165" s="24" t="str">
        <f aca="false" t="array" ref="M165:M165">IF($K$3=0,IF(K165="min",INDEX($B$4:$B$254,(MATCH(1,($K$4:$K$254="max")*($L$4:$L$254=(L165-1)),0))),""),IF($K$3=1,IF(K165="min",INDEX($B$4:$B$254,(MATCH(1,($K$4:$K$254="max")*($L$4:$L$254=(L165)),0))),""),""))</f>
        <v/>
      </c>
      <c r="N165" s="29" t="str">
        <f aca="false">IF(AND(K163=0,K165="min",L165=1),B165-B164,IF(K165="min",B165-M165,""))</f>
        <v/>
      </c>
      <c r="O165" s="34" t="str">
        <f aca="false">IF(AND(K163=0,K165="min",L165=1),(B165-B164)/B164,IF(K165="min",(B165-M165)/M165,""))</f>
        <v/>
      </c>
      <c r="P165" s="19" t="n">
        <f aca="false">D165-s_p!H165</f>
        <v>0.00948868973375824</v>
      </c>
      <c r="Q165" s="19" t="n">
        <f aca="false">IF(P165&lt;0, P165^2, 0)</f>
        <v>0</v>
      </c>
      <c r="R165" s="5"/>
      <c r="S165" s="5"/>
      <c r="T165" s="5"/>
      <c r="U165" s="5"/>
      <c r="V165" s="5"/>
    </row>
    <row r="166" customFormat="false" ht="13.8" hidden="false" customHeight="false" outlineLevel="0" collapsed="false">
      <c r="A166" s="6" t="n">
        <f aca="false">WORKDAY(A165,1,holiday!$B$2:$B$10)</f>
        <v>38953</v>
      </c>
      <c r="B166" s="24" t="n">
        <v>923074.750178264</v>
      </c>
      <c r="C166" s="24" t="n">
        <f aca="false">B166-B165</f>
        <v>7780.00533120008</v>
      </c>
      <c r="D166" s="5" t="n">
        <f aca="false">C166/B165</f>
        <v>0.00850000000000004</v>
      </c>
      <c r="E166" s="5" t="n">
        <f aca="false" t="array" ref="E166:E166">PRODUCT(1+$D$4:D166)-1</f>
        <v>-0.0769252498217357</v>
      </c>
      <c r="F166" s="45" t="n">
        <f aca="false">E166/COUNT($E$4:E166)</f>
        <v>-0.000471934047986108</v>
      </c>
      <c r="G166" s="5" t="n">
        <f aca="false">F166*252</f>
        <v>-0.118927380092499</v>
      </c>
      <c r="H166" s="46" t="str">
        <f aca="false">IF(D166&lt;F166,D166-F166,"")</f>
        <v/>
      </c>
      <c r="I166" s="46" t="str">
        <f aca="false">IF(D166&lt;AVERAGE($D$149:D166),D166-AVERAGE($D$149:D166),"")</f>
        <v/>
      </c>
      <c r="J166" s="0" t="n">
        <f aca="false">IF(ISBLANK(A167),MONTH(A166),IF(MONTH(A167)-MONTH(A166)=1,MONTH(A166),0))</f>
        <v>0</v>
      </c>
      <c r="K166" s="0" t="str">
        <f aca="false">IF(B167&gt;B166,IF(AND(B165&gt;B166,B167&gt;B166),"min",""),IF(AND(B165&gt;B166,B167&gt;B166),"",IF(AND(B165&lt;B166,B167&lt;B166),"max","")))</f>
        <v/>
      </c>
      <c r="L166" s="0" t="str">
        <f aca="false">IF(K166="min",COUNTIF(K$4:K166,"min"),IF(K166="max",COUNTIF(K$4:K166,"max"),""))</f>
        <v/>
      </c>
      <c r="M166" s="24" t="str">
        <f aca="false" t="array" ref="M166:M166">IF($K$3=0,IF(K166="min",INDEX($B$4:$B$254,(MATCH(1,($K$4:$K$254="max")*($L$4:$L$254=(L166-1)),0))),""),IF($K$3=1,IF(K166="min",INDEX($B$4:$B$254,(MATCH(1,($K$4:$K$254="max")*($L$4:$L$254=(L166)),0))),""),""))</f>
        <v/>
      </c>
      <c r="N166" s="29" t="str">
        <f aca="false">IF(AND(K164=0,K166="min",L166=1),B166-B165,IF(K166="min",B166-M166,""))</f>
        <v/>
      </c>
      <c r="O166" s="34" t="str">
        <f aca="false">IF(AND(K164=0,K166="min",L166=1),(B166-B165)/B165,IF(K166="min",(B166-M166)/M166,""))</f>
        <v/>
      </c>
      <c r="P166" s="19" t="n">
        <f aca="false">D166-s_p!H166</f>
        <v>0.00612565835776011</v>
      </c>
      <c r="Q166" s="19" t="n">
        <f aca="false">IF(P166&lt;0, P166^2, 0)</f>
        <v>0</v>
      </c>
      <c r="R166" s="5"/>
      <c r="S166" s="5"/>
      <c r="T166" s="5"/>
      <c r="U166" s="5"/>
      <c r="V166" s="5"/>
    </row>
    <row r="167" customFormat="false" ht="13.8" hidden="false" customHeight="false" outlineLevel="0" collapsed="false">
      <c r="A167" s="6" t="n">
        <f aca="false">WORKDAY(A166,1,holiday!$B$2:$B$10)</f>
        <v>38954</v>
      </c>
      <c r="B167" s="24" t="n">
        <v>927505.50897912</v>
      </c>
      <c r="C167" s="24" t="n">
        <f aca="false">B167-B166</f>
        <v>4430.75880085572</v>
      </c>
      <c r="D167" s="5" t="n">
        <f aca="false">C167/B166</f>
        <v>0.00480000000000006</v>
      </c>
      <c r="E167" s="5" t="n">
        <f aca="false" t="array" ref="E167:E167">PRODUCT(1+$D$4:D167)-1</f>
        <v>-0.0724944910208798</v>
      </c>
      <c r="F167" s="45" t="n">
        <f aca="false">E167/COUNT($E$4:E167)</f>
        <v>-0.000442039579395609</v>
      </c>
      <c r="G167" s="5" t="n">
        <f aca="false">F167*252</f>
        <v>-0.111393974007693</v>
      </c>
      <c r="H167" s="46" t="str">
        <f aca="false">IF(D167&lt;F167,D167-F167,"")</f>
        <v/>
      </c>
      <c r="I167" s="46" t="str">
        <f aca="false">IF(D167&lt;AVERAGE($D$149:D167),D167-AVERAGE($D$149:D167),"")</f>
        <v/>
      </c>
      <c r="J167" s="0" t="n">
        <f aca="false">IF(ISBLANK(A168),MONTH(A167),IF(MONTH(A168)-MONTH(A167)=1,MONTH(A167),0))</f>
        <v>0</v>
      </c>
      <c r="K167" s="0" t="str">
        <f aca="false">IF(B168&gt;B167,IF(AND(B166&gt;B167,B168&gt;B167),"min",""),IF(AND(B166&gt;B167,B168&gt;B167),"",IF(AND(B166&lt;B167,B168&lt;B167),"max","")))</f>
        <v/>
      </c>
      <c r="L167" s="0" t="str">
        <f aca="false">IF(K167="min",COUNTIF(K$4:K167,"min"),IF(K167="max",COUNTIF(K$4:K167,"max"),""))</f>
        <v/>
      </c>
      <c r="M167" s="24" t="str">
        <f aca="false" t="array" ref="M167:M167">IF($K$3=0,IF(K167="min",INDEX($B$4:$B$254,(MATCH(1,($K$4:$K$254="max")*($L$4:$L$254=(L167-1)),0))),""),IF($K$3=1,IF(K167="min",INDEX($B$4:$B$254,(MATCH(1,($K$4:$K$254="max")*($L$4:$L$254=(L167)),0))),""),""))</f>
        <v/>
      </c>
      <c r="N167" s="29" t="str">
        <f aca="false">IF(AND(K165=0,K167="min",L167=1),B167-B166,IF(K167="min",B167-M167,""))</f>
        <v/>
      </c>
      <c r="O167" s="34" t="str">
        <f aca="false">IF(AND(K165=0,K167="min",L167=1),(B167-B166)/B166,IF(K167="min",(B167-M167)/M167,""))</f>
        <v/>
      </c>
      <c r="P167" s="19" t="n">
        <f aca="false">D167-s_p!H167</f>
        <v>0.00554842214095034</v>
      </c>
      <c r="Q167" s="19" t="n">
        <f aca="false">IF(P167&lt;0, P167^2, 0)</f>
        <v>0</v>
      </c>
      <c r="R167" s="5"/>
      <c r="S167" s="5"/>
      <c r="T167" s="5"/>
      <c r="U167" s="5"/>
      <c r="V167" s="5"/>
    </row>
    <row r="168" customFormat="false" ht="13.8" hidden="false" customHeight="false" outlineLevel="0" collapsed="false">
      <c r="A168" s="6" t="n">
        <f aca="false">WORKDAY(A167,1,holiday!$B$2:$B$10)</f>
        <v>38957</v>
      </c>
      <c r="B168" s="24" t="n">
        <v>953197.411577842</v>
      </c>
      <c r="C168" s="24" t="n">
        <f aca="false">B168-B167</f>
        <v>25691.9025987217</v>
      </c>
      <c r="D168" s="5" t="n">
        <f aca="false">C168/B167</f>
        <v>0.0277000000000001</v>
      </c>
      <c r="E168" s="5" t="n">
        <f aca="false" t="array" ref="E168:E168">PRODUCT(1+$D$4:D168)-1</f>
        <v>-0.0468025884221581</v>
      </c>
      <c r="F168" s="45" t="n">
        <f aca="false">E168/COUNT($E$4:E168)</f>
        <v>-0.000283652051043383</v>
      </c>
      <c r="G168" s="5" t="n">
        <f aca="false">F168*252</f>
        <v>-0.0714803168629324</v>
      </c>
      <c r="H168" s="46" t="str">
        <f aca="false">IF(D168&lt;F168,D168-F168,"")</f>
        <v/>
      </c>
      <c r="I168" s="46" t="str">
        <f aca="false">IF(D168&lt;AVERAGE($D$149:D168),D168-AVERAGE($D$149:D168),"")</f>
        <v/>
      </c>
      <c r="J168" s="0" t="n">
        <f aca="false">IF(ISBLANK(A169),MONTH(A168),IF(MONTH(A169)-MONTH(A168)=1,MONTH(A168),0))</f>
        <v>0</v>
      </c>
      <c r="K168" s="0" t="str">
        <f aca="false">IF(B169&gt;B168,IF(AND(B167&gt;B168,B169&gt;B168),"min",""),IF(AND(B167&gt;B168,B169&gt;B168),"",IF(AND(B167&lt;B168,B169&lt;B168),"max","")))</f>
        <v/>
      </c>
      <c r="L168" s="0" t="str">
        <f aca="false">IF(K168="min",COUNTIF(K$4:K168,"min"),IF(K168="max",COUNTIF(K$4:K168,"max"),""))</f>
        <v/>
      </c>
      <c r="M168" s="24" t="str">
        <f aca="false" t="array" ref="M168:M168">IF($K$3=0,IF(K168="min",INDEX($B$4:$B$254,(MATCH(1,($K$4:$K$254="max")*($L$4:$L$254=(L168-1)),0))),""),IF($K$3=1,IF(K168="min",INDEX($B$4:$B$254,(MATCH(1,($K$4:$K$254="max")*($L$4:$L$254=(L168)),0))),""),""))</f>
        <v/>
      </c>
      <c r="N168" s="29" t="str">
        <f aca="false">IF(AND(K166=0,K168="min",L168=1),B168-B167,IF(K168="min",B168-M168,""))</f>
        <v/>
      </c>
      <c r="O168" s="34" t="str">
        <f aca="false">IF(AND(K166=0,K168="min",L168=1),(B168-B167)/B167,IF(K168="min",(B168-M168)/M168,""))</f>
        <v/>
      </c>
      <c r="P168" s="19" t="n">
        <f aca="false">D168-s_p!H168</f>
        <v>0.0225343358376637</v>
      </c>
      <c r="Q168" s="19" t="n">
        <f aca="false">IF(P168&lt;0, P168^2, 0)</f>
        <v>0</v>
      </c>
      <c r="R168" s="5"/>
      <c r="S168" s="5"/>
      <c r="T168" s="5"/>
      <c r="U168" s="5"/>
      <c r="V168" s="5"/>
    </row>
    <row r="169" customFormat="false" ht="13.8" hidden="false" customHeight="false" outlineLevel="0" collapsed="false">
      <c r="A169" s="6" t="n">
        <f aca="false">WORKDAY(A168,1,holiday!$B$2:$B$10)</f>
        <v>38958</v>
      </c>
      <c r="B169" s="24" t="n">
        <v>968353.250421929</v>
      </c>
      <c r="C169" s="24" t="n">
        <f aca="false">B169-B168</f>
        <v>15155.8388440877</v>
      </c>
      <c r="D169" s="5" t="n">
        <f aca="false">C169/B168</f>
        <v>0.0159</v>
      </c>
      <c r="E169" s="5" t="n">
        <f aca="false" t="array" ref="E169:E169">PRODUCT(1+$D$4:D169)-1</f>
        <v>-0.0316467495780705</v>
      </c>
      <c r="F169" s="45" t="n">
        <f aca="false">E169/COUNT($E$4:E169)</f>
        <v>-0.000190643069747412</v>
      </c>
      <c r="G169" s="5" t="n">
        <f aca="false">F169*252</f>
        <v>-0.0480420535763479</v>
      </c>
      <c r="H169" s="46" t="str">
        <f aca="false">IF(D169&lt;F169,D169-F169,"")</f>
        <v/>
      </c>
      <c r="I169" s="46" t="str">
        <f aca="false">IF(D169&lt;AVERAGE($D$149:D169),D169-AVERAGE($D$149:D169),"")</f>
        <v/>
      </c>
      <c r="J169" s="0" t="n">
        <f aca="false">IF(ISBLANK(A170),MONTH(A169),IF(MONTH(A170)-MONTH(A169)=1,MONTH(A169),0))</f>
        <v>0</v>
      </c>
      <c r="K169" s="0" t="str">
        <f aca="false">IF(B170&gt;B169,IF(AND(B168&gt;B169,B170&gt;B169),"min",""),IF(AND(B168&gt;B169,B170&gt;B169),"",IF(AND(B168&lt;B169,B170&lt;B169),"max","")))</f>
        <v>max</v>
      </c>
      <c r="L169" s="0" t="n">
        <f aca="false">IF(K169="min",COUNTIF(K$4:K169,"min"),IF(K169="max",COUNTIF(K$4:K169,"max"),""))</f>
        <v>41</v>
      </c>
      <c r="M169" s="24" t="str">
        <f aca="false" t="array" ref="M169:M169">IF($K$3=0,IF(K169="min",INDEX($B$4:$B$254,(MATCH(1,($K$4:$K$254="max")*($L$4:$L$254=(L169-1)),0))),""),IF($K$3=1,IF(K169="min",INDEX($B$4:$B$254,(MATCH(1,($K$4:$K$254="max")*($L$4:$L$254=(L169)),0))),""),""))</f>
        <v/>
      </c>
      <c r="N169" s="29" t="str">
        <f aca="false">IF(AND(K167=0,K169="min",L169=1),B169-B168,IF(K169="min",B169-M169,""))</f>
        <v/>
      </c>
      <c r="O169" s="34" t="str">
        <f aca="false">IF(AND(K167=0,K169="min",L169=1),(B169-B168)/B168,IF(K169="min",(B169-M169)/M169,""))</f>
        <v/>
      </c>
      <c r="P169" s="19" t="n">
        <f aca="false">D169-s_p!H169</f>
        <v>0.0139795526125765</v>
      </c>
      <c r="Q169" s="19" t="n">
        <f aca="false">IF(P169&lt;0, P169^2, 0)</f>
        <v>0</v>
      </c>
      <c r="R169" s="5"/>
      <c r="S169" s="5"/>
      <c r="T169" s="5"/>
      <c r="U169" s="5"/>
      <c r="V169" s="5"/>
    </row>
    <row r="170" customFormat="false" ht="13.8" hidden="false" customHeight="false" outlineLevel="0" collapsed="false">
      <c r="A170" s="6" t="n">
        <f aca="false">WORKDAY(A169,1,holiday!$B$2:$B$10)</f>
        <v>38959</v>
      </c>
      <c r="B170" s="24" t="n">
        <v>953924.786990643</v>
      </c>
      <c r="C170" s="24" t="n">
        <f aca="false">B170-B169</f>
        <v>-14428.4634312867</v>
      </c>
      <c r="D170" s="5" t="n">
        <f aca="false">C170/B169</f>
        <v>-0.0149</v>
      </c>
      <c r="E170" s="5" t="n">
        <f aca="false" t="array" ref="E170:E170">PRODUCT(1+$D$4:D170)-1</f>
        <v>-0.0460752130093572</v>
      </c>
      <c r="F170" s="45" t="n">
        <f aca="false">E170/COUNT($E$4:E170)</f>
        <v>-0.000275899479097948</v>
      </c>
      <c r="G170" s="5" t="n">
        <f aca="false">F170*252</f>
        <v>-0.0695266687326828</v>
      </c>
      <c r="H170" s="46" t="n">
        <f aca="false">IF(D170&lt;F170,D170-F170,"")</f>
        <v>-0.0146241005209021</v>
      </c>
      <c r="I170" s="46" t="n">
        <f aca="false">IF(D170&lt;AVERAGE($D$149:D170),D170-AVERAGE($D$149:D170),"")</f>
        <v>-0.0134772727272727</v>
      </c>
      <c r="J170" s="0" t="n">
        <f aca="false">IF(ISBLANK(A171),MONTH(A170),IF(MONTH(A171)-MONTH(A170)=1,MONTH(A170),0))</f>
        <v>0</v>
      </c>
      <c r="K170" s="0" t="str">
        <f aca="false">IF(B171&gt;B170,IF(AND(B169&gt;B170,B171&gt;B170),"min",""),IF(AND(B169&gt;B170,B171&gt;B170),"",IF(AND(B169&lt;B170,B171&lt;B170),"max","")))</f>
        <v>min</v>
      </c>
      <c r="L170" s="0" t="n">
        <f aca="false">IF(K170="min",COUNTIF(K$4:K170,"min"),IF(K170="max",COUNTIF(K$4:K170,"max"),""))</f>
        <v>42</v>
      </c>
      <c r="M170" s="24" t="n">
        <f aca="false" t="array" ref="M170:M170">IF($K$3=0,IF(K170="min",INDEX($B$4:$B$254,(MATCH(1,($K$4:$K$254="max")*($L$4:$L$254=(L170-1)),0))),""),IF($K$3=1,IF(K170="min",INDEX($B$4:$B$254,(MATCH(1,($K$4:$K$254="max")*($L$4:$L$254=(L170)),0))),""),""))</f>
        <v>968353.250421929</v>
      </c>
      <c r="N170" s="29" t="n">
        <f aca="false">IF(AND(K168=0,K170="min",L170=1),B170-B169,IF(K170="min",B170-M170,""))</f>
        <v>-14428.463431286</v>
      </c>
      <c r="O170" s="34" t="n">
        <f aca="false">IF(AND(K168=0,K170="min",L170=1),(B170-B169)/B169,IF(K170="min",(B170-M170)/M170,""))</f>
        <v>-0.0148999999999993</v>
      </c>
      <c r="P170" s="19" t="n">
        <f aca="false">D170-s_p!H170</f>
        <v>-0.015735710123593</v>
      </c>
      <c r="Q170" s="19" t="n">
        <f aca="false">IF(P170&lt;0, P170^2, 0)</f>
        <v>0.000247612573093747</v>
      </c>
      <c r="R170" s="5"/>
      <c r="S170" s="5"/>
      <c r="T170" s="5"/>
      <c r="U170" s="5"/>
      <c r="V170" s="5"/>
    </row>
    <row r="171" customFormat="false" ht="13.8" hidden="false" customHeight="false" outlineLevel="0" collapsed="false">
      <c r="A171" s="6" t="n">
        <f aca="false">WORKDAY(A170,1,holiday!$B$2:$B$10)</f>
        <v>38960</v>
      </c>
      <c r="B171" s="24" t="n">
        <v>987312.154535315</v>
      </c>
      <c r="C171" s="24" t="n">
        <f aca="false">B171-B170</f>
        <v>33387.3675446724</v>
      </c>
      <c r="D171" s="5" t="n">
        <f aca="false">C171/B170</f>
        <v>0.035</v>
      </c>
      <c r="E171" s="5" t="n">
        <f aca="false" t="array" ref="E171:E171">PRODUCT(1+$D$4:D171)-1</f>
        <v>-0.0126878454646847</v>
      </c>
      <c r="F171" s="45" t="n">
        <f aca="false">E171/COUNT($E$4:E171)</f>
        <v>-7.55228896707423E-005</v>
      </c>
      <c r="G171" s="5" t="n">
        <f aca="false">F171*252</f>
        <v>-0.0190317681970271</v>
      </c>
      <c r="H171" s="46" t="str">
        <f aca="false">IF(D171&lt;F171,D171-F171,"")</f>
        <v/>
      </c>
      <c r="I171" s="46" t="str">
        <f aca="false">IF(D171&lt;AVERAGE($D$149:D171),D171-AVERAGE($D$149:D171),"")</f>
        <v/>
      </c>
      <c r="J171" s="0" t="n">
        <f aca="false">IF(ISBLANK(A172),MONTH(A171),IF(MONTH(A172)-MONTH(A171)=1,MONTH(A171),0))</f>
        <v>8</v>
      </c>
      <c r="K171" s="0" t="str">
        <f aca="false">IF(B172&gt;B171,IF(AND(B170&gt;B171,B172&gt;B171),"min",""),IF(AND(B170&gt;B171,B172&gt;B171),"",IF(AND(B170&lt;B171,B172&lt;B171),"max","")))</f>
        <v/>
      </c>
      <c r="L171" s="0" t="str">
        <f aca="false">IF(K171="min",COUNTIF(K$4:K171,"min"),IF(K171="max",COUNTIF(K$4:K171,"max"),""))</f>
        <v/>
      </c>
      <c r="M171" s="24" t="str">
        <f aca="false" t="array" ref="M171:M171">IF($K$3=0,IF(K171="min",INDEX($B$4:$B$254,(MATCH(1,($K$4:$K$254="max")*($L$4:$L$254=(L171-1)),0))),""),IF($K$3=1,IF(K171="min",INDEX($B$4:$B$254,(MATCH(1,($K$4:$K$254="max")*($L$4:$L$254=(L171)),0))),""),""))</f>
        <v/>
      </c>
      <c r="N171" s="29" t="str">
        <f aca="false">IF(AND(K169=0,K171="min",L171=1),B171-B170,IF(K171="min",B171-M171,""))</f>
        <v/>
      </c>
      <c r="O171" s="34" t="str">
        <f aca="false">IF(AND(K169=0,K171="min",L171=1),(B171-B170)/B170,IF(K171="min",(B171-M171)/M171,""))</f>
        <v/>
      </c>
      <c r="P171" s="19" t="n">
        <f aca="false">D171-s_p!H171</f>
        <v>0.0361874028053348</v>
      </c>
      <c r="Q171" s="19" t="n">
        <f aca="false">IF(P171&lt;0, P171^2, 0)</f>
        <v>0</v>
      </c>
      <c r="R171" s="5"/>
      <c r="S171" s="5"/>
      <c r="T171" s="5"/>
      <c r="U171" s="5"/>
      <c r="V171" s="5"/>
    </row>
    <row r="172" customFormat="false" ht="13.8" hidden="false" customHeight="false" outlineLevel="0" collapsed="false">
      <c r="A172" s="6" t="n">
        <f aca="false">WORKDAY(A171,1,holiday!$B$2:$B$10)</f>
        <v>38961</v>
      </c>
      <c r="B172" s="24" t="n">
        <v>1027199.56557854</v>
      </c>
      <c r="C172" s="24" t="n">
        <f aca="false">B172-B171</f>
        <v>39887.4110432267</v>
      </c>
      <c r="D172" s="5" t="n">
        <f aca="false">C172/B171</f>
        <v>0.0404</v>
      </c>
      <c r="E172" s="5" t="n">
        <f aca="false" t="array" ref="E172:E172">PRODUCT(1+$D$4:D172)-1</f>
        <v>0.027199565578542</v>
      </c>
      <c r="F172" s="45" t="n">
        <f aca="false">E172/COUNT($E$4:E172)</f>
        <v>0.000160944175020958</v>
      </c>
      <c r="G172" s="5" t="n">
        <f aca="false">F172*252</f>
        <v>0.0405579321052815</v>
      </c>
      <c r="H172" s="46" t="str">
        <f aca="false">IF(D172&lt;F172,D172-F172,"")</f>
        <v/>
      </c>
      <c r="I172" s="46" t="str">
        <f aca="false">IF(D172&lt;AVERAGE($D$172:D172),D172-AVERAGE($D$172:D172),"")</f>
        <v/>
      </c>
      <c r="J172" s="0" t="n">
        <f aca="false">IF(ISBLANK(A173),MONTH(A172),IF(MONTH(A173)-MONTH(A172)=1,MONTH(A172),0))</f>
        <v>0</v>
      </c>
      <c r="K172" s="0" t="str">
        <f aca="false">IF(B173&gt;B172,IF(AND(B171&gt;B172,B173&gt;B172),"min",""),IF(AND(B171&gt;B172,B173&gt;B172),"",IF(AND(B171&lt;B172,B173&lt;B172),"max","")))</f>
        <v>max</v>
      </c>
      <c r="L172" s="0" t="n">
        <f aca="false">IF(K172="min",COUNTIF(K$4:K172,"min"),IF(K172="max",COUNTIF(K$4:K172,"max"),""))</f>
        <v>42</v>
      </c>
      <c r="M172" s="24" t="str">
        <f aca="false" t="array" ref="M172:M172">IF($K$3=0,IF(K172="min",INDEX($B$4:$B$254,(MATCH(1,($K$4:$K$254="max")*($L$4:$L$254=(L172-1)),0))),""),IF($K$3=1,IF(K172="min",INDEX($B$4:$B$254,(MATCH(1,($K$4:$K$254="max")*($L$4:$L$254=(L172)),0))),""),""))</f>
        <v/>
      </c>
      <c r="N172" s="29" t="str">
        <f aca="false">IF(AND(K170=0,K172="min",L172=1),B172-B171,IF(K172="min",B172-M172,""))</f>
        <v/>
      </c>
      <c r="O172" s="34" t="str">
        <f aca="false">IF(AND(K170=0,K172="min",L172=1),(B172-B171)/B171,IF(K172="min",(B172-M172)/M172,""))</f>
        <v/>
      </c>
      <c r="P172" s="19" t="n">
        <f aca="false">D172-s_p!H172</f>
        <v>0.0348854351060728</v>
      </c>
      <c r="Q172" s="19" t="n">
        <f aca="false">IF(P172&lt;0, P172^2, 0)</f>
        <v>0</v>
      </c>
      <c r="R172" s="5"/>
      <c r="S172" s="5"/>
      <c r="T172" s="5"/>
      <c r="U172" s="5"/>
      <c r="V172" s="5"/>
    </row>
    <row r="173" customFormat="false" ht="13.8" hidden="false" customHeight="false" outlineLevel="0" collapsed="false">
      <c r="A173" s="6" t="n">
        <f aca="false">WORKDAY(A172,1,holiday!$B$2:$B$10)</f>
        <v>38965</v>
      </c>
      <c r="B173" s="24" t="n">
        <v>1016927.56992276</v>
      </c>
      <c r="C173" s="24" t="n">
        <f aca="false">B173-B172</f>
        <v>-10271.9956557854</v>
      </c>
      <c r="D173" s="5" t="n">
        <f aca="false">C173/B172</f>
        <v>-0.01</v>
      </c>
      <c r="E173" s="5" t="n">
        <f aca="false" t="array" ref="E173:E173">PRODUCT(1+$D$4:D173)-1</f>
        <v>0.0169275699227567</v>
      </c>
      <c r="F173" s="45" t="n">
        <f aca="false">E173/COUNT($E$4:E173)</f>
        <v>9.95739407220981E-005</v>
      </c>
      <c r="G173" s="5" t="n">
        <f aca="false">F173*252</f>
        <v>0.0250926330619687</v>
      </c>
      <c r="H173" s="46" t="n">
        <f aca="false">IF(D173&lt;F173,D173-F173,"")</f>
        <v>-0.0100995739407221</v>
      </c>
      <c r="I173" s="46" t="n">
        <f aca="false">IF(D173&lt;AVERAGE($D$172:D173),D173-AVERAGE($D$172:D173),"")</f>
        <v>-0.0252</v>
      </c>
      <c r="J173" s="0" t="n">
        <f aca="false">IF(ISBLANK(A174),MONTH(A173),IF(MONTH(A174)-MONTH(A173)=1,MONTH(A173),0))</f>
        <v>0</v>
      </c>
      <c r="K173" s="0" t="str">
        <f aca="false">IF(B174&gt;B173,IF(AND(B172&gt;B173,B174&gt;B173),"min",""),IF(AND(B172&gt;B173,B174&gt;B173),"",IF(AND(B172&lt;B173,B174&lt;B173),"max","")))</f>
        <v>min</v>
      </c>
      <c r="L173" s="0" t="n">
        <f aca="false">IF(K173="min",COUNTIF(K$4:K173,"min"),IF(K173="max",COUNTIF(K$4:K173,"max"),""))</f>
        <v>43</v>
      </c>
      <c r="M173" s="24" t="n">
        <f aca="false" t="array" ref="M173:M173">IF($K$3=0,IF(K173="min",INDEX($B$4:$B$254,(MATCH(1,($K$4:$K$254="max")*($L$4:$L$254=(L173-1)),0))),""),IF($K$3=1,IF(K173="min",INDEX($B$4:$B$254,(MATCH(1,($K$4:$K$254="max")*($L$4:$L$254=(L173)),0))),""),""))</f>
        <v>1027199.56557854</v>
      </c>
      <c r="N173" s="29" t="n">
        <f aca="false">IF(AND(K171=0,K173="min",L173=1),B173-B172,IF(K173="min",B173-M173,""))</f>
        <v>-10271.99565578</v>
      </c>
      <c r="O173" s="34" t="n">
        <f aca="false">IF(AND(K171=0,K173="min",L173=1),(B173-B172)/B172,IF(K173="min",(B173-M173)/M173,""))</f>
        <v>-0.00999999999999471</v>
      </c>
      <c r="P173" s="19" t="n">
        <f aca="false">D173-s_p!H173</f>
        <v>-0.0117086063416756</v>
      </c>
      <c r="Q173" s="19" t="n">
        <f aca="false">IF(P173&lt;0, P173^2, 0)</f>
        <v>0.000137091462464326</v>
      </c>
      <c r="R173" s="5"/>
      <c r="S173" s="5"/>
      <c r="T173" s="5"/>
      <c r="U173" s="5"/>
      <c r="V173" s="5"/>
    </row>
    <row r="174" customFormat="false" ht="13.8" hidden="false" customHeight="false" outlineLevel="0" collapsed="false">
      <c r="A174" s="6" t="n">
        <f aca="false">WORKDAY(A173,1,holiday!$B$2:$B$10)</f>
        <v>38966</v>
      </c>
      <c r="B174" s="24" t="n">
        <v>1055265.73930884</v>
      </c>
      <c r="C174" s="24" t="n">
        <f aca="false">B174-B173</f>
        <v>38338.1693860878</v>
      </c>
      <c r="D174" s="5" t="n">
        <f aca="false">C174/B173</f>
        <v>0.0376999999999999</v>
      </c>
      <c r="E174" s="5" t="n">
        <f aca="false" t="array" ref="E174:E174">PRODUCT(1+$D$4:D174)-1</f>
        <v>0.0552657393088443</v>
      </c>
      <c r="F174" s="45" t="n">
        <f aca="false">E174/COUNT($E$4:E174)</f>
        <v>0.000323191457946458</v>
      </c>
      <c r="G174" s="5" t="n">
        <f aca="false">F174*252</f>
        <v>0.0814442474025073</v>
      </c>
      <c r="H174" s="46" t="str">
        <f aca="false">IF(D174&lt;F174,D174-F174,"")</f>
        <v/>
      </c>
      <c r="I174" s="46" t="str">
        <f aca="false">IF(D174&lt;AVERAGE($D$172:D174),D174-AVERAGE($D$172:D174),"")</f>
        <v/>
      </c>
      <c r="J174" s="0" t="n">
        <f aca="false">IF(ISBLANK(A175),MONTH(A174),IF(MONTH(A175)-MONTH(A174)=1,MONTH(A174),0))</f>
        <v>0</v>
      </c>
      <c r="K174" s="0" t="str">
        <f aca="false">IF(B175&gt;B174,IF(AND(B173&gt;B174,B175&gt;B174),"min",""),IF(AND(B173&gt;B174,B175&gt;B174),"",IF(AND(B173&lt;B174,B175&lt;B174),"max","")))</f>
        <v/>
      </c>
      <c r="L174" s="0" t="str">
        <f aca="false">IF(K174="min",COUNTIF(K$4:K174,"min"),IF(K174="max",COUNTIF(K$4:K174,"max"),""))</f>
        <v/>
      </c>
      <c r="M174" s="24" t="str">
        <f aca="false" t="array" ref="M174:M174">IF($K$3=0,IF(K174="min",INDEX($B$4:$B$254,(MATCH(1,($K$4:$K$254="max")*($L$4:$L$254=(L174-1)),0))),""),IF($K$3=1,IF(K174="min",INDEX($B$4:$B$254,(MATCH(1,($K$4:$K$254="max")*($L$4:$L$254=(L174)),0))),""),""))</f>
        <v/>
      </c>
      <c r="N174" s="29" t="str">
        <f aca="false">IF(AND(K172=0,K174="min",L174=1),B174-B173,IF(K174="min",B174-M174,""))</f>
        <v/>
      </c>
      <c r="O174" s="34" t="str">
        <f aca="false">IF(AND(K172=0,K174="min",L174=1),(B174-B173)/B173,IF(K174="min",(B174-M174)/M174,""))</f>
        <v/>
      </c>
      <c r="P174" s="19" t="n">
        <f aca="false">D174-s_p!H174</f>
        <v>0.0475914905768132</v>
      </c>
      <c r="Q174" s="19" t="n">
        <f aca="false">IF(P174&lt;0, P174^2, 0)</f>
        <v>0</v>
      </c>
      <c r="R174" s="5"/>
      <c r="S174" s="5"/>
      <c r="T174" s="5"/>
      <c r="U174" s="5"/>
      <c r="V174" s="5"/>
    </row>
    <row r="175" customFormat="false" ht="13.8" hidden="false" customHeight="false" outlineLevel="0" collapsed="false">
      <c r="A175" s="6" t="n">
        <f aca="false">WORKDAY(A174,1,holiday!$B$2:$B$10)</f>
        <v>38967</v>
      </c>
      <c r="B175" s="24" t="n">
        <v>1087134.76463597</v>
      </c>
      <c r="C175" s="24" t="n">
        <f aca="false">B175-B174</f>
        <v>31869.0253271272</v>
      </c>
      <c r="D175" s="5" t="n">
        <f aca="false">C175/B174</f>
        <v>0.0302000000000001</v>
      </c>
      <c r="E175" s="5" t="n">
        <f aca="false" t="array" ref="E175:E175">PRODUCT(1+$D$4:D175)-1</f>
        <v>0.0871347646359713</v>
      </c>
      <c r="F175" s="45" t="n">
        <f aca="false">E175/COUNT($E$4:E175)</f>
        <v>0.000506597468813786</v>
      </c>
      <c r="G175" s="5" t="n">
        <f aca="false">F175*252</f>
        <v>0.127662562141074</v>
      </c>
      <c r="H175" s="46" t="str">
        <f aca="false">IF(D175&lt;F175,D175-F175,"")</f>
        <v/>
      </c>
      <c r="I175" s="46" t="str">
        <f aca="false">IF(D175&lt;AVERAGE($D$172:D175),D175-AVERAGE($D$172:D175),"")</f>
        <v/>
      </c>
      <c r="J175" s="0" t="n">
        <f aca="false">IF(ISBLANK(A176),MONTH(A175),IF(MONTH(A176)-MONTH(A175)=1,MONTH(A175),0))</f>
        <v>0</v>
      </c>
      <c r="K175" s="0" t="str">
        <f aca="false">IF(B176&gt;B175,IF(AND(B174&gt;B175,B176&gt;B175),"min",""),IF(AND(B174&gt;B175,B176&gt;B175),"",IF(AND(B174&lt;B175,B176&lt;B175),"max","")))</f>
        <v/>
      </c>
      <c r="L175" s="0" t="str">
        <f aca="false">IF(K175="min",COUNTIF(K$4:K175,"min"),IF(K175="max",COUNTIF(K$4:K175,"max"),""))</f>
        <v/>
      </c>
      <c r="M175" s="24" t="str">
        <f aca="false" t="array" ref="M175:M175">IF($K$3=0,IF(K175="min",INDEX($B$4:$B$254,(MATCH(1,($K$4:$K$254="max")*($L$4:$L$254=(L175-1)),0))),""),IF($K$3=1,IF(K175="min",INDEX($B$4:$B$254,(MATCH(1,($K$4:$K$254="max")*($L$4:$L$254=(L175)),0))),""),""))</f>
        <v/>
      </c>
      <c r="N175" s="29" t="str">
        <f aca="false">IF(AND(K173=0,K175="min",L175=1),B175-B174,IF(K175="min",B175-M175,""))</f>
        <v/>
      </c>
      <c r="O175" s="34" t="str">
        <f aca="false">IF(AND(K173=0,K175="min",L175=1),(B175-B174)/B174,IF(K175="min",(B175-M175)/M175,""))</f>
        <v/>
      </c>
      <c r="P175" s="19" t="n">
        <f aca="false">D175-s_p!H175</f>
        <v>0.0349990401919617</v>
      </c>
      <c r="Q175" s="19" t="n">
        <f aca="false">IF(P175&lt;0, P175^2, 0)</f>
        <v>0</v>
      </c>
      <c r="R175" s="5"/>
      <c r="S175" s="5"/>
      <c r="T175" s="5"/>
      <c r="U175" s="5"/>
      <c r="V175" s="5"/>
    </row>
    <row r="176" customFormat="false" ht="13.8" hidden="false" customHeight="false" outlineLevel="0" collapsed="false">
      <c r="A176" s="6" t="n">
        <f aca="false">WORKDAY(A175,1,holiday!$B$2:$B$10)</f>
        <v>38968</v>
      </c>
      <c r="B176" s="24" t="n">
        <v>1092135.5845533</v>
      </c>
      <c r="C176" s="24" t="n">
        <f aca="false">B176-B175</f>
        <v>5000.8199173254</v>
      </c>
      <c r="D176" s="5" t="n">
        <f aca="false">C176/B175</f>
        <v>0.00459999999999993</v>
      </c>
      <c r="E176" s="5" t="n">
        <f aca="false" t="array" ref="E176:E176">PRODUCT(1+$D$4:D176)-1</f>
        <v>0.0921355845532967</v>
      </c>
      <c r="F176" s="45" t="n">
        <f aca="false">E176/COUNT($E$4:E176)</f>
        <v>0.00053257563325605</v>
      </c>
      <c r="G176" s="5" t="n">
        <f aca="false">F176*252</f>
        <v>0.134209059580525</v>
      </c>
      <c r="H176" s="46" t="str">
        <f aca="false">IF(D176&lt;F176,D176-F176,"")</f>
        <v/>
      </c>
      <c r="I176" s="46" t="n">
        <f aca="false">IF(D176&lt;AVERAGE($D$172:D176),D176-AVERAGE($D$172:D176),"")</f>
        <v>-0.01598</v>
      </c>
      <c r="J176" s="0" t="n">
        <f aca="false">IF(ISBLANK(A177),MONTH(A176),IF(MONTH(A177)-MONTH(A176)=1,MONTH(A176),0))</f>
        <v>0</v>
      </c>
      <c r="K176" s="0" t="str">
        <f aca="false">IF(B177&gt;B176,IF(AND(B175&gt;B176,B177&gt;B176),"min",""),IF(AND(B175&gt;B176,B177&gt;B176),"",IF(AND(B175&lt;B176,B177&lt;B176),"max","")))</f>
        <v>max</v>
      </c>
      <c r="L176" s="0" t="n">
        <f aca="false">IF(K176="min",COUNTIF(K$4:K176,"min"),IF(K176="max",COUNTIF(K$4:K176,"max"),""))</f>
        <v>43</v>
      </c>
      <c r="M176" s="24" t="str">
        <f aca="false" t="array" ref="M176:M176">IF($K$3=0,IF(K176="min",INDEX($B$4:$B$254,(MATCH(1,($K$4:$K$254="max")*($L$4:$L$254=(L176-1)),0))),""),IF($K$3=1,IF(K176="min",INDEX($B$4:$B$254,(MATCH(1,($K$4:$K$254="max")*($L$4:$L$254=(L176)),0))),""),""))</f>
        <v/>
      </c>
      <c r="N176" s="29" t="str">
        <f aca="false">IF(AND(K174=0,K176="min",L176=1),B176-B175,IF(K176="min",B176-M176,""))</f>
        <v/>
      </c>
      <c r="O176" s="34" t="str">
        <f aca="false">IF(AND(K174=0,K176="min",L176=1),(B176-B175)/B175,IF(K176="min",(B176-M176)/M176,""))</f>
        <v/>
      </c>
      <c r="P176" s="19" t="n">
        <f aca="false">D176-s_p!H176</f>
        <v>0.000813350643730223</v>
      </c>
      <c r="Q176" s="19" t="n">
        <f aca="false">IF(P176&lt;0, P176^2, 0)</f>
        <v>0</v>
      </c>
      <c r="R176" s="5"/>
      <c r="S176" s="5"/>
      <c r="T176" s="5"/>
      <c r="U176" s="5"/>
      <c r="V176" s="5"/>
    </row>
    <row r="177" customFormat="false" ht="13.8" hidden="false" customHeight="false" outlineLevel="0" collapsed="false">
      <c r="A177" s="6" t="n">
        <f aca="false">WORKDAY(A176,1,holiday!$B$2:$B$10)</f>
        <v>38971</v>
      </c>
      <c r="B177" s="24" t="n">
        <v>1056313.53737995</v>
      </c>
      <c r="C177" s="24" t="n">
        <f aca="false">B177-B176</f>
        <v>-35822.047173348</v>
      </c>
      <c r="D177" s="5" t="n">
        <f aca="false">C177/B176</f>
        <v>-0.0327999999999999</v>
      </c>
      <c r="E177" s="5" t="n">
        <f aca="false" t="array" ref="E177:E177">PRODUCT(1+$D$4:D177)-1</f>
        <v>0.0563135373799488</v>
      </c>
      <c r="F177" s="45" t="n">
        <f aca="false">E177/COUNT($E$4:E177)</f>
        <v>0.000323641019424993</v>
      </c>
      <c r="G177" s="5" t="n">
        <f aca="false">F177*252</f>
        <v>0.0815575368950983</v>
      </c>
      <c r="H177" s="46" t="n">
        <f aca="false">IF(D177&lt;F177,D177-F177,"")</f>
        <v>-0.0331236410194249</v>
      </c>
      <c r="I177" s="46" t="n">
        <f aca="false">IF(D177&lt;AVERAGE($D$172:D177),D177-AVERAGE($D$172:D177),"")</f>
        <v>-0.0444833333333332</v>
      </c>
      <c r="J177" s="0" t="n">
        <f aca="false">IF(ISBLANK(A178),MONTH(A177),IF(MONTH(A178)-MONTH(A177)=1,MONTH(A177),0))</f>
        <v>0</v>
      </c>
      <c r="K177" s="0" t="str">
        <f aca="false">IF(B178&gt;B177,IF(AND(B176&gt;B177,B178&gt;B177),"min",""),IF(AND(B176&gt;B177,B178&gt;B177),"",IF(AND(B176&lt;B177,B178&lt;B177),"max","")))</f>
        <v/>
      </c>
      <c r="L177" s="0" t="str">
        <f aca="false">IF(K177="min",COUNTIF(K$4:K177,"min"),IF(K177="max",COUNTIF(K$4:K177,"max"),""))</f>
        <v/>
      </c>
      <c r="M177" s="24" t="str">
        <f aca="false" t="array" ref="M177:M177">IF($K$3=0,IF(K177="min",INDEX($B$4:$B$254,(MATCH(1,($K$4:$K$254="max")*($L$4:$L$254=(L177-1)),0))),""),IF($K$3=1,IF(K177="min",INDEX($B$4:$B$254,(MATCH(1,($K$4:$K$254="max")*($L$4:$L$254=(L177)),0))),""),""))</f>
        <v/>
      </c>
      <c r="N177" s="29" t="str">
        <f aca="false">IF(AND(K175=0,K177="min",L177=1),B177-B176,IF(K177="min",B177-M177,""))</f>
        <v/>
      </c>
      <c r="O177" s="34" t="str">
        <f aca="false">IF(AND(K175=0,K177="min",L177=1),(B177-B176)/B176,IF(K177="min",(B177-M177)/M177,""))</f>
        <v/>
      </c>
      <c r="P177" s="19" t="n">
        <f aca="false">D177-s_p!H177</f>
        <v>-0.0332773196193758</v>
      </c>
      <c r="Q177" s="19" t="n">
        <f aca="false">IF(P177&lt;0, P177^2, 0)</f>
        <v>0.00110738000105009</v>
      </c>
      <c r="R177" s="5"/>
      <c r="S177" s="5"/>
      <c r="T177" s="5"/>
      <c r="U177" s="5"/>
      <c r="V177" s="5"/>
    </row>
    <row r="178" customFormat="false" ht="13.8" hidden="false" customHeight="false" outlineLevel="0" collapsed="false">
      <c r="A178" s="6" t="n">
        <f aca="false">WORKDAY(A177,1,holiday!$B$2:$B$10)</f>
        <v>38972</v>
      </c>
      <c r="B178" s="24" t="n">
        <v>1006772.43247683</v>
      </c>
      <c r="C178" s="24" t="n">
        <f aca="false">B178-B177</f>
        <v>-49541.1049031196</v>
      </c>
      <c r="D178" s="5" t="n">
        <f aca="false">C178/B177</f>
        <v>-0.0469</v>
      </c>
      <c r="E178" s="5" t="n">
        <f aca="false" t="array" ref="E178:E178">PRODUCT(1+$D$4:D178)-1</f>
        <v>0.00677243247682902</v>
      </c>
      <c r="F178" s="45" t="n">
        <f aca="false">E178/COUNT($E$4:E178)</f>
        <v>3.86996141533087E-005</v>
      </c>
      <c r="G178" s="5" t="n">
        <f aca="false">F178*252</f>
        <v>0.00975230276663378</v>
      </c>
      <c r="H178" s="46" t="n">
        <f aca="false">IF(D178&lt;F178,D178-F178,"")</f>
        <v>-0.0469386996141533</v>
      </c>
      <c r="I178" s="46" t="n">
        <f aca="false">IF(D178&lt;AVERAGE($D$172:D178),D178-AVERAGE($D$172:D178),"")</f>
        <v>-0.0502142857142857</v>
      </c>
      <c r="J178" s="0" t="n">
        <f aca="false">IF(ISBLANK(A179),MONTH(A178),IF(MONTH(A179)-MONTH(A178)=1,MONTH(A178),0))</f>
        <v>0</v>
      </c>
      <c r="K178" s="0" t="str">
        <f aca="false">IF(B179&gt;B178,IF(AND(B177&gt;B178,B179&gt;B178),"min",""),IF(AND(B177&gt;B178,B179&gt;B178),"",IF(AND(B177&lt;B178,B179&lt;B178),"max","")))</f>
        <v>min</v>
      </c>
      <c r="L178" s="0" t="n">
        <f aca="false">IF(K178="min",COUNTIF(K$4:K178,"min"),IF(K178="max",COUNTIF(K$4:K178,"max"),""))</f>
        <v>44</v>
      </c>
      <c r="M178" s="24" t="n">
        <f aca="false" t="array" ref="M178:M178">IF($K$3=0,IF(K178="min",INDEX($B$4:$B$254,(MATCH(1,($K$4:$K$254="max")*($L$4:$L$254=(L178-1)),0))),""),IF($K$3=1,IF(K178="min",INDEX($B$4:$B$254,(MATCH(1,($K$4:$K$254="max")*($L$4:$L$254=(L178)),0))),""),""))</f>
        <v>1092135.5845533</v>
      </c>
      <c r="N178" s="29" t="n">
        <f aca="false">IF(AND(K176=0,K178="min",L178=1),B178-B177,IF(K178="min",B178-M178,""))</f>
        <v>-85363.15207647</v>
      </c>
      <c r="O178" s="34" t="n">
        <f aca="false">IF(AND(K176=0,K178="min",L178=1),(B178-B177)/B177,IF(K178="min",(B178-M178)/M178,""))</f>
        <v>-0.0781616800000018</v>
      </c>
      <c r="P178" s="19" t="n">
        <f aca="false">D178-s_p!H178</f>
        <v>-0.0572575111193193</v>
      </c>
      <c r="Q178" s="19" t="n">
        <f aca="false">IF(P178&lt;0, P178^2, 0)</f>
        <v>0.00327842257957897</v>
      </c>
      <c r="R178" s="5"/>
      <c r="S178" s="5"/>
      <c r="T178" s="5"/>
      <c r="U178" s="5"/>
      <c r="V178" s="5"/>
    </row>
    <row r="179" customFormat="false" ht="13.8" hidden="false" customHeight="false" outlineLevel="0" collapsed="false">
      <c r="A179" s="6" t="n">
        <f aca="false">WORKDAY(A178,1,holiday!$B$2:$B$10)</f>
        <v>38973</v>
      </c>
      <c r="B179" s="24" t="n">
        <v>1013920.51674741</v>
      </c>
      <c r="C179" s="24" t="n">
        <f aca="false">B179-B178</f>
        <v>7148.08427058544</v>
      </c>
      <c r="D179" s="5" t="n">
        <f aca="false">C179/B178</f>
        <v>0.00709999999999996</v>
      </c>
      <c r="E179" s="5" t="n">
        <f aca="false" t="array" ref="E179:E179">PRODUCT(1+$D$4:D179)-1</f>
        <v>0.0139205167474146</v>
      </c>
      <c r="F179" s="45" t="n">
        <f aca="false">E179/COUNT($E$4:E179)</f>
        <v>7.90938451557646E-005</v>
      </c>
      <c r="G179" s="5" t="n">
        <f aca="false">F179*252</f>
        <v>0.0199316489792527</v>
      </c>
      <c r="H179" s="46" t="str">
        <f aca="false">IF(D179&lt;F179,D179-F179,"")</f>
        <v/>
      </c>
      <c r="I179" s="46" t="str">
        <f aca="false">IF(D179&lt;AVERAGE($D$172:D179),D179-AVERAGE($D$172:D179),"")</f>
        <v/>
      </c>
      <c r="J179" s="0" t="n">
        <f aca="false">IF(ISBLANK(A180),MONTH(A179),IF(MONTH(A180)-MONTH(A179)=1,MONTH(A179),0))</f>
        <v>0</v>
      </c>
      <c r="K179" s="0" t="str">
        <f aca="false">IF(B180&gt;B179,IF(AND(B178&gt;B179,B180&gt;B179),"min",""),IF(AND(B178&gt;B179,B180&gt;B179),"",IF(AND(B178&lt;B179,B180&lt;B179),"max","")))</f>
        <v>max</v>
      </c>
      <c r="L179" s="0" t="n">
        <f aca="false">IF(K179="min",COUNTIF(K$4:K179,"min"),IF(K179="max",COUNTIF(K$4:K179,"max"),""))</f>
        <v>44</v>
      </c>
      <c r="M179" s="24" t="str">
        <f aca="false" t="array" ref="M179:M179">IF($K$3=0,IF(K179="min",INDEX($B$4:$B$254,(MATCH(1,($K$4:$K$254="max")*($L$4:$L$254=(L179-1)),0))),""),IF($K$3=1,IF(K179="min",INDEX($B$4:$B$254,(MATCH(1,($K$4:$K$254="max")*($L$4:$L$254=(L179)),0))),""),""))</f>
        <v/>
      </c>
      <c r="N179" s="29" t="str">
        <f aca="false">IF(AND(K177=0,K179="min",L179=1),B179-B178,IF(K179="min",B179-M179,""))</f>
        <v/>
      </c>
      <c r="O179" s="34" t="str">
        <f aca="false">IF(AND(K177=0,K179="min",L179=1),(B179-B178)/B178,IF(K179="min",(B179-M179)/M179,""))</f>
        <v/>
      </c>
      <c r="P179" s="19" t="n">
        <f aca="false">D179-s_p!H179</f>
        <v>0.00323861386138609</v>
      </c>
      <c r="Q179" s="19" t="n">
        <f aca="false">IF(P179&lt;0, P179^2, 0)</f>
        <v>0</v>
      </c>
      <c r="R179" s="5"/>
      <c r="S179" s="5"/>
      <c r="T179" s="5"/>
      <c r="U179" s="5"/>
      <c r="V179" s="5"/>
    </row>
    <row r="180" customFormat="false" ht="13.8" hidden="false" customHeight="false" outlineLevel="0" collapsed="false">
      <c r="A180" s="6" t="n">
        <f aca="false">WORKDAY(A179,1,holiday!$B$2:$B$10)</f>
        <v>38974</v>
      </c>
      <c r="B180" s="24" t="n">
        <v>975188.753007663</v>
      </c>
      <c r="C180" s="24" t="n">
        <f aca="false">B180-B179</f>
        <v>-38731.7637397512</v>
      </c>
      <c r="D180" s="5" t="n">
        <f aca="false">C180/B179</f>
        <v>-0.0382</v>
      </c>
      <c r="E180" s="5" t="n">
        <f aca="false" t="array" ref="E180:E180">PRODUCT(1+$D$4:D180)-1</f>
        <v>-0.0248112469923367</v>
      </c>
      <c r="F180" s="45" t="n">
        <f aca="false">E180/COUNT($E$4:E180)</f>
        <v>-0.000140176536679868</v>
      </c>
      <c r="G180" s="5" t="n">
        <f aca="false">F180*252</f>
        <v>-0.0353244872433269</v>
      </c>
      <c r="H180" s="46" t="n">
        <f aca="false">IF(D180&lt;F180,D180-F180,"")</f>
        <v>-0.0380598234633201</v>
      </c>
      <c r="I180" s="46" t="n">
        <f aca="false">IF(D180&lt;AVERAGE($D$172:D180),D180-AVERAGE($D$172:D180),"")</f>
        <v>-0.0373222222222222</v>
      </c>
      <c r="J180" s="0" t="n">
        <f aca="false">IF(ISBLANK(A181),MONTH(A180),IF(MONTH(A181)-MONTH(A180)=1,MONTH(A180),0))</f>
        <v>0</v>
      </c>
      <c r="K180" s="0" t="str">
        <f aca="false">IF(B181&gt;B180,IF(AND(B179&gt;B180,B181&gt;B180),"min",""),IF(AND(B179&gt;B180,B181&gt;B180),"",IF(AND(B179&lt;B180,B181&lt;B180),"max","")))</f>
        <v/>
      </c>
      <c r="L180" s="0" t="str">
        <f aca="false">IF(K180="min",COUNTIF(K$4:K180,"min"),IF(K180="max",COUNTIF(K$4:K180,"max"),""))</f>
        <v/>
      </c>
      <c r="M180" s="24" t="str">
        <f aca="false" t="array" ref="M180:M180">IF($K$3=0,IF(K180="min",INDEX($B$4:$B$254,(MATCH(1,($K$4:$K$254="max")*($L$4:$L$254=(L180-1)),0))),""),IF($K$3=1,IF(K180="min",INDEX($B$4:$B$254,(MATCH(1,($K$4:$K$254="max")*($L$4:$L$254=(L180)),0))),""),""))</f>
        <v/>
      </c>
      <c r="N180" s="29" t="str">
        <f aca="false">IF(AND(K178=0,K180="min",L180=1),B180-B179,IF(K180="min",B180-M180,""))</f>
        <v/>
      </c>
      <c r="O180" s="34" t="str">
        <f aca="false">IF(AND(K178=0,K180="min",L180=1),(B180-B179)/B179,IF(K180="min",(B180-M180)/M180,""))</f>
        <v/>
      </c>
      <c r="P180" s="19" t="n">
        <f aca="false">D180-s_p!H180</f>
        <v>-0.0368419537657332</v>
      </c>
      <c r="Q180" s="19" t="n">
        <f aca="false">IF(P180&lt;0, P180^2, 0)</f>
        <v>0.00135732955727642</v>
      </c>
      <c r="R180" s="5"/>
      <c r="S180" s="5"/>
      <c r="T180" s="5"/>
      <c r="U180" s="5"/>
      <c r="V180" s="5"/>
    </row>
    <row r="181" customFormat="false" ht="13.8" hidden="false" customHeight="false" outlineLevel="0" collapsed="false">
      <c r="A181" s="6" t="n">
        <f aca="false">WORKDAY(A180,1,holiday!$B$2:$B$10)</f>
        <v>38975</v>
      </c>
      <c r="B181" s="24" t="n">
        <v>954319.713693299</v>
      </c>
      <c r="C181" s="24" t="n">
        <f aca="false">B181-B180</f>
        <v>-20869.039314364</v>
      </c>
      <c r="D181" s="5" t="n">
        <f aca="false">C181/B180</f>
        <v>-0.0214</v>
      </c>
      <c r="E181" s="5" t="n">
        <f aca="false" t="array" ref="E181:E181">PRODUCT(1+$D$4:D181)-1</f>
        <v>-0.0456802863067007</v>
      </c>
      <c r="F181" s="45" t="n">
        <f aca="false">E181/COUNT($E$4:E181)</f>
        <v>-0.000256630821947757</v>
      </c>
      <c r="G181" s="5" t="n">
        <f aca="false">F181*252</f>
        <v>-0.0646709671308347</v>
      </c>
      <c r="H181" s="46" t="n">
        <f aca="false">IF(D181&lt;F181,D181-F181,"")</f>
        <v>-0.0211433691780522</v>
      </c>
      <c r="I181" s="46" t="n">
        <f aca="false">IF(D181&lt;AVERAGE($D$172:D181),D181-AVERAGE($D$172:D181),"")</f>
        <v>-0.01847</v>
      </c>
      <c r="J181" s="0" t="n">
        <f aca="false">IF(ISBLANK(A182),MONTH(A181),IF(MONTH(A182)-MONTH(A181)=1,MONTH(A181),0))</f>
        <v>0</v>
      </c>
      <c r="K181" s="0" t="str">
        <f aca="false">IF(B182&gt;B181,IF(AND(B180&gt;B181,B182&gt;B181),"min",""),IF(AND(B180&gt;B181,B182&gt;B181),"",IF(AND(B180&lt;B181,B182&lt;B181),"max","")))</f>
        <v>min</v>
      </c>
      <c r="L181" s="0" t="n">
        <f aca="false">IF(K181="min",COUNTIF(K$4:K181,"min"),IF(K181="max",COUNTIF(K$4:K181,"max"),""))</f>
        <v>45</v>
      </c>
      <c r="M181" s="24" t="n">
        <f aca="false" t="array" ref="M181:M181">IF($K$3=0,IF(K181="min",INDEX($B$4:$B$254,(MATCH(1,($K$4:$K$254="max")*($L$4:$L$254=(L181-1)),0))),""),IF($K$3=1,IF(K181="min",INDEX($B$4:$B$254,(MATCH(1,($K$4:$K$254="max")*($L$4:$L$254=(L181)),0))),""),""))</f>
        <v>1013920.51674741</v>
      </c>
      <c r="N181" s="29" t="n">
        <f aca="false">IF(AND(K179=0,K181="min",L181=1),B181-B180,IF(K181="min",B181-M181,""))</f>
        <v>-59600.803054111</v>
      </c>
      <c r="O181" s="34" t="n">
        <f aca="false">IF(AND(K179=0,K181="min",L181=1),(B181-B180)/B180,IF(K181="min",(B181-M181)/M181,""))</f>
        <v>-0.0587825199999961</v>
      </c>
      <c r="P181" s="19" t="n">
        <f aca="false">D181-s_p!H181</f>
        <v>-0.0239678427082385</v>
      </c>
      <c r="Q181" s="19" t="n">
        <f aca="false">IF(P181&lt;0, P181^2, 0)</f>
        <v>0.000574457484086861</v>
      </c>
      <c r="R181" s="5"/>
      <c r="S181" s="5"/>
      <c r="T181" s="5"/>
      <c r="U181" s="5"/>
      <c r="V181" s="5"/>
    </row>
    <row r="182" customFormat="false" ht="13.8" hidden="false" customHeight="false" outlineLevel="0" collapsed="false">
      <c r="A182" s="6" t="n">
        <f aca="false">WORKDAY(A181,1,holiday!$B$2:$B$10)</f>
        <v>38978</v>
      </c>
      <c r="B182" s="24" t="n">
        <v>995260.029410742</v>
      </c>
      <c r="C182" s="24" t="n">
        <f aca="false">B182-B181</f>
        <v>40940.3157174425</v>
      </c>
      <c r="D182" s="5" t="n">
        <f aca="false">C182/B181</f>
        <v>0.0429</v>
      </c>
      <c r="E182" s="5" t="n">
        <f aca="false" t="array" ref="E182:E182">PRODUCT(1+$D$4:D182)-1</f>
        <v>-0.00473997058925812</v>
      </c>
      <c r="F182" s="45" t="n">
        <f aca="false">E182/COUNT($E$4:E182)</f>
        <v>-2.64802826215538E-005</v>
      </c>
      <c r="G182" s="5" t="n">
        <f aca="false">F182*252</f>
        <v>-0.00667303122063155</v>
      </c>
      <c r="H182" s="46" t="str">
        <f aca="false">IF(D182&lt;F182,D182-F182,"")</f>
        <v/>
      </c>
      <c r="I182" s="46" t="str">
        <f aca="false">IF(D182&lt;AVERAGE($D$172:D182),D182-AVERAGE($D$172:D182),"")</f>
        <v/>
      </c>
      <c r="J182" s="0" t="n">
        <f aca="false">IF(ISBLANK(A183),MONTH(A182),IF(MONTH(A183)-MONTH(A182)=1,MONTH(A182),0))</f>
        <v>0</v>
      </c>
      <c r="K182" s="0" t="str">
        <f aca="false">IF(B183&gt;B182,IF(AND(B181&gt;B182,B183&gt;B182),"min",""),IF(AND(B181&gt;B182,B183&gt;B182),"",IF(AND(B181&lt;B182,B183&lt;B182),"max","")))</f>
        <v/>
      </c>
      <c r="L182" s="0" t="str">
        <f aca="false">IF(K182="min",COUNTIF(K$4:K182,"min"),IF(K182="max",COUNTIF(K$4:K182,"max"),""))</f>
        <v/>
      </c>
      <c r="M182" s="24" t="str">
        <f aca="false" t="array" ref="M182:M182">IF($K$3=0,IF(K182="min",INDEX($B$4:$B$254,(MATCH(1,($K$4:$K$254="max")*($L$4:$L$254=(L182-1)),0))),""),IF($K$3=1,IF(K182="min",INDEX($B$4:$B$254,(MATCH(1,($K$4:$K$254="max")*($L$4:$L$254=(L182)),0))),""),""))</f>
        <v/>
      </c>
      <c r="N182" s="29" t="str">
        <f aca="false">IF(AND(K180=0,K182="min",L182=1),B182-B181,IF(K182="min",B182-M182,""))</f>
        <v/>
      </c>
      <c r="O182" s="34" t="str">
        <f aca="false">IF(AND(K180=0,K182="min",L182=1),(B182-B181)/B181,IF(K182="min",(B182-M182)/M182,""))</f>
        <v/>
      </c>
      <c r="P182" s="19" t="n">
        <f aca="false">D182-s_p!H182</f>
        <v>0.04174818816968</v>
      </c>
      <c r="Q182" s="19" t="n">
        <f aca="false">IF(P182&lt;0, P182^2, 0)</f>
        <v>0</v>
      </c>
      <c r="R182" s="5"/>
      <c r="S182" s="5"/>
      <c r="T182" s="5"/>
      <c r="U182" s="5"/>
      <c r="V182" s="5"/>
    </row>
    <row r="183" customFormat="false" ht="13.8" hidden="false" customHeight="false" outlineLevel="0" collapsed="false">
      <c r="A183" s="6" t="n">
        <f aca="false">WORKDAY(A182,1,holiday!$B$2:$B$10)</f>
        <v>38979</v>
      </c>
      <c r="B183" s="24" t="n">
        <v>1009691.2998372</v>
      </c>
      <c r="C183" s="24" t="n">
        <f aca="false">B183-B182</f>
        <v>14431.2704264558</v>
      </c>
      <c r="D183" s="5" t="n">
        <f aca="false">C183/B182</f>
        <v>0.0145</v>
      </c>
      <c r="E183" s="5" t="n">
        <f aca="false" t="array" ref="E183:E183">PRODUCT(1+$D$4:D183)-1</f>
        <v>0.00969129983719741</v>
      </c>
      <c r="F183" s="45" t="n">
        <f aca="false">E183/COUNT($E$4:E183)</f>
        <v>5.38405546510967E-005</v>
      </c>
      <c r="G183" s="5" t="n">
        <f aca="false">F183*252</f>
        <v>0.0135678197720764</v>
      </c>
      <c r="H183" s="46" t="str">
        <f aca="false">IF(D183&lt;F183,D183-F183,"")</f>
        <v/>
      </c>
      <c r="I183" s="46" t="str">
        <f aca="false">IF(D183&lt;AVERAGE($D$172:D183),D183-AVERAGE($D$172:D183),"")</f>
        <v/>
      </c>
      <c r="J183" s="0" t="n">
        <f aca="false">IF(ISBLANK(A184),MONTH(A183),IF(MONTH(A184)-MONTH(A183)=1,MONTH(A183),0))</f>
        <v>0</v>
      </c>
      <c r="K183" s="0" t="str">
        <f aca="false">IF(B184&gt;B183,IF(AND(B182&gt;B183,B184&gt;B183),"min",""),IF(AND(B182&gt;B183,B184&gt;B183),"",IF(AND(B182&lt;B183,B184&lt;B183),"max","")))</f>
        <v>max</v>
      </c>
      <c r="L183" s="0" t="n">
        <f aca="false">IF(K183="min",COUNTIF(K$4:K183,"min"),IF(K183="max",COUNTIF(K$4:K183,"max"),""))</f>
        <v>45</v>
      </c>
      <c r="M183" s="24" t="str">
        <f aca="false" t="array" ref="M183:M183">IF($K$3=0,IF(K183="min",INDEX($B$4:$B$254,(MATCH(1,($K$4:$K$254="max")*($L$4:$L$254=(L183-1)),0))),""),IF($K$3=1,IF(K183="min",INDEX($B$4:$B$254,(MATCH(1,($K$4:$K$254="max")*($L$4:$L$254=(L183)),0))),""),""))</f>
        <v/>
      </c>
      <c r="N183" s="29" t="str">
        <f aca="false">IF(AND(K181=0,K183="min",L183=1),B183-B182,IF(K183="min",B183-M183,""))</f>
        <v/>
      </c>
      <c r="O183" s="34" t="str">
        <f aca="false">IF(AND(K181=0,K183="min",L183=1),(B183-B182)/B182,IF(K183="min",(B183-M183)/M183,""))</f>
        <v/>
      </c>
      <c r="P183" s="19" t="n">
        <f aca="false">D183-s_p!H183</f>
        <v>0.0171794229400989</v>
      </c>
      <c r="Q183" s="19" t="n">
        <f aca="false">IF(P183&lt;0, P183^2, 0)</f>
        <v>0</v>
      </c>
      <c r="R183" s="5"/>
      <c r="S183" s="5"/>
      <c r="T183" s="5"/>
      <c r="U183" s="5"/>
      <c r="V183" s="5"/>
    </row>
    <row r="184" customFormat="false" ht="13.8" hidden="false" customHeight="false" outlineLevel="0" collapsed="false">
      <c r="A184" s="6" t="n">
        <f aca="false">WORKDAY(A183,1,holiday!$B$2:$B$10)</f>
        <v>38980</v>
      </c>
      <c r="B184" s="24" t="n">
        <v>981520.91257174</v>
      </c>
      <c r="C184" s="24" t="n">
        <f aca="false">B184-B183</f>
        <v>-28170.3872654578</v>
      </c>
      <c r="D184" s="5" t="n">
        <f aca="false">C184/B183</f>
        <v>-0.0279</v>
      </c>
      <c r="E184" s="5" t="n">
        <f aca="false" t="array" ref="E184:E184">PRODUCT(1+$D$4:D184)-1</f>
        <v>-0.0184790874282604</v>
      </c>
      <c r="F184" s="45" t="n">
        <f aca="false">E184/COUNT($E$4:E184)</f>
        <v>-0.000102094405680997</v>
      </c>
      <c r="G184" s="5" t="n">
        <f aca="false">F184*252</f>
        <v>-0.0257277902316112</v>
      </c>
      <c r="H184" s="46" t="n">
        <f aca="false">IF(D184&lt;F184,D184-F184,"")</f>
        <v>-0.027797905594319</v>
      </c>
      <c r="I184" s="46" t="n">
        <f aca="false">IF(D184&lt;AVERAGE($D$172:D184),D184-AVERAGE($D$172:D184),"")</f>
        <v>-0.0279153846153846</v>
      </c>
      <c r="J184" s="0" t="n">
        <f aca="false">IF(ISBLANK(A185),MONTH(A184),IF(MONTH(A185)-MONTH(A184)=1,MONTH(A184),0))</f>
        <v>0</v>
      </c>
      <c r="K184" s="0" t="str">
        <f aca="false">IF(B185&gt;B184,IF(AND(B183&gt;B184,B185&gt;B184),"min",""),IF(AND(B183&gt;B184,B185&gt;B184),"",IF(AND(B183&lt;B184,B185&lt;B184),"max","")))</f>
        <v/>
      </c>
      <c r="L184" s="0" t="str">
        <f aca="false">IF(K184="min",COUNTIF(K$4:K184,"min"),IF(K184="max",COUNTIF(K$4:K184,"max"),""))</f>
        <v/>
      </c>
      <c r="M184" s="24" t="str">
        <f aca="false" t="array" ref="M184:M184">IF($K$3=0,IF(K184="min",INDEX($B$4:$B$254,(MATCH(1,($K$4:$K$254="max")*($L$4:$L$254=(L184-1)),0))),""),IF($K$3=1,IF(K184="min",INDEX($B$4:$B$254,(MATCH(1,($K$4:$K$254="max")*($L$4:$L$254=(L184)),0))),""),""))</f>
        <v/>
      </c>
      <c r="N184" s="29" t="str">
        <f aca="false">IF(AND(K182=0,K184="min",L184=1),B184-B183,IF(K184="min",B184-M184,""))</f>
        <v/>
      </c>
      <c r="O184" s="34" t="str">
        <f aca="false">IF(AND(K182=0,K184="min",L184=1),(B184-B183)/B183,IF(K184="min",(B184-M184)/M184,""))</f>
        <v/>
      </c>
      <c r="P184" s="19" t="n">
        <f aca="false">D184-s_p!H184</f>
        <v>-0.033622352084029</v>
      </c>
      <c r="Q184" s="19" t="n">
        <f aca="false">IF(P184&lt;0, P184^2, 0)</f>
        <v>0.00113046255966241</v>
      </c>
      <c r="R184" s="5"/>
      <c r="S184" s="5"/>
      <c r="T184" s="5"/>
      <c r="U184" s="5"/>
      <c r="V184" s="5"/>
    </row>
    <row r="185" customFormat="false" ht="13.8" hidden="false" customHeight="false" outlineLevel="0" collapsed="false">
      <c r="A185" s="6" t="n">
        <f aca="false">WORKDAY(A184,1,holiday!$B$2:$B$10)</f>
        <v>38981</v>
      </c>
      <c r="B185" s="24" t="n">
        <v>964638.752875506</v>
      </c>
      <c r="C185" s="24" t="n">
        <f aca="false">B185-B184</f>
        <v>-16882.1596962339</v>
      </c>
      <c r="D185" s="5" t="n">
        <f aca="false">C185/B184</f>
        <v>-0.0172</v>
      </c>
      <c r="E185" s="5" t="n">
        <f aca="false" t="array" ref="E185:E185">PRODUCT(1+$D$4:D185)-1</f>
        <v>-0.0353612471244943</v>
      </c>
      <c r="F185" s="45" t="n">
        <f aca="false">E185/COUNT($E$4:E185)</f>
        <v>-0.0001942925666181</v>
      </c>
      <c r="G185" s="5" t="n">
        <f aca="false">F185*252</f>
        <v>-0.0489617267877613</v>
      </c>
      <c r="H185" s="46" t="n">
        <f aca="false">IF(D185&lt;F185,D185-F185,"")</f>
        <v>-0.0170057074333819</v>
      </c>
      <c r="I185" s="46" t="n">
        <f aca="false">IF(D185&lt;AVERAGE($D$172:D185),D185-AVERAGE($D$172:D185),"")</f>
        <v>-0.0159857142857143</v>
      </c>
      <c r="J185" s="0" t="n">
        <f aca="false">IF(ISBLANK(A186),MONTH(A185),IF(MONTH(A186)-MONTH(A185)=1,MONTH(A185),0))</f>
        <v>0</v>
      </c>
      <c r="K185" s="0" t="str">
        <f aca="false">IF(B186&gt;B185,IF(AND(B184&gt;B185,B186&gt;B185),"min",""),IF(AND(B184&gt;B185,B186&gt;B185),"",IF(AND(B184&lt;B185,B186&lt;B185),"max","")))</f>
        <v>min</v>
      </c>
      <c r="L185" s="0" t="n">
        <f aca="false">IF(K185="min",COUNTIF(K$4:K185,"min"),IF(K185="max",COUNTIF(K$4:K185,"max"),""))</f>
        <v>46</v>
      </c>
      <c r="M185" s="24" t="n">
        <f aca="false" t="array" ref="M185:M185">IF($K$3=0,IF(K185="min",INDEX($B$4:$B$254,(MATCH(1,($K$4:$K$254="max")*($L$4:$L$254=(L185-1)),0))),""),IF($K$3=1,IF(K185="min",INDEX($B$4:$B$254,(MATCH(1,($K$4:$K$254="max")*($L$4:$L$254=(L185)),0))),""),""))</f>
        <v>1009691.2998372</v>
      </c>
      <c r="N185" s="29" t="n">
        <f aca="false">IF(AND(K183=0,K185="min",L185=1),B185-B184,IF(K185="min",B185-M185,""))</f>
        <v>-45052.546961694</v>
      </c>
      <c r="O185" s="34" t="n">
        <f aca="false">IF(AND(K183=0,K185="min",L185=1),(B185-B184)/B184,IF(K185="min",(B185-M185)/M185,""))</f>
        <v>-0.0446201200000022</v>
      </c>
      <c r="P185" s="19" t="n">
        <f aca="false">D185-s_p!H185</f>
        <v>-0.0118045065575997</v>
      </c>
      <c r="Q185" s="19" t="n">
        <f aca="false">IF(P185&lt;0, P185^2, 0)</f>
        <v>0.000139346375068414</v>
      </c>
      <c r="R185" s="5"/>
      <c r="S185" s="5"/>
      <c r="T185" s="5"/>
      <c r="U185" s="5"/>
      <c r="V185" s="5"/>
    </row>
    <row r="186" customFormat="false" ht="13.8" hidden="false" customHeight="false" outlineLevel="0" collapsed="false">
      <c r="A186" s="6" t="n">
        <f aca="false">WORKDAY(A185,1,holiday!$B$2:$B$10)</f>
        <v>38982</v>
      </c>
      <c r="B186" s="24" t="n">
        <v>1005442.97212214</v>
      </c>
      <c r="C186" s="24" t="n">
        <f aca="false">B186-B185</f>
        <v>40804.2192466339</v>
      </c>
      <c r="D186" s="5" t="n">
        <f aca="false">C186/B185</f>
        <v>0.0423</v>
      </c>
      <c r="E186" s="5" t="n">
        <f aca="false" t="array" ref="E186:E186">PRODUCT(1+$D$4:D186)-1</f>
        <v>0.00544297212213962</v>
      </c>
      <c r="F186" s="45" t="n">
        <f aca="false">E186/COUNT($E$4:E186)</f>
        <v>2.97430170608723E-005</v>
      </c>
      <c r="G186" s="5" t="n">
        <f aca="false">F186*252</f>
        <v>0.00749524029933981</v>
      </c>
      <c r="H186" s="46" t="str">
        <f aca="false">IF(D186&lt;F186,D186-F186,"")</f>
        <v/>
      </c>
      <c r="I186" s="46" t="str">
        <f aca="false">IF(D186&lt;AVERAGE($D$172:D186),D186-AVERAGE($D$172:D186),"")</f>
        <v/>
      </c>
      <c r="J186" s="0" t="n">
        <f aca="false">IF(ISBLANK(A187),MONTH(A186),IF(MONTH(A187)-MONTH(A186)=1,MONTH(A186),0))</f>
        <v>0</v>
      </c>
      <c r="K186" s="0" t="str">
        <f aca="false">IF(B187&gt;B186,IF(AND(B185&gt;B186,B187&gt;B186),"min",""),IF(AND(B185&gt;B186,B187&gt;B186),"",IF(AND(B185&lt;B186,B187&lt;B186),"max","")))</f>
        <v/>
      </c>
      <c r="L186" s="0" t="str">
        <f aca="false">IF(K186="min",COUNTIF(K$4:K186,"min"),IF(K186="max",COUNTIF(K$4:K186,"max"),""))</f>
        <v/>
      </c>
      <c r="M186" s="24" t="str">
        <f aca="false" t="array" ref="M186:M186">IF($K$3=0,IF(K186="min",INDEX($B$4:$B$254,(MATCH(1,($K$4:$K$254="max")*($L$4:$L$254=(L186-1)),0))),""),IF($K$3=1,IF(K186="min",INDEX($B$4:$B$254,(MATCH(1,($K$4:$K$254="max")*($L$4:$L$254=(L186)),0))),""),""))</f>
        <v/>
      </c>
      <c r="N186" s="29" t="str">
        <f aca="false">IF(AND(K184=0,K186="min",L186=1),B186-B185,IF(K186="min",B186-M186,""))</f>
        <v/>
      </c>
      <c r="O186" s="34" t="str">
        <f aca="false">IF(AND(K184=0,K186="min",L186=1),(B186-B185)/B185,IF(K186="min",(B186-M186)/M186,""))</f>
        <v/>
      </c>
      <c r="P186" s="19" t="n">
        <f aca="false">D186-s_p!H186</f>
        <v>0.0447658012336594</v>
      </c>
      <c r="Q186" s="19" t="n">
        <f aca="false">IF(P186&lt;0, P186^2, 0)</f>
        <v>0</v>
      </c>
      <c r="R186" s="5"/>
      <c r="S186" s="5"/>
      <c r="T186" s="5"/>
      <c r="U186" s="5"/>
      <c r="V186" s="5"/>
    </row>
    <row r="187" customFormat="false" ht="13.8" hidden="false" customHeight="false" outlineLevel="0" collapsed="false">
      <c r="A187" s="6" t="n">
        <f aca="false">WORKDAY(A186,1,holiday!$B$2:$B$10)</f>
        <v>38985</v>
      </c>
      <c r="B187" s="24" t="n">
        <v>1046666.13397915</v>
      </c>
      <c r="C187" s="24" t="n">
        <f aca="false">B187-B186</f>
        <v>41223.1618570078</v>
      </c>
      <c r="D187" s="5" t="n">
        <f aca="false">C187/B186</f>
        <v>0.041</v>
      </c>
      <c r="E187" s="5" t="n">
        <f aca="false" t="array" ref="E187:E187">PRODUCT(1+$D$4:D187)-1</f>
        <v>0.0466661339791474</v>
      </c>
      <c r="F187" s="45" t="n">
        <f aca="false">E187/COUNT($E$4:E187)</f>
        <v>0.000253620293364932</v>
      </c>
      <c r="G187" s="5" t="n">
        <f aca="false">F187*252</f>
        <v>0.0639123139279628</v>
      </c>
      <c r="H187" s="46" t="str">
        <f aca="false">IF(D187&lt;F187,D187-F187,"")</f>
        <v/>
      </c>
      <c r="I187" s="46" t="str">
        <f aca="false">IF(D187&lt;AVERAGE($D$172:D187),D187-AVERAGE($D$172:D187),"")</f>
        <v/>
      </c>
      <c r="J187" s="0" t="n">
        <f aca="false">IF(ISBLANK(A188),MONTH(A187),IF(MONTH(A188)-MONTH(A187)=1,MONTH(A187),0))</f>
        <v>0</v>
      </c>
      <c r="K187" s="0" t="str">
        <f aca="false">IF(B188&gt;B187,IF(AND(B186&gt;B187,B188&gt;B187),"min",""),IF(AND(B186&gt;B187,B188&gt;B187),"",IF(AND(B186&lt;B187,B188&lt;B187),"max","")))</f>
        <v>max</v>
      </c>
      <c r="L187" s="0" t="n">
        <f aca="false">IF(K187="min",COUNTIF(K$4:K187,"min"),IF(K187="max",COUNTIF(K$4:K187,"max"),""))</f>
        <v>46</v>
      </c>
      <c r="M187" s="24" t="str">
        <f aca="false" t="array" ref="M187:M187">IF($K$3=0,IF(K187="min",INDEX($B$4:$B$254,(MATCH(1,($K$4:$K$254="max")*($L$4:$L$254=(L187-1)),0))),""),IF($K$3=1,IF(K187="min",INDEX($B$4:$B$254,(MATCH(1,($K$4:$K$254="max")*($L$4:$L$254=(L187)),0))),""),""))</f>
        <v/>
      </c>
      <c r="N187" s="29" t="str">
        <f aca="false">IF(AND(K185=0,K187="min",L187=1),B187-B186,IF(K187="min",B187-M187,""))</f>
        <v/>
      </c>
      <c r="O187" s="34" t="str">
        <f aca="false">IF(AND(K185=0,K187="min",L187=1),(B187-B186)/B186,IF(K187="min",(B187-M187)/M187,""))</f>
        <v/>
      </c>
      <c r="P187" s="19" t="n">
        <f aca="false">D187-s_p!H187</f>
        <v>0.0321848370069518</v>
      </c>
      <c r="Q187" s="19" t="n">
        <f aca="false">IF(P187&lt;0, P187^2, 0)</f>
        <v>0</v>
      </c>
      <c r="R187" s="5"/>
      <c r="S187" s="5"/>
      <c r="T187" s="5"/>
      <c r="U187" s="5"/>
      <c r="V187" s="5"/>
    </row>
    <row r="188" customFormat="false" ht="13.8" hidden="false" customHeight="false" outlineLevel="0" collapsed="false">
      <c r="A188" s="6" t="n">
        <f aca="false">WORKDAY(A187,1,holiday!$B$2:$B$10)</f>
        <v>38986</v>
      </c>
      <c r="B188" s="24" t="n">
        <v>1027512.14372733</v>
      </c>
      <c r="C188" s="24" t="n">
        <f aca="false">B188-B187</f>
        <v>-19153.9902518184</v>
      </c>
      <c r="D188" s="5" t="n">
        <f aca="false">C188/B187</f>
        <v>-0.0183</v>
      </c>
      <c r="E188" s="5" t="n">
        <f aca="false" t="array" ref="E188:E188">PRODUCT(1+$D$4:D188)-1</f>
        <v>0.0275121437273291</v>
      </c>
      <c r="F188" s="45" t="n">
        <f aca="false">E188/COUNT($E$4:E188)</f>
        <v>0.000148714290417995</v>
      </c>
      <c r="G188" s="5" t="n">
        <f aca="false">F188*252</f>
        <v>0.0374760011853348</v>
      </c>
      <c r="H188" s="46" t="n">
        <f aca="false">IF(D188&lt;F188,D188-F188,"")</f>
        <v>-0.018448714290418</v>
      </c>
      <c r="I188" s="46" t="n">
        <f aca="false">IF(D188&lt;AVERAGE($D$172:D188),D188-AVERAGE($D$172:D188),"")</f>
        <v>-0.0211235294117647</v>
      </c>
      <c r="J188" s="0" t="n">
        <f aca="false">IF(ISBLANK(A189),MONTH(A188),IF(MONTH(A189)-MONTH(A188)=1,MONTH(A188),0))</f>
        <v>0</v>
      </c>
      <c r="K188" s="0" t="str">
        <f aca="false">IF(B189&gt;B188,IF(AND(B187&gt;B188,B189&gt;B188),"min",""),IF(AND(B187&gt;B188,B189&gt;B188),"",IF(AND(B187&lt;B188,B189&lt;B188),"max","")))</f>
        <v>min</v>
      </c>
      <c r="L188" s="0" t="n">
        <f aca="false">IF(K188="min",COUNTIF(K$4:K188,"min"),IF(K188="max",COUNTIF(K$4:K188,"max"),""))</f>
        <v>47</v>
      </c>
      <c r="M188" s="24" t="n">
        <f aca="false" t="array" ref="M188:M188">IF($K$3=0,IF(K188="min",INDEX($B$4:$B$254,(MATCH(1,($K$4:$K$254="max")*($L$4:$L$254=(L188-1)),0))),""),IF($K$3=1,IF(K188="min",INDEX($B$4:$B$254,(MATCH(1,($K$4:$K$254="max")*($L$4:$L$254=(L188)),0))),""),""))</f>
        <v>1046666.13397915</v>
      </c>
      <c r="N188" s="29" t="n">
        <f aca="false">IF(AND(K186=0,K188="min",L188=1),B188-B187,IF(K188="min",B188-M188,""))</f>
        <v>-19153.99025182</v>
      </c>
      <c r="O188" s="34" t="n">
        <f aca="false">IF(AND(K186=0,K188="min",L188=1),(B188-B187)/B187,IF(K188="min",(B188-M188)/M188,""))</f>
        <v>-0.0183000000000014</v>
      </c>
      <c r="P188" s="19" t="n">
        <f aca="false">D188-s_p!H188</f>
        <v>-0.0258242956339483</v>
      </c>
      <c r="Q188" s="19" t="n">
        <f aca="false">IF(P188&lt;0, P188^2, 0)</f>
        <v>0.000666894244989561</v>
      </c>
      <c r="R188" s="5"/>
      <c r="S188" s="5"/>
      <c r="T188" s="5"/>
      <c r="U188" s="5"/>
      <c r="V188" s="5"/>
    </row>
    <row r="189" customFormat="false" ht="13.8" hidden="false" customHeight="false" outlineLevel="0" collapsed="false">
      <c r="A189" s="6" t="n">
        <f aca="false">WORKDAY(A188,1,holiday!$B$2:$B$10)</f>
        <v>38987</v>
      </c>
      <c r="B189" s="24" t="n">
        <v>1041589.06009639</v>
      </c>
      <c r="C189" s="24" t="n">
        <f aca="false">B189-B188</f>
        <v>14076.9163690644</v>
      </c>
      <c r="D189" s="5" t="n">
        <f aca="false">C189/B188</f>
        <v>0.0137</v>
      </c>
      <c r="E189" s="5" t="n">
        <f aca="false" t="array" ref="E189:E189">PRODUCT(1+$D$4:D189)-1</f>
        <v>0.0415890600963935</v>
      </c>
      <c r="F189" s="45" t="n">
        <f aca="false">E189/COUNT($E$4:E189)</f>
        <v>0.000223597097292438</v>
      </c>
      <c r="G189" s="5" t="n">
        <f aca="false">F189*252</f>
        <v>0.0563464685176944</v>
      </c>
      <c r="H189" s="46" t="str">
        <f aca="false">IF(D189&lt;F189,D189-F189,"")</f>
        <v/>
      </c>
      <c r="I189" s="46" t="str">
        <f aca="false">IF(D189&lt;AVERAGE($D$172:D189),D189-AVERAGE($D$172:D189),"")</f>
        <v/>
      </c>
      <c r="J189" s="0" t="n">
        <f aca="false">IF(ISBLANK(A190),MONTH(A189),IF(MONTH(A190)-MONTH(A189)=1,MONTH(A189),0))</f>
        <v>0</v>
      </c>
      <c r="K189" s="0" t="str">
        <f aca="false">IF(B190&gt;B189,IF(AND(B188&gt;B189,B190&gt;B189),"min",""),IF(AND(B188&gt;B189,B190&gt;B189),"",IF(AND(B188&lt;B189,B190&lt;B189),"max","")))</f>
        <v>max</v>
      </c>
      <c r="L189" s="0" t="n">
        <f aca="false">IF(K189="min",COUNTIF(K$4:K189,"min"),IF(K189="max",COUNTIF(K$4:K189,"max"),""))</f>
        <v>47</v>
      </c>
      <c r="M189" s="24" t="str">
        <f aca="false" t="array" ref="M189:M189">IF($K$3=0,IF(K189="min",INDEX($B$4:$B$254,(MATCH(1,($K$4:$K$254="max")*($L$4:$L$254=(L189-1)),0))),""),IF($K$3=1,IF(K189="min",INDEX($B$4:$B$254,(MATCH(1,($K$4:$K$254="max")*($L$4:$L$254=(L189)),0))),""),""))</f>
        <v/>
      </c>
      <c r="N189" s="29" t="str">
        <f aca="false">IF(AND(K187=0,K189="min",L189=1),B189-B188,IF(K189="min",B189-M189,""))</f>
        <v/>
      </c>
      <c r="O189" s="34" t="str">
        <f aca="false">IF(AND(K187=0,K189="min",L189=1),(B189-B188)/B188,IF(K189="min",(B189-M189)/M189,""))</f>
        <v/>
      </c>
      <c r="P189" s="19" t="n">
        <f aca="false">D189-s_p!H189</f>
        <v>0.0135204063306768</v>
      </c>
      <c r="Q189" s="19" t="n">
        <f aca="false">IF(P189&lt;0, P189^2, 0)</f>
        <v>0</v>
      </c>
      <c r="R189" s="5"/>
      <c r="S189" s="5"/>
      <c r="T189" s="5"/>
      <c r="U189" s="5"/>
      <c r="V189" s="5"/>
    </row>
    <row r="190" customFormat="false" ht="13.8" hidden="false" customHeight="false" outlineLevel="0" collapsed="false">
      <c r="A190" s="6" t="n">
        <f aca="false">WORKDAY(A189,1,holiday!$B$2:$B$10)</f>
        <v>38988</v>
      </c>
      <c r="B190" s="24" t="n">
        <v>998675.590820422</v>
      </c>
      <c r="C190" s="24" t="n">
        <f aca="false">B190-B189</f>
        <v>-42913.4692759714</v>
      </c>
      <c r="D190" s="5" t="n">
        <f aca="false">C190/B189</f>
        <v>-0.0412</v>
      </c>
      <c r="E190" s="5" t="n">
        <f aca="false" t="array" ref="E190:E190">PRODUCT(1+$D$4:D190)-1</f>
        <v>-0.00132440917957777</v>
      </c>
      <c r="F190" s="45" t="n">
        <f aca="false">E190/COUNT($E$4:E190)</f>
        <v>-7.08240202982764E-006</v>
      </c>
      <c r="G190" s="5" t="n">
        <f aca="false">F190*252</f>
        <v>-0.00178476531151656</v>
      </c>
      <c r="H190" s="46" t="n">
        <f aca="false">IF(D190&lt;F190,D190-F190,"")</f>
        <v>-0.0411929175979702</v>
      </c>
      <c r="I190" s="46" t="n">
        <f aca="false">IF(D190&lt;AVERAGE($D$172:D190),D190-AVERAGE($D$172:D190),"")</f>
        <v>-0.0422789473684211</v>
      </c>
      <c r="J190" s="0" t="n">
        <f aca="false">IF(ISBLANK(A191),MONTH(A190),IF(MONTH(A191)-MONTH(A190)=1,MONTH(A190),0))</f>
        <v>0</v>
      </c>
      <c r="K190" s="0" t="str">
        <f aca="false">IF(B191&gt;B190,IF(AND(B189&gt;B190,B191&gt;B190),"min",""),IF(AND(B189&gt;B190,B191&gt;B190),"",IF(AND(B189&lt;B190,B191&lt;B190),"max","")))</f>
        <v/>
      </c>
      <c r="L190" s="0" t="str">
        <f aca="false">IF(K190="min",COUNTIF(K$4:K190,"min"),IF(K190="max",COUNTIF(K$4:K190,"max"),""))</f>
        <v/>
      </c>
      <c r="M190" s="24" t="str">
        <f aca="false" t="array" ref="M190:M190">IF($K$3=0,IF(K190="min",INDEX($B$4:$B$254,(MATCH(1,($K$4:$K$254="max")*($L$4:$L$254=(L190-1)),0))),""),IF($K$3=1,IF(K190="min",INDEX($B$4:$B$254,(MATCH(1,($K$4:$K$254="max")*($L$4:$L$254=(L190)),0))),""),""))</f>
        <v/>
      </c>
      <c r="N190" s="29" t="str">
        <f aca="false">IF(AND(K188=0,K190="min",L190=1),B190-B189,IF(K190="min",B190-M190,""))</f>
        <v/>
      </c>
      <c r="O190" s="34" t="str">
        <f aca="false">IF(AND(K188=0,K190="min",L190=1),(B190-B189)/B189,IF(K190="min",(B190-M190)/M190,""))</f>
        <v/>
      </c>
      <c r="P190" s="19" t="n">
        <f aca="false">D190-s_p!H190</f>
        <v>-0.0429133152275568</v>
      </c>
      <c r="Q190" s="19" t="n">
        <f aca="false">IF(P190&lt;0, P190^2, 0)</f>
        <v>0.00184155262381966</v>
      </c>
      <c r="R190" s="5"/>
      <c r="S190" s="5"/>
      <c r="T190" s="5"/>
      <c r="U190" s="5"/>
      <c r="V190" s="5"/>
    </row>
    <row r="191" customFormat="false" ht="13.8" hidden="false" customHeight="false" outlineLevel="0" collapsed="false">
      <c r="A191" s="6" t="n">
        <f aca="false">WORKDAY(A190,1,holiday!$B$2:$B$10)</f>
        <v>38989</v>
      </c>
      <c r="B191" s="24" t="n">
        <v>963921.680259872</v>
      </c>
      <c r="C191" s="24" t="n">
        <f aca="false">B191-B190</f>
        <v>-34753.9105605506</v>
      </c>
      <c r="D191" s="5" t="n">
        <f aca="false">C191/B190</f>
        <v>-0.0347999999999999</v>
      </c>
      <c r="E191" s="5" t="n">
        <f aca="false" t="array" ref="E191:E191">PRODUCT(1+$D$4:D191)-1</f>
        <v>-0.0360783197401284</v>
      </c>
      <c r="F191" s="45" t="n">
        <f aca="false">E191/COUNT($E$4:E191)</f>
        <v>-0.000191905956064513</v>
      </c>
      <c r="G191" s="5" t="n">
        <f aca="false">F191*252</f>
        <v>-0.0483603009282573</v>
      </c>
      <c r="H191" s="46" t="n">
        <f aca="false">IF(D191&lt;F191,D191-F191,"")</f>
        <v>-0.0346080940439354</v>
      </c>
      <c r="I191" s="46" t="n">
        <f aca="false">IF(D191&lt;AVERAGE($D$172:D191),D191-AVERAGE($D$172:D191),"")</f>
        <v>-0.0340849999999999</v>
      </c>
      <c r="J191" s="0" t="n">
        <f aca="false">IF(ISBLANK(A192),MONTH(A191),IF(MONTH(A192)-MONTH(A191)=1,MONTH(A191),0))</f>
        <v>9</v>
      </c>
      <c r="K191" s="0" t="str">
        <f aca="false">IF(B192&gt;B191,IF(AND(B190&gt;B191,B192&gt;B191),"min",""),IF(AND(B190&gt;B191,B192&gt;B191),"",IF(AND(B190&lt;B191,B192&lt;B191),"max","")))</f>
        <v>min</v>
      </c>
      <c r="L191" s="0" t="n">
        <f aca="false">IF(K191="min",COUNTIF(K$4:K191,"min"),IF(K191="max",COUNTIF(K$4:K191,"max"),""))</f>
        <v>48</v>
      </c>
      <c r="M191" s="24" t="n">
        <f aca="false" t="array" ref="M191:M191">IF($K$3=0,IF(K191="min",INDEX($B$4:$B$254,(MATCH(1,($K$4:$K$254="max")*($L$4:$L$254=(L191-1)),0))),""),IF($K$3=1,IF(K191="min",INDEX($B$4:$B$254,(MATCH(1,($K$4:$K$254="max")*($L$4:$L$254=(L191)),0))),""),""))</f>
        <v>1041589.06009639</v>
      </c>
      <c r="N191" s="29" t="n">
        <f aca="false">IF(AND(K189=0,K191="min",L191=1),B191-B190,IF(K191="min",B191-M191,""))</f>
        <v>-77667.379836518</v>
      </c>
      <c r="O191" s="34" t="n">
        <f aca="false">IF(AND(K189=0,K191="min",L191=1),(B191-B190)/B190,IF(K191="min",(B191-M191)/M191,""))</f>
        <v>-0.0745662399999963</v>
      </c>
      <c r="P191" s="19" t="n">
        <f aca="false">D191-s_p!H191</f>
        <v>-0.0325369144359463</v>
      </c>
      <c r="Q191" s="19" t="n">
        <f aca="false">IF(P191&lt;0, P191^2, 0)</f>
        <v>0.00105865080101209</v>
      </c>
      <c r="R191" s="5"/>
      <c r="S191" s="5"/>
      <c r="T191" s="5"/>
      <c r="U191" s="5"/>
      <c r="V191" s="5"/>
    </row>
    <row r="192" customFormat="false" ht="13.8" hidden="false" customHeight="false" outlineLevel="0" collapsed="false">
      <c r="A192" s="6" t="n">
        <f aca="false">WORKDAY(A191,1,holiday!$B$2:$B$10)</f>
        <v>38992</v>
      </c>
      <c r="B192" s="24" t="n">
        <v>993032.11500372</v>
      </c>
      <c r="C192" s="24" t="n">
        <f aca="false">B192-B191</f>
        <v>29110.4347438482</v>
      </c>
      <c r="D192" s="5" t="n">
        <f aca="false">C192/B191</f>
        <v>0.0302</v>
      </c>
      <c r="E192" s="5" t="n">
        <f aca="false" t="array" ref="E192:E192">PRODUCT(1+$D$4:D192)-1</f>
        <v>-0.00696788499628032</v>
      </c>
      <c r="F192" s="45" t="n">
        <f aca="false">E192/COUNT($E$4:E192)</f>
        <v>-3.68671163824355E-005</v>
      </c>
      <c r="G192" s="5" t="n">
        <f aca="false">F192*252</f>
        <v>-0.00929051332837375</v>
      </c>
      <c r="H192" s="46" t="str">
        <f aca="false">IF(D192&lt;F192,D192-F192,"")</f>
        <v/>
      </c>
      <c r="I192" s="46" t="str">
        <f aca="false">IF(D192&lt;AVERAGE($D$192:D192),D192-AVERAGE($D$192:D192),"")</f>
        <v/>
      </c>
      <c r="J192" s="0" t="n">
        <f aca="false">IF(ISBLANK(A193),MONTH(A192),IF(MONTH(A193)-MONTH(A192)=1,MONTH(A192),0))</f>
        <v>0</v>
      </c>
      <c r="K192" s="0" t="str">
        <f aca="false">IF(B193&gt;B192,IF(AND(B191&gt;B192,B193&gt;B192),"min",""),IF(AND(B191&gt;B192,B193&gt;B192),"",IF(AND(B191&lt;B192,B193&lt;B192),"max","")))</f>
        <v/>
      </c>
      <c r="L192" s="0" t="str">
        <f aca="false">IF(K192="min",COUNTIF(K$4:K192,"min"),IF(K192="max",COUNTIF(K$4:K192,"max"),""))</f>
        <v/>
      </c>
      <c r="M192" s="24" t="str">
        <f aca="false" t="array" ref="M192:M192">IF($K$3=0,IF(K192="min",INDEX($B$4:$B$254,(MATCH(1,($K$4:$K$254="max")*($L$4:$L$254=(L192-1)),0))),""),IF($K$3=1,IF(K192="min",INDEX($B$4:$B$254,(MATCH(1,($K$4:$K$254="max")*($L$4:$L$254=(L192)),0))),""),""))</f>
        <v/>
      </c>
      <c r="N192" s="29" t="str">
        <f aca="false">IF(AND(K190=0,K192="min",L192=1),B192-B191,IF(K192="min",B192-M192,""))</f>
        <v/>
      </c>
      <c r="O192" s="34" t="str">
        <f aca="false">IF(AND(K190=0,K192="min",L192=1),(B192-B191)/B191,IF(K192="min",(B192-M192)/M192,""))</f>
        <v/>
      </c>
      <c r="P192" s="19" t="n">
        <f aca="false">D192-s_p!H192</f>
        <v>0.0335910993000711</v>
      </c>
      <c r="Q192" s="19" t="n">
        <f aca="false">IF(P192&lt;0, P192^2, 0)</f>
        <v>0</v>
      </c>
      <c r="R192" s="5"/>
      <c r="S192" s="5"/>
      <c r="T192" s="5"/>
      <c r="U192" s="5"/>
      <c r="V192" s="5"/>
    </row>
    <row r="193" customFormat="false" ht="13.8" hidden="false" customHeight="false" outlineLevel="0" collapsed="false">
      <c r="A193" s="6" t="n">
        <f aca="false">WORKDAY(A192,1,holiday!$B$2:$B$10)</f>
        <v>38993</v>
      </c>
      <c r="B193" s="24" t="n">
        <v>1017659.31145581</v>
      </c>
      <c r="C193" s="24" t="n">
        <f aca="false">B193-B192</f>
        <v>24627.1964520923</v>
      </c>
      <c r="D193" s="5" t="n">
        <f aca="false">C193/B192</f>
        <v>0.0248</v>
      </c>
      <c r="E193" s="5" t="n">
        <f aca="false" t="array" ref="E193:E193">PRODUCT(1+$D$4:D193)-1</f>
        <v>0.0176593114558119</v>
      </c>
      <c r="F193" s="45" t="n">
        <f aca="false">E193/COUNT($E$4:E193)</f>
        <v>9.29437445042731E-005</v>
      </c>
      <c r="G193" s="5" t="n">
        <f aca="false">F193*252</f>
        <v>0.0234218236150768</v>
      </c>
      <c r="H193" s="46" t="str">
        <f aca="false">IF(D193&lt;F193,D193-F193,"")</f>
        <v/>
      </c>
      <c r="I193" s="46" t="n">
        <f aca="false">IF(D193&lt;AVERAGE($D$192:D193),D193-AVERAGE($D$192:D193),"")</f>
        <v>-0.00270000000000002</v>
      </c>
      <c r="J193" s="0" t="n">
        <f aca="false">IF(ISBLANK(A194),MONTH(A193),IF(MONTH(A194)-MONTH(A193)=1,MONTH(A193),0))</f>
        <v>0</v>
      </c>
      <c r="K193" s="0" t="str">
        <f aca="false">IF(B194&gt;B193,IF(AND(B192&gt;B193,B194&gt;B193),"min",""),IF(AND(B192&gt;B193,B194&gt;B193),"",IF(AND(B192&lt;B193,B194&lt;B193),"max","")))</f>
        <v/>
      </c>
      <c r="L193" s="0" t="str">
        <f aca="false">IF(K193="min",COUNTIF(K$4:K193,"min"),IF(K193="max",COUNTIF(K$4:K193,"max"),""))</f>
        <v/>
      </c>
      <c r="M193" s="24" t="str">
        <f aca="false" t="array" ref="M193:M193">IF($K$3=0,IF(K193="min",INDEX($B$4:$B$254,(MATCH(1,($K$4:$K$254="max")*($L$4:$L$254=(L193-1)),0))),""),IF($K$3=1,IF(K193="min",INDEX($B$4:$B$254,(MATCH(1,($K$4:$K$254="max")*($L$4:$L$254=(L193)),0))),""),""))</f>
        <v/>
      </c>
      <c r="N193" s="29" t="str">
        <f aca="false">IF(AND(K191=0,K193="min",L193=1),B193-B192,IF(K193="min",B193-M193,""))</f>
        <v/>
      </c>
      <c r="O193" s="34" t="str">
        <f aca="false">IF(AND(K191=0,K193="min",L193=1),(B193-B192)/B192,IF(K193="min",(B193-M193)/M193,""))</f>
        <v/>
      </c>
      <c r="P193" s="19" t="n">
        <f aca="false">D193-s_p!H193</f>
        <v>0.0227043355466755</v>
      </c>
      <c r="Q193" s="19" t="n">
        <f aca="false">IF(P193&lt;0, P193^2, 0)</f>
        <v>0</v>
      </c>
      <c r="R193" s="5"/>
      <c r="S193" s="5"/>
      <c r="T193" s="5"/>
      <c r="U193" s="5"/>
      <c r="V193" s="5"/>
    </row>
    <row r="194" customFormat="false" ht="13.8" hidden="false" customHeight="false" outlineLevel="0" collapsed="false">
      <c r="A194" s="6" t="n">
        <f aca="false">WORKDAY(A193,1,holiday!$B$2:$B$10)</f>
        <v>38994</v>
      </c>
      <c r="B194" s="24" t="n">
        <v>1022849.37394424</v>
      </c>
      <c r="C194" s="24" t="n">
        <f aca="false">B194-B193</f>
        <v>5190.06248842459</v>
      </c>
      <c r="D194" s="5" t="n">
        <f aca="false">C194/B193</f>
        <v>0.00509999999999995</v>
      </c>
      <c r="E194" s="5" t="n">
        <f aca="false" t="array" ref="E194:E194">PRODUCT(1+$D$4:D194)-1</f>
        <v>0.0228493739442366</v>
      </c>
      <c r="F194" s="45" t="n">
        <f aca="false">E194/COUNT($E$4:E194)</f>
        <v>0.000119630230074537</v>
      </c>
      <c r="G194" s="5" t="n">
        <f aca="false">F194*252</f>
        <v>0.0301468179787833</v>
      </c>
      <c r="H194" s="46" t="str">
        <f aca="false">IF(D194&lt;F194,D194-F194,"")</f>
        <v/>
      </c>
      <c r="I194" s="46" t="n">
        <f aca="false">IF(D194&lt;AVERAGE($D$192:D194),D194-AVERAGE($D$192:D194),"")</f>
        <v>-0.0149333333333334</v>
      </c>
      <c r="J194" s="0" t="n">
        <f aca="false">IF(ISBLANK(A195),MONTH(A194),IF(MONTH(A195)-MONTH(A194)=1,MONTH(A194),0))</f>
        <v>0</v>
      </c>
      <c r="K194" s="0" t="str">
        <f aca="false">IF(B195&gt;B194,IF(AND(B193&gt;B194,B195&gt;B194),"min",""),IF(AND(B193&gt;B194,B195&gt;B194),"",IF(AND(B193&lt;B194,B195&lt;B194),"max","")))</f>
        <v>max</v>
      </c>
      <c r="L194" s="0" t="n">
        <f aca="false">IF(K194="min",COUNTIF(K$4:K194,"min"),IF(K194="max",COUNTIF(K$4:K194,"max"),""))</f>
        <v>48</v>
      </c>
      <c r="M194" s="24" t="str">
        <f aca="false" t="array" ref="M194:M194">IF($K$3=0,IF(K194="min",INDEX($B$4:$B$254,(MATCH(1,($K$4:$K$254="max")*($L$4:$L$254=(L194-1)),0))),""),IF($K$3=1,IF(K194="min",INDEX($B$4:$B$254,(MATCH(1,($K$4:$K$254="max")*($L$4:$L$254=(L194)),0))),""),""))</f>
        <v/>
      </c>
      <c r="N194" s="29" t="str">
        <f aca="false">IF(AND(K192=0,K194="min",L194=1),B194-B193,IF(K194="min",B194-M194,""))</f>
        <v/>
      </c>
      <c r="O194" s="34" t="str">
        <f aca="false">IF(AND(K192=0,K194="min",L194=1),(B194-B193)/B193,IF(K194="min",(B194-M194)/M194,""))</f>
        <v/>
      </c>
      <c r="P194" s="19" t="n">
        <f aca="false">D194-s_p!H194</f>
        <v>-0.00696047477344457</v>
      </c>
      <c r="Q194" s="19" t="n">
        <f aca="false">IF(P194&lt;0, P194^2, 0)</f>
        <v>4.84482090717582E-005</v>
      </c>
      <c r="R194" s="5"/>
      <c r="S194" s="5"/>
      <c r="T194" s="5"/>
      <c r="U194" s="5"/>
      <c r="V194" s="5"/>
    </row>
    <row r="195" customFormat="false" ht="13.8" hidden="false" customHeight="false" outlineLevel="0" collapsed="false">
      <c r="A195" s="6" t="n">
        <f aca="false">WORKDAY(A194,1,holiday!$B$2:$B$10)</f>
        <v>38995</v>
      </c>
      <c r="B195" s="24" t="n">
        <v>992368.462600698</v>
      </c>
      <c r="C195" s="24" t="n">
        <f aca="false">B195-B194</f>
        <v>-30480.9113435382</v>
      </c>
      <c r="D195" s="5" t="n">
        <f aca="false">C195/B194</f>
        <v>-0.0298</v>
      </c>
      <c r="E195" s="5" t="n">
        <f aca="false" t="array" ref="E195:E195">PRODUCT(1+$D$4:D195)-1</f>
        <v>-0.00763153739930178</v>
      </c>
      <c r="F195" s="45" t="n">
        <f aca="false">E195/COUNT($E$4:E195)</f>
        <v>-3.97475906213634E-005</v>
      </c>
      <c r="G195" s="5" t="n">
        <f aca="false">F195*252</f>
        <v>-0.0100163928365836</v>
      </c>
      <c r="H195" s="46" t="n">
        <f aca="false">IF(D195&lt;F195,D195-F195,"")</f>
        <v>-0.0297602524093786</v>
      </c>
      <c r="I195" s="46" t="n">
        <f aca="false">IF(D195&lt;AVERAGE($D$192:D195),D195-AVERAGE($D$192:D195),"")</f>
        <v>-0.037375</v>
      </c>
      <c r="J195" s="0" t="n">
        <f aca="false">IF(ISBLANK(A196),MONTH(A195),IF(MONTH(A196)-MONTH(A195)=1,MONTH(A195),0))</f>
        <v>0</v>
      </c>
      <c r="K195" s="0" t="str">
        <f aca="false">IF(B196&gt;B195,IF(AND(B194&gt;B195,B196&gt;B195),"min",""),IF(AND(B194&gt;B195,B196&gt;B195),"",IF(AND(B194&lt;B195,B196&lt;B195),"max","")))</f>
        <v/>
      </c>
      <c r="L195" s="0" t="str">
        <f aca="false">IF(K195="min",COUNTIF(K$4:K195,"min"),IF(K195="max",COUNTIF(K$4:K195,"max"),""))</f>
        <v/>
      </c>
      <c r="M195" s="24" t="str">
        <f aca="false" t="array" ref="M195:M195">IF($K$3=0,IF(K195="min",INDEX($B$4:$B$254,(MATCH(1,($K$4:$K$254="max")*($L$4:$L$254=(L195-1)),0))),""),IF($K$3=1,IF(K195="min",INDEX($B$4:$B$254,(MATCH(1,($K$4:$K$254="max")*($L$4:$L$254=(L195)),0))),""),""))</f>
        <v/>
      </c>
      <c r="N195" s="29" t="str">
        <f aca="false">IF(AND(K193=0,K195="min",L195=1),B195-B194,IF(K195="min",B195-M195,""))</f>
        <v/>
      </c>
      <c r="O195" s="34" t="str">
        <f aca="false">IF(AND(K193=0,K195="min",L195=1),(B195-B194)/B194,IF(K195="min",(B195-M195)/M195,""))</f>
        <v/>
      </c>
      <c r="P195" s="19" t="n">
        <f aca="false">D195-s_p!H195</f>
        <v>-0.0320367056732335</v>
      </c>
      <c r="Q195" s="19" t="n">
        <f aca="false">IF(P195&lt;0, P195^2, 0)</f>
        <v>0.00102635051039339</v>
      </c>
      <c r="R195" s="5"/>
      <c r="S195" s="5"/>
      <c r="T195" s="5"/>
      <c r="U195" s="5"/>
      <c r="V195" s="5"/>
    </row>
    <row r="196" customFormat="false" ht="13.8" hidden="false" customHeight="false" outlineLevel="0" collapsed="false">
      <c r="A196" s="6" t="n">
        <f aca="false">WORKDAY(A195,1,holiday!$B$2:$B$10)</f>
        <v>38996</v>
      </c>
      <c r="B196" s="24" t="n">
        <v>982147.067435911</v>
      </c>
      <c r="C196" s="24" t="n">
        <f aca="false">B196-B195</f>
        <v>-10221.3951647872</v>
      </c>
      <c r="D196" s="5" t="n">
        <f aca="false">C196/B195</f>
        <v>-0.0103</v>
      </c>
      <c r="E196" s="5" t="n">
        <f aca="false" t="array" ref="E196:E196">PRODUCT(1+$D$4:D196)-1</f>
        <v>-0.0178529325640889</v>
      </c>
      <c r="F196" s="45" t="n">
        <f aca="false">E196/COUNT($E$4:E196)</f>
        <v>-9.25022412647095E-005</v>
      </c>
      <c r="G196" s="5" t="n">
        <f aca="false">F196*252</f>
        <v>-0.0233105647987068</v>
      </c>
      <c r="H196" s="46" t="n">
        <f aca="false">IF(D196&lt;F196,D196-F196,"")</f>
        <v>-0.0102074977587353</v>
      </c>
      <c r="I196" s="46" t="n">
        <f aca="false">IF(D196&lt;AVERAGE($D$192:D196),D196-AVERAGE($D$192:D196),"")</f>
        <v>-0.0143</v>
      </c>
      <c r="J196" s="0" t="n">
        <f aca="false">IF(ISBLANK(A197),MONTH(A196),IF(MONTH(A197)-MONTH(A196)=1,MONTH(A196),0))</f>
        <v>0</v>
      </c>
      <c r="K196" s="0" t="str">
        <f aca="false">IF(B197&gt;B196,IF(AND(B195&gt;B196,B197&gt;B196),"min",""),IF(AND(B195&gt;B196,B197&gt;B196),"",IF(AND(B195&lt;B196,B197&lt;B196),"max","")))</f>
        <v/>
      </c>
      <c r="L196" s="0" t="str">
        <f aca="false">IF(K196="min",COUNTIF(K$4:K196,"min"),IF(K196="max",COUNTIF(K$4:K196,"max"),""))</f>
        <v/>
      </c>
      <c r="M196" s="24" t="str">
        <f aca="false" t="array" ref="M196:M196">IF($K$3=0,IF(K196="min",INDEX($B$4:$B$254,(MATCH(1,($K$4:$K$254="max")*($L$4:$L$254=(L196-1)),0))),""),IF($K$3=1,IF(K196="min",INDEX($B$4:$B$254,(MATCH(1,($K$4:$K$254="max")*($L$4:$L$254=(L196)),0))),""),""))</f>
        <v/>
      </c>
      <c r="N196" s="29" t="str">
        <f aca="false">IF(AND(K194=0,K196="min",L196=1),B196-B195,IF(K196="min",B196-M196,""))</f>
        <v/>
      </c>
      <c r="O196" s="34" t="str">
        <f aca="false">IF(AND(K194=0,K196="min",L196=1),(B196-B195)/B195,IF(K196="min",(B196-M196)/M196,""))</f>
        <v/>
      </c>
      <c r="P196" s="19" t="n">
        <f aca="false">D196-s_p!H196</f>
        <v>-0.00761750934807339</v>
      </c>
      <c r="Q196" s="19" t="n">
        <f aca="false">IF(P196&lt;0, P196^2, 0)</f>
        <v>5.80264486679855E-005</v>
      </c>
      <c r="R196" s="5"/>
      <c r="S196" s="5"/>
      <c r="T196" s="5"/>
      <c r="U196" s="5"/>
      <c r="V196" s="5"/>
    </row>
    <row r="197" customFormat="false" ht="13.8" hidden="false" customHeight="false" outlineLevel="0" collapsed="false">
      <c r="A197" s="6" t="n">
        <f aca="false">WORKDAY(A196,1,holiday!$B$2:$B$10)</f>
        <v>38999</v>
      </c>
      <c r="B197" s="24" t="n">
        <v>949441.570090295</v>
      </c>
      <c r="C197" s="24" t="n">
        <f aca="false">B197-B196</f>
        <v>-32705.4973456159</v>
      </c>
      <c r="D197" s="5" t="n">
        <f aca="false">C197/B196</f>
        <v>-0.0333</v>
      </c>
      <c r="E197" s="5" t="n">
        <f aca="false" t="array" ref="E197:E197">PRODUCT(1+$D$4:D197)-1</f>
        <v>-0.0505584299097047</v>
      </c>
      <c r="F197" s="45" t="n">
        <f aca="false">E197/COUNT($E$4:E197)</f>
        <v>-0.000260610463452086</v>
      </c>
      <c r="G197" s="5" t="n">
        <f aca="false">F197*252</f>
        <v>-0.0656738367899257</v>
      </c>
      <c r="H197" s="46" t="n">
        <f aca="false">IF(D197&lt;F197,D197-F197,"")</f>
        <v>-0.0330393895365479</v>
      </c>
      <c r="I197" s="46" t="n">
        <f aca="false">IF(D197&lt;AVERAGE($D$192:D197),D197-AVERAGE($D$192:D197),"")</f>
        <v>-0.0310833333333334</v>
      </c>
      <c r="J197" s="0" t="n">
        <f aca="false">IF(ISBLANK(A198),MONTH(A197),IF(MONTH(A198)-MONTH(A197)=1,MONTH(A197),0))</f>
        <v>0</v>
      </c>
      <c r="K197" s="0" t="str">
        <f aca="false">IF(B198&gt;B197,IF(AND(B196&gt;B197,B198&gt;B197),"min",""),IF(AND(B196&gt;B197,B198&gt;B197),"",IF(AND(B196&lt;B197,B198&lt;B197),"max","")))</f>
        <v/>
      </c>
      <c r="L197" s="0" t="str">
        <f aca="false">IF(K197="min",COUNTIF(K$4:K197,"min"),IF(K197="max",COUNTIF(K$4:K197,"max"),""))</f>
        <v/>
      </c>
      <c r="M197" s="24" t="str">
        <f aca="false" t="array" ref="M197:M197">IF($K$3=0,IF(K197="min",INDEX($B$4:$B$254,(MATCH(1,($K$4:$K$254="max")*($L$4:$L$254=(L197-1)),0))),""),IF($K$3=1,IF(K197="min",INDEX($B$4:$B$254,(MATCH(1,($K$4:$K$254="max")*($L$4:$L$254=(L197)),0))),""),""))</f>
        <v/>
      </c>
      <c r="N197" s="29" t="str">
        <f aca="false">IF(AND(K195=0,K197="min",L197=1),B197-B196,IF(K197="min",B197-M197,""))</f>
        <v/>
      </c>
      <c r="O197" s="34" t="str">
        <f aca="false">IF(AND(K195=0,K197="min",L197=1),(B197-B196)/B196,IF(K197="min",(B197-M197)/M197,""))</f>
        <v/>
      </c>
      <c r="P197" s="19" t="n">
        <f aca="false">D197-s_p!H197</f>
        <v>-0.0340928333790264</v>
      </c>
      <c r="Q197" s="19" t="n">
        <f aca="false">IF(P197&lt;0, P197^2, 0)</f>
        <v>0.00116232128781006</v>
      </c>
      <c r="R197" s="5"/>
      <c r="S197" s="5"/>
      <c r="T197" s="5"/>
      <c r="U197" s="5"/>
      <c r="V197" s="5"/>
    </row>
    <row r="198" customFormat="false" ht="13.8" hidden="false" customHeight="false" outlineLevel="0" collapsed="false">
      <c r="A198" s="6" t="n">
        <f aca="false">WORKDAY(A197,1,holiday!$B$2:$B$10)</f>
        <v>39000</v>
      </c>
      <c r="B198" s="24" t="n">
        <v>911558.851443692</v>
      </c>
      <c r="C198" s="24" t="n">
        <f aca="false">B198-B197</f>
        <v>-37882.7186466028</v>
      </c>
      <c r="D198" s="5" t="n">
        <f aca="false">C198/B197</f>
        <v>-0.0399</v>
      </c>
      <c r="E198" s="5" t="n">
        <f aca="false" t="array" ref="E198:E198">PRODUCT(1+$D$4:D198)-1</f>
        <v>-0.0884411485563076</v>
      </c>
      <c r="F198" s="45" t="n">
        <f aca="false">E198/COUNT($E$4:E198)</f>
        <v>-0.000453544351570808</v>
      </c>
      <c r="G198" s="5" t="n">
        <f aca="false">F198*252</f>
        <v>-0.114293176595844</v>
      </c>
      <c r="H198" s="46" t="n">
        <f aca="false">IF(D198&lt;F198,D198-F198,"")</f>
        <v>-0.0394464556484292</v>
      </c>
      <c r="I198" s="46" t="n">
        <f aca="false">IF(D198&lt;AVERAGE($D$192:D198),D198-AVERAGE($D$192:D198),"")</f>
        <v>-0.0323</v>
      </c>
      <c r="J198" s="0" t="n">
        <f aca="false">IF(ISBLANK(A199),MONTH(A198),IF(MONTH(A199)-MONTH(A198)=1,MONTH(A198),0))</f>
        <v>0</v>
      </c>
      <c r="K198" s="0" t="str">
        <f aca="false">IF(B199&gt;B198,IF(AND(B197&gt;B198,B199&gt;B198),"min",""),IF(AND(B197&gt;B198,B199&gt;B198),"",IF(AND(B197&lt;B198,B199&lt;B198),"max","")))</f>
        <v>min</v>
      </c>
      <c r="L198" s="0" t="n">
        <f aca="false">IF(K198="min",COUNTIF(K$4:K198,"min"),IF(K198="max",COUNTIF(K$4:K198,"max"),""))</f>
        <v>49</v>
      </c>
      <c r="M198" s="24" t="n">
        <f aca="false" t="array" ref="M198:M198">IF($K$3=0,IF(K198="min",INDEX($B$4:$B$254,(MATCH(1,($K$4:$K$254="max")*($L$4:$L$254=(L198-1)),0))),""),IF($K$3=1,IF(K198="min",INDEX($B$4:$B$254,(MATCH(1,($K$4:$K$254="max")*($L$4:$L$254=(L198)),0))),""),""))</f>
        <v>1022849.37394424</v>
      </c>
      <c r="N198" s="29" t="n">
        <f aca="false">IF(AND(K196=0,K198="min",L198=1),B198-B197,IF(K198="min",B198-M198,""))</f>
        <v>-111290.522500548</v>
      </c>
      <c r="O198" s="34" t="n">
        <f aca="false">IF(AND(K196=0,K198="min",L198=1),(B198-B197)/B197,IF(K198="min",(B198-M198)/M198,""))</f>
        <v>-0.108804409853034</v>
      </c>
      <c r="P198" s="19" t="n">
        <f aca="false">D198-s_p!H198</f>
        <v>-0.0419434454266803</v>
      </c>
      <c r="Q198" s="19" t="n">
        <f aca="false">IF(P198&lt;0, P198^2, 0)</f>
        <v>0.00175925261426091</v>
      </c>
      <c r="R198" s="5"/>
      <c r="S198" s="5"/>
      <c r="T198" s="5"/>
      <c r="U198" s="5"/>
      <c r="V198" s="5"/>
    </row>
    <row r="199" customFormat="false" ht="13.8" hidden="false" customHeight="false" outlineLevel="0" collapsed="false">
      <c r="A199" s="6" t="n">
        <f aca="false">WORKDAY(A198,1,holiday!$B$2:$B$10)</f>
        <v>39001</v>
      </c>
      <c r="B199" s="24" t="n">
        <v>955769.455738712</v>
      </c>
      <c r="C199" s="24" t="n">
        <f aca="false">B199-B198</f>
        <v>44210.6042950191</v>
      </c>
      <c r="D199" s="5" t="n">
        <f aca="false">C199/B198</f>
        <v>0.0485</v>
      </c>
      <c r="E199" s="5" t="n">
        <f aca="false" t="array" ref="E199:E199">PRODUCT(1+$D$4:D199)-1</f>
        <v>-0.0442305442612885</v>
      </c>
      <c r="F199" s="45" t="n">
        <f aca="false">E199/COUNT($E$4:E199)</f>
        <v>-0.000225666042149431</v>
      </c>
      <c r="G199" s="5" t="n">
        <f aca="false">F199*252</f>
        <v>-0.0568678426216566</v>
      </c>
      <c r="H199" s="46" t="str">
        <f aca="false">IF(D199&lt;F199,D199-F199,"")</f>
        <v/>
      </c>
      <c r="I199" s="46" t="str">
        <f aca="false">IF(D199&lt;AVERAGE($D$192:D199),D199-AVERAGE($D$192:D199),"")</f>
        <v/>
      </c>
      <c r="J199" s="0" t="n">
        <f aca="false">IF(ISBLANK(A200),MONTH(A199),IF(MONTH(A200)-MONTH(A199)=1,MONTH(A199),0))</f>
        <v>0</v>
      </c>
      <c r="K199" s="0" t="str">
        <f aca="false">IF(B200&gt;B199,IF(AND(B198&gt;B199,B200&gt;B199),"min",""),IF(AND(B198&gt;B199,B200&gt;B199),"",IF(AND(B198&lt;B199,B200&lt;B199),"max","")))</f>
        <v>max</v>
      </c>
      <c r="L199" s="0" t="n">
        <f aca="false">IF(K199="min",COUNTIF(K$4:K199,"min"),IF(K199="max",COUNTIF(K$4:K199,"max"),""))</f>
        <v>49</v>
      </c>
      <c r="M199" s="24" t="str">
        <f aca="false" t="array" ref="M199:M199">IF($K$3=0,IF(K199="min",INDEX($B$4:$B$254,(MATCH(1,($K$4:$K$254="max")*($L$4:$L$254=(L199-1)),0))),""),IF($K$3=1,IF(K199="min",INDEX($B$4:$B$254,(MATCH(1,($K$4:$K$254="max")*($L$4:$L$254=(L199)),0))),""),""))</f>
        <v/>
      </c>
      <c r="N199" s="29" t="str">
        <f aca="false">IF(AND(K197=0,K199="min",L199=1),B199-B198,IF(K199="min",B199-M199,""))</f>
        <v/>
      </c>
      <c r="O199" s="34" t="str">
        <f aca="false">IF(AND(K197=0,K199="min",L199=1),(B199-B198)/B198,IF(K199="min",(B199-M199)/M199,""))</f>
        <v/>
      </c>
      <c r="P199" s="19" t="n">
        <f aca="false">D199-s_p!H199</f>
        <v>0.0510638752198135</v>
      </c>
      <c r="Q199" s="19" t="n">
        <f aca="false">IF(P199&lt;0, P199^2, 0)</f>
        <v>0</v>
      </c>
      <c r="R199" s="5"/>
      <c r="S199" s="5"/>
      <c r="T199" s="5"/>
      <c r="U199" s="5"/>
      <c r="V199" s="5"/>
    </row>
    <row r="200" customFormat="false" ht="13.8" hidden="false" customHeight="false" outlineLevel="0" collapsed="false">
      <c r="A200" s="6" t="n">
        <f aca="false">WORKDAY(A199,1,holiday!$B$2:$B$10)</f>
        <v>39002</v>
      </c>
      <c r="B200" s="24" t="n">
        <v>939903.682773449</v>
      </c>
      <c r="C200" s="24" t="n">
        <f aca="false">B200-B199</f>
        <v>-15865.7729652626</v>
      </c>
      <c r="D200" s="5" t="n">
        <f aca="false">C200/B199</f>
        <v>-0.0166</v>
      </c>
      <c r="E200" s="5" t="n">
        <f aca="false" t="array" ref="E200:E200">PRODUCT(1+$D$4:D200)-1</f>
        <v>-0.0600963172265511</v>
      </c>
      <c r="F200" s="45" t="n">
        <f aca="false">E200/COUNT($E$4:E200)</f>
        <v>-0.000305057447850513</v>
      </c>
      <c r="G200" s="5" t="n">
        <f aca="false">F200*252</f>
        <v>-0.0768744768583293</v>
      </c>
      <c r="H200" s="46" t="n">
        <f aca="false">IF(D200&lt;F200,D200-F200,"")</f>
        <v>-0.0162949425521495</v>
      </c>
      <c r="I200" s="46" t="n">
        <f aca="false">IF(D200&lt;AVERAGE($D$192:D200),D200-AVERAGE($D$192:D200),"")</f>
        <v>-0.0142333333333334</v>
      </c>
      <c r="J200" s="0" t="n">
        <f aca="false">IF(ISBLANK(A201),MONTH(A200),IF(MONTH(A201)-MONTH(A200)=1,MONTH(A200),0))</f>
        <v>0</v>
      </c>
      <c r="K200" s="0" t="str">
        <f aca="false">IF(B201&gt;B200,IF(AND(B199&gt;B200,B201&gt;B200),"min",""),IF(AND(B199&gt;B200,B201&gt;B200),"",IF(AND(B199&lt;B200,B201&lt;B200),"max","")))</f>
        <v>min</v>
      </c>
      <c r="L200" s="0" t="n">
        <f aca="false">IF(K200="min",COUNTIF(K$4:K200,"min"),IF(K200="max",COUNTIF(K$4:K200,"max"),""))</f>
        <v>50</v>
      </c>
      <c r="M200" s="24" t="n">
        <f aca="false" t="array" ref="M200:M200">IF($K$3=0,IF(K200="min",INDEX($B$4:$B$254,(MATCH(1,($K$4:$K$254="max")*($L$4:$L$254=(L200-1)),0))),""),IF($K$3=1,IF(K200="min",INDEX($B$4:$B$254,(MATCH(1,($K$4:$K$254="max")*($L$4:$L$254=(L200)),0))),""),""))</f>
        <v>955769.455738712</v>
      </c>
      <c r="N200" s="29" t="n">
        <f aca="false">IF(AND(K198=0,K200="min",L200=1),B200-B199,IF(K200="min",B200-M200,""))</f>
        <v>-15865.772965263</v>
      </c>
      <c r="O200" s="34" t="n">
        <f aca="false">IF(AND(K198=0,K200="min",L200=1),(B200-B199)/B199,IF(K200="min",(B200-M200)/M200,""))</f>
        <v>-0.0166000000000004</v>
      </c>
      <c r="P200" s="19" t="n">
        <f aca="false">D200-s_p!H200</f>
        <v>-0.0261410941145968</v>
      </c>
      <c r="Q200" s="19" t="n">
        <f aca="false">IF(P200&lt;0, P200^2, 0)</f>
        <v>0.000683356801508208</v>
      </c>
      <c r="R200" s="5"/>
      <c r="S200" s="5"/>
      <c r="T200" s="5"/>
      <c r="U200" s="5"/>
      <c r="V200" s="5"/>
    </row>
    <row r="201" customFormat="false" ht="13.8" hidden="false" customHeight="false" outlineLevel="0" collapsed="false">
      <c r="A201" s="6" t="n">
        <f aca="false">WORKDAY(A200,1,holiday!$B$2:$B$10)</f>
        <v>39003</v>
      </c>
      <c r="B201" s="24" t="n">
        <v>975995.984191949</v>
      </c>
      <c r="C201" s="24" t="n">
        <f aca="false">B201-B200</f>
        <v>36092.3014185005</v>
      </c>
      <c r="D201" s="5" t="n">
        <f aca="false">C201/B200</f>
        <v>0.0384000000000001</v>
      </c>
      <c r="E201" s="5" t="n">
        <f aca="false" t="array" ref="E201:E201">PRODUCT(1+$D$4:D201)-1</f>
        <v>-0.0240040158080504</v>
      </c>
      <c r="F201" s="45" t="n">
        <f aca="false">E201/COUNT($E$4:E201)</f>
        <v>-0.000121232403070962</v>
      </c>
      <c r="G201" s="5" t="n">
        <f aca="false">F201*252</f>
        <v>-0.0305505655738824</v>
      </c>
      <c r="H201" s="46" t="str">
        <f aca="false">IF(D201&lt;F201,D201-F201,"")</f>
        <v/>
      </c>
      <c r="I201" s="46" t="str">
        <f aca="false">IF(D201&lt;AVERAGE($D$192:D201),D201-AVERAGE($D$192:D201),"")</f>
        <v/>
      </c>
      <c r="J201" s="0" t="n">
        <f aca="false">IF(ISBLANK(A202),MONTH(A201),IF(MONTH(A202)-MONTH(A201)=1,MONTH(A201),0))</f>
        <v>0</v>
      </c>
      <c r="K201" s="0" t="str">
        <f aca="false">IF(B202&gt;B201,IF(AND(B200&gt;B201,B202&gt;B201),"min",""),IF(AND(B200&gt;B201,B202&gt;B201),"",IF(AND(B200&lt;B201,B202&lt;B201),"max","")))</f>
        <v/>
      </c>
      <c r="L201" s="0" t="str">
        <f aca="false">IF(K201="min",COUNTIF(K$4:K201,"min"),IF(K201="max",COUNTIF(K$4:K201,"max"),""))</f>
        <v/>
      </c>
      <c r="M201" s="24" t="str">
        <f aca="false" t="array" ref="M201:M201">IF($K$3=0,IF(K201="min",INDEX($B$4:$B$254,(MATCH(1,($K$4:$K$254="max")*($L$4:$L$254=(L201-1)),0))),""),IF($K$3=1,IF(K201="min",INDEX($B$4:$B$254,(MATCH(1,($K$4:$K$254="max")*($L$4:$L$254=(L201)),0))),""),""))</f>
        <v/>
      </c>
      <c r="N201" s="29" t="str">
        <f aca="false">IF(AND(K199=0,K201="min",L201=1),B201-B200,IF(K201="min",B201-M201,""))</f>
        <v/>
      </c>
      <c r="O201" s="34" t="str">
        <f aca="false">IF(AND(K199=0,K201="min",L201=1),(B201-B200)/B200,IF(K201="min",(B201-M201)/M201,""))</f>
        <v/>
      </c>
      <c r="P201" s="19" t="n">
        <f aca="false">D201-s_p!H201</f>
        <v>0.0363527894161416</v>
      </c>
      <c r="Q201" s="19" t="n">
        <f aca="false">IF(P201&lt;0, P201^2, 0)</f>
        <v>0</v>
      </c>
      <c r="R201" s="5"/>
      <c r="S201" s="5"/>
      <c r="T201" s="5"/>
      <c r="U201" s="5"/>
      <c r="V201" s="5"/>
    </row>
    <row r="202" customFormat="false" ht="13.8" hidden="false" customHeight="false" outlineLevel="0" collapsed="false">
      <c r="A202" s="6" t="n">
        <f aca="false">WORKDAY(A201,1,holiday!$B$2:$B$10)</f>
        <v>39006</v>
      </c>
      <c r="B202" s="24" t="n">
        <v>1001274.28018252</v>
      </c>
      <c r="C202" s="24" t="n">
        <f aca="false">B202-B201</f>
        <v>25278.2959905715</v>
      </c>
      <c r="D202" s="5" t="n">
        <f aca="false">C202/B201</f>
        <v>0.0259</v>
      </c>
      <c r="E202" s="5" t="n">
        <f aca="false" t="array" ref="E202:E202">PRODUCT(1+$D$4:D202)-1</f>
        <v>0.00127428018252096</v>
      </c>
      <c r="F202" s="45" t="n">
        <f aca="false">E202/COUNT($E$4:E202)</f>
        <v>6.40341800261789E-006</v>
      </c>
      <c r="G202" s="5" t="n">
        <f aca="false">F202*252</f>
        <v>0.00161366133665971</v>
      </c>
      <c r="H202" s="46" t="str">
        <f aca="false">IF(D202&lt;F202,D202-F202,"")</f>
        <v/>
      </c>
      <c r="I202" s="46" t="str">
        <f aca="false">IF(D202&lt;AVERAGE($D$192:D202),D202-AVERAGE($D$192:D202),"")</f>
        <v/>
      </c>
      <c r="J202" s="0" t="n">
        <f aca="false">IF(ISBLANK(A203),MONTH(A202),IF(MONTH(A203)-MONTH(A202)=1,MONTH(A202),0))</f>
        <v>0</v>
      </c>
      <c r="K202" s="0" t="str">
        <f aca="false">IF(B203&gt;B202,IF(AND(B201&gt;B202,B203&gt;B202),"min",""),IF(AND(B201&gt;B202,B203&gt;B202),"",IF(AND(B201&lt;B202,B203&lt;B202),"max","")))</f>
        <v>max</v>
      </c>
      <c r="L202" s="0" t="n">
        <f aca="false">IF(K202="min",COUNTIF(K$4:K202,"min"),IF(K202="max",COUNTIF(K$4:K202,"max"),""))</f>
        <v>50</v>
      </c>
      <c r="M202" s="24" t="str">
        <f aca="false" t="array" ref="M202:M202">IF($K$3=0,IF(K202="min",INDEX($B$4:$B$254,(MATCH(1,($K$4:$K$254="max")*($L$4:$L$254=(L202-1)),0))),""),IF($K$3=1,IF(K202="min",INDEX($B$4:$B$254,(MATCH(1,($K$4:$K$254="max")*($L$4:$L$254=(L202)),0))),""),""))</f>
        <v/>
      </c>
      <c r="N202" s="29" t="str">
        <f aca="false">IF(AND(K200=0,K202="min",L202=1),B202-B201,IF(K202="min",B202-M202,""))</f>
        <v/>
      </c>
      <c r="O202" s="34" t="str">
        <f aca="false">IF(AND(K200=0,K202="min",L202=1),(B202-B201)/B201,IF(K202="min",(B202-M202)/M202,""))</f>
        <v/>
      </c>
      <c r="P202" s="19" t="n">
        <f aca="false">D202-s_p!H202</f>
        <v>0.0233809976420966</v>
      </c>
      <c r="Q202" s="19" t="n">
        <f aca="false">IF(P202&lt;0, P202^2, 0)</f>
        <v>0</v>
      </c>
      <c r="R202" s="5"/>
      <c r="S202" s="5"/>
      <c r="T202" s="5"/>
      <c r="U202" s="5"/>
      <c r="V202" s="5"/>
    </row>
    <row r="203" customFormat="false" ht="13.8" hidden="false" customHeight="false" outlineLevel="0" collapsed="false">
      <c r="A203" s="6" t="n">
        <f aca="false">WORKDAY(A202,1,holiday!$B$2:$B$10)</f>
        <v>39007</v>
      </c>
      <c r="B203" s="24" t="n">
        <v>984953.509415546</v>
      </c>
      <c r="C203" s="24" t="n">
        <f aca="false">B203-B202</f>
        <v>-16320.7707669751</v>
      </c>
      <c r="D203" s="5" t="n">
        <f aca="false">C203/B202</f>
        <v>-0.0163</v>
      </c>
      <c r="E203" s="5" t="n">
        <f aca="false" t="array" ref="E203:E203">PRODUCT(1+$D$4:D203)-1</f>
        <v>-0.0150464905844541</v>
      </c>
      <c r="F203" s="45" t="n">
        <f aca="false">E203/COUNT($E$4:E203)</f>
        <v>-7.52324529222703E-005</v>
      </c>
      <c r="G203" s="5" t="n">
        <f aca="false">F203*252</f>
        <v>-0.0189585781364121</v>
      </c>
      <c r="H203" s="46" t="n">
        <f aca="false">IF(D203&lt;F203,D203-F203,"")</f>
        <v>-0.0162247675470777</v>
      </c>
      <c r="I203" s="46" t="n">
        <f aca="false">IF(D203&lt;AVERAGE($D$192:D203),D203-AVERAGE($D$192:D203),"")</f>
        <v>-0.018525</v>
      </c>
      <c r="J203" s="0" t="n">
        <f aca="false">IF(ISBLANK(A204),MONTH(A203),IF(MONTH(A204)-MONTH(A203)=1,MONTH(A203),0))</f>
        <v>0</v>
      </c>
      <c r="K203" s="0" t="str">
        <f aca="false">IF(B204&gt;B203,IF(AND(B202&gt;B203,B204&gt;B203),"min",""),IF(AND(B202&gt;B203,B204&gt;B203),"",IF(AND(B202&lt;B203,B204&lt;B203),"max","")))</f>
        <v>min</v>
      </c>
      <c r="L203" s="0" t="n">
        <f aca="false">IF(K203="min",COUNTIF(K$4:K203,"min"),IF(K203="max",COUNTIF(K$4:K203,"max"),""))</f>
        <v>51</v>
      </c>
      <c r="M203" s="24" t="n">
        <f aca="false" t="array" ref="M203:M203">IF($K$3=0,IF(K203="min",INDEX($B$4:$B$254,(MATCH(1,($K$4:$K$254="max")*($L$4:$L$254=(L203-1)),0))),""),IF($K$3=1,IF(K203="min",INDEX($B$4:$B$254,(MATCH(1,($K$4:$K$254="max")*($L$4:$L$254=(L203)),0))),""),""))</f>
        <v>1001274.28018252</v>
      </c>
      <c r="N203" s="29" t="n">
        <f aca="false">IF(AND(K201=0,K203="min",L203=1),B203-B202,IF(K203="min",B203-M203,""))</f>
        <v>-16320.7707669741</v>
      </c>
      <c r="O203" s="34" t="n">
        <f aca="false">IF(AND(K201=0,K203="min",L203=1),(B203-B202)/B202,IF(K203="min",(B203-M203)/M203,""))</f>
        <v>-0.016299999999999</v>
      </c>
      <c r="P203" s="19" t="n">
        <f aca="false">D203-s_p!H203</f>
        <v>-0.0126405548332433</v>
      </c>
      <c r="Q203" s="19" t="n">
        <f aca="false">IF(P203&lt;0, P203^2, 0)</f>
        <v>0.000159783626492231</v>
      </c>
      <c r="R203" s="5"/>
      <c r="S203" s="5"/>
      <c r="T203" s="5"/>
      <c r="U203" s="5"/>
      <c r="V203" s="5"/>
    </row>
    <row r="204" customFormat="false" ht="13.8" hidden="false" customHeight="false" outlineLevel="0" collapsed="false">
      <c r="A204" s="6" t="n">
        <f aca="false">WORKDAY(A203,1,holiday!$B$2:$B$10)</f>
        <v>39008</v>
      </c>
      <c r="B204" s="24" t="n">
        <v>1020116.34970168</v>
      </c>
      <c r="C204" s="24" t="n">
        <f aca="false">B204-B203</f>
        <v>35162.840286135</v>
      </c>
      <c r="D204" s="5" t="n">
        <f aca="false">C204/B203</f>
        <v>0.0357</v>
      </c>
      <c r="E204" s="5" t="n">
        <f aca="false" t="array" ref="E204:E204">PRODUCT(1+$D$4:D204)-1</f>
        <v>0.020116349701681</v>
      </c>
      <c r="F204" s="45" t="n">
        <f aca="false">E204/COUNT($E$4:E204)</f>
        <v>0.000100081341799408</v>
      </c>
      <c r="G204" s="5" t="n">
        <f aca="false">F204*252</f>
        <v>0.0252204981334508</v>
      </c>
      <c r="H204" s="46" t="str">
        <f aca="false">IF(D204&lt;F204,D204-F204,"")</f>
        <v/>
      </c>
      <c r="I204" s="46" t="str">
        <f aca="false">IF(D204&lt;AVERAGE($D$192:D204),D204-AVERAGE($D$192:D204),"")</f>
        <v/>
      </c>
      <c r="J204" s="0" t="n">
        <f aca="false">IF(ISBLANK(A205),MONTH(A204),IF(MONTH(A205)-MONTH(A204)=1,MONTH(A204),0))</f>
        <v>0</v>
      </c>
      <c r="K204" s="0" t="str">
        <f aca="false">IF(B205&gt;B204,IF(AND(B203&gt;B204,B205&gt;B204),"min",""),IF(AND(B203&gt;B204,B205&gt;B204),"",IF(AND(B203&lt;B204,B205&lt;B204),"max","")))</f>
        <v/>
      </c>
      <c r="L204" s="0" t="str">
        <f aca="false">IF(K204="min",COUNTIF(K$4:K204,"min"),IF(K204="max",COUNTIF(K$4:K204,"max"),""))</f>
        <v/>
      </c>
      <c r="M204" s="24" t="str">
        <f aca="false" t="array" ref="M204:M204">IF($K$3=0,IF(K204="min",INDEX($B$4:$B$254,(MATCH(1,($K$4:$K$254="max")*($L$4:$L$254=(L204-1)),0))),""),IF($K$3=1,IF(K204="min",INDEX($B$4:$B$254,(MATCH(1,($K$4:$K$254="max")*($L$4:$L$254=(L204)),0))),""),""))</f>
        <v/>
      </c>
      <c r="N204" s="29" t="str">
        <f aca="false">IF(AND(K202=0,K204="min",L204=1),B204-B203,IF(K204="min",B204-M204,""))</f>
        <v/>
      </c>
      <c r="O204" s="34" t="str">
        <f aca="false">IF(AND(K202=0,K204="min",L204=1),(B204-B203)/B203,IF(K204="min",(B204-M204)/M204,""))</f>
        <v/>
      </c>
      <c r="P204" s="19" t="n">
        <f aca="false">D204-s_p!H204</f>
        <v>0.0344170558263994</v>
      </c>
      <c r="Q204" s="19" t="n">
        <f aca="false">IF(P204&lt;0, P204^2, 0)</f>
        <v>0</v>
      </c>
      <c r="R204" s="5"/>
      <c r="S204" s="5"/>
      <c r="T204" s="5"/>
      <c r="U204" s="5"/>
      <c r="V204" s="5"/>
    </row>
    <row r="205" customFormat="false" ht="13.8" hidden="false" customHeight="false" outlineLevel="0" collapsed="false">
      <c r="A205" s="6" t="n">
        <f aca="false">WORKDAY(A204,1,holiday!$B$2:$B$10)</f>
        <v>39009</v>
      </c>
      <c r="B205" s="24" t="n">
        <v>1051535.93327249</v>
      </c>
      <c r="C205" s="24" t="n">
        <f aca="false">B205-B204</f>
        <v>31419.5835708117</v>
      </c>
      <c r="D205" s="5" t="n">
        <f aca="false">C205/B204</f>
        <v>0.0307999999999999</v>
      </c>
      <c r="E205" s="5" t="n">
        <f aca="false" t="array" ref="E205:E205">PRODUCT(1+$D$4:D205)-1</f>
        <v>0.0515359332724925</v>
      </c>
      <c r="F205" s="45" t="n">
        <f aca="false">E205/COUNT($E$4:E205)</f>
        <v>0.000255128382537092</v>
      </c>
      <c r="G205" s="5" t="n">
        <f aca="false">F205*252</f>
        <v>0.0642923523993471</v>
      </c>
      <c r="H205" s="46" t="str">
        <f aca="false">IF(D205&lt;F205,D205-F205,"")</f>
        <v/>
      </c>
      <c r="I205" s="46" t="str">
        <f aca="false">IF(D205&lt;AVERAGE($D$192:D205),D205-AVERAGE($D$192:D205),"")</f>
        <v/>
      </c>
      <c r="J205" s="0" t="n">
        <f aca="false">IF(ISBLANK(A206),MONTH(A205),IF(MONTH(A206)-MONTH(A205)=1,MONTH(A205),0))</f>
        <v>0</v>
      </c>
      <c r="K205" s="0" t="str">
        <f aca="false">IF(B206&gt;B205,IF(AND(B204&gt;B205,B206&gt;B205),"min",""),IF(AND(B204&gt;B205,B206&gt;B205),"",IF(AND(B204&lt;B205,B206&lt;B205),"max","")))</f>
        <v>max</v>
      </c>
      <c r="L205" s="0" t="n">
        <f aca="false">IF(K205="min",COUNTIF(K$4:K205,"min"),IF(K205="max",COUNTIF(K$4:K205,"max"),""))</f>
        <v>51</v>
      </c>
      <c r="M205" s="24" t="str">
        <f aca="false" t="array" ref="M205:M205">IF($K$3=0,IF(K205="min",INDEX($B$4:$B$254,(MATCH(1,($K$4:$K$254="max")*($L$4:$L$254=(L205-1)),0))),""),IF($K$3=1,IF(K205="min",INDEX($B$4:$B$254,(MATCH(1,($K$4:$K$254="max")*($L$4:$L$254=(L205)),0))),""),""))</f>
        <v/>
      </c>
      <c r="N205" s="29" t="str">
        <f aca="false">IF(AND(K203=0,K205="min",L205=1),B205-B204,IF(K205="min",B205-M205,""))</f>
        <v/>
      </c>
      <c r="O205" s="34" t="str">
        <f aca="false">IF(AND(K203=0,K205="min",L205=1),(B205-B204)/B204,IF(K205="min",(B205-M205)/M205,""))</f>
        <v/>
      </c>
      <c r="P205" s="19" t="n">
        <f aca="false">D205-s_p!H205</f>
        <v>0.0299506809196075</v>
      </c>
      <c r="Q205" s="19" t="n">
        <f aca="false">IF(P205&lt;0, P205^2, 0)</f>
        <v>0</v>
      </c>
      <c r="R205" s="5"/>
      <c r="S205" s="5"/>
      <c r="T205" s="5"/>
      <c r="U205" s="5"/>
      <c r="V205" s="5"/>
    </row>
    <row r="206" customFormat="false" ht="13.8" hidden="false" customHeight="false" outlineLevel="0" collapsed="false">
      <c r="A206" s="6" t="n">
        <f aca="false">WORKDAY(A205,1,holiday!$B$2:$B$10)</f>
        <v>39010</v>
      </c>
      <c r="B206" s="24" t="n">
        <v>1010946.64624817</v>
      </c>
      <c r="C206" s="24" t="n">
        <f aca="false">B206-B205</f>
        <v>-40589.2870243182</v>
      </c>
      <c r="D206" s="5" t="n">
        <f aca="false">C206/B205</f>
        <v>-0.0386</v>
      </c>
      <c r="E206" s="5" t="n">
        <f aca="false" t="array" ref="E206:E206">PRODUCT(1+$D$4:D206)-1</f>
        <v>0.0109466462481744</v>
      </c>
      <c r="F206" s="45" t="n">
        <f aca="false">E206/COUNT($E$4:E206)</f>
        <v>5.39243657545538E-005</v>
      </c>
      <c r="G206" s="5" t="n">
        <f aca="false">F206*252</f>
        <v>0.0135889401701476</v>
      </c>
      <c r="H206" s="46" t="n">
        <f aca="false">IF(D206&lt;F206,D206-F206,"")</f>
        <v>-0.0386539243657546</v>
      </c>
      <c r="I206" s="46" t="n">
        <f aca="false">IF(D206&lt;AVERAGE($D$192:D206),D206-AVERAGE($D$192:D206),"")</f>
        <v>-0.04224</v>
      </c>
      <c r="J206" s="0" t="n">
        <f aca="false">IF(ISBLANK(A207),MONTH(A206),IF(MONTH(A207)-MONTH(A206)=1,MONTH(A206),0))</f>
        <v>0</v>
      </c>
      <c r="K206" s="0" t="str">
        <f aca="false">IF(B207&gt;B206,IF(AND(B205&gt;B206,B207&gt;B206),"min",""),IF(AND(B205&gt;B206,B207&gt;B206),"",IF(AND(B205&lt;B206,B207&lt;B206),"max","")))</f>
        <v>min</v>
      </c>
      <c r="L206" s="0" t="n">
        <f aca="false">IF(K206="min",COUNTIF(K$4:K206,"min"),IF(K206="max",COUNTIF(K$4:K206,"max"),""))</f>
        <v>52</v>
      </c>
      <c r="M206" s="24" t="n">
        <f aca="false" t="array" ref="M206:M206">IF($K$3=0,IF(K206="min",INDEX($B$4:$B$254,(MATCH(1,($K$4:$K$254="max")*($L$4:$L$254=(L206-1)),0))),""),IF($K$3=1,IF(K206="min",INDEX($B$4:$B$254,(MATCH(1,($K$4:$K$254="max")*($L$4:$L$254=(L206)),0))),""),""))</f>
        <v>1051535.93327249</v>
      </c>
      <c r="N206" s="29" t="n">
        <f aca="false">IF(AND(K204=0,K206="min",L206=1),B206-B205,IF(K206="min",B206-M206,""))</f>
        <v>-40589.2870243201</v>
      </c>
      <c r="O206" s="34" t="n">
        <f aca="false">IF(AND(K204=0,K206="min",L206=1),(B206-B205)/B205,IF(K206="min",(B206-M206)/M206,""))</f>
        <v>-0.0386000000000019</v>
      </c>
      <c r="P206" s="19" t="n">
        <f aca="false">D206-s_p!H206</f>
        <v>-0.0397997424942938</v>
      </c>
      <c r="Q206" s="19" t="n">
        <f aca="false">IF(P206&lt;0, P206^2, 0)</f>
        <v>0.0015840195026121</v>
      </c>
      <c r="R206" s="5"/>
      <c r="S206" s="5"/>
      <c r="T206" s="5"/>
      <c r="U206" s="5"/>
      <c r="V206" s="5"/>
    </row>
    <row r="207" customFormat="false" ht="13.8" hidden="false" customHeight="false" outlineLevel="0" collapsed="false">
      <c r="A207" s="6" t="n">
        <f aca="false">WORKDAY(A206,1,holiday!$B$2:$B$10)</f>
        <v>39013</v>
      </c>
      <c r="B207" s="24" t="n">
        <v>1059573.17993271</v>
      </c>
      <c r="C207" s="24" t="n">
        <f aca="false">B207-B206</f>
        <v>48626.5336845373</v>
      </c>
      <c r="D207" s="5" t="n">
        <f aca="false">C207/B206</f>
        <v>0.0481000000000001</v>
      </c>
      <c r="E207" s="5" t="n">
        <f aca="false" t="array" ref="E207:E207">PRODUCT(1+$D$4:D207)-1</f>
        <v>0.0595731799327115</v>
      </c>
      <c r="F207" s="45" t="n">
        <f aca="false">E207/COUNT($E$4:E207)</f>
        <v>0.000292025391827017</v>
      </c>
      <c r="G207" s="5" t="n">
        <f aca="false">F207*252</f>
        <v>0.0735903987404083</v>
      </c>
      <c r="H207" s="46" t="str">
        <f aca="false">IF(D207&lt;F207,D207-F207,"")</f>
        <v/>
      </c>
      <c r="I207" s="46" t="str">
        <f aca="false">IF(D207&lt;AVERAGE($D$192:D207),D207-AVERAGE($D$192:D207),"")</f>
        <v/>
      </c>
      <c r="J207" s="0" t="n">
        <f aca="false">IF(ISBLANK(A208),MONTH(A207),IF(MONTH(A208)-MONTH(A207)=1,MONTH(A207),0))</f>
        <v>0</v>
      </c>
      <c r="K207" s="0" t="str">
        <f aca="false">IF(B208&gt;B207,IF(AND(B206&gt;B207,B208&gt;B207),"min",""),IF(AND(B206&gt;B207,B208&gt;B207),"",IF(AND(B206&lt;B207,B208&lt;B207),"max","")))</f>
        <v>max</v>
      </c>
      <c r="L207" s="0" t="n">
        <f aca="false">IF(K207="min",COUNTIF(K$4:K207,"min"),IF(K207="max",COUNTIF(K$4:K207,"max"),""))</f>
        <v>52</v>
      </c>
      <c r="M207" s="24" t="str">
        <f aca="false" t="array" ref="M207:M207">IF($K$3=0,IF(K207="min",INDEX($B$4:$B$254,(MATCH(1,($K$4:$K$254="max")*($L$4:$L$254=(L207-1)),0))),""),IF($K$3=1,IF(K207="min",INDEX($B$4:$B$254,(MATCH(1,($K$4:$K$254="max")*($L$4:$L$254=(L207)),0))),""),""))</f>
        <v/>
      </c>
      <c r="N207" s="29" t="str">
        <f aca="false">IF(AND(K205=0,K207="min",L207=1),B207-B206,IF(K207="min",B207-M207,""))</f>
        <v/>
      </c>
      <c r="O207" s="34" t="str">
        <f aca="false">IF(AND(K205=0,K207="min",L207=1),(B207-B206)/B206,IF(K207="min",(B207-M207)/M207,""))</f>
        <v/>
      </c>
      <c r="P207" s="19" t="n">
        <f aca="false">D207-s_p!H207</f>
        <v>0.0419477276048517</v>
      </c>
      <c r="Q207" s="19" t="n">
        <f aca="false">IF(P207&lt;0, P207^2, 0)</f>
        <v>0</v>
      </c>
      <c r="R207" s="5"/>
      <c r="S207" s="5"/>
      <c r="T207" s="5"/>
      <c r="U207" s="5"/>
      <c r="V207" s="5"/>
    </row>
    <row r="208" customFormat="false" ht="13.8" hidden="false" customHeight="false" outlineLevel="0" collapsed="false">
      <c r="A208" s="6" t="n">
        <f aca="false">WORKDAY(A207,1,holiday!$B$2:$B$10)</f>
        <v>39014</v>
      </c>
      <c r="B208" s="24" t="n">
        <v>1012316.21610771</v>
      </c>
      <c r="C208" s="24" t="n">
        <f aca="false">B208-B207</f>
        <v>-47256.9638249989</v>
      </c>
      <c r="D208" s="5" t="n">
        <f aca="false">C208/B207</f>
        <v>-0.0446</v>
      </c>
      <c r="E208" s="5" t="n">
        <f aca="false" t="array" ref="E208:E208">PRODUCT(1+$D$4:D208)-1</f>
        <v>0.0123162161077126</v>
      </c>
      <c r="F208" s="45" t="n">
        <f aca="false">E208/COUNT($E$4:E208)</f>
        <v>6.00791029644517E-005</v>
      </c>
      <c r="G208" s="5" t="n">
        <f aca="false">F208*252</f>
        <v>0.0151399339470418</v>
      </c>
      <c r="H208" s="46" t="n">
        <f aca="false">IF(D208&lt;F208,D208-F208,"")</f>
        <v>-0.0446600791029645</v>
      </c>
      <c r="I208" s="46" t="n">
        <f aca="false">IF(D208&lt;AVERAGE($D$192:D208),D208-AVERAGE($D$192:D208),"")</f>
        <v>-0.0480176470588235</v>
      </c>
      <c r="J208" s="0" t="n">
        <f aca="false">IF(ISBLANK(A209),MONTH(A208),IF(MONTH(A209)-MONTH(A208)=1,MONTH(A208),0))</f>
        <v>0</v>
      </c>
      <c r="K208" s="0" t="str">
        <f aca="false">IF(B209&gt;B208,IF(AND(B207&gt;B208,B209&gt;B208),"min",""),IF(AND(B207&gt;B208,B209&gt;B208),"",IF(AND(B207&lt;B208,B209&lt;B208),"max","")))</f>
        <v/>
      </c>
      <c r="L208" s="0" t="str">
        <f aca="false">IF(K208="min",COUNTIF(K$4:K208,"min"),IF(K208="max",COUNTIF(K$4:K208,"max"),""))</f>
        <v/>
      </c>
      <c r="M208" s="24" t="str">
        <f aca="false" t="array" ref="M208:M208">IF($K$3=0,IF(K208="min",INDEX($B$4:$B$254,(MATCH(1,($K$4:$K$254="max")*($L$4:$L$254=(L208-1)),0))),""),IF($K$3=1,IF(K208="min",INDEX($B$4:$B$254,(MATCH(1,($K$4:$K$254="max")*($L$4:$L$254=(L208)),0))),""),""))</f>
        <v/>
      </c>
      <c r="N208" s="29" t="str">
        <f aca="false">IF(AND(K206=0,K208="min",L208=1),B208-B207,IF(K208="min",B208-M208,""))</f>
        <v/>
      </c>
      <c r="O208" s="34" t="str">
        <f aca="false">IF(AND(K206=0,K208="min",L208=1),(B208-B207)/B207,IF(K208="min",(B208-M208)/M208,""))</f>
        <v/>
      </c>
      <c r="P208" s="19" t="n">
        <f aca="false">D208-s_p!H208</f>
        <v>-0.0448614341113421</v>
      </c>
      <c r="Q208" s="19" t="n">
        <f aca="false">IF(P208&lt;0, P208^2, 0)</f>
        <v>0.00201254827052629</v>
      </c>
      <c r="R208" s="5"/>
      <c r="S208" s="5"/>
      <c r="T208" s="5"/>
      <c r="U208" s="5"/>
      <c r="V208" s="5"/>
    </row>
    <row r="209" customFormat="false" ht="13.8" hidden="false" customHeight="false" outlineLevel="0" collapsed="false">
      <c r="A209" s="6" t="n">
        <f aca="false">WORKDAY(A208,1,holiday!$B$2:$B$10)</f>
        <v>39015</v>
      </c>
      <c r="B209" s="24" t="n">
        <v>983768.898813475</v>
      </c>
      <c r="C209" s="24" t="n">
        <f aca="false">B209-B208</f>
        <v>-28547.3172942374</v>
      </c>
      <c r="D209" s="5" t="n">
        <f aca="false">C209/B208</f>
        <v>-0.0281999999999999</v>
      </c>
      <c r="E209" s="5" t="n">
        <f aca="false" t="array" ref="E209:E209">PRODUCT(1+$D$4:D209)-1</f>
        <v>-0.0162311011865247</v>
      </c>
      <c r="F209" s="45" t="n">
        <f aca="false">E209/COUNT($E$4:E209)</f>
        <v>-7.87917533326442E-005</v>
      </c>
      <c r="G209" s="5" t="n">
        <f aca="false">F209*252</f>
        <v>-0.0198555218398263</v>
      </c>
      <c r="H209" s="46" t="n">
        <f aca="false">IF(D209&lt;F209,D209-F209,"")</f>
        <v>-0.0281212082466673</v>
      </c>
      <c r="I209" s="46" t="n">
        <f aca="false">IF(D209&lt;AVERAGE($D$192:D209),D209-AVERAGE($D$192:D209),"")</f>
        <v>-0.0298611111111111</v>
      </c>
      <c r="J209" s="0" t="n">
        <f aca="false">IF(ISBLANK(A210),MONTH(A209),IF(MONTH(A210)-MONTH(A209)=1,MONTH(A209),0))</f>
        <v>0</v>
      </c>
      <c r="K209" s="0" t="str">
        <f aca="false">IF(B210&gt;B209,IF(AND(B208&gt;B209,B210&gt;B209),"min",""),IF(AND(B208&gt;B209,B210&gt;B209),"",IF(AND(B208&lt;B209,B210&lt;B209),"max","")))</f>
        <v/>
      </c>
      <c r="L209" s="0" t="str">
        <f aca="false">IF(K209="min",COUNTIF(K$4:K209,"min"),IF(K209="max",COUNTIF(K$4:K209,"max"),""))</f>
        <v/>
      </c>
      <c r="M209" s="24" t="str">
        <f aca="false" t="array" ref="M209:M209">IF($K$3=0,IF(K209="min",INDEX($B$4:$B$254,(MATCH(1,($K$4:$K$254="max")*($L$4:$L$254=(L209-1)),0))),""),IF($K$3=1,IF(K209="min",INDEX($B$4:$B$254,(MATCH(1,($K$4:$K$254="max")*($L$4:$L$254=(L209)),0))),""),""))</f>
        <v/>
      </c>
      <c r="N209" s="29" t="str">
        <f aca="false">IF(AND(K207=0,K209="min",L209=1),B209-B208,IF(K209="min",B209-M209,""))</f>
        <v/>
      </c>
      <c r="O209" s="34" t="str">
        <f aca="false">IF(AND(K207=0,K209="min",L209=1),(B209-B208)/B208,IF(K209="min",(B209-M209)/M209,""))</f>
        <v/>
      </c>
      <c r="P209" s="19" t="n">
        <f aca="false">D209-s_p!H209</f>
        <v>-0.03171391772786</v>
      </c>
      <c r="Q209" s="19" t="n">
        <f aca="false">IF(P209&lt;0, P209^2, 0)</f>
        <v>0.00100577257764947</v>
      </c>
      <c r="R209" s="5"/>
      <c r="S209" s="5"/>
      <c r="T209" s="5"/>
      <c r="U209" s="5"/>
      <c r="V209" s="5"/>
    </row>
    <row r="210" customFormat="false" ht="13.8" hidden="false" customHeight="false" outlineLevel="0" collapsed="false">
      <c r="A210" s="6" t="n">
        <f aca="false">WORKDAY(A209,1,holiday!$B$2:$B$10)</f>
        <v>39016</v>
      </c>
      <c r="B210" s="24" t="n">
        <v>980128.953887865</v>
      </c>
      <c r="C210" s="24" t="n">
        <f aca="false">B210-B209</f>
        <v>-3639.94492560986</v>
      </c>
      <c r="D210" s="5" t="n">
        <f aca="false">C210/B209</f>
        <v>-0.0037</v>
      </c>
      <c r="E210" s="5" t="n">
        <f aca="false" t="array" ref="E210:E210">PRODUCT(1+$D$4:D210)-1</f>
        <v>-0.0198710461121346</v>
      </c>
      <c r="F210" s="45" t="n">
        <f aca="false">E210/COUNT($E$4:E210)</f>
        <v>-9.5995391846061E-005</v>
      </c>
      <c r="G210" s="5" t="n">
        <f aca="false">F210*252</f>
        <v>-0.0241908387452074</v>
      </c>
      <c r="H210" s="46" t="n">
        <f aca="false">IF(D210&lt;F210,D210-F210,"")</f>
        <v>-0.00360400460815394</v>
      </c>
      <c r="I210" s="46" t="n">
        <f aca="false">IF(D210&lt;AVERAGE($D$192:D210),D210-AVERAGE($D$192:D210),"")</f>
        <v>-0.00507894736842105</v>
      </c>
      <c r="J210" s="0" t="n">
        <f aca="false">IF(ISBLANK(A211),MONTH(A210),IF(MONTH(A211)-MONTH(A210)=1,MONTH(A210),0))</f>
        <v>0</v>
      </c>
      <c r="K210" s="0" t="str">
        <f aca="false">IF(B211&gt;B210,IF(AND(B209&gt;B210,B211&gt;B210),"min",""),IF(AND(B209&gt;B210,B211&gt;B210),"",IF(AND(B209&lt;B210,B211&lt;B210),"max","")))</f>
        <v>min</v>
      </c>
      <c r="L210" s="0" t="n">
        <f aca="false">IF(K210="min",COUNTIF(K$4:K210,"min"),IF(K210="max",COUNTIF(K$4:K210,"max"),""))</f>
        <v>53</v>
      </c>
      <c r="M210" s="24" t="n">
        <f aca="false" t="array" ref="M210:M210">IF($K$3=0,IF(K210="min",INDEX($B$4:$B$254,(MATCH(1,($K$4:$K$254="max")*($L$4:$L$254=(L210-1)),0))),""),IF($K$3=1,IF(K210="min",INDEX($B$4:$B$254,(MATCH(1,($K$4:$K$254="max")*($L$4:$L$254=(L210)),0))),""),""))</f>
        <v>1059573.17993271</v>
      </c>
      <c r="N210" s="29" t="n">
        <f aca="false">IF(AND(K208=0,K210="min",L210=1),B210-B209,IF(K210="min",B210-M210,""))</f>
        <v>-79444.2260448451</v>
      </c>
      <c r="O210" s="34" t="n">
        <f aca="false">IF(AND(K208=0,K210="min",L210=1),(B210-B209)/B209,IF(K210="min",(B210-M210)/M210,""))</f>
        <v>-0.0749775735639989</v>
      </c>
      <c r="P210" s="19" t="n">
        <f aca="false">D210-s_p!H210</f>
        <v>-0.00866303048718727</v>
      </c>
      <c r="Q210" s="19" t="n">
        <f aca="false">IF(P210&lt;0, P210^2, 0)</f>
        <v>7.50480972219361E-005</v>
      </c>
      <c r="R210" s="5"/>
      <c r="S210" s="5"/>
      <c r="T210" s="5"/>
      <c r="U210" s="5"/>
      <c r="V210" s="5"/>
    </row>
    <row r="211" customFormat="false" ht="13.8" hidden="false" customHeight="false" outlineLevel="0" collapsed="false">
      <c r="A211" s="6" t="n">
        <f aca="false">WORKDAY(A210,1,holiday!$B$2:$B$10)</f>
        <v>39017</v>
      </c>
      <c r="B211" s="24" t="n">
        <v>999927.5587564</v>
      </c>
      <c r="C211" s="24" t="n">
        <f aca="false">B211-B210</f>
        <v>19798.6048685348</v>
      </c>
      <c r="D211" s="5" t="n">
        <f aca="false">C211/B210</f>
        <v>0.0202</v>
      </c>
      <c r="E211" s="5" t="n">
        <f aca="false" t="array" ref="E211:E211">PRODUCT(1+$D$4:D211)-1</f>
        <v>-7.24412435997301E-005</v>
      </c>
      <c r="F211" s="45" t="n">
        <f aca="false">E211/COUNT($E$4:E211)</f>
        <v>-3.48275209614087E-007</v>
      </c>
      <c r="G211" s="5" t="n">
        <f aca="false">F211*252</f>
        <v>-8.776535282275E-005</v>
      </c>
      <c r="H211" s="46" t="str">
        <f aca="false">IF(D211&lt;F211,D211-F211,"")</f>
        <v/>
      </c>
      <c r="I211" s="46" t="str">
        <f aca="false">IF(D211&lt;AVERAGE($D$192:D211),D211-AVERAGE($D$192:D211),"")</f>
        <v/>
      </c>
      <c r="J211" s="0" t="n">
        <f aca="false">IF(ISBLANK(A212),MONTH(A211),IF(MONTH(A212)-MONTH(A211)=1,MONTH(A211),0))</f>
        <v>0</v>
      </c>
      <c r="K211" s="0" t="str">
        <f aca="false">IF(B212&gt;B211,IF(AND(B210&gt;B211,B212&gt;B211),"min",""),IF(AND(B210&gt;B211,B212&gt;B211),"",IF(AND(B210&lt;B211,B212&lt;B211),"max","")))</f>
        <v/>
      </c>
      <c r="L211" s="0" t="str">
        <f aca="false">IF(K211="min",COUNTIF(K$4:K211,"min"),IF(K211="max",COUNTIF(K$4:K211,"max"),""))</f>
        <v/>
      </c>
      <c r="M211" s="24" t="str">
        <f aca="false" t="array" ref="M211:M211">IF($K$3=0,IF(K211="min",INDEX($B$4:$B$254,(MATCH(1,($K$4:$K$254="max")*($L$4:$L$254=(L211-1)),0))),""),IF($K$3=1,IF(K211="min",INDEX($B$4:$B$254,(MATCH(1,($K$4:$K$254="max")*($L$4:$L$254=(L211)),0))),""),""))</f>
        <v/>
      </c>
      <c r="N211" s="29" t="str">
        <f aca="false">IF(AND(K209=0,K211="min",L211=1),B211-B210,IF(K211="min",B211-M211,""))</f>
        <v/>
      </c>
      <c r="O211" s="34" t="str">
        <f aca="false">IF(AND(K209=0,K211="min",L211=1),(B211-B210)/B210,IF(K211="min",(B211-M211)/M211,""))</f>
        <v/>
      </c>
      <c r="P211" s="19" t="n">
        <f aca="false">D211-s_p!H211</f>
        <v>0.0286516370547412</v>
      </c>
      <c r="Q211" s="19" t="n">
        <f aca="false">IF(P211&lt;0, P211^2, 0)</f>
        <v>0</v>
      </c>
      <c r="R211" s="5"/>
      <c r="S211" s="5"/>
      <c r="T211" s="5"/>
      <c r="U211" s="5"/>
      <c r="V211" s="5"/>
    </row>
    <row r="212" customFormat="false" ht="13.8" hidden="false" customHeight="false" outlineLevel="0" collapsed="false">
      <c r="A212" s="6" t="n">
        <f aca="false">WORKDAY(A211,1,holiday!$B$2:$B$10)</f>
        <v>39020</v>
      </c>
      <c r="B212" s="24" t="n">
        <v>1021525.99402554</v>
      </c>
      <c r="C212" s="24" t="n">
        <f aca="false">B212-B211</f>
        <v>21598.4352691382</v>
      </c>
      <c r="D212" s="5" t="n">
        <f aca="false">C212/B211</f>
        <v>0.0216</v>
      </c>
      <c r="E212" s="5" t="n">
        <f aca="false" t="array" ref="E212:E212">PRODUCT(1+$D$4:D212)-1</f>
        <v>0.0215259940255386</v>
      </c>
      <c r="F212" s="45" t="n">
        <f aca="false">E212/COUNT($E$4:E212)</f>
        <v>0.000102995186725065</v>
      </c>
      <c r="G212" s="5" t="n">
        <f aca="false">F212*252</f>
        <v>0.0259547870547164</v>
      </c>
      <c r="H212" s="46" t="str">
        <f aca="false">IF(D212&lt;F212,D212-F212,"")</f>
        <v/>
      </c>
      <c r="I212" s="46" t="str">
        <f aca="false">IF(D212&lt;AVERAGE($D$192:D212),D212-AVERAGE($D$192:D212),"")</f>
        <v/>
      </c>
      <c r="J212" s="0" t="n">
        <f aca="false">IF(ISBLANK(A213),MONTH(A212),IF(MONTH(A213)-MONTH(A212)=1,MONTH(A212),0))</f>
        <v>0</v>
      </c>
      <c r="K212" s="0" t="str">
        <f aca="false">IF(B213&gt;B212,IF(AND(B211&gt;B212,B213&gt;B212),"min",""),IF(AND(B211&gt;B212,B213&gt;B212),"",IF(AND(B211&lt;B212,B213&lt;B212),"max","")))</f>
        <v/>
      </c>
      <c r="L212" s="0" t="str">
        <f aca="false">IF(K212="min",COUNTIF(K$4:K212,"min"),IF(K212="max",COUNTIF(K$4:K212,"max"),""))</f>
        <v/>
      </c>
      <c r="M212" s="24" t="str">
        <f aca="false" t="array" ref="M212:M212">IF($K$3=0,IF(K212="min",INDEX($B$4:$B$254,(MATCH(1,($K$4:$K$254="max")*($L$4:$L$254=(L212-1)),0))),""),IF($K$3=1,IF(K212="min",INDEX($B$4:$B$254,(MATCH(1,($K$4:$K$254="max")*($L$4:$L$254=(L212)),0))),""),""))</f>
        <v/>
      </c>
      <c r="N212" s="29" t="str">
        <f aca="false">IF(AND(K210=0,K212="min",L212=1),B212-B211,IF(K212="min",B212-M212,""))</f>
        <v/>
      </c>
      <c r="O212" s="34" t="str">
        <f aca="false">IF(AND(K210=0,K212="min",L212=1),(B212-B211)/B211,IF(K212="min",(B212-M212)/M212,""))</f>
        <v/>
      </c>
      <c r="P212" s="19" t="n">
        <f aca="false">D212-s_p!H212</f>
        <v>0.0211716380850043</v>
      </c>
      <c r="Q212" s="19" t="n">
        <f aca="false">IF(P212&lt;0, P212^2, 0)</f>
        <v>0</v>
      </c>
      <c r="R212" s="5"/>
      <c r="S212" s="5"/>
      <c r="T212" s="5"/>
      <c r="U212" s="5"/>
      <c r="V212" s="5"/>
    </row>
    <row r="213" customFormat="false" ht="13.8" hidden="false" customHeight="false" outlineLevel="0" collapsed="false">
      <c r="A213" s="6" t="n">
        <f aca="false">WORKDAY(A212,1,holiday!$B$2:$B$10)</f>
        <v>39021</v>
      </c>
      <c r="B213" s="24" t="n">
        <v>1033069.23775803</v>
      </c>
      <c r="C213" s="24" t="n">
        <f aca="false">B213-B212</f>
        <v>11543.2437324886</v>
      </c>
      <c r="D213" s="5" t="n">
        <f aca="false">C213/B212</f>
        <v>0.0113</v>
      </c>
      <c r="E213" s="5" t="n">
        <f aca="false" t="array" ref="E213:E213">PRODUCT(1+$D$4:D213)-1</f>
        <v>0.0330692377580273</v>
      </c>
      <c r="F213" s="45" t="n">
        <f aca="false">E213/COUNT($E$4:E213)</f>
        <v>0.000157472560752511</v>
      </c>
      <c r="G213" s="5" t="n">
        <f aca="false">F213*252</f>
        <v>0.0396830853096327</v>
      </c>
      <c r="H213" s="46" t="str">
        <f aca="false">IF(D213&lt;F213,D213-F213,"")</f>
        <v/>
      </c>
      <c r="I213" s="46" t="str">
        <f aca="false">IF(D213&lt;AVERAGE($D$192:D213),D213-AVERAGE($D$192:D213),"")</f>
        <v/>
      </c>
      <c r="J213" s="0" t="n">
        <f aca="false">IF(ISBLANK(A214),MONTH(A213),IF(MONTH(A214)-MONTH(A213)=1,MONTH(A213),0))</f>
        <v>10</v>
      </c>
      <c r="K213" s="0" t="str">
        <f aca="false">IF(B214&gt;B213,IF(AND(B212&gt;B213,B214&gt;B213),"min",""),IF(AND(B212&gt;B213,B214&gt;B213),"",IF(AND(B212&lt;B213,B214&lt;B213),"max","")))</f>
        <v/>
      </c>
      <c r="L213" s="0" t="str">
        <f aca="false">IF(K213="min",COUNTIF(K$4:K213,"min"),IF(K213="max",COUNTIF(K$4:K213,"max"),""))</f>
        <v/>
      </c>
      <c r="M213" s="24" t="str">
        <f aca="false" t="array" ref="M213:M213">IF($K$3=0,IF(K213="min",INDEX($B$4:$B$254,(MATCH(1,($K$4:$K$254="max")*($L$4:$L$254=(L213-1)),0))),""),IF($K$3=1,IF(K213="min",INDEX($B$4:$B$254,(MATCH(1,($K$4:$K$254="max")*($L$4:$L$254=(L213)),0))),""),""))</f>
        <v/>
      </c>
      <c r="N213" s="29" t="str">
        <f aca="false">IF(AND(K211=0,K213="min",L213=1),B213-B212,IF(K213="min",B213-M213,""))</f>
        <v/>
      </c>
      <c r="O213" s="34" t="str">
        <f aca="false">IF(AND(K211=0,K213="min",L213=1),(B213-B212)/B212,IF(K213="min",(B213-M213)/M213,""))</f>
        <v/>
      </c>
      <c r="P213" s="19" t="n">
        <f aca="false">D213-s_p!H213</f>
        <v>0.0112927427372943</v>
      </c>
      <c r="Q213" s="19" t="n">
        <f aca="false">IF(P213&lt;0, P213^2, 0)</f>
        <v>0</v>
      </c>
      <c r="R213" s="5"/>
      <c r="S213" s="5"/>
      <c r="T213" s="5"/>
      <c r="U213" s="5"/>
      <c r="V213" s="5"/>
    </row>
    <row r="214" customFormat="false" ht="13.8" hidden="false" customHeight="false" outlineLevel="0" collapsed="false">
      <c r="A214" s="6" t="n">
        <f aca="false">WORKDAY(A213,1,holiday!$B$2:$B$10)</f>
        <v>39022</v>
      </c>
      <c r="B214" s="24" t="n">
        <v>1053110.78097053</v>
      </c>
      <c r="C214" s="24" t="n">
        <f aca="false">B214-B213</f>
        <v>20041.5432125056</v>
      </c>
      <c r="D214" s="5" t="n">
        <f aca="false">C214/B213</f>
        <v>0.0193999999999999</v>
      </c>
      <c r="E214" s="5" t="n">
        <f aca="false" t="array" ref="E214:E214">PRODUCT(1+$D$4:D214)-1</f>
        <v>0.0531107809705327</v>
      </c>
      <c r="F214" s="45" t="n">
        <f aca="false">E214/COUNT($E$4:E214)</f>
        <v>0.000251709862419586</v>
      </c>
      <c r="G214" s="5" t="n">
        <f aca="false">F214*252</f>
        <v>0.0634308853297357</v>
      </c>
      <c r="H214" s="46" t="str">
        <f aca="false">IF(D214&lt;F214,D214-F214,"")</f>
        <v/>
      </c>
      <c r="I214" s="46" t="str">
        <f aca="false">IF(D214&lt;AVERAGE($D$214:D214),D214-AVERAGE($D$214:D214),"")</f>
        <v/>
      </c>
      <c r="J214" s="0" t="n">
        <f aca="false">IF(ISBLANK(A215),MONTH(A214),IF(MONTH(A215)-MONTH(A214)=1,MONTH(A214),0))</f>
        <v>0</v>
      </c>
      <c r="K214" s="0" t="str">
        <f aca="false">IF(B215&gt;B214,IF(AND(B213&gt;B214,B215&gt;B214),"min",""),IF(AND(B213&gt;B214,B215&gt;B214),"",IF(AND(B213&lt;B214,B215&lt;B214),"max","")))</f>
        <v/>
      </c>
      <c r="L214" s="0" t="str">
        <f aca="false">IF(K214="min",COUNTIF(K$4:K214,"min"),IF(K214="max",COUNTIF(K$4:K214,"max"),""))</f>
        <v/>
      </c>
      <c r="M214" s="24" t="str">
        <f aca="false" t="array" ref="M214:M214">IF($K$3=0,IF(K214="min",INDEX($B$4:$B$254,(MATCH(1,($K$4:$K$254="max")*($L$4:$L$254=(L214-1)),0))),""),IF($K$3=1,IF(K214="min",INDEX($B$4:$B$254,(MATCH(1,($K$4:$K$254="max")*($L$4:$L$254=(L214)),0))),""),""))</f>
        <v/>
      </c>
      <c r="N214" s="29" t="str">
        <f aca="false">IF(AND(K212=0,K214="min",L214=1),B214-B213,IF(K214="min",B214-M214,""))</f>
        <v/>
      </c>
      <c r="O214" s="34" t="str">
        <f aca="false">IF(AND(K212=0,K214="min",L214=1),(B214-B213)/B213,IF(K214="min",(B214-M214)/M214,""))</f>
        <v/>
      </c>
      <c r="P214" s="19" t="n">
        <f aca="false">D214-s_p!H214</f>
        <v>0.0267515537686692</v>
      </c>
      <c r="Q214" s="19" t="n">
        <f aca="false">IF(P214&lt;0, P214^2, 0)</f>
        <v>0</v>
      </c>
      <c r="R214" s="5"/>
      <c r="S214" s="5"/>
      <c r="T214" s="5"/>
      <c r="U214" s="5"/>
      <c r="V214" s="5"/>
    </row>
    <row r="215" customFormat="false" ht="13.8" hidden="false" customHeight="false" outlineLevel="0" collapsed="false">
      <c r="A215" s="6" t="n">
        <f aca="false">WORKDAY(A214,1,holiday!$B$2:$B$10)</f>
        <v>39023</v>
      </c>
      <c r="B215" s="24" t="n">
        <v>1094392.72358458</v>
      </c>
      <c r="C215" s="24" t="n">
        <f aca="false">B215-B214</f>
        <v>41281.9426140448</v>
      </c>
      <c r="D215" s="5" t="n">
        <f aca="false">C215/B214</f>
        <v>0.0391999999999999</v>
      </c>
      <c r="E215" s="5" t="n">
        <f aca="false" t="array" ref="E215:E215">PRODUCT(1+$D$4:D215)-1</f>
        <v>0.0943927235845774</v>
      </c>
      <c r="F215" s="45" t="n">
        <f aca="false">E215/COUNT($E$4:E215)</f>
        <v>0.000445248696153667</v>
      </c>
      <c r="G215" s="5" t="n">
        <f aca="false">F215*252</f>
        <v>0.112202671430724</v>
      </c>
      <c r="H215" s="46" t="str">
        <f aca="false">IF(D215&lt;F215,D215-F215,"")</f>
        <v/>
      </c>
      <c r="I215" s="46" t="str">
        <f aca="false">IF(D215&lt;AVERAGE($D$214:D215),D215-AVERAGE($D$214:D215),"")</f>
        <v/>
      </c>
      <c r="J215" s="0" t="n">
        <f aca="false">IF(ISBLANK(A216),MONTH(A215),IF(MONTH(A216)-MONTH(A215)=1,MONTH(A215),0))</f>
        <v>0</v>
      </c>
      <c r="K215" s="0" t="str">
        <f aca="false">IF(B216&gt;B215,IF(AND(B214&gt;B215,B216&gt;B215),"min",""),IF(AND(B214&gt;B215,B216&gt;B215),"",IF(AND(B214&lt;B215,B216&lt;B215),"max","")))</f>
        <v/>
      </c>
      <c r="L215" s="0" t="str">
        <f aca="false">IF(K215="min",COUNTIF(K$4:K215,"min"),IF(K215="max",COUNTIF(K$4:K215,"max"),""))</f>
        <v/>
      </c>
      <c r="M215" s="24" t="str">
        <f aca="false" t="array" ref="M215:M215">IF($K$3=0,IF(K215="min",INDEX($B$4:$B$254,(MATCH(1,($K$4:$K$254="max")*($L$4:$L$254=(L215-1)),0))),""),IF($K$3=1,IF(K215="min",INDEX($B$4:$B$254,(MATCH(1,($K$4:$K$254="max")*($L$4:$L$254=(L215)),0))),""),""))</f>
        <v/>
      </c>
      <c r="N215" s="29" t="str">
        <f aca="false">IF(AND(K213=0,K215="min",L215=1),B215-B214,IF(K215="min",B215-M215,""))</f>
        <v/>
      </c>
      <c r="O215" s="34" t="str">
        <f aca="false">IF(AND(K213=0,K215="min",L215=1),(B215-B214)/B214,IF(K215="min",(B215-M215)/M215,""))</f>
        <v/>
      </c>
      <c r="P215" s="19" t="n">
        <f aca="false">D215-s_p!H215</f>
        <v>0.0395436149757641</v>
      </c>
      <c r="Q215" s="19" t="n">
        <f aca="false">IF(P215&lt;0, P215^2, 0)</f>
        <v>0</v>
      </c>
      <c r="R215" s="5"/>
      <c r="S215" s="5"/>
      <c r="T215" s="5"/>
      <c r="U215" s="5"/>
      <c r="V215" s="5"/>
    </row>
    <row r="216" customFormat="false" ht="13.8" hidden="false" customHeight="false" outlineLevel="0" collapsed="false">
      <c r="A216" s="6" t="n">
        <f aca="false">WORKDAY(A215,1,holiday!$B$2:$B$10)</f>
        <v>39024</v>
      </c>
      <c r="B216" s="24" t="n">
        <v>1096143.75194231</v>
      </c>
      <c r="C216" s="24" t="n">
        <f aca="false">B216-B215</f>
        <v>1751.02835773537</v>
      </c>
      <c r="D216" s="5" t="n">
        <f aca="false">C216/B215</f>
        <v>0.00160000000000004</v>
      </c>
      <c r="E216" s="5" t="n">
        <f aca="false" t="array" ref="E216:E216">PRODUCT(1+$D$4:D216)-1</f>
        <v>0.0961437519423127</v>
      </c>
      <c r="F216" s="45" t="n">
        <f aca="false">E216/COUNT($E$4:E216)</f>
        <v>0.00045137911710006</v>
      </c>
      <c r="G216" s="5" t="n">
        <f aca="false">F216*252</f>
        <v>0.113747537509215</v>
      </c>
      <c r="H216" s="46" t="str">
        <f aca="false">IF(D216&lt;F216,D216-F216,"")</f>
        <v/>
      </c>
      <c r="I216" s="46" t="n">
        <f aca="false">IF(D216&lt;AVERAGE($D$214:D216),D216-AVERAGE($D$214:D216),"")</f>
        <v>-0.0184666666666666</v>
      </c>
      <c r="J216" s="0" t="n">
        <f aca="false">IF(ISBLANK(A217),MONTH(A216),IF(MONTH(A217)-MONTH(A216)=1,MONTH(A216),0))</f>
        <v>0</v>
      </c>
      <c r="K216" s="0" t="str">
        <f aca="false">IF(B217&gt;B216,IF(AND(B215&gt;B216,B217&gt;B216),"min",""),IF(AND(B215&gt;B216,B217&gt;B216),"",IF(AND(B215&lt;B216,B217&lt;B216),"max","")))</f>
        <v/>
      </c>
      <c r="L216" s="0" t="str">
        <f aca="false">IF(K216="min",COUNTIF(K$4:K216,"min"),IF(K216="max",COUNTIF(K$4:K216,"max"),""))</f>
        <v/>
      </c>
      <c r="M216" s="24" t="str">
        <f aca="false" t="array" ref="M216:M216">IF($K$3=0,IF(K216="min",INDEX($B$4:$B$254,(MATCH(1,($K$4:$K$254="max")*($L$4:$L$254=(L216-1)),0))),""),IF($K$3=1,IF(K216="min",INDEX($B$4:$B$254,(MATCH(1,($K$4:$K$254="max")*($L$4:$L$254=(L216)),0))),""),""))</f>
        <v/>
      </c>
      <c r="N216" s="29" t="str">
        <f aca="false">IF(AND(K214=0,K216="min",L216=1),B216-B215,IF(K216="min",B216-M216,""))</f>
        <v/>
      </c>
      <c r="O216" s="34" t="str">
        <f aca="false">IF(AND(K214=0,K216="min",L216=1),(B216-B215)/B215,IF(K216="min",(B216-M216)/M216,""))</f>
        <v/>
      </c>
      <c r="P216" s="19" t="n">
        <f aca="false">D216-s_p!H216</f>
        <v>0.0038232948644814</v>
      </c>
      <c r="Q216" s="19" t="n">
        <f aca="false">IF(P216&lt;0, P216^2, 0)</f>
        <v>0</v>
      </c>
      <c r="R216" s="5"/>
      <c r="S216" s="5"/>
      <c r="T216" s="5"/>
      <c r="U216" s="5"/>
      <c r="V216" s="5"/>
    </row>
    <row r="217" customFormat="false" ht="13.8" hidden="false" customHeight="false" outlineLevel="0" collapsed="false">
      <c r="A217" s="6" t="n">
        <f aca="false">WORKDAY(A216,1,holiday!$B$2:$B$10)</f>
        <v>39027</v>
      </c>
      <c r="B217" s="24" t="n">
        <v>1125520.40449437</v>
      </c>
      <c r="C217" s="24" t="n">
        <f aca="false">B217-B216</f>
        <v>29376.652552054</v>
      </c>
      <c r="D217" s="5" t="n">
        <f aca="false">C217/B216</f>
        <v>0.0268</v>
      </c>
      <c r="E217" s="5" t="n">
        <f aca="false" t="array" ref="E217:E217">PRODUCT(1+$D$4:D217)-1</f>
        <v>0.125520404494367</v>
      </c>
      <c r="F217" s="45" t="n">
        <f aca="false">E217/COUNT($E$4:E217)</f>
        <v>0.000586543946235358</v>
      </c>
      <c r="G217" s="5" t="n">
        <f aca="false">F217*252</f>
        <v>0.14780907445131</v>
      </c>
      <c r="H217" s="46" t="str">
        <f aca="false">IF(D217&lt;F217,D217-F217,"")</f>
        <v/>
      </c>
      <c r="I217" s="46" t="str">
        <f aca="false">IF(D217&lt;AVERAGE($D$214:D217),D217-AVERAGE($D$214:D217),"")</f>
        <v/>
      </c>
      <c r="J217" s="0" t="n">
        <f aca="false">IF(ISBLANK(A218),MONTH(A217),IF(MONTH(A218)-MONTH(A217)=1,MONTH(A217),0))</f>
        <v>0</v>
      </c>
      <c r="K217" s="0" t="str">
        <f aca="false">IF(B218&gt;B217,IF(AND(B216&gt;B217,B218&gt;B217),"min",""),IF(AND(B216&gt;B217,B218&gt;B217),"",IF(AND(B216&lt;B217,B218&lt;B217),"max","")))</f>
        <v>max</v>
      </c>
      <c r="L217" s="0" t="n">
        <f aca="false">IF(K217="min",COUNTIF(K$4:K217,"min"),IF(K217="max",COUNTIF(K$4:K217,"max"),""))</f>
        <v>53</v>
      </c>
      <c r="M217" s="24" t="str">
        <f aca="false" t="array" ref="M217:M217">IF($K$3=0,IF(K217="min",INDEX($B$4:$B$254,(MATCH(1,($K$4:$K$254="max")*($L$4:$L$254=(L217-1)),0))),""),IF($K$3=1,IF(K217="min",INDEX($B$4:$B$254,(MATCH(1,($K$4:$K$254="max")*($L$4:$L$254=(L217)),0))),""),""))</f>
        <v/>
      </c>
      <c r="N217" s="29" t="str">
        <f aca="false">IF(AND(K215=0,K217="min",L217=1),B217-B216,IF(K217="min",B217-M217,""))</f>
        <v/>
      </c>
      <c r="O217" s="34" t="str">
        <f aca="false">IF(AND(K215=0,K217="min",L217=1),(B217-B216)/B216,IF(K217="min",(B217-M217)/M217,""))</f>
        <v/>
      </c>
      <c r="P217" s="19" t="n">
        <f aca="false">D217-s_p!H217</f>
        <v>0.0154535219526498</v>
      </c>
      <c r="Q217" s="19" t="n">
        <f aca="false">IF(P217&lt;0, P217^2, 0)</f>
        <v>0</v>
      </c>
      <c r="R217" s="5"/>
      <c r="S217" s="5"/>
      <c r="T217" s="5"/>
      <c r="U217" s="5"/>
      <c r="V217" s="5"/>
    </row>
    <row r="218" customFormat="false" ht="13.8" hidden="false" customHeight="false" outlineLevel="0" collapsed="false">
      <c r="A218" s="6" t="n">
        <f aca="false">WORKDAY(A217,1,holiday!$B$2:$B$10)</f>
        <v>39028</v>
      </c>
      <c r="B218" s="24" t="n">
        <v>1108074.8382247</v>
      </c>
      <c r="C218" s="24" t="n">
        <f aca="false">B218-B217</f>
        <v>-17445.5662696627</v>
      </c>
      <c r="D218" s="5" t="n">
        <f aca="false">C218/B217</f>
        <v>-0.0155</v>
      </c>
      <c r="E218" s="5" t="n">
        <f aca="false" t="array" ref="E218:E218">PRODUCT(1+$D$4:D218)-1</f>
        <v>0.108074838224704</v>
      </c>
      <c r="F218" s="45" t="n">
        <f aca="false">E218/COUNT($E$4:E218)</f>
        <v>0.000502673666161413</v>
      </c>
      <c r="G218" s="5" t="n">
        <f aca="false">F218*252</f>
        <v>0.126673763872676</v>
      </c>
      <c r="H218" s="46" t="n">
        <f aca="false">IF(D218&lt;F218,D218-F218,"")</f>
        <v>-0.0160026736661614</v>
      </c>
      <c r="I218" s="46" t="n">
        <f aca="false">IF(D218&lt;AVERAGE($D$214:D218),D218-AVERAGE($D$214:D218),"")</f>
        <v>-0.0298</v>
      </c>
      <c r="J218" s="0" t="n">
        <f aca="false">IF(ISBLANK(A219),MONTH(A218),IF(MONTH(A219)-MONTH(A218)=1,MONTH(A218),0))</f>
        <v>0</v>
      </c>
      <c r="K218" s="0" t="str">
        <f aca="false">IF(B219&gt;B218,IF(AND(B217&gt;B218,B219&gt;B218),"min",""),IF(AND(B217&gt;B218,B219&gt;B218),"",IF(AND(B217&lt;B218,B219&lt;B218),"max","")))</f>
        <v/>
      </c>
      <c r="L218" s="0" t="str">
        <f aca="false">IF(K218="min",COUNTIF(K$4:K218,"min"),IF(K218="max",COUNTIF(K$4:K218,"max"),""))</f>
        <v/>
      </c>
      <c r="M218" s="24" t="str">
        <f aca="false" t="array" ref="M218:M218">IF($K$3=0,IF(K218="min",INDEX($B$4:$B$254,(MATCH(1,($K$4:$K$254="max")*($L$4:$L$254=(L218-1)),0))),""),IF($K$3=1,IF(K218="min",INDEX($B$4:$B$254,(MATCH(1,($K$4:$K$254="max")*($L$4:$L$254=(L218)),0))),""),""))</f>
        <v/>
      </c>
      <c r="N218" s="29" t="str">
        <f aca="false">IF(AND(K216=0,K218="min",L218=1),B218-B217,IF(K218="min",B218-M218,""))</f>
        <v/>
      </c>
      <c r="O218" s="34" t="str">
        <f aca="false">IF(AND(K216=0,K218="min",L218=1),(B218-B217)/B217,IF(K218="min",(B218-M218)/M218,""))</f>
        <v/>
      </c>
      <c r="P218" s="19" t="n">
        <f aca="false">D218-s_p!H218</f>
        <v>-0.017717744857876</v>
      </c>
      <c r="Q218" s="19" t="n">
        <f aca="false">IF(P218&lt;0, P218^2, 0)</f>
        <v>0.000313918482848791</v>
      </c>
      <c r="R218" s="5"/>
      <c r="S218" s="5"/>
      <c r="T218" s="5"/>
      <c r="U218" s="5"/>
      <c r="V218" s="5"/>
    </row>
    <row r="219" customFormat="false" ht="13.8" hidden="false" customHeight="false" outlineLevel="0" collapsed="false">
      <c r="A219" s="6" t="n">
        <f aca="false">WORKDAY(A218,1,holiday!$B$2:$B$10)</f>
        <v>39029</v>
      </c>
      <c r="B219" s="24" t="n">
        <v>1078156.81759264</v>
      </c>
      <c r="C219" s="24" t="n">
        <f aca="false">B219-B218</f>
        <v>-29918.020632067</v>
      </c>
      <c r="D219" s="5" t="n">
        <f aca="false">C219/B218</f>
        <v>-0.027</v>
      </c>
      <c r="E219" s="5" t="n">
        <f aca="false" t="array" ref="E219:E219">PRODUCT(1+$D$4:D219)-1</f>
        <v>0.0781568175926368</v>
      </c>
      <c r="F219" s="45" t="n">
        <f aca="false">E219/COUNT($E$4:E219)</f>
        <v>0.00036183711848443</v>
      </c>
      <c r="G219" s="5" t="n">
        <f aca="false">F219*252</f>
        <v>0.0911829538580763</v>
      </c>
      <c r="H219" s="46" t="n">
        <f aca="false">IF(D219&lt;F219,D219-F219,"")</f>
        <v>-0.0273618371184844</v>
      </c>
      <c r="I219" s="46" t="n">
        <f aca="false">IF(D219&lt;AVERAGE($D$214:D219),D219-AVERAGE($D$214:D219),"")</f>
        <v>-0.0344166666666666</v>
      </c>
      <c r="J219" s="0" t="n">
        <f aca="false">IF(ISBLANK(A220),MONTH(A219),IF(MONTH(A220)-MONTH(A219)=1,MONTH(A219),0))</f>
        <v>0</v>
      </c>
      <c r="K219" s="0" t="str">
        <f aca="false">IF(B220&gt;B219,IF(AND(B218&gt;B219,B220&gt;B219),"min",""),IF(AND(B218&gt;B219,B220&gt;B219),"",IF(AND(B218&lt;B219,B220&lt;B219),"max","")))</f>
        <v>min</v>
      </c>
      <c r="L219" s="0" t="n">
        <f aca="false">IF(K219="min",COUNTIF(K$4:K219,"min"),IF(K219="max",COUNTIF(K$4:K219,"max"),""))</f>
        <v>54</v>
      </c>
      <c r="M219" s="24" t="n">
        <f aca="false" t="array" ref="M219:M219">IF($K$3=0,IF(K219="min",INDEX($B$4:$B$254,(MATCH(1,($K$4:$K$254="max")*($L$4:$L$254=(L219-1)),0))),""),IF($K$3=1,IF(K219="min",INDEX($B$4:$B$254,(MATCH(1,($K$4:$K$254="max")*($L$4:$L$254=(L219)),0))),""),""))</f>
        <v>1125520.40449437</v>
      </c>
      <c r="N219" s="29" t="n">
        <f aca="false">IF(AND(K217=0,K219="min",L219=1),B219-B218,IF(K219="min",B219-M219,""))</f>
        <v>-47363.5869017302</v>
      </c>
      <c r="O219" s="34" t="n">
        <f aca="false">IF(AND(K217=0,K219="min",L219=1),(B219-B218)/B218,IF(K219="min",(B219-M219)/M219,""))</f>
        <v>-0.0420815000000003</v>
      </c>
      <c r="P219" s="19" t="n">
        <f aca="false">D219-s_p!H219</f>
        <v>-0.0290826704463279</v>
      </c>
      <c r="Q219" s="19" t="n">
        <f aca="false">IF(P219&lt;0, P219^2, 0)</f>
        <v>0.000845801720289714</v>
      </c>
      <c r="R219" s="5"/>
      <c r="S219" s="5"/>
      <c r="T219" s="5"/>
      <c r="U219" s="5"/>
      <c r="V219" s="5"/>
    </row>
    <row r="220" customFormat="false" ht="13.8" hidden="false" customHeight="false" outlineLevel="0" collapsed="false">
      <c r="A220" s="6" t="n">
        <f aca="false">WORKDAY(A219,1,holiday!$B$2:$B$10)</f>
        <v>39030</v>
      </c>
      <c r="B220" s="24" t="n">
        <v>1099719.95394449</v>
      </c>
      <c r="C220" s="24" t="n">
        <f aca="false">B220-B219</f>
        <v>21563.1363518527</v>
      </c>
      <c r="D220" s="5" t="n">
        <f aca="false">C220/B219</f>
        <v>0.02</v>
      </c>
      <c r="E220" s="5" t="n">
        <f aca="false" t="array" ref="E220:E220">PRODUCT(1+$D$4:D220)-1</f>
        <v>0.0997199539444895</v>
      </c>
      <c r="F220" s="45" t="n">
        <f aca="false">E220/COUNT($E$4:E220)</f>
        <v>0.000459538958269537</v>
      </c>
      <c r="G220" s="5" t="n">
        <f aca="false">F220*252</f>
        <v>0.115803817483923</v>
      </c>
      <c r="H220" s="46" t="str">
        <f aca="false">IF(D220&lt;F220,D220-F220,"")</f>
        <v/>
      </c>
      <c r="I220" s="46" t="str">
        <f aca="false">IF(D220&lt;AVERAGE($D$214:D220),D220-AVERAGE($D$214:D220),"")</f>
        <v/>
      </c>
      <c r="J220" s="0" t="n">
        <f aca="false">IF(ISBLANK(A221),MONTH(A220),IF(MONTH(A221)-MONTH(A220)=1,MONTH(A220),0))</f>
        <v>0</v>
      </c>
      <c r="K220" s="0" t="str">
        <f aca="false">IF(B221&gt;B220,IF(AND(B219&gt;B220,B221&gt;B220),"min",""),IF(AND(B219&gt;B220,B221&gt;B220),"",IF(AND(B219&lt;B220,B221&lt;B220),"max","")))</f>
        <v/>
      </c>
      <c r="L220" s="0" t="str">
        <f aca="false">IF(K220="min",COUNTIF(K$4:K220,"min"),IF(K220="max",COUNTIF(K$4:K220,"max"),""))</f>
        <v/>
      </c>
      <c r="M220" s="24" t="str">
        <f aca="false" t="array" ref="M220:M220">IF($K$3=0,IF(K220="min",INDEX($B$4:$B$254,(MATCH(1,($K$4:$K$254="max")*($L$4:$L$254=(L220-1)),0))),""),IF($K$3=1,IF(K220="min",INDEX($B$4:$B$254,(MATCH(1,($K$4:$K$254="max")*($L$4:$L$254=(L220)),0))),""),""))</f>
        <v/>
      </c>
      <c r="N220" s="29" t="str">
        <f aca="false">IF(AND(K218=0,K220="min",L220=1),B220-B219,IF(K220="min",B220-M220,""))</f>
        <v/>
      </c>
      <c r="O220" s="34" t="str">
        <f aca="false">IF(AND(K218=0,K220="min",L220=1),(B220-B219)/B219,IF(K220="min",(B220-M220)/M220,""))</f>
        <v/>
      </c>
      <c r="P220" s="19" t="n">
        <f aca="false">D220-s_p!H220</f>
        <v>0.0253329676991022</v>
      </c>
      <c r="Q220" s="19" t="n">
        <f aca="false">IF(P220&lt;0, P220^2, 0)</f>
        <v>0</v>
      </c>
      <c r="R220" s="5"/>
      <c r="S220" s="5"/>
      <c r="T220" s="5"/>
      <c r="U220" s="5"/>
      <c r="V220" s="5"/>
    </row>
    <row r="221" customFormat="false" ht="13.8" hidden="false" customHeight="false" outlineLevel="0" collapsed="false">
      <c r="A221" s="6" t="n">
        <f aca="false">WORKDAY(A220,1,holiday!$B$2:$B$10)</f>
        <v>39031</v>
      </c>
      <c r="B221" s="24" t="n">
        <v>1123473.90494969</v>
      </c>
      <c r="C221" s="24" t="n">
        <f aca="false">B221-B220</f>
        <v>23753.9510052011</v>
      </c>
      <c r="D221" s="5" t="n">
        <f aca="false">C221/B220</f>
        <v>0.0216000000000001</v>
      </c>
      <c r="E221" s="5" t="n">
        <f aca="false" t="array" ref="E221:E221">PRODUCT(1+$D$4:D221)-1</f>
        <v>0.123473904949691</v>
      </c>
      <c r="F221" s="45" t="n">
        <f aca="false">E221/COUNT($E$4:E221)</f>
        <v>0.000566394059402251</v>
      </c>
      <c r="G221" s="5" t="n">
        <f aca="false">F221*252</f>
        <v>0.142731302969367</v>
      </c>
      <c r="H221" s="46" t="str">
        <f aca="false">IF(D221&lt;F221,D221-F221,"")</f>
        <v/>
      </c>
      <c r="I221" s="46" t="str">
        <f aca="false">IF(D221&lt;AVERAGE($D$214:D221),D221-AVERAGE($D$214:D221),"")</f>
        <v/>
      </c>
      <c r="J221" s="0" t="n">
        <f aca="false">IF(ISBLANK(A222),MONTH(A221),IF(MONTH(A222)-MONTH(A221)=1,MONTH(A221),0))</f>
        <v>0</v>
      </c>
      <c r="K221" s="0" t="str">
        <f aca="false">IF(B222&gt;B221,IF(AND(B220&gt;B221,B222&gt;B221),"min",""),IF(AND(B220&gt;B221,B222&gt;B221),"",IF(AND(B220&lt;B221,B222&lt;B221),"max","")))</f>
        <v>max</v>
      </c>
      <c r="L221" s="0" t="n">
        <f aca="false">IF(K221="min",COUNTIF(K$4:K221,"min"),IF(K221="max",COUNTIF(K$4:K221,"max"),""))</f>
        <v>54</v>
      </c>
      <c r="M221" s="24" t="str">
        <f aca="false" t="array" ref="M221:M221">IF($K$3=0,IF(K221="min",INDEX($B$4:$B$254,(MATCH(1,($K$4:$K$254="max")*($L$4:$L$254=(L221-1)),0))),""),IF($K$3=1,IF(K221="min",INDEX($B$4:$B$254,(MATCH(1,($K$4:$K$254="max")*($L$4:$L$254=(L221)),0))),""),""))</f>
        <v/>
      </c>
      <c r="N221" s="29" t="str">
        <f aca="false">IF(AND(K219=0,K221="min",L221=1),B221-B220,IF(K221="min",B221-M221,""))</f>
        <v/>
      </c>
      <c r="O221" s="34" t="str">
        <f aca="false">IF(AND(K219=0,K221="min",L221=1),(B221-B220)/B220,IF(K221="min",(B221-M221)/M221,""))</f>
        <v/>
      </c>
      <c r="P221" s="19" t="n">
        <f aca="false">D221-s_p!H221</f>
        <v>0.0197354247531432</v>
      </c>
      <c r="Q221" s="19" t="n">
        <f aca="false">IF(P221&lt;0, P221^2, 0)</f>
        <v>0</v>
      </c>
      <c r="R221" s="5"/>
      <c r="S221" s="5"/>
      <c r="T221" s="5"/>
      <c r="U221" s="5"/>
      <c r="V221" s="5"/>
    </row>
    <row r="222" customFormat="false" ht="13.8" hidden="false" customHeight="false" outlineLevel="0" collapsed="false">
      <c r="A222" s="6" t="n">
        <f aca="false">WORKDAY(A221,1,holiday!$B$2:$B$10)</f>
        <v>39034</v>
      </c>
      <c r="B222" s="24" t="n">
        <v>1122462.77843524</v>
      </c>
      <c r="C222" s="24" t="n">
        <f aca="false">B222-B221</f>
        <v>-1011.12651445484</v>
      </c>
      <c r="D222" s="5" t="n">
        <f aca="false">C222/B221</f>
        <v>-0.000900000000000104</v>
      </c>
      <c r="E222" s="5" t="n">
        <f aca="false" t="array" ref="E222:E222">PRODUCT(1+$D$4:D222)-1</f>
        <v>0.122462778435236</v>
      </c>
      <c r="F222" s="45" t="n">
        <f aca="false">E222/COUNT($E$4:E222)</f>
        <v>0.000559190769110666</v>
      </c>
      <c r="G222" s="5" t="n">
        <f aca="false">F222*252</f>
        <v>0.140916073815888</v>
      </c>
      <c r="H222" s="46" t="n">
        <f aca="false">IF(D222&lt;F222,D222-F222,"")</f>
        <v>-0.00145919076911077</v>
      </c>
      <c r="I222" s="46" t="n">
        <f aca="false">IF(D222&lt;AVERAGE($D$214:D222),D222-AVERAGE($D$214:D222),"")</f>
        <v>-0.0103666666666668</v>
      </c>
      <c r="J222" s="0" t="n">
        <f aca="false">IF(ISBLANK(A223),MONTH(A222),IF(MONTH(A223)-MONTH(A222)=1,MONTH(A222),0))</f>
        <v>0</v>
      </c>
      <c r="K222" s="0" t="str">
        <f aca="false">IF(B223&gt;B222,IF(AND(B221&gt;B222,B223&gt;B222),"min",""),IF(AND(B221&gt;B222,B223&gt;B222),"",IF(AND(B221&lt;B222,B223&lt;B222),"max","")))</f>
        <v>min</v>
      </c>
      <c r="L222" s="0" t="n">
        <f aca="false">IF(K222="min",COUNTIF(K$4:K222,"min"),IF(K222="max",COUNTIF(K$4:K222,"max"),""))</f>
        <v>55</v>
      </c>
      <c r="M222" s="24" t="n">
        <f aca="false" t="array" ref="M222:M222">IF($K$3=0,IF(K222="min",INDEX($B$4:$B$254,(MATCH(1,($K$4:$K$254="max")*($L$4:$L$254=(L222-1)),0))),""),IF($K$3=1,IF(K222="min",INDEX($B$4:$B$254,(MATCH(1,($K$4:$K$254="max")*($L$4:$L$254=(L222)),0))),""),""))</f>
        <v>1123473.90494969</v>
      </c>
      <c r="N222" s="29" t="n">
        <f aca="false">IF(AND(K220=0,K222="min",L222=1),B222-B221,IF(K222="min",B222-M222,""))</f>
        <v>-1011.12651444995</v>
      </c>
      <c r="O222" s="34" t="n">
        <f aca="false">IF(AND(K220=0,K222="min",L222=1),(B222-B221)/B221,IF(K222="min",(B222-M222)/M222,""))</f>
        <v>-0.000899999999995752</v>
      </c>
      <c r="P222" s="19" t="n">
        <f aca="false">D222-s_p!H222</f>
        <v>-0.00344906220580785</v>
      </c>
      <c r="Q222" s="19" t="n">
        <f aca="false">IF(P222&lt;0, P222^2, 0)</f>
        <v>1.18960300995321E-005</v>
      </c>
      <c r="R222" s="5"/>
      <c r="S222" s="5"/>
      <c r="T222" s="5"/>
      <c r="U222" s="5"/>
      <c r="V222" s="5"/>
    </row>
    <row r="223" customFormat="false" ht="13.8" hidden="false" customHeight="false" outlineLevel="0" collapsed="false">
      <c r="A223" s="6" t="n">
        <f aca="false">WORKDAY(A222,1,holiday!$B$2:$B$10)</f>
        <v>39035</v>
      </c>
      <c r="B223" s="24" t="n">
        <v>1147156.95956081</v>
      </c>
      <c r="C223" s="24" t="n">
        <f aca="false">B223-B222</f>
        <v>24694.1811255752</v>
      </c>
      <c r="D223" s="5" t="n">
        <f aca="false">C223/B222</f>
        <v>0.022</v>
      </c>
      <c r="E223" s="5" t="n">
        <f aca="false" t="array" ref="E223:E223">PRODUCT(1+$D$4:D223)-1</f>
        <v>0.147156959560811</v>
      </c>
      <c r="F223" s="45" t="n">
        <f aca="false">E223/COUNT($E$4:E223)</f>
        <v>0.00066889527073096</v>
      </c>
      <c r="G223" s="5" t="n">
        <f aca="false">F223*252</f>
        <v>0.168561608224202</v>
      </c>
      <c r="H223" s="46" t="str">
        <f aca="false">IF(D223&lt;F223,D223-F223,"")</f>
        <v/>
      </c>
      <c r="I223" s="46" t="str">
        <f aca="false">IF(D223&lt;AVERAGE($D$214:D223),D223-AVERAGE($D$214:D223),"")</f>
        <v/>
      </c>
      <c r="J223" s="0" t="n">
        <f aca="false">IF(ISBLANK(A224),MONTH(A223),IF(MONTH(A224)-MONTH(A223)=1,MONTH(A223),0))</f>
        <v>0</v>
      </c>
      <c r="K223" s="0" t="str">
        <f aca="false">IF(B224&gt;B223,IF(AND(B222&gt;B223,B224&gt;B223),"min",""),IF(AND(B222&gt;B223,B224&gt;B223),"",IF(AND(B222&lt;B223,B224&lt;B223),"max","")))</f>
        <v/>
      </c>
      <c r="L223" s="0" t="str">
        <f aca="false">IF(K223="min",COUNTIF(K$4:K223,"min"),IF(K223="max",COUNTIF(K$4:K223,"max"),""))</f>
        <v/>
      </c>
      <c r="M223" s="24" t="str">
        <f aca="false" t="array" ref="M223:M223">IF($K$3=0,IF(K223="min",INDEX($B$4:$B$254,(MATCH(1,($K$4:$K$254="max")*($L$4:$L$254=(L223-1)),0))),""),IF($K$3=1,IF(K223="min",INDEX($B$4:$B$254,(MATCH(1,($K$4:$K$254="max")*($L$4:$L$254=(L223)),0))),""),""))</f>
        <v/>
      </c>
      <c r="N223" s="29" t="str">
        <f aca="false">IF(AND(K221=0,K223="min",L223=1),B223-B222,IF(K223="min",B223-M223,""))</f>
        <v/>
      </c>
      <c r="O223" s="34" t="str">
        <f aca="false">IF(AND(K221=0,K223="min",L223=1),(B223-B222)/B222,IF(K223="min",(B223-M223)/M223,""))</f>
        <v/>
      </c>
      <c r="P223" s="19" t="n">
        <f aca="false">D223-s_p!H223</f>
        <v>0.0156435474783665</v>
      </c>
      <c r="Q223" s="19" t="n">
        <f aca="false">IF(P223&lt;0, P223^2, 0)</f>
        <v>0</v>
      </c>
      <c r="R223" s="5"/>
      <c r="S223" s="5"/>
      <c r="T223" s="5"/>
      <c r="U223" s="5"/>
      <c r="V223" s="5"/>
    </row>
    <row r="224" customFormat="false" ht="13.8" hidden="false" customHeight="false" outlineLevel="0" collapsed="false">
      <c r="A224" s="6" t="n">
        <f aca="false">WORKDAY(A223,1,holiday!$B$2:$B$10)</f>
        <v>39036</v>
      </c>
      <c r="B224" s="24" t="n">
        <v>1147156.95956081</v>
      </c>
      <c r="C224" s="24" t="n">
        <f aca="false">B224-B223</f>
        <v>0</v>
      </c>
      <c r="D224" s="5" t="n">
        <f aca="false">C224/B223</f>
        <v>0</v>
      </c>
      <c r="E224" s="5" t="n">
        <f aca="false" t="array" ref="E224:E224">PRODUCT(1+$D$4:D224)-1</f>
        <v>0.147156959560811</v>
      </c>
      <c r="F224" s="45" t="n">
        <f aca="false">E224/COUNT($E$4:E224)</f>
        <v>0.000665868595297788</v>
      </c>
      <c r="G224" s="5" t="n">
        <f aca="false">F224*252</f>
        <v>0.167798886015043</v>
      </c>
      <c r="H224" s="46" t="n">
        <f aca="false">IF(D224&lt;F224,D224-F224,"")</f>
        <v>-0.000665868595297788</v>
      </c>
      <c r="I224" s="46" t="n">
        <f aca="false">IF(D224&lt;AVERAGE($D$214:D224),D224-AVERAGE($D$214:D224),"")</f>
        <v>-0.00974545454545453</v>
      </c>
      <c r="J224" s="0" t="n">
        <f aca="false">IF(ISBLANK(A225),MONTH(A224),IF(MONTH(A225)-MONTH(A224)=1,MONTH(A224),0))</f>
        <v>0</v>
      </c>
      <c r="K224" s="0" t="str">
        <f aca="false">IF(B225&gt;B224,IF(AND(B223&gt;B224,B225&gt;B224),"min",""),IF(AND(B223&gt;B224,B225&gt;B224),"",IF(AND(B223&lt;B224,B225&lt;B224),"max","")))</f>
        <v/>
      </c>
      <c r="L224" s="0" t="str">
        <f aca="false">IF(K224="min",COUNTIF(K$4:K224,"min"),IF(K224="max",COUNTIF(K$4:K224,"max"),""))</f>
        <v/>
      </c>
      <c r="M224" s="24" t="str">
        <f aca="false" t="array" ref="M224:M224">IF($K$3=0,IF(K224="min",INDEX($B$4:$B$254,(MATCH(1,($K$4:$K$254="max")*($L$4:$L$254=(L224-1)),0))),""),IF($K$3=1,IF(K224="min",INDEX($B$4:$B$254,(MATCH(1,($K$4:$K$254="max")*($L$4:$L$254=(L224)),0))),""),""))</f>
        <v/>
      </c>
      <c r="N224" s="29" t="str">
        <f aca="false">IF(AND(K222=0,K224="min",L224=1),B224-B223,IF(K224="min",B224-M224,""))</f>
        <v/>
      </c>
      <c r="O224" s="34" t="str">
        <f aca="false">IF(AND(K222=0,K224="min",L224=1),(B224-B223)/B223,IF(K224="min",(B224-M224)/M224,""))</f>
        <v/>
      </c>
      <c r="P224" s="19" t="n">
        <f aca="false">D224-s_p!H224</f>
        <v>-0.00240450180158192</v>
      </c>
      <c r="Q224" s="19" t="n">
        <f aca="false">IF(P224&lt;0, P224^2, 0)</f>
        <v>5.7816289138107E-006</v>
      </c>
      <c r="R224" s="5"/>
      <c r="S224" s="5"/>
      <c r="T224" s="5"/>
      <c r="U224" s="5"/>
      <c r="V224" s="5"/>
    </row>
    <row r="225" customFormat="false" ht="13.8" hidden="false" customHeight="false" outlineLevel="0" collapsed="false">
      <c r="A225" s="6" t="n">
        <f aca="false">WORKDAY(A224,1,holiday!$B$2:$B$10)</f>
        <v>39037</v>
      </c>
      <c r="B225" s="24" t="n">
        <v>1194190.3949028</v>
      </c>
      <c r="C225" s="24" t="n">
        <f aca="false">B225-B224</f>
        <v>47033.4353419934</v>
      </c>
      <c r="D225" s="5" t="n">
        <f aca="false">C225/B224</f>
        <v>0.0410000000000001</v>
      </c>
      <c r="E225" s="5" t="n">
        <f aca="false" t="array" ref="E225:E225">PRODUCT(1+$D$4:D225)-1</f>
        <v>0.194190394902805</v>
      </c>
      <c r="F225" s="45" t="n">
        <f aca="false">E225/COUNT($E$4:E225)</f>
        <v>0.000874731508571192</v>
      </c>
      <c r="G225" s="5" t="n">
        <f aca="false">F225*252</f>
        <v>0.22043234015994</v>
      </c>
      <c r="H225" s="46" t="str">
        <f aca="false">IF(D225&lt;F225,D225-F225,"")</f>
        <v/>
      </c>
      <c r="I225" s="46" t="str">
        <f aca="false">IF(D225&lt;AVERAGE($D$214:D225),D225-AVERAGE($D$214:D225),"")</f>
        <v/>
      </c>
      <c r="J225" s="0" t="n">
        <f aca="false">IF(ISBLANK(A226),MONTH(A225),IF(MONTH(A226)-MONTH(A225)=1,MONTH(A225),0))</f>
        <v>0</v>
      </c>
      <c r="K225" s="0" t="str">
        <f aca="false">IF(B226&gt;B225,IF(AND(B224&gt;B225,B226&gt;B225),"min",""),IF(AND(B224&gt;B225,B226&gt;B225),"",IF(AND(B224&lt;B225,B226&lt;B225),"max","")))</f>
        <v/>
      </c>
      <c r="L225" s="0" t="str">
        <f aca="false">IF(K225="min",COUNTIF(K$4:K225,"min"),IF(K225="max",COUNTIF(K$4:K225,"max"),""))</f>
        <v/>
      </c>
      <c r="M225" s="24" t="str">
        <f aca="false" t="array" ref="M225:M225">IF($K$3=0,IF(K225="min",INDEX($B$4:$B$254,(MATCH(1,($K$4:$K$254="max")*($L$4:$L$254=(L225-1)),0))),""),IF($K$3=1,IF(K225="min",INDEX($B$4:$B$254,(MATCH(1,($K$4:$K$254="max")*($L$4:$L$254=(L225)),0))),""),""))</f>
        <v/>
      </c>
      <c r="N225" s="29" t="str">
        <f aca="false">IF(AND(K223=0,K225="min",L225=1),B225-B224,IF(K225="min",B225-M225,""))</f>
        <v/>
      </c>
      <c r="O225" s="34" t="str">
        <f aca="false">IF(AND(K223=0,K225="min",L225=1),(B225-B224)/B224,IF(K225="min",(B225-M225)/M225,""))</f>
        <v/>
      </c>
      <c r="P225" s="19" t="n">
        <f aca="false">D225-s_p!H225</f>
        <v>0.0387158323607123</v>
      </c>
      <c r="Q225" s="19" t="n">
        <f aca="false">IF(P225&lt;0, P225^2, 0)</f>
        <v>0</v>
      </c>
      <c r="R225" s="5"/>
      <c r="S225" s="5"/>
      <c r="T225" s="5"/>
      <c r="U225" s="5"/>
      <c r="V225" s="5"/>
    </row>
    <row r="226" customFormat="false" ht="13.8" hidden="false" customHeight="false" outlineLevel="0" collapsed="false">
      <c r="A226" s="6" t="n">
        <f aca="false">WORKDAY(A225,1,holiday!$B$2:$B$10)</f>
        <v>39038</v>
      </c>
      <c r="B226" s="24" t="n">
        <v>1210073.12715501</v>
      </c>
      <c r="C226" s="24" t="n">
        <f aca="false">B226-B225</f>
        <v>15882.7322522074</v>
      </c>
      <c r="D226" s="5" t="n">
        <f aca="false">C226/B225</f>
        <v>0.0133</v>
      </c>
      <c r="E226" s="5" t="n">
        <f aca="false" t="array" ref="E226:E226">PRODUCT(1+$D$4:D226)-1</f>
        <v>0.210073127155012</v>
      </c>
      <c r="F226" s="45" t="n">
        <f aca="false">E226/COUNT($E$4:E226)</f>
        <v>0.000942031960336376</v>
      </c>
      <c r="G226" s="5" t="n">
        <f aca="false">F226*252</f>
        <v>0.237392054004767</v>
      </c>
      <c r="H226" s="46" t="str">
        <f aca="false">IF(D226&lt;F226,D226-F226,"")</f>
        <v/>
      </c>
      <c r="I226" s="46" t="str">
        <f aca="false">IF(D226&lt;AVERAGE($D$214:D226),D226-AVERAGE($D$214:D226),"")</f>
        <v/>
      </c>
      <c r="J226" s="0" t="n">
        <f aca="false">IF(ISBLANK(A227),MONTH(A226),IF(MONTH(A227)-MONTH(A226)=1,MONTH(A226),0))</f>
        <v>0</v>
      </c>
      <c r="K226" s="0" t="str">
        <f aca="false">IF(B227&gt;B226,IF(AND(B225&gt;B226,B227&gt;B226),"min",""),IF(AND(B225&gt;B226,B227&gt;B226),"",IF(AND(B225&lt;B226,B227&lt;B226),"max","")))</f>
        <v>max</v>
      </c>
      <c r="L226" s="0" t="n">
        <f aca="false">IF(K226="min",COUNTIF(K$4:K226,"min"),IF(K226="max",COUNTIF(K$4:K226,"max"),""))</f>
        <v>55</v>
      </c>
      <c r="M226" s="24" t="str">
        <f aca="false" t="array" ref="M226:M226">IF($K$3=0,IF(K226="min",INDEX($B$4:$B$254,(MATCH(1,($K$4:$K$254="max")*($L$4:$L$254=(L226-1)),0))),""),IF($K$3=1,IF(K226="min",INDEX($B$4:$B$254,(MATCH(1,($K$4:$K$254="max")*($L$4:$L$254=(L226)),0))),""),""))</f>
        <v/>
      </c>
      <c r="N226" s="29" t="str">
        <f aca="false">IF(AND(K224=0,K226="min",L226=1),B226-B225,IF(K226="min",B226-M226,""))</f>
        <v/>
      </c>
      <c r="O226" s="34" t="str">
        <f aca="false">IF(AND(K224=0,K226="min",L226=1),(B226-B225)/B225,IF(K226="min",(B226-M226)/M226,""))</f>
        <v/>
      </c>
      <c r="P226" s="19" t="n">
        <f aca="false">D226-s_p!H226</f>
        <v>0.0122712522146655</v>
      </c>
      <c r="Q226" s="19" t="n">
        <f aca="false">IF(P226&lt;0, P226^2, 0)</f>
        <v>0</v>
      </c>
      <c r="R226" s="5"/>
      <c r="S226" s="5"/>
      <c r="T226" s="5"/>
      <c r="U226" s="5"/>
      <c r="V226" s="5"/>
    </row>
    <row r="227" customFormat="false" ht="13.8" hidden="false" customHeight="false" outlineLevel="0" collapsed="false">
      <c r="A227" s="6" t="n">
        <f aca="false">WORKDAY(A226,1,holiday!$B$2:$B$10)</f>
        <v>39041</v>
      </c>
      <c r="B227" s="24" t="n">
        <v>1163848.33369769</v>
      </c>
      <c r="C227" s="24" t="n">
        <f aca="false">B227-B226</f>
        <v>-46224.7934573214</v>
      </c>
      <c r="D227" s="5" t="n">
        <f aca="false">C227/B226</f>
        <v>-0.0381999999999999</v>
      </c>
      <c r="E227" s="5" t="n">
        <f aca="false" t="array" ref="E227:E227">PRODUCT(1+$D$4:D227)-1</f>
        <v>0.163848333697691</v>
      </c>
      <c r="F227" s="45" t="n">
        <f aca="false">E227/COUNT($E$4:E227)</f>
        <v>0.000731465775436119</v>
      </c>
      <c r="G227" s="5" t="n">
        <f aca="false">F227*252</f>
        <v>0.184329375409902</v>
      </c>
      <c r="H227" s="46" t="n">
        <f aca="false">IF(D227&lt;F227,D227-F227,"")</f>
        <v>-0.038931465775436</v>
      </c>
      <c r="I227" s="46" t="n">
        <f aca="false">IF(D227&lt;AVERAGE($D$214:D227),D227-AVERAGE($D$214:D227),"")</f>
        <v>-0.0470071428571428</v>
      </c>
      <c r="J227" s="0" t="n">
        <f aca="false">IF(ISBLANK(A228),MONTH(A227),IF(MONTH(A228)-MONTH(A227)=1,MONTH(A227),0))</f>
        <v>0</v>
      </c>
      <c r="K227" s="0" t="str">
        <f aca="false">IF(B228&gt;B227,IF(AND(B226&gt;B227,B228&gt;B227),"min",""),IF(AND(B226&gt;B227,B228&gt;B227),"",IF(AND(B226&lt;B227,B228&lt;B227),"max","")))</f>
        <v>min</v>
      </c>
      <c r="L227" s="0" t="n">
        <f aca="false">IF(K227="min",COUNTIF(K$4:K227,"min"),IF(K227="max",COUNTIF(K$4:K227,"max"),""))</f>
        <v>56</v>
      </c>
      <c r="M227" s="24" t="n">
        <f aca="false" t="array" ref="M227:M227">IF($K$3=0,IF(K227="min",INDEX($B$4:$B$254,(MATCH(1,($K$4:$K$254="max")*($L$4:$L$254=(L227-1)),0))),""),IF($K$3=1,IF(K227="min",INDEX($B$4:$B$254,(MATCH(1,($K$4:$K$254="max")*($L$4:$L$254=(L227)),0))),""),""))</f>
        <v>1210073.12715501</v>
      </c>
      <c r="N227" s="29" t="n">
        <f aca="false">IF(AND(K225=0,K227="min",L227=1),B227-B226,IF(K227="min",B227-M227,""))</f>
        <v>-46224.79345732</v>
      </c>
      <c r="O227" s="34" t="n">
        <f aca="false">IF(AND(K225=0,K227="min",L227=1),(B227-B226)/B226,IF(K227="min",(B227-M227)/M227,""))</f>
        <v>-0.0381999999999988</v>
      </c>
      <c r="P227" s="19" t="n">
        <f aca="false">D227-s_p!H227</f>
        <v>-0.0377004282043961</v>
      </c>
      <c r="Q227" s="19" t="n">
        <f aca="false">IF(P227&lt;0, P227^2, 0)</f>
        <v>0.00142132228679483</v>
      </c>
      <c r="R227" s="5"/>
      <c r="S227" s="5"/>
      <c r="T227" s="5"/>
      <c r="U227" s="5"/>
      <c r="V227" s="5"/>
    </row>
    <row r="228" customFormat="false" ht="13.8" hidden="false" customHeight="false" outlineLevel="0" collapsed="false">
      <c r="A228" s="6" t="n">
        <f aca="false">WORKDAY(A227,1,holiday!$B$2:$B$10)</f>
        <v>39042</v>
      </c>
      <c r="B228" s="24" t="n">
        <v>1221458.82621573</v>
      </c>
      <c r="C228" s="24" t="n">
        <f aca="false">B228-B227</f>
        <v>57610.4925180357</v>
      </c>
      <c r="D228" s="5" t="n">
        <f aca="false">C228/B227</f>
        <v>0.0495</v>
      </c>
      <c r="E228" s="5" t="n">
        <f aca="false" t="array" ref="E228:E228">PRODUCT(1+$D$4:D228)-1</f>
        <v>0.221458826215726</v>
      </c>
      <c r="F228" s="45" t="n">
        <f aca="false">E228/COUNT($E$4:E228)</f>
        <v>0.000984261449847672</v>
      </c>
      <c r="G228" s="5" t="n">
        <f aca="false">F228*252</f>
        <v>0.248033885361613</v>
      </c>
      <c r="H228" s="46" t="str">
        <f aca="false">IF(D228&lt;F228,D228-F228,"")</f>
        <v/>
      </c>
      <c r="I228" s="46" t="str">
        <f aca="false">IF(D228&lt;AVERAGE($D$214:D228),D228-AVERAGE($D$214:D228),"")</f>
        <v/>
      </c>
      <c r="J228" s="0" t="n">
        <f aca="false">IF(ISBLANK(A229),MONTH(A228),IF(MONTH(A229)-MONTH(A228)=1,MONTH(A228),0))</f>
        <v>0</v>
      </c>
      <c r="K228" s="0" t="str">
        <f aca="false">IF(B229&gt;B228,IF(AND(B227&gt;B228,B229&gt;B228),"min",""),IF(AND(B227&gt;B228,B229&gt;B228),"",IF(AND(B227&lt;B228,B229&lt;B228),"max","")))</f>
        <v>max</v>
      </c>
      <c r="L228" s="0" t="n">
        <f aca="false">IF(K228="min",COUNTIF(K$4:K228,"min"),IF(K228="max",COUNTIF(K$4:K228,"max"),""))</f>
        <v>56</v>
      </c>
      <c r="M228" s="24" t="str">
        <f aca="false" t="array" ref="M228:M228">IF($K$3=0,IF(K228="min",INDEX($B$4:$B$254,(MATCH(1,($K$4:$K$254="max")*($L$4:$L$254=(L228-1)),0))),""),IF($K$3=1,IF(K228="min",INDEX($B$4:$B$254,(MATCH(1,($K$4:$K$254="max")*($L$4:$L$254=(L228)),0))),""),""))</f>
        <v/>
      </c>
      <c r="N228" s="29" t="str">
        <f aca="false">IF(AND(K226=0,K228="min",L228=1),B228-B227,IF(K228="min",B228-M228,""))</f>
        <v/>
      </c>
      <c r="O228" s="34" t="str">
        <f aca="false">IF(AND(K226=0,K228="min",L228=1),(B228-B227)/B227,IF(K228="min",(B228-M228)/M228,""))</f>
        <v/>
      </c>
      <c r="P228" s="19" t="n">
        <f aca="false">D228-s_p!H228</f>
        <v>0.0478505890753304</v>
      </c>
      <c r="Q228" s="19" t="n">
        <f aca="false">IF(P228&lt;0, P228^2, 0)</f>
        <v>0</v>
      </c>
      <c r="R228" s="5"/>
      <c r="S228" s="5"/>
      <c r="T228" s="5"/>
      <c r="U228" s="5"/>
      <c r="V228" s="5"/>
    </row>
    <row r="229" customFormat="false" ht="13.8" hidden="false" customHeight="false" outlineLevel="0" collapsed="false">
      <c r="A229" s="6" t="n">
        <f aca="false">WORKDAY(A228,1,holiday!$B$2:$B$10)</f>
        <v>39043</v>
      </c>
      <c r="B229" s="24" t="n">
        <v>1194464.58615636</v>
      </c>
      <c r="C229" s="24" t="n">
        <f aca="false">B229-B228</f>
        <v>-26994.2400593676</v>
      </c>
      <c r="D229" s="5" t="n">
        <f aca="false">C229/B228</f>
        <v>-0.0221000000000001</v>
      </c>
      <c r="E229" s="5" t="n">
        <f aca="false" t="array" ref="E229:E229">PRODUCT(1+$D$4:D229)-1</f>
        <v>0.194464586156359</v>
      </c>
      <c r="F229" s="45" t="n">
        <f aca="false">E229/COUNT($E$4:E229)</f>
        <v>0.000860462770603356</v>
      </c>
      <c r="G229" s="5" t="n">
        <f aca="false">F229*252</f>
        <v>0.216836618192046</v>
      </c>
      <c r="H229" s="46" t="n">
        <f aca="false">IF(D229&lt;F229,D229-F229,"")</f>
        <v>-0.0229604627706035</v>
      </c>
      <c r="I229" s="46" t="n">
        <f aca="false">IF(D229&lt;AVERAGE($D$214:D229),D229-AVERAGE($D$214:D229),"")</f>
        <v>-0.0315187500000001</v>
      </c>
      <c r="J229" s="0" t="n">
        <f aca="false">IF(ISBLANK(A230),MONTH(A229),IF(MONTH(A230)-MONTH(A229)=1,MONTH(A229),0))</f>
        <v>0</v>
      </c>
      <c r="K229" s="0" t="str">
        <f aca="false">IF(B230&gt;B229,IF(AND(B228&gt;B229,B230&gt;B229),"min",""),IF(AND(B228&gt;B229,B230&gt;B229),"",IF(AND(B228&lt;B229,B230&lt;B229),"max","")))</f>
        <v/>
      </c>
      <c r="L229" s="0" t="str">
        <f aca="false">IF(K229="min",COUNTIF(K$4:K229,"min"),IF(K229="max",COUNTIF(K$4:K229,"max"),""))</f>
        <v/>
      </c>
      <c r="M229" s="24" t="str">
        <f aca="false" t="array" ref="M229:M229">IF($K$3=0,IF(K229="min",INDEX($B$4:$B$254,(MATCH(1,($K$4:$K$254="max")*($L$4:$L$254=(L229-1)),0))),""),IF($K$3=1,IF(K229="min",INDEX($B$4:$B$254,(MATCH(1,($K$4:$K$254="max")*($L$4:$L$254=(L229)),0))),""),""))</f>
        <v/>
      </c>
      <c r="N229" s="29" t="str">
        <f aca="false">IF(AND(K227=0,K229="min",L229=1),B229-B228,IF(K229="min",B229-M229,""))</f>
        <v/>
      </c>
      <c r="O229" s="34" t="str">
        <f aca="false">IF(AND(K227=0,K229="min",L229=1),(B229-B228)/B228,IF(K229="min",(B229-M229)/M229,""))</f>
        <v/>
      </c>
      <c r="P229" s="19" t="n">
        <f aca="false">D229-s_p!H229</f>
        <v>-0.0244381641134579</v>
      </c>
      <c r="Q229" s="19" t="n">
        <f aca="false">IF(P229&lt;0, P229^2, 0)</f>
        <v>0.000597223865236302</v>
      </c>
      <c r="R229" s="5"/>
      <c r="S229" s="5"/>
      <c r="T229" s="5"/>
      <c r="U229" s="5"/>
      <c r="V229" s="5"/>
    </row>
    <row r="230" customFormat="false" ht="13.8" hidden="false" customHeight="false" outlineLevel="0" collapsed="false">
      <c r="A230" s="6" t="n">
        <f aca="false">WORKDAY(A229,1,holiday!$B$2:$B$10)</f>
        <v>39045</v>
      </c>
      <c r="B230" s="24" t="n">
        <v>1155166.70127181</v>
      </c>
      <c r="C230" s="24" t="n">
        <f aca="false">B230-B229</f>
        <v>-39297.8848845442</v>
      </c>
      <c r="D230" s="5" t="n">
        <f aca="false">C230/B229</f>
        <v>-0.0329</v>
      </c>
      <c r="E230" s="5" t="n">
        <f aca="false" t="array" ref="E230:E230">PRODUCT(1+$D$4:D230)-1</f>
        <v>0.155166701271814</v>
      </c>
      <c r="F230" s="45" t="n">
        <f aca="false">E230/COUNT($E$4:E230)</f>
        <v>0.000683553750096098</v>
      </c>
      <c r="G230" s="5" t="n">
        <f aca="false">F230*252</f>
        <v>0.172255545024217</v>
      </c>
      <c r="H230" s="46" t="n">
        <f aca="false">IF(D230&lt;F230,D230-F230,"")</f>
        <v>-0.0335835537500961</v>
      </c>
      <c r="I230" s="46" t="n">
        <f aca="false">IF(D230&lt;AVERAGE($D$214:D230),D230-AVERAGE($D$214:D230),"")</f>
        <v>-0.0398294117647059</v>
      </c>
      <c r="J230" s="0" t="n">
        <f aca="false">IF(ISBLANK(A231),MONTH(A230),IF(MONTH(A231)-MONTH(A230)=1,MONTH(A230),0))</f>
        <v>0</v>
      </c>
      <c r="K230" s="0" t="str">
        <f aca="false">IF(B231&gt;B230,IF(AND(B229&gt;B230,B231&gt;B230),"min",""),IF(AND(B229&gt;B230,B231&gt;B230),"",IF(AND(B229&lt;B230,B231&lt;B230),"max","")))</f>
        <v/>
      </c>
      <c r="L230" s="0" t="str">
        <f aca="false">IF(K230="min",COUNTIF(K$4:K230,"min"),IF(K230="max",COUNTIF(K$4:K230,"max"),""))</f>
        <v/>
      </c>
      <c r="M230" s="24" t="str">
        <f aca="false" t="array" ref="M230:M230">IF($K$3=0,IF(K230="min",INDEX($B$4:$B$254,(MATCH(1,($K$4:$K$254="max")*($L$4:$L$254=(L230-1)),0))),""),IF($K$3=1,IF(K230="min",INDEX($B$4:$B$254,(MATCH(1,($K$4:$K$254="max")*($L$4:$L$254=(L230)),0))),""),""))</f>
        <v/>
      </c>
      <c r="N230" s="29" t="str">
        <f aca="false">IF(AND(K228=0,K230="min",L230=1),B230-B229,IF(K230="min",B230-M230,""))</f>
        <v/>
      </c>
      <c r="O230" s="34" t="str">
        <f aca="false">IF(AND(K228=0,K230="min",L230=1),(B230-B229)/B229,IF(K230="min",(B230-M230)/M230,""))</f>
        <v/>
      </c>
      <c r="P230" s="19" t="n">
        <f aca="false">D230-s_p!H230</f>
        <v>-0.029244472971147</v>
      </c>
      <c r="Q230" s="19" t="n">
        <f aca="false">IF(P230&lt;0, P230^2, 0)</f>
        <v>0.000855239199360148</v>
      </c>
      <c r="R230" s="5"/>
      <c r="S230" s="5"/>
      <c r="T230" s="5"/>
      <c r="U230" s="5"/>
      <c r="V230" s="5"/>
    </row>
    <row r="231" customFormat="false" ht="13.8" hidden="false" customHeight="false" outlineLevel="0" collapsed="false">
      <c r="A231" s="6" t="n">
        <f aca="false">WORKDAY(A230,1,holiday!$B$2:$B$10)</f>
        <v>39048</v>
      </c>
      <c r="B231" s="24" t="n">
        <v>1151354.65115762</v>
      </c>
      <c r="C231" s="24" t="n">
        <f aca="false">B231-B230</f>
        <v>-3812.05011419696</v>
      </c>
      <c r="D231" s="5" t="n">
        <f aca="false">C231/B230</f>
        <v>-0.00329999999999997</v>
      </c>
      <c r="E231" s="5" t="n">
        <f aca="false" t="array" ref="E231:E231">PRODUCT(1+$D$4:D231)-1</f>
        <v>0.151354651157617</v>
      </c>
      <c r="F231" s="45" t="n">
        <f aca="false">E231/COUNT($E$4:E231)</f>
        <v>0.000663836189287795</v>
      </c>
      <c r="G231" s="5" t="n">
        <f aca="false">F231*252</f>
        <v>0.167286719700524</v>
      </c>
      <c r="H231" s="46" t="n">
        <f aca="false">IF(D231&lt;F231,D231-F231,"")</f>
        <v>-0.00396383618928777</v>
      </c>
      <c r="I231" s="46" t="n">
        <f aca="false">IF(D231&lt;AVERAGE($D$214:D231),D231-AVERAGE($D$214:D231),"")</f>
        <v>-0.00966111111111109</v>
      </c>
      <c r="J231" s="0" t="n">
        <f aca="false">IF(ISBLANK(A232),MONTH(A231),IF(MONTH(A232)-MONTH(A231)=1,MONTH(A231),0))</f>
        <v>0</v>
      </c>
      <c r="K231" s="0" t="str">
        <f aca="false">IF(B232&gt;B231,IF(AND(B230&gt;B231,B232&gt;B231),"min",""),IF(AND(B230&gt;B231,B232&gt;B231),"",IF(AND(B230&lt;B231,B232&lt;B231),"max","")))</f>
        <v/>
      </c>
      <c r="L231" s="0" t="str">
        <f aca="false">IF(K231="min",COUNTIF(K$4:K231,"min"),IF(K231="max",COUNTIF(K$4:K231,"max"),""))</f>
        <v/>
      </c>
      <c r="M231" s="24" t="str">
        <f aca="false" t="array" ref="M231:M231">IF($K$3=0,IF(K231="min",INDEX($B$4:$B$254,(MATCH(1,($K$4:$K$254="max")*($L$4:$L$254=(L231-1)),0))),""),IF($K$3=1,IF(K231="min",INDEX($B$4:$B$254,(MATCH(1,($K$4:$K$254="max")*($L$4:$L$254=(L231)),0))),""),""))</f>
        <v/>
      </c>
      <c r="N231" s="29" t="str">
        <f aca="false">IF(AND(K229=0,K231="min",L231=1),B231-B230,IF(K231="min",B231-M231,""))</f>
        <v/>
      </c>
      <c r="O231" s="34" t="str">
        <f aca="false">IF(AND(K229=0,K231="min",L231=1),(B231-B230)/B230,IF(K231="min",(B231-M231)/M231,""))</f>
        <v/>
      </c>
      <c r="P231" s="19" t="n">
        <f aca="false">D231-s_p!H231</f>
        <v>0.0102550876191156</v>
      </c>
      <c r="Q231" s="19" t="n">
        <f aca="false">IF(P231&lt;0, P231^2, 0)</f>
        <v>0</v>
      </c>
      <c r="R231" s="5"/>
      <c r="S231" s="5"/>
      <c r="T231" s="5"/>
      <c r="U231" s="5"/>
      <c r="V231" s="5"/>
    </row>
    <row r="232" customFormat="false" ht="13.8" hidden="false" customHeight="false" outlineLevel="0" collapsed="false">
      <c r="A232" s="6" t="n">
        <f aca="false">WORKDAY(A231,1,holiday!$B$2:$B$10)</f>
        <v>39049</v>
      </c>
      <c r="B232" s="24" t="n">
        <v>1141107.59476231</v>
      </c>
      <c r="C232" s="24" t="n">
        <f aca="false">B232-B231</f>
        <v>-10247.0563953028</v>
      </c>
      <c r="D232" s="5" t="n">
        <f aca="false">C232/B231</f>
        <v>-0.00889999999999997</v>
      </c>
      <c r="E232" s="5" t="n">
        <f aca="false" t="array" ref="E232:E232">PRODUCT(1+$D$4:D232)-1</f>
        <v>0.141107594762314</v>
      </c>
      <c r="F232" s="45" t="n">
        <f aca="false">E232/COUNT($E$4:E232)</f>
        <v>0.000616190370141111</v>
      </c>
      <c r="G232" s="5" t="n">
        <f aca="false">F232*252</f>
        <v>0.15527997327556</v>
      </c>
      <c r="H232" s="46" t="n">
        <f aca="false">IF(D232&lt;F232,D232-F232,"")</f>
        <v>-0.00951619037014108</v>
      </c>
      <c r="I232" s="46" t="n">
        <f aca="false">IF(D232&lt;AVERAGE($D$214:D232),D232-AVERAGE($D$214:D232),"")</f>
        <v>-0.0144578947368421</v>
      </c>
      <c r="J232" s="0" t="n">
        <f aca="false">IF(ISBLANK(A233),MONTH(A232),IF(MONTH(A233)-MONTH(A232)=1,MONTH(A232),0))</f>
        <v>0</v>
      </c>
      <c r="K232" s="0" t="str">
        <f aca="false">IF(B233&gt;B232,IF(AND(B231&gt;B232,B233&gt;B232),"min",""),IF(AND(B231&gt;B232,B233&gt;B232),"",IF(AND(B231&lt;B232,B233&lt;B232),"max","")))</f>
        <v/>
      </c>
      <c r="L232" s="0" t="str">
        <f aca="false">IF(K232="min",COUNTIF(K$4:K232,"min"),IF(K232="max",COUNTIF(K$4:K232,"max"),""))</f>
        <v/>
      </c>
      <c r="M232" s="24" t="str">
        <f aca="false" t="array" ref="M232:M232">IF($K$3=0,IF(K232="min",INDEX($B$4:$B$254,(MATCH(1,($K$4:$K$254="max")*($L$4:$L$254=(L232-1)),0))),""),IF($K$3=1,IF(K232="min",INDEX($B$4:$B$254,(MATCH(1,($K$4:$K$254="max")*($L$4:$L$254=(L232)),0))),""),""))</f>
        <v/>
      </c>
      <c r="N232" s="29" t="str">
        <f aca="false">IF(AND(K230=0,K232="min",L232=1),B232-B231,IF(K232="min",B232-M232,""))</f>
        <v/>
      </c>
      <c r="O232" s="34" t="str">
        <f aca="false">IF(AND(K230=0,K232="min",L232=1),(B232-B231)/B231,IF(K232="min",(B232-M232)/M232,""))</f>
        <v/>
      </c>
      <c r="P232" s="19" t="n">
        <f aca="false">D232-s_p!H232</f>
        <v>-0.0123443833396045</v>
      </c>
      <c r="Q232" s="19" t="n">
        <f aca="false">IF(P232&lt;0, P232^2, 0)</f>
        <v>0.000152383800035105</v>
      </c>
      <c r="R232" s="5"/>
      <c r="S232" s="5"/>
      <c r="T232" s="5"/>
      <c r="U232" s="5"/>
      <c r="V232" s="5"/>
    </row>
    <row r="233" customFormat="false" ht="13.8" hidden="false" customHeight="false" outlineLevel="0" collapsed="false">
      <c r="A233" s="6" t="n">
        <f aca="false">WORKDAY(A232,1,holiday!$B$2:$B$10)</f>
        <v>39050</v>
      </c>
      <c r="B233" s="24" t="n">
        <v>1126387.30678988</v>
      </c>
      <c r="C233" s="24" t="n">
        <f aca="false">B233-B232</f>
        <v>-14720.287972434</v>
      </c>
      <c r="D233" s="5" t="n">
        <f aca="false">C233/B232</f>
        <v>-0.0129000000000001</v>
      </c>
      <c r="E233" s="5" t="n">
        <f aca="false" t="array" ref="E233:E233">PRODUCT(1+$D$4:D233)-1</f>
        <v>0.12638730678988</v>
      </c>
      <c r="F233" s="45" t="n">
        <f aca="false">E233/COUNT($E$4:E233)</f>
        <v>0.000549510029521219</v>
      </c>
      <c r="G233" s="5" t="n">
        <f aca="false">F233*252</f>
        <v>0.138476527439347</v>
      </c>
      <c r="H233" s="46" t="n">
        <f aca="false">IF(D233&lt;F233,D233-F233,"")</f>
        <v>-0.0134495100295213</v>
      </c>
      <c r="I233" s="46" t="n">
        <f aca="false">IF(D233&lt;AVERAGE($D$214:D233),D233-AVERAGE($D$214:D233),"")</f>
        <v>-0.0175350000000001</v>
      </c>
      <c r="J233" s="0" t="n">
        <f aca="false">IF(ISBLANK(A234),MONTH(A233),IF(MONTH(A234)-MONTH(A233)=1,MONTH(A233),0))</f>
        <v>0</v>
      </c>
      <c r="K233" s="0" t="str">
        <f aca="false">IF(B234&gt;B233,IF(AND(B232&gt;B233,B234&gt;B233),"min",""),IF(AND(B232&gt;B233,B234&gt;B233),"",IF(AND(B232&lt;B233,B234&lt;B233),"max","")))</f>
        <v/>
      </c>
      <c r="L233" s="0" t="str">
        <f aca="false">IF(K233="min",COUNTIF(K$4:K233,"min"),IF(K233="max",COUNTIF(K$4:K233,"max"),""))</f>
        <v/>
      </c>
      <c r="M233" s="24" t="str">
        <f aca="false" t="array" ref="M233:M233">IF($K$3=0,IF(K233="min",INDEX($B$4:$B$254,(MATCH(1,($K$4:$K$254="max")*($L$4:$L$254=(L233-1)),0))),""),IF($K$3=1,IF(K233="min",INDEX($B$4:$B$254,(MATCH(1,($K$4:$K$254="max")*($L$4:$L$254=(L233)),0))),""),""))</f>
        <v/>
      </c>
      <c r="N233" s="29" t="str">
        <f aca="false">IF(AND(K231=0,K233="min",L233=1),B233-B232,IF(K233="min",B233-M233,""))</f>
        <v/>
      </c>
      <c r="O233" s="34" t="str">
        <f aca="false">IF(AND(K231=0,K233="min",L233=1),(B233-B232)/B232,IF(K233="min",(B233-M233)/M233,""))</f>
        <v/>
      </c>
      <c r="P233" s="19" t="n">
        <f aca="false">D233-s_p!H233</f>
        <v>-0.0221015691704167</v>
      </c>
      <c r="Q233" s="19" t="n">
        <f aca="false">IF(P233&lt;0, P233^2, 0)</f>
        <v>0.000488479359794714</v>
      </c>
      <c r="R233" s="5"/>
      <c r="S233" s="5"/>
      <c r="T233" s="5"/>
      <c r="U233" s="5"/>
      <c r="V233" s="5"/>
    </row>
    <row r="234" customFormat="false" ht="13.8" hidden="false" customHeight="false" outlineLevel="0" collapsed="false">
      <c r="A234" s="6" t="n">
        <f aca="false">WORKDAY(A233,1,holiday!$B$2:$B$10)</f>
        <v>39051</v>
      </c>
      <c r="B234" s="24" t="n">
        <v>1098002.34665878</v>
      </c>
      <c r="C234" s="24" t="n">
        <f aca="false">B234-B233</f>
        <v>-28384.960131105</v>
      </c>
      <c r="D234" s="5" t="n">
        <f aca="false">C234/B233</f>
        <v>-0.0252</v>
      </c>
      <c r="E234" s="5" t="n">
        <f aca="false" t="array" ref="E234:E234">PRODUCT(1+$D$4:D234)-1</f>
        <v>0.0980023466587754</v>
      </c>
      <c r="F234" s="45" t="n">
        <f aca="false">E234/COUNT($E$4:E234)</f>
        <v>0.000424252582938422</v>
      </c>
      <c r="G234" s="5" t="n">
        <f aca="false">F234*252</f>
        <v>0.106911650900482</v>
      </c>
      <c r="H234" s="46" t="n">
        <f aca="false">IF(D234&lt;F234,D234-F234,"")</f>
        <v>-0.0256242525829384</v>
      </c>
      <c r="I234" s="46" t="n">
        <f aca="false">IF(D234&lt;AVERAGE($D$214:D234),D234-AVERAGE($D$214:D234),"")</f>
        <v>-0.0284142857142857</v>
      </c>
      <c r="J234" s="0" t="n">
        <f aca="false">IF(ISBLANK(A235),MONTH(A234),IF(MONTH(A235)-MONTH(A234)=1,MONTH(A234),0))</f>
        <v>11</v>
      </c>
      <c r="K234" s="0" t="str">
        <f aca="false">IF(B235&gt;B234,IF(AND(B233&gt;B234,B235&gt;B234),"min",""),IF(AND(B233&gt;B234,B235&gt;B234),"",IF(AND(B233&lt;B234,B235&lt;B234),"max","")))</f>
        <v>min</v>
      </c>
      <c r="L234" s="0" t="n">
        <f aca="false">IF(K234="min",COUNTIF(K$4:K234,"min"),IF(K234="max",COUNTIF(K$4:K234,"max"),""))</f>
        <v>57</v>
      </c>
      <c r="M234" s="24" t="n">
        <f aca="false" t="array" ref="M234:M234">IF($K$3=0,IF(K234="min",INDEX($B$4:$B$254,(MATCH(1,($K$4:$K$254="max")*($L$4:$L$254=(L234-1)),0))),""),IF($K$3=1,IF(K234="min",INDEX($B$4:$B$254,(MATCH(1,($K$4:$K$254="max")*($L$4:$L$254=(L234)),0))),""),""))</f>
        <v>1221458.82621573</v>
      </c>
      <c r="N234" s="29" t="n">
        <f aca="false">IF(AND(K232=0,K234="min",L234=1),B234-B233,IF(K234="min",B234-M234,""))</f>
        <v>-123456.47955695</v>
      </c>
      <c r="O234" s="34" t="n">
        <f aca="false">IF(AND(K232=0,K234="min",L234=1),(B234-B233)/B233,IF(K234="min",(B234-M234)/M234,""))</f>
        <v>-0.10107297676127</v>
      </c>
      <c r="P234" s="19" t="n">
        <f aca="false">D234-s_p!H234</f>
        <v>-0.0260217337868353</v>
      </c>
      <c r="Q234" s="19" t="n">
        <f aca="false">IF(P234&lt;0, P234^2, 0)</f>
        <v>0.000677130629272926</v>
      </c>
      <c r="R234" s="5"/>
      <c r="S234" s="5"/>
      <c r="T234" s="5"/>
      <c r="U234" s="5"/>
      <c r="V234" s="5"/>
    </row>
    <row r="235" customFormat="false" ht="13.8" hidden="false" customHeight="false" outlineLevel="0" collapsed="false">
      <c r="A235" s="6" t="n">
        <f aca="false">WORKDAY(A234,1,holiday!$B$2:$B$10)</f>
        <v>39052</v>
      </c>
      <c r="B235" s="24" t="n">
        <v>1150706.4592984</v>
      </c>
      <c r="C235" s="24" t="n">
        <f aca="false">B235-B234</f>
        <v>52704.1126396211</v>
      </c>
      <c r="D235" s="5" t="n">
        <f aca="false">C235/B234</f>
        <v>0.0479999999999999</v>
      </c>
      <c r="E235" s="5" t="n">
        <f aca="false" t="array" ref="E235:E235">PRODUCT(1+$D$4:D235)-1</f>
        <v>0.150706459298396</v>
      </c>
      <c r="F235" s="45" t="n">
        <f aca="false">E235/COUNT($E$4:E235)</f>
        <v>0.000649596807320674</v>
      </c>
      <c r="G235" s="5" t="n">
        <f aca="false">F235*252</f>
        <v>0.16369839544481</v>
      </c>
      <c r="H235" s="46" t="str">
        <f aca="false">IF(D235&lt;F235,D235-F235,"")</f>
        <v/>
      </c>
      <c r="I235" s="46" t="str">
        <f aca="false">IF(D235&lt;AVERAGE($D$235:D235),D235-AVERAGE($D$235:D235),"")</f>
        <v/>
      </c>
      <c r="J235" s="0" t="n">
        <f aca="false">IF(ISBLANK(A236),MONTH(A235),IF(MONTH(A236)-MONTH(A235)=1,MONTH(A235),0))</f>
        <v>0</v>
      </c>
      <c r="K235" s="0" t="str">
        <f aca="false">IF(B236&gt;B235,IF(AND(B234&gt;B235,B236&gt;B235),"min",""),IF(AND(B234&gt;B235,B236&gt;B235),"",IF(AND(B234&lt;B235,B236&lt;B235),"max","")))</f>
        <v>max</v>
      </c>
      <c r="L235" s="0" t="n">
        <f aca="false">IF(K235="min",COUNTIF(K$4:K235,"min"),IF(K235="max",COUNTIF(K$4:K235,"max"),""))</f>
        <v>57</v>
      </c>
      <c r="M235" s="24" t="str">
        <f aca="false" t="array" ref="M235:M235">IF($K$3=0,IF(K235="min",INDEX($B$4:$B$254,(MATCH(1,($K$4:$K$254="max")*($L$4:$L$254=(L235-1)),0))),""),IF($K$3=1,IF(K235="min",INDEX($B$4:$B$254,(MATCH(1,($K$4:$K$254="max")*($L$4:$L$254=(L235)),0))),""),""))</f>
        <v/>
      </c>
      <c r="N235" s="29" t="str">
        <f aca="false">IF(AND(K233=0,K235="min",L235=1),B235-B234,IF(K235="min",B235-M235,""))</f>
        <v/>
      </c>
      <c r="O235" s="34" t="str">
        <f aca="false">IF(AND(K233=0,K235="min",L235=1),(B235-B234)/B234,IF(K235="min",(B235-M235)/M235,""))</f>
        <v/>
      </c>
      <c r="P235" s="19" t="n">
        <f aca="false">D235-s_p!H235</f>
        <v>0.0507987405667449</v>
      </c>
      <c r="Q235" s="19" t="n">
        <f aca="false">IF(P235&lt;0, P235^2, 0)</f>
        <v>0</v>
      </c>
      <c r="R235" s="5"/>
      <c r="S235" s="5"/>
      <c r="T235" s="5"/>
      <c r="U235" s="5"/>
      <c r="V235" s="5"/>
    </row>
    <row r="236" customFormat="false" ht="13.8" hidden="false" customHeight="false" outlineLevel="0" collapsed="false">
      <c r="A236" s="6" t="n">
        <f aca="false">WORKDAY(A235,1,holiday!$B$2:$B$10)</f>
        <v>39055</v>
      </c>
      <c r="B236" s="24" t="n">
        <v>1115379.77099794</v>
      </c>
      <c r="C236" s="24" t="n">
        <f aca="false">B236-B235</f>
        <v>-35326.6883004608</v>
      </c>
      <c r="D236" s="5" t="n">
        <f aca="false">C236/B235</f>
        <v>-0.0307</v>
      </c>
      <c r="E236" s="5" t="n">
        <f aca="false" t="array" ref="E236:E236">PRODUCT(1+$D$4:D236)-1</f>
        <v>0.115379770997936</v>
      </c>
      <c r="F236" s="45" t="n">
        <f aca="false">E236/COUNT($E$4:E236)</f>
        <v>0.000495192150205733</v>
      </c>
      <c r="G236" s="5" t="n">
        <f aca="false">F236*252</f>
        <v>0.124788421851845</v>
      </c>
      <c r="H236" s="46" t="n">
        <f aca="false">IF(D236&lt;F236,D236-F236,"")</f>
        <v>-0.0311951921502057</v>
      </c>
      <c r="I236" s="46" t="n">
        <f aca="false">IF(D236&lt;AVERAGE($D$235:D236),D236-AVERAGE($D$235:D236),"")</f>
        <v>-0.03935</v>
      </c>
      <c r="J236" s="0" t="n">
        <f aca="false">IF(ISBLANK(A237),MONTH(A236),IF(MONTH(A237)-MONTH(A236)=1,MONTH(A236),0))</f>
        <v>0</v>
      </c>
      <c r="K236" s="0" t="str">
        <f aca="false">IF(B237&gt;B236,IF(AND(B235&gt;B236,B237&gt;B236),"min",""),IF(AND(B235&gt;B236,B237&gt;B236),"",IF(AND(B235&lt;B236,B237&lt;B236),"max","")))</f>
        <v/>
      </c>
      <c r="L236" s="0" t="str">
        <f aca="false">IF(K236="min",COUNTIF(K$4:K236,"min"),IF(K236="max",COUNTIF(K$4:K236,"max"),""))</f>
        <v/>
      </c>
      <c r="M236" s="24" t="str">
        <f aca="false" t="array" ref="M236:M236">IF($K$3=0,IF(K236="min",INDEX($B$4:$B$254,(MATCH(1,($K$4:$K$254="max")*($L$4:$L$254=(L236-1)),0))),""),IF($K$3=1,IF(K236="min",INDEX($B$4:$B$254,(MATCH(1,($K$4:$K$254="max")*($L$4:$L$254=(L236)),0))),""),""))</f>
        <v/>
      </c>
      <c r="N236" s="29" t="str">
        <f aca="false">IF(AND(K234=0,K236="min",L236=1),B236-B235,IF(K236="min",B236-M236,""))</f>
        <v/>
      </c>
      <c r="O236" s="34" t="str">
        <f aca="false">IF(AND(K234=0,K236="min",L236=1),(B236-B235)/B235,IF(K236="min",(B236-M236)/M236,""))</f>
        <v/>
      </c>
      <c r="P236" s="19" t="n">
        <f aca="false">D236-s_p!H236</f>
        <v>-0.0395851658540426</v>
      </c>
      <c r="Q236" s="19" t="n">
        <f aca="false">IF(P236&lt;0, P236^2, 0)</f>
        <v>0.00156698535569206</v>
      </c>
      <c r="R236" s="5"/>
      <c r="S236" s="5"/>
      <c r="T236" s="5"/>
      <c r="U236" s="5"/>
      <c r="V236" s="5"/>
    </row>
    <row r="237" customFormat="false" ht="13.8" hidden="false" customHeight="false" outlineLevel="0" collapsed="false">
      <c r="A237" s="6" t="n">
        <f aca="false">WORKDAY(A236,1,holiday!$B$2:$B$10)</f>
        <v>39056</v>
      </c>
      <c r="B237" s="24" t="n">
        <v>1075560.71317331</v>
      </c>
      <c r="C237" s="24" t="n">
        <f aca="false">B237-B236</f>
        <v>-39819.0578246263</v>
      </c>
      <c r="D237" s="5" t="n">
        <f aca="false">C237/B236</f>
        <v>-0.0357</v>
      </c>
      <c r="E237" s="5" t="n">
        <f aca="false" t="array" ref="E237:E237">PRODUCT(1+$D$4:D237)-1</f>
        <v>0.0755607131733096</v>
      </c>
      <c r="F237" s="45" t="n">
        <f aca="false">E237/COUNT($E$4:E237)</f>
        <v>0.000322909030655169</v>
      </c>
      <c r="G237" s="5" t="n">
        <f aca="false">F237*252</f>
        <v>0.0813730757251026</v>
      </c>
      <c r="H237" s="46" t="n">
        <f aca="false">IF(D237&lt;F237,D237-F237,"")</f>
        <v>-0.0360229090306552</v>
      </c>
      <c r="I237" s="46" t="n">
        <f aca="false">IF(D237&lt;AVERAGE($D$235:D237),D237-AVERAGE($D$235:D237),"")</f>
        <v>-0.0295666666666666</v>
      </c>
      <c r="J237" s="0" t="n">
        <f aca="false">IF(ISBLANK(A238),MONTH(A237),IF(MONTH(A238)-MONTH(A237)=1,MONTH(A237),0))</f>
        <v>0</v>
      </c>
      <c r="K237" s="0" t="str">
        <f aca="false">IF(B238&gt;B237,IF(AND(B236&gt;B237,B238&gt;B237),"min",""),IF(AND(B236&gt;B237,B238&gt;B237),"",IF(AND(B236&lt;B237,B238&lt;B237),"max","")))</f>
        <v>min</v>
      </c>
      <c r="L237" s="0" t="n">
        <f aca="false">IF(K237="min",COUNTIF(K$4:K237,"min"),IF(K237="max",COUNTIF(K$4:K237,"max"),""))</f>
        <v>58</v>
      </c>
      <c r="M237" s="24" t="n">
        <f aca="false" t="array" ref="M237:M237">IF($K$3=0,IF(K237="min",INDEX($B$4:$B$254,(MATCH(1,($K$4:$K$254="max")*($L$4:$L$254=(L237-1)),0))),""),IF($K$3=1,IF(K237="min",INDEX($B$4:$B$254,(MATCH(1,($K$4:$K$254="max")*($L$4:$L$254=(L237)),0))),""),""))</f>
        <v>1150706.4592984</v>
      </c>
      <c r="N237" s="29" t="n">
        <f aca="false">IF(AND(K235=0,K237="min",L237=1),B237-B236,IF(K237="min",B237-M237,""))</f>
        <v>-75145.7461250899</v>
      </c>
      <c r="O237" s="34" t="n">
        <f aca="false">IF(AND(K235=0,K237="min",L237=1),(B237-B236)/B236,IF(K237="min",(B237-M237)/M237,""))</f>
        <v>-0.0653040100000023</v>
      </c>
      <c r="P237" s="19" t="n">
        <f aca="false">D237-s_p!H237</f>
        <v>-0.0397024980129443</v>
      </c>
      <c r="Q237" s="19" t="n">
        <f aca="false">IF(P237&lt;0, P237^2, 0)</f>
        <v>0.00157628834846785</v>
      </c>
      <c r="R237" s="5"/>
      <c r="S237" s="5"/>
      <c r="T237" s="5"/>
      <c r="U237" s="5"/>
      <c r="V237" s="5"/>
    </row>
    <row r="238" customFormat="false" ht="13.8" hidden="false" customHeight="false" outlineLevel="0" collapsed="false">
      <c r="A238" s="6" t="n">
        <f aca="false">WORKDAY(A237,1,holiday!$B$2:$B$10)</f>
        <v>39057</v>
      </c>
      <c r="B238" s="24" t="n">
        <v>1079110.06352678</v>
      </c>
      <c r="C238" s="24" t="n">
        <f aca="false">B238-B237</f>
        <v>3549.35035347193</v>
      </c>
      <c r="D238" s="5" t="n">
        <f aca="false">C238/B237</f>
        <v>0.00330000000000001</v>
      </c>
      <c r="E238" s="5" t="n">
        <f aca="false" t="array" ref="E238:E238">PRODUCT(1+$D$4:D238)-1</f>
        <v>0.0791100635267816</v>
      </c>
      <c r="F238" s="45" t="n">
        <f aca="false">E238/COUNT($E$4:E238)</f>
        <v>0.000336638568199071</v>
      </c>
      <c r="G238" s="5" t="n">
        <f aca="false">F238*252</f>
        <v>0.0848329191861658</v>
      </c>
      <c r="H238" s="46" t="str">
        <f aca="false">IF(D238&lt;F238,D238-F238,"")</f>
        <v/>
      </c>
      <c r="I238" s="46" t="str">
        <f aca="false">IF(D238&lt;AVERAGE($D$235:D238),D238-AVERAGE($D$235:D238),"")</f>
        <v/>
      </c>
      <c r="J238" s="0" t="n">
        <f aca="false">IF(ISBLANK(A239),MONTH(A238),IF(MONTH(A239)-MONTH(A238)=1,MONTH(A238),0))</f>
        <v>0</v>
      </c>
      <c r="K238" s="0" t="str">
        <f aca="false">IF(B239&gt;B238,IF(AND(B237&gt;B238,B239&gt;B238),"min",""),IF(AND(B237&gt;B238,B239&gt;B238),"",IF(AND(B237&lt;B238,B239&lt;B238),"max","")))</f>
        <v>max</v>
      </c>
      <c r="L238" s="0" t="n">
        <f aca="false">IF(K238="min",COUNTIF(K$4:K238,"min"),IF(K238="max",COUNTIF(K$4:K238,"max"),""))</f>
        <v>58</v>
      </c>
      <c r="M238" s="24" t="str">
        <f aca="false" t="array" ref="M238:M238">IF($K$3=0,IF(K238="min",INDEX($B$4:$B$254,(MATCH(1,($K$4:$K$254="max")*($L$4:$L$254=(L238-1)),0))),""),IF($K$3=1,IF(K238="min",INDEX($B$4:$B$254,(MATCH(1,($K$4:$K$254="max")*($L$4:$L$254=(L238)),0))),""),""))</f>
        <v/>
      </c>
      <c r="N238" s="29" t="str">
        <f aca="false">IF(AND(K236=0,K238="min",L238=1),B238-B237,IF(K238="min",B238-M238,""))</f>
        <v/>
      </c>
      <c r="O238" s="34" t="str">
        <f aca="false">IF(AND(K236=0,K238="min",L238=1),(B238-B237)/B237,IF(K238="min",(B238-M238)/M238,""))</f>
        <v/>
      </c>
      <c r="P238" s="19" t="n">
        <f aca="false">D238-s_p!H238</f>
        <v>0.00461471062229628</v>
      </c>
      <c r="Q238" s="19" t="n">
        <f aca="false">IF(P238&lt;0, P238^2, 0)</f>
        <v>0</v>
      </c>
      <c r="R238" s="5"/>
      <c r="S238" s="5"/>
      <c r="T238" s="5"/>
      <c r="U238" s="5"/>
      <c r="V238" s="5"/>
    </row>
    <row r="239" customFormat="false" ht="13.8" hidden="false" customHeight="false" outlineLevel="0" collapsed="false">
      <c r="A239" s="6" t="n">
        <f aca="false">WORKDAY(A238,1,holiday!$B$2:$B$10)</f>
        <v>39058</v>
      </c>
      <c r="B239" s="24" t="n">
        <v>1034650.72890948</v>
      </c>
      <c r="C239" s="24" t="n">
        <f aca="false">B239-B238</f>
        <v>-44459.3346173035</v>
      </c>
      <c r="D239" s="5" t="n">
        <f aca="false">C239/B238</f>
        <v>-0.0412</v>
      </c>
      <c r="E239" s="5" t="n">
        <f aca="false" t="array" ref="E239:E239">PRODUCT(1+$D$4:D239)-1</f>
        <v>0.0346507289094782</v>
      </c>
      <c r="F239" s="45" t="n">
        <f aca="false">E239/COUNT($E$4:E239)</f>
        <v>0.000146825122497789</v>
      </c>
      <c r="G239" s="5" t="n">
        <f aca="false">F239*252</f>
        <v>0.0369999308694428</v>
      </c>
      <c r="H239" s="46" t="n">
        <f aca="false">IF(D239&lt;F239,D239-F239,"")</f>
        <v>-0.0413468251224978</v>
      </c>
      <c r="I239" s="46" t="n">
        <f aca="false">IF(D239&lt;AVERAGE($D$235:D239),D239-AVERAGE($D$235:D239),"")</f>
        <v>-0.02994</v>
      </c>
      <c r="J239" s="0" t="n">
        <f aca="false">IF(ISBLANK(A240),MONTH(A239),IF(MONTH(A240)-MONTH(A239)=1,MONTH(A239),0))</f>
        <v>0</v>
      </c>
      <c r="K239" s="0" t="str">
        <f aca="false">IF(B240&gt;B239,IF(AND(B238&gt;B239,B240&gt;B239),"min",""),IF(AND(B238&gt;B239,B240&gt;B239),"",IF(AND(B238&lt;B239,B240&lt;B239),"max","")))</f>
        <v/>
      </c>
      <c r="L239" s="0" t="str">
        <f aca="false">IF(K239="min",COUNTIF(K$4:K239,"min"),IF(K239="max",COUNTIF(K$4:K239,"max"),""))</f>
        <v/>
      </c>
      <c r="M239" s="24" t="str">
        <f aca="false" t="array" ref="M239:M239">IF($K$3=0,IF(K239="min",INDEX($B$4:$B$254,(MATCH(1,($K$4:$K$254="max")*($L$4:$L$254=(L239-1)),0))),""),IF($K$3=1,IF(K239="min",INDEX($B$4:$B$254,(MATCH(1,($K$4:$K$254="max")*($L$4:$L$254=(L239)),0))),""),""))</f>
        <v/>
      </c>
      <c r="N239" s="29" t="str">
        <f aca="false">IF(AND(K237=0,K239="min",L239=1),B239-B238,IF(K239="min",B239-M239,""))</f>
        <v/>
      </c>
      <c r="O239" s="34" t="str">
        <f aca="false">IF(AND(K237=0,K239="min",L239=1),(B239-B238)/B238,IF(K239="min",(B239-M239)/M239,""))</f>
        <v/>
      </c>
      <c r="P239" s="19" t="n">
        <f aca="false">D239-s_p!H239</f>
        <v>-0.0372294429895958</v>
      </c>
      <c r="Q239" s="19" t="n">
        <f aca="false">IF(P239&lt;0, P239^2, 0)</f>
        <v>0.00138603142531556</v>
      </c>
      <c r="R239" s="5"/>
      <c r="S239" s="5"/>
      <c r="T239" s="5"/>
      <c r="U239" s="5"/>
      <c r="V239" s="5"/>
    </row>
    <row r="240" customFormat="false" ht="13.8" hidden="false" customHeight="false" outlineLevel="0" collapsed="false">
      <c r="A240" s="6" t="n">
        <f aca="false">WORKDAY(A239,1,holiday!$B$2:$B$10)</f>
        <v>39059</v>
      </c>
      <c r="B240" s="24" t="n">
        <v>992540.444242862</v>
      </c>
      <c r="C240" s="24" t="n">
        <f aca="false">B240-B239</f>
        <v>-42110.2846666158</v>
      </c>
      <c r="D240" s="5" t="n">
        <f aca="false">C240/B239</f>
        <v>-0.0407</v>
      </c>
      <c r="E240" s="5" t="n">
        <f aca="false" t="array" ref="E240:E240">PRODUCT(1+$D$4:D240)-1</f>
        <v>-0.00745955575713742</v>
      </c>
      <c r="F240" s="45" t="n">
        <f aca="false">E240/COUNT($E$4:E240)</f>
        <v>-3.1474918806487E-005</v>
      </c>
      <c r="G240" s="5" t="n">
        <f aca="false">F240*252</f>
        <v>-0.00793167953923472</v>
      </c>
      <c r="H240" s="46" t="n">
        <f aca="false">IF(D240&lt;F240,D240-F240,"")</f>
        <v>-0.0406685250811935</v>
      </c>
      <c r="I240" s="46" t="n">
        <f aca="false">IF(D240&lt;AVERAGE($D$235:D240),D240-AVERAGE($D$235:D240),"")</f>
        <v>-0.0245333333333333</v>
      </c>
      <c r="J240" s="0" t="n">
        <f aca="false">IF(ISBLANK(A241),MONTH(A240),IF(MONTH(A241)-MONTH(A240)=1,MONTH(A240),0))</f>
        <v>0</v>
      </c>
      <c r="K240" s="0" t="str">
        <f aca="false">IF(B241&gt;B240,IF(AND(B239&gt;B240,B241&gt;B240),"min",""),IF(AND(B239&gt;B240,B241&gt;B240),"",IF(AND(B239&lt;B240,B241&lt;B240),"max","")))</f>
        <v>min</v>
      </c>
      <c r="L240" s="0" t="n">
        <f aca="false">IF(K240="min",COUNTIF(K$4:K240,"min"),IF(K240="max",COUNTIF(K$4:K240,"max"),""))</f>
        <v>59</v>
      </c>
      <c r="M240" s="24" t="n">
        <f aca="false" t="array" ref="M240:M240">IF($K$3=0,IF(K240="min",INDEX($B$4:$B$254,(MATCH(1,($K$4:$K$254="max")*($L$4:$L$254=(L240-1)),0))),""),IF($K$3=1,IF(K240="min",INDEX($B$4:$B$254,(MATCH(1,($K$4:$K$254="max")*($L$4:$L$254=(L240)),0))),""),""))</f>
        <v>1079110.06352678</v>
      </c>
      <c r="N240" s="29" t="n">
        <f aca="false">IF(AND(K238=0,K240="min",L240=1),B240-B239,IF(K240="min",B240-M240,""))</f>
        <v>-86569.6192839181</v>
      </c>
      <c r="O240" s="34" t="n">
        <f aca="false">IF(AND(K238=0,K240="min",L240=1),(B240-B239)/B239,IF(K240="min",(B240-M240)/M240,""))</f>
        <v>-0.0802231599999991</v>
      </c>
      <c r="P240" s="19" t="n">
        <f aca="false">D240-s_p!H240</f>
        <v>-0.0425119932636485</v>
      </c>
      <c r="Q240" s="19" t="n">
        <f aca="false">IF(P240&lt;0, P240^2, 0)</f>
        <v>0.0018072695712485</v>
      </c>
      <c r="R240" s="5"/>
      <c r="S240" s="5"/>
      <c r="T240" s="5"/>
      <c r="U240" s="5"/>
      <c r="V240" s="5"/>
    </row>
    <row r="241" customFormat="false" ht="13.8" hidden="false" customHeight="false" outlineLevel="0" collapsed="false">
      <c r="A241" s="6" t="n">
        <f aca="false">WORKDAY(A240,1,holiday!$B$2:$B$10)</f>
        <v>39062</v>
      </c>
      <c r="B241" s="24" t="n">
        <v>1037701.03445591</v>
      </c>
      <c r="C241" s="24" t="n">
        <f aca="false">B241-B240</f>
        <v>45160.5902130503</v>
      </c>
      <c r="D241" s="5" t="n">
        <f aca="false">C241/B240</f>
        <v>0.0455</v>
      </c>
      <c r="E241" s="5" t="n">
        <f aca="false" t="array" ref="E241:E241">PRODUCT(1+$D$4:D241)-1</f>
        <v>0.0377010344559128</v>
      </c>
      <c r="F241" s="45" t="n">
        <f aca="false">E241/COUNT($E$4:E241)</f>
        <v>0.000158407707797953</v>
      </c>
      <c r="G241" s="5" t="n">
        <f aca="false">F241*252</f>
        <v>0.0399187423650841</v>
      </c>
      <c r="H241" s="46" t="str">
        <f aca="false">IF(D241&lt;F241,D241-F241,"")</f>
        <v/>
      </c>
      <c r="I241" s="46" t="str">
        <f aca="false">IF(D241&lt;AVERAGE($D$235:D241),D241-AVERAGE($D$235:D241),"")</f>
        <v/>
      </c>
      <c r="J241" s="0" t="n">
        <f aca="false">IF(ISBLANK(A242),MONTH(A241),IF(MONTH(A242)-MONTH(A241)=1,MONTH(A241),0))</f>
        <v>0</v>
      </c>
      <c r="K241" s="0" t="str">
        <f aca="false">IF(B242&gt;B241,IF(AND(B240&gt;B241,B242&gt;B241),"min",""),IF(AND(B240&gt;B241,B242&gt;B241),"",IF(AND(B240&lt;B241,B242&lt;B241),"max","")))</f>
        <v/>
      </c>
      <c r="L241" s="0" t="str">
        <f aca="false">IF(K241="min",COUNTIF(K$4:K241,"min"),IF(K241="max",COUNTIF(K$4:K241,"max"),""))</f>
        <v/>
      </c>
      <c r="M241" s="24" t="str">
        <f aca="false" t="array" ref="M241:M241">IF($K$3=0,IF(K241="min",INDEX($B$4:$B$254,(MATCH(1,($K$4:$K$254="max")*($L$4:$L$254=(L241-1)),0))),""),IF($K$3=1,IF(K241="min",INDEX($B$4:$B$254,(MATCH(1,($K$4:$K$254="max")*($L$4:$L$254=(L241)),0))),""),""))</f>
        <v/>
      </c>
      <c r="N241" s="29" t="str">
        <f aca="false">IF(AND(K239=0,K241="min",L241=1),B241-B240,IF(K241="min",B241-M241,""))</f>
        <v/>
      </c>
      <c r="O241" s="34" t="str">
        <f aca="false">IF(AND(K239=0,K241="min",L241=1),(B241-B240)/B240,IF(K241="min",(B241-M241)/M241,""))</f>
        <v/>
      </c>
      <c r="P241" s="19" t="n">
        <f aca="false">D241-s_p!H241</f>
        <v>0.0432302388923566</v>
      </c>
      <c r="Q241" s="19" t="n">
        <f aca="false">IF(P241&lt;0, P241^2, 0)</f>
        <v>0</v>
      </c>
      <c r="R241" s="5"/>
      <c r="S241" s="5"/>
      <c r="T241" s="5"/>
      <c r="U241" s="5"/>
      <c r="V241" s="5"/>
    </row>
    <row r="242" customFormat="false" ht="13.8" hidden="false" customHeight="false" outlineLevel="0" collapsed="false">
      <c r="A242" s="6" t="n">
        <f aca="false">WORKDAY(A241,1,holiday!$B$2:$B$10)</f>
        <v>39063</v>
      </c>
      <c r="B242" s="24" t="n">
        <v>1054200.48090376</v>
      </c>
      <c r="C242" s="24" t="n">
        <f aca="false">B242-B241</f>
        <v>16499.4464478489</v>
      </c>
      <c r="D242" s="5" t="n">
        <f aca="false">C242/B241</f>
        <v>0.0158999999999999</v>
      </c>
      <c r="E242" s="5" t="n">
        <f aca="false" t="array" ref="E242:E242">PRODUCT(1+$D$4:D242)-1</f>
        <v>0.0542004809037617</v>
      </c>
      <c r="F242" s="45" t="n">
        <f aca="false">E242/COUNT($E$4:E242)</f>
        <v>0.000226780254827455</v>
      </c>
      <c r="G242" s="5" t="n">
        <f aca="false">F242*252</f>
        <v>0.0571486242165186</v>
      </c>
      <c r="H242" s="46" t="str">
        <f aca="false">IF(D242&lt;F242,D242-F242,"")</f>
        <v/>
      </c>
      <c r="I242" s="46" t="str">
        <f aca="false">IF(D242&lt;AVERAGE($D$235:D242),D242-AVERAGE($D$235:D242),"")</f>
        <v/>
      </c>
      <c r="J242" s="0" t="n">
        <f aca="false">IF(ISBLANK(A243),MONTH(A242),IF(MONTH(A243)-MONTH(A242)=1,MONTH(A242),0))</f>
        <v>0</v>
      </c>
      <c r="K242" s="0" t="str">
        <f aca="false">IF(B243&gt;B242,IF(AND(B241&gt;B242,B243&gt;B242),"min",""),IF(AND(B241&gt;B242,B243&gt;B242),"",IF(AND(B241&lt;B242,B243&lt;B242),"max","")))</f>
        <v>max</v>
      </c>
      <c r="L242" s="0" t="n">
        <f aca="false">IF(K242="min",COUNTIF(K$4:K242,"min"),IF(K242="max",COUNTIF(K$4:K242,"max"),""))</f>
        <v>59</v>
      </c>
      <c r="M242" s="24" t="str">
        <f aca="false" t="array" ref="M242:M242">IF($K$3=0,IF(K242="min",INDEX($B$4:$B$254,(MATCH(1,($K$4:$K$254="max")*($L$4:$L$254=(L242-1)),0))),""),IF($K$3=1,IF(K242="min",INDEX($B$4:$B$254,(MATCH(1,($K$4:$K$254="max")*($L$4:$L$254=(L242)),0))),""),""))</f>
        <v/>
      </c>
      <c r="N242" s="29" t="str">
        <f aca="false">IF(AND(K240=0,K242="min",L242=1),B242-B241,IF(K242="min",B242-M242,""))</f>
        <v/>
      </c>
      <c r="O242" s="34" t="str">
        <f aca="false">IF(AND(K240=0,K242="min",L242=1),(B242-B241)/B241,IF(K242="min",(B242-M242)/M242,""))</f>
        <v/>
      </c>
      <c r="P242" s="19" t="n">
        <f aca="false">D242-s_p!H242</f>
        <v>0.0169473871935684</v>
      </c>
      <c r="Q242" s="19" t="n">
        <f aca="false">IF(P242&lt;0, P242^2, 0)</f>
        <v>0</v>
      </c>
      <c r="R242" s="5"/>
      <c r="S242" s="5"/>
      <c r="T242" s="5"/>
      <c r="U242" s="5"/>
      <c r="V242" s="5"/>
    </row>
    <row r="243" customFormat="false" ht="13.8" hidden="false" customHeight="false" outlineLevel="0" collapsed="false">
      <c r="A243" s="6" t="n">
        <f aca="false">WORKDAY(A242,1,holiday!$B$2:$B$10)</f>
        <v>39064</v>
      </c>
      <c r="B243" s="24" t="n">
        <v>1048824.05845115</v>
      </c>
      <c r="C243" s="24" t="n">
        <f aca="false">B243-B242</f>
        <v>-5376.42245260929</v>
      </c>
      <c r="D243" s="5" t="n">
        <f aca="false">C243/B242</f>
        <v>-0.0051000000000001</v>
      </c>
      <c r="E243" s="5" t="n">
        <f aca="false" t="array" ref="E243:E243">PRODUCT(1+$D$4:D243)-1</f>
        <v>0.0488240584511523</v>
      </c>
      <c r="F243" s="45" t="n">
        <f aca="false">E243/COUNT($E$4:E243)</f>
        <v>0.000203433576879801</v>
      </c>
      <c r="G243" s="5" t="n">
        <f aca="false">F243*252</f>
        <v>0.05126526137371</v>
      </c>
      <c r="H243" s="46" t="n">
        <f aca="false">IF(D243&lt;F243,D243-F243,"")</f>
        <v>-0.0053034335768799</v>
      </c>
      <c r="I243" s="46" t="n">
        <f aca="false">IF(D243&lt;AVERAGE($D$235:D243),D243-AVERAGE($D$235:D243),"")</f>
        <v>-0.000577777777777838</v>
      </c>
      <c r="J243" s="0" t="n">
        <f aca="false">IF(ISBLANK(A244),MONTH(A243),IF(MONTH(A244)-MONTH(A243)=1,MONTH(A243),0))</f>
        <v>0</v>
      </c>
      <c r="K243" s="0" t="str">
        <f aca="false">IF(B244&gt;B243,IF(AND(B242&gt;B243,B244&gt;B243),"min",""),IF(AND(B242&gt;B243,B244&gt;B243),"",IF(AND(B242&lt;B243,B244&lt;B243),"max","")))</f>
        <v/>
      </c>
      <c r="L243" s="0" t="str">
        <f aca="false">IF(K243="min",COUNTIF(K$4:K243,"min"),IF(K243="max",COUNTIF(K$4:K243,"max"),""))</f>
        <v/>
      </c>
      <c r="M243" s="24" t="str">
        <f aca="false" t="array" ref="M243:M243">IF($K$3=0,IF(K243="min",INDEX($B$4:$B$254,(MATCH(1,($K$4:$K$254="max")*($L$4:$L$254=(L243-1)),0))),""),IF($K$3=1,IF(K243="min",INDEX($B$4:$B$254,(MATCH(1,($K$4:$K$254="max")*($L$4:$L$254=(L243)),0))),""),""))</f>
        <v/>
      </c>
      <c r="N243" s="29" t="str">
        <f aca="false">IF(AND(K241=0,K243="min",L243=1),B243-B242,IF(K243="min",B243-M243,""))</f>
        <v/>
      </c>
      <c r="O243" s="34" t="str">
        <f aca="false">IF(AND(K241=0,K243="min",L243=1),(B243-B242)/B242,IF(K243="min",(B243-M243)/M243,""))</f>
        <v/>
      </c>
      <c r="P243" s="19" t="n">
        <f aca="false">D243-s_p!H243</f>
        <v>-0.00626891949332675</v>
      </c>
      <c r="Q243" s="19" t="n">
        <f aca="false">IF(P243&lt;0, P243^2, 0)</f>
        <v>3.92993516138121E-005</v>
      </c>
      <c r="R243" s="5"/>
      <c r="S243" s="5"/>
      <c r="T243" s="5"/>
      <c r="U243" s="5"/>
      <c r="V243" s="5"/>
    </row>
    <row r="244" customFormat="false" ht="13.8" hidden="false" customHeight="false" outlineLevel="0" collapsed="false">
      <c r="A244" s="6" t="n">
        <f aca="false">WORKDAY(A243,1,holiday!$B$2:$B$10)</f>
        <v>39065</v>
      </c>
      <c r="B244" s="24" t="n">
        <v>1020086.27924959</v>
      </c>
      <c r="C244" s="24" t="n">
        <f aca="false">B244-B243</f>
        <v>-28737.7792015616</v>
      </c>
      <c r="D244" s="5" t="n">
        <f aca="false">C244/B243</f>
        <v>-0.0274</v>
      </c>
      <c r="E244" s="5" t="n">
        <f aca="false" t="array" ref="E244:E244">PRODUCT(1+$D$4:D244)-1</f>
        <v>0.0200862792495908</v>
      </c>
      <c r="F244" s="45" t="n">
        <f aca="false">E244/COUNT($E$4:E244)</f>
        <v>8.33455570522441E-005</v>
      </c>
      <c r="G244" s="5" t="n">
        <f aca="false">F244*252</f>
        <v>0.0210030803771655</v>
      </c>
      <c r="H244" s="46" t="n">
        <f aca="false">IF(D244&lt;F244,D244-F244,"")</f>
        <v>-0.0274833455570522</v>
      </c>
      <c r="I244" s="46" t="n">
        <f aca="false">IF(D244&lt;AVERAGE($D$235:D244),D244-AVERAGE($D$235:D244),"")</f>
        <v>-0.02059</v>
      </c>
      <c r="J244" s="0" t="n">
        <f aca="false">IF(ISBLANK(A245),MONTH(A244),IF(MONTH(A245)-MONTH(A244)=1,MONTH(A244),0))</f>
        <v>0</v>
      </c>
      <c r="K244" s="0" t="str">
        <f aca="false">IF(B245&gt;B244,IF(AND(B243&gt;B244,B245&gt;B244),"min",""),IF(AND(B243&gt;B244,B245&gt;B244),"",IF(AND(B243&lt;B244,B245&lt;B244),"max","")))</f>
        <v/>
      </c>
      <c r="L244" s="0" t="str">
        <f aca="false">IF(K244="min",COUNTIF(K$4:K244,"min"),IF(K244="max",COUNTIF(K$4:K244,"max"),""))</f>
        <v/>
      </c>
      <c r="M244" s="24" t="str">
        <f aca="false" t="array" ref="M244:M244">IF($K$3=0,IF(K244="min",INDEX($B$4:$B$254,(MATCH(1,($K$4:$K$254="max")*($L$4:$L$254=(L244-1)),0))),""),IF($K$3=1,IF(K244="min",INDEX($B$4:$B$254,(MATCH(1,($K$4:$K$254="max")*($L$4:$L$254=(L244)),0))),""),""))</f>
        <v/>
      </c>
      <c r="N244" s="29" t="str">
        <f aca="false">IF(AND(K242=0,K244="min",L244=1),B244-B243,IF(K244="min",B244-M244,""))</f>
        <v/>
      </c>
      <c r="O244" s="34" t="str">
        <f aca="false">IF(AND(K242=0,K244="min",L244=1),(B244-B243)/B243,IF(K244="min",(B244-M244)/M244,""))</f>
        <v/>
      </c>
      <c r="P244" s="19" t="n">
        <f aca="false">D244-s_p!H244</f>
        <v>-0.0360894375216704</v>
      </c>
      <c r="Q244" s="19" t="n">
        <f aca="false">IF(P244&lt;0, P244^2, 0)</f>
        <v>0.00130244750063055</v>
      </c>
      <c r="R244" s="5"/>
      <c r="S244" s="5"/>
      <c r="T244" s="5"/>
      <c r="U244" s="5"/>
      <c r="V244" s="5"/>
    </row>
    <row r="245" customFormat="false" ht="13.8" hidden="false" customHeight="false" outlineLevel="0" collapsed="false">
      <c r="A245" s="6" t="n">
        <f aca="false">WORKDAY(A244,1,holiday!$B$2:$B$10)</f>
        <v>39066</v>
      </c>
      <c r="B245" s="24" t="n">
        <v>998358.441501574</v>
      </c>
      <c r="C245" s="24" t="n">
        <f aca="false">B245-B244</f>
        <v>-21727.8377480162</v>
      </c>
      <c r="D245" s="5" t="n">
        <f aca="false">C245/B244</f>
        <v>-0.0212999999999999</v>
      </c>
      <c r="E245" s="5" t="n">
        <f aca="false" t="array" ref="E245:E245">PRODUCT(1+$D$4:D245)-1</f>
        <v>-0.00164155849842529</v>
      </c>
      <c r="F245" s="45" t="n">
        <f aca="false">E245/COUNT($E$4:E245)</f>
        <v>-6.78329958026979E-006</v>
      </c>
      <c r="G245" s="5" t="n">
        <f aca="false">F245*252</f>
        <v>-0.00170939149422799</v>
      </c>
      <c r="H245" s="46" t="n">
        <f aca="false">IF(D245&lt;F245,D245-F245,"")</f>
        <v>-0.0212932167004196</v>
      </c>
      <c r="I245" s="46" t="n">
        <f aca="false">IF(D245&lt;AVERAGE($D$235:D245),D245-AVERAGE($D$235:D245),"")</f>
        <v>-0.0131727272727272</v>
      </c>
      <c r="J245" s="0" t="n">
        <f aca="false">IF(ISBLANK(A246),MONTH(A245),IF(MONTH(A246)-MONTH(A245)=1,MONTH(A245),0))</f>
        <v>0</v>
      </c>
      <c r="K245" s="0" t="str">
        <f aca="false">IF(B246&gt;B245,IF(AND(B244&gt;B245,B246&gt;B245),"min",""),IF(AND(B244&gt;B245,B246&gt;B245),"",IF(AND(B244&lt;B245,B246&lt;B245),"max","")))</f>
        <v>min</v>
      </c>
      <c r="L245" s="0" t="n">
        <f aca="false">IF(K245="min",COUNTIF(K$4:K245,"min"),IF(K245="max",COUNTIF(K$4:K245,"max"),""))</f>
        <v>60</v>
      </c>
      <c r="M245" s="24" t="n">
        <f aca="false" t="array" ref="M245:M245">IF($K$3=0,IF(K245="min",INDEX($B$4:$B$254,(MATCH(1,($K$4:$K$254="max")*($L$4:$L$254=(L245-1)),0))),""),IF($K$3=1,IF(K245="min",INDEX($B$4:$B$254,(MATCH(1,($K$4:$K$254="max")*($L$4:$L$254=(L245)),0))),""),""))</f>
        <v>1054200.48090376</v>
      </c>
      <c r="N245" s="29" t="n">
        <f aca="false">IF(AND(K243=0,K245="min",L245=1),B245-B244,IF(K245="min",B245-M245,""))</f>
        <v>-55842.0394021861</v>
      </c>
      <c r="O245" s="34" t="n">
        <f aca="false">IF(AND(K243=0,K245="min",L245=1),(B245-B244)/B244,IF(K245="min",(B245-M245)/M245,""))</f>
        <v>-0.0529709864619991</v>
      </c>
      <c r="P245" s="19" t="n">
        <f aca="false">D245-s_p!H245</f>
        <v>-0.0224224210622311</v>
      </c>
      <c r="Q245" s="19" t="n">
        <f aca="false">IF(P245&lt;0, P245^2, 0)</f>
        <v>0.000502764966291985</v>
      </c>
      <c r="R245" s="5"/>
      <c r="S245" s="5"/>
      <c r="T245" s="5"/>
      <c r="U245" s="5"/>
      <c r="V245" s="5"/>
    </row>
    <row r="246" customFormat="false" ht="13.8" hidden="false" customHeight="false" outlineLevel="0" collapsed="false">
      <c r="A246" s="6" t="n">
        <f aca="false">WORKDAY(A245,1,holiday!$B$2:$B$10)</f>
        <v>39069</v>
      </c>
      <c r="B246" s="24" t="n">
        <v>1034399.18123978</v>
      </c>
      <c r="C246" s="24" t="n">
        <f aca="false">B246-B245</f>
        <v>36040.7397382068</v>
      </c>
      <c r="D246" s="5" t="n">
        <f aca="false">C246/B245</f>
        <v>0.0361</v>
      </c>
      <c r="E246" s="5" t="n">
        <f aca="false" t="array" ref="E246:E246">PRODUCT(1+$D$4:D246)-1</f>
        <v>0.0343991812397815</v>
      </c>
      <c r="F246" s="45" t="n">
        <f aca="false">E246/COUNT($E$4:E246)</f>
        <v>0.000141560416624615</v>
      </c>
      <c r="G246" s="5" t="n">
        <f aca="false">F246*252</f>
        <v>0.035673224989403</v>
      </c>
      <c r="H246" s="46" t="str">
        <f aca="false">IF(D246&lt;F246,D246-F246,"")</f>
        <v/>
      </c>
      <c r="I246" s="46" t="str">
        <f aca="false">IF(D246&lt;AVERAGE($D$235:D246),D246-AVERAGE($D$235:D246),"")</f>
        <v/>
      </c>
      <c r="J246" s="0" t="n">
        <f aca="false">IF(ISBLANK(A247),MONTH(A246),IF(MONTH(A247)-MONTH(A246)=1,MONTH(A246),0))</f>
        <v>0</v>
      </c>
      <c r="K246" s="0" t="str">
        <f aca="false">IF(B247&gt;B246,IF(AND(B245&gt;B246,B247&gt;B246),"min",""),IF(AND(B245&gt;B246,B247&gt;B246),"",IF(AND(B245&lt;B246,B247&lt;B246),"max","")))</f>
        <v/>
      </c>
      <c r="L246" s="0" t="str">
        <f aca="false">IF(K246="min",COUNTIF(K$4:K246,"min"),IF(K246="max",COUNTIF(K$4:K246,"max"),""))</f>
        <v/>
      </c>
      <c r="M246" s="24" t="str">
        <f aca="false" t="array" ref="M246:M246">IF($K$3=0,IF(K246="min",INDEX($B$4:$B$254,(MATCH(1,($K$4:$K$254="max")*($L$4:$L$254=(L246-1)),0))),""),IF($K$3=1,IF(K246="min",INDEX($B$4:$B$254,(MATCH(1,($K$4:$K$254="max")*($L$4:$L$254=(L246)),0))),""),""))</f>
        <v/>
      </c>
      <c r="N246" s="29" t="str">
        <f aca="false">IF(AND(K244=0,K246="min",L246=1),B246-B245,IF(K246="min",B246-M246,""))</f>
        <v/>
      </c>
      <c r="O246" s="34" t="str">
        <f aca="false">IF(AND(K244=0,K246="min",L246=1),(B246-B245)/B245,IF(K246="min",(B246-M246)/M246,""))</f>
        <v/>
      </c>
      <c r="P246" s="19" t="n">
        <f aca="false">D246-s_p!H246</f>
        <v>0.039330349872818</v>
      </c>
      <c r="Q246" s="19" t="n">
        <f aca="false">IF(P246&lt;0, P246^2, 0)</f>
        <v>0</v>
      </c>
      <c r="R246" s="5"/>
      <c r="S246" s="5"/>
      <c r="T246" s="5"/>
      <c r="U246" s="5"/>
      <c r="V246" s="5"/>
    </row>
    <row r="247" customFormat="false" ht="13.8" hidden="false" customHeight="false" outlineLevel="0" collapsed="false">
      <c r="A247" s="6" t="n">
        <f aca="false">WORKDAY(A246,1,holiday!$B$2:$B$10)</f>
        <v>39070</v>
      </c>
      <c r="B247" s="24" t="n">
        <v>1039674.6170641</v>
      </c>
      <c r="C247" s="24" t="n">
        <f aca="false">B247-B246</f>
        <v>5275.43582432286</v>
      </c>
      <c r="D247" s="5" t="n">
        <f aca="false">C247/B246</f>
        <v>0.00509999999999998</v>
      </c>
      <c r="E247" s="5" t="n">
        <f aca="false" t="array" ref="E247:E247">PRODUCT(1+$D$4:D247)-1</f>
        <v>0.0396746170641042</v>
      </c>
      <c r="F247" s="45" t="n">
        <f aca="false">E247/COUNT($E$4:E247)</f>
        <v>0.000162600889606985</v>
      </c>
      <c r="G247" s="5" t="n">
        <f aca="false">F247*252</f>
        <v>0.0409754241809601</v>
      </c>
      <c r="H247" s="46" t="str">
        <f aca="false">IF(D247&lt;F247,D247-F247,"")</f>
        <v/>
      </c>
      <c r="I247" s="46" t="str">
        <f aca="false">IF(D247&lt;AVERAGE($D$235:D247),D247-AVERAGE($D$235:D247),"")</f>
        <v/>
      </c>
      <c r="J247" s="0" t="n">
        <f aca="false">IF(ISBLANK(A248),MONTH(A247),IF(MONTH(A248)-MONTH(A247)=1,MONTH(A247),0))</f>
        <v>0</v>
      </c>
      <c r="K247" s="0" t="str">
        <f aca="false">IF(B248&gt;B247,IF(AND(B246&gt;B247,B248&gt;B247),"min",""),IF(AND(B246&gt;B247,B248&gt;B247),"",IF(AND(B246&lt;B247,B248&lt;B247),"max","")))</f>
        <v>max</v>
      </c>
      <c r="L247" s="0" t="n">
        <f aca="false">IF(K247="min",COUNTIF(K$4:K247,"min"),IF(K247="max",COUNTIF(K$4:K247,"max"),""))</f>
        <v>60</v>
      </c>
      <c r="M247" s="24" t="str">
        <f aca="false" t="array" ref="M247:M247">IF($K$3=0,IF(K247="min",INDEX($B$4:$B$254,(MATCH(1,($K$4:$K$254="max")*($L$4:$L$254=(L247-1)),0))),""),IF($K$3=1,IF(K247="min",INDEX($B$4:$B$254,(MATCH(1,($K$4:$K$254="max")*($L$4:$L$254=(L247)),0))),""),""))</f>
        <v/>
      </c>
      <c r="N247" s="29" t="str">
        <f aca="false">IF(AND(K245=0,K247="min",L247=1),B247-B246,IF(K247="min",B247-M247,""))</f>
        <v/>
      </c>
      <c r="O247" s="34" t="str">
        <f aca="false">IF(AND(K245=0,K247="min",L247=1),(B247-B246)/B246,IF(K247="min",(B247-M247)/M247,""))</f>
        <v/>
      </c>
      <c r="P247" s="19" t="n">
        <f aca="false">D247-s_p!H247</f>
        <v>0.00294179742421684</v>
      </c>
      <c r="Q247" s="19" t="n">
        <f aca="false">IF(P247&lt;0, P247^2, 0)</f>
        <v>0</v>
      </c>
      <c r="R247" s="5"/>
      <c r="S247" s="5"/>
      <c r="T247" s="5"/>
      <c r="U247" s="5"/>
      <c r="V247" s="5"/>
    </row>
    <row r="248" customFormat="false" ht="13.8" hidden="false" customHeight="false" outlineLevel="0" collapsed="false">
      <c r="A248" s="6" t="n">
        <f aca="false">WORKDAY(A247,1,holiday!$B$2:$B$10)</f>
        <v>39071</v>
      </c>
      <c r="B248" s="24" t="n">
        <v>1000374.91653908</v>
      </c>
      <c r="C248" s="24" t="n">
        <f aca="false">B248-B247</f>
        <v>-39299.7005250232</v>
      </c>
      <c r="D248" s="5" t="n">
        <f aca="false">C248/B247</f>
        <v>-0.0378</v>
      </c>
      <c r="E248" s="5" t="n">
        <f aca="false" t="array" ref="E248:E248">PRODUCT(1+$D$4:D248)-1</f>
        <v>0.000374916539081171</v>
      </c>
      <c r="F248" s="45" t="n">
        <f aca="false">E248/COUNT($E$4:E248)</f>
        <v>1.53027158808641E-006</v>
      </c>
      <c r="G248" s="5" t="n">
        <f aca="false">F248*252</f>
        <v>0.000385628440197776</v>
      </c>
      <c r="H248" s="46" t="n">
        <f aca="false">IF(D248&lt;F248,D248-F248,"")</f>
        <v>-0.0378015302715881</v>
      </c>
      <c r="I248" s="46" t="n">
        <f aca="false">IF(D248&lt;AVERAGE($D$235:D248),D248-AVERAGE($D$235:D248),"")</f>
        <v>-0.0316571428571429</v>
      </c>
      <c r="J248" s="0" t="n">
        <f aca="false">IF(ISBLANK(A249),MONTH(A248),IF(MONTH(A249)-MONTH(A248)=1,MONTH(A248),0))</f>
        <v>0</v>
      </c>
      <c r="K248" s="0" t="str">
        <f aca="false">IF(B249&gt;B248,IF(AND(B247&gt;B248,B249&gt;B248),"min",""),IF(AND(B247&gt;B248,B249&gt;B248),"",IF(AND(B247&lt;B248,B249&lt;B248),"max","")))</f>
        <v>min</v>
      </c>
      <c r="L248" s="0" t="n">
        <f aca="false">IF(K248="min",COUNTIF(K$4:K248,"min"),IF(K248="max",COUNTIF(K$4:K248,"max"),""))</f>
        <v>61</v>
      </c>
      <c r="M248" s="24" t="n">
        <f aca="false" t="array" ref="M248:M248">IF($K$3=0,IF(K248="min",INDEX($B$4:$B$254,(MATCH(1,($K$4:$K$254="max")*($L$4:$L$254=(L248-1)),0))),""),IF($K$3=1,IF(K248="min",INDEX($B$4:$B$254,(MATCH(1,($K$4:$K$254="max")*($L$4:$L$254=(L248)),0))),""),""))</f>
        <v>1039674.6170641</v>
      </c>
      <c r="N248" s="29" t="n">
        <f aca="false">IF(AND(K246=0,K248="min",L248=1),B248-B247,IF(K248="min",B248-M248,""))</f>
        <v>-39299.70052502</v>
      </c>
      <c r="O248" s="34" t="n">
        <f aca="false">IF(AND(K246=0,K248="min",L248=1),(B248-B247)/B247,IF(K248="min",(B248-M248)/M248,""))</f>
        <v>-0.0377999999999971</v>
      </c>
      <c r="P248" s="19" t="n">
        <f aca="false">D248-s_p!H248</f>
        <v>-0.0363830030514539</v>
      </c>
      <c r="Q248" s="19" t="n">
        <f aca="false">IF(P248&lt;0, P248^2, 0)</f>
        <v>0.0013237229110421</v>
      </c>
      <c r="R248" s="5"/>
      <c r="S248" s="5"/>
      <c r="T248" s="5"/>
      <c r="U248" s="5"/>
      <c r="V248" s="5"/>
    </row>
    <row r="249" customFormat="false" ht="13.8" hidden="false" customHeight="false" outlineLevel="0" collapsed="false">
      <c r="A249" s="6" t="n">
        <f aca="false">WORKDAY(A248,1,holiday!$B$2:$B$10)</f>
        <v>39072</v>
      </c>
      <c r="B249" s="24" t="n">
        <v>1008778.06583801</v>
      </c>
      <c r="C249" s="24" t="n">
        <f aca="false">B249-B248</f>
        <v>8403.14929892833</v>
      </c>
      <c r="D249" s="5" t="n">
        <f aca="false">C249/B248</f>
        <v>0.00840000000000005</v>
      </c>
      <c r="E249" s="5" t="n">
        <f aca="false" t="array" ref="E249:E249">PRODUCT(1+$D$4:D249)-1</f>
        <v>0.00877806583800944</v>
      </c>
      <c r="F249" s="45" t="n">
        <f aca="false">E249/COUNT($E$4:E249)</f>
        <v>3.5683194463453E-005</v>
      </c>
      <c r="G249" s="5" t="n">
        <f aca="false">F249*252</f>
        <v>0.00899216500479016</v>
      </c>
      <c r="H249" s="46" t="str">
        <f aca="false">IF(D249&lt;F249,D249-F249,"")</f>
        <v/>
      </c>
      <c r="I249" s="46" t="str">
        <f aca="false">IF(D249&lt;AVERAGE($D$235:D249),D249-AVERAGE($D$235:D249),"")</f>
        <v/>
      </c>
      <c r="J249" s="0" t="n">
        <f aca="false">IF(ISBLANK(A250),MONTH(A249),IF(MONTH(A250)-MONTH(A249)=1,MONTH(A249),0))</f>
        <v>0</v>
      </c>
      <c r="K249" s="0" t="str">
        <f aca="false">IF(B250&gt;B249,IF(AND(B248&gt;B249,B250&gt;B249),"min",""),IF(AND(B248&gt;B249,B250&gt;B249),"",IF(AND(B248&lt;B249,B250&lt;B249),"max","")))</f>
        <v/>
      </c>
      <c r="L249" s="0" t="str">
        <f aca="false">IF(K249="min",COUNTIF(K$4:K249,"min"),IF(K249="max",COUNTIF(K$4:K249,"max"),""))</f>
        <v/>
      </c>
      <c r="M249" s="24" t="str">
        <f aca="false" t="array" ref="M249:M249">IF($K$3=0,IF(K249="min",INDEX($B$4:$B$254,(MATCH(1,($K$4:$K$254="max")*($L$4:$L$254=(L249-1)),0))),""),IF($K$3=1,IF(K249="min",INDEX($B$4:$B$254,(MATCH(1,($K$4:$K$254="max")*($L$4:$L$254=(L249)),0))),""),""))</f>
        <v/>
      </c>
      <c r="N249" s="29" t="str">
        <f aca="false">IF(AND(K247=0,K249="min",L249=1),B249-B248,IF(K249="min",B249-M249,""))</f>
        <v/>
      </c>
      <c r="O249" s="34" t="str">
        <f aca="false">IF(AND(K247=0,K249="min",L249=1),(B249-B248)/B248,IF(K249="min",(B249-M249)/M249,""))</f>
        <v/>
      </c>
      <c r="P249" s="19" t="n">
        <f aca="false">D249-s_p!H249</f>
        <v>0.0120739654239813</v>
      </c>
      <c r="Q249" s="19" t="n">
        <f aca="false">IF(P249&lt;0, P249^2, 0)</f>
        <v>0</v>
      </c>
      <c r="R249" s="5"/>
      <c r="S249" s="5"/>
      <c r="T249" s="5"/>
      <c r="U249" s="5"/>
      <c r="V249" s="5"/>
    </row>
    <row r="250" customFormat="false" ht="13.8" hidden="false" customHeight="false" outlineLevel="0" collapsed="false">
      <c r="A250" s="6" t="n">
        <f aca="false">WORKDAY(A249,1,holiday!$B$2:$B$10)</f>
        <v>39073</v>
      </c>
      <c r="B250" s="24" t="n">
        <v>1015436.00107254</v>
      </c>
      <c r="C250" s="24" t="n">
        <f aca="false">B250-B249</f>
        <v>6657.93523453083</v>
      </c>
      <c r="D250" s="5" t="n">
        <f aca="false">C250/B249</f>
        <v>0.00659999999999997</v>
      </c>
      <c r="E250" s="5" t="n">
        <f aca="false" t="array" ref="E250:E250">PRODUCT(1+$D$4:D250)-1</f>
        <v>0.0154360010725403</v>
      </c>
      <c r="F250" s="45" t="n">
        <f aca="false">E250/COUNT($E$4:E250)</f>
        <v>6.24939314677744E-005</v>
      </c>
      <c r="G250" s="5" t="n">
        <f aca="false">F250*252</f>
        <v>0.0157484707298792</v>
      </c>
      <c r="H250" s="46" t="str">
        <f aca="false">IF(D250&lt;F250,D250-F250,"")</f>
        <v/>
      </c>
      <c r="I250" s="46" t="str">
        <f aca="false">IF(D250&lt;AVERAGE($D$235:D250),D250-AVERAGE($D$235:D250),"")</f>
        <v/>
      </c>
      <c r="J250" s="0" t="n">
        <f aca="false">IF(ISBLANK(A251),MONTH(A250),IF(MONTH(A251)-MONTH(A250)=1,MONTH(A250),0))</f>
        <v>0</v>
      </c>
      <c r="K250" s="0" t="str">
        <f aca="false">IF(B251&gt;B250,IF(AND(B249&gt;B250,B251&gt;B250),"min",""),IF(AND(B249&gt;B250,B251&gt;B250),"",IF(AND(B249&lt;B250,B251&lt;B250),"max","")))</f>
        <v>max</v>
      </c>
      <c r="L250" s="0" t="n">
        <f aca="false">IF(K250="min",COUNTIF(K$4:K250,"min"),IF(K250="max",COUNTIF(K$4:K250,"max"),""))</f>
        <v>61</v>
      </c>
      <c r="M250" s="24" t="str">
        <f aca="false" t="array" ref="M250:M250">IF($K$3=0,IF(K250="min",INDEX($B$4:$B$254,(MATCH(1,($K$4:$K$254="max")*($L$4:$L$254=(L250-1)),0))),""),IF($K$3=1,IF(K250="min",INDEX($B$4:$B$254,(MATCH(1,($K$4:$K$254="max")*($L$4:$L$254=(L250)),0))),""),""))</f>
        <v/>
      </c>
      <c r="N250" s="29" t="str">
        <f aca="false">IF(AND(K248=0,K250="min",L250=1),B250-B249,IF(K250="min",B250-M250,""))</f>
        <v/>
      </c>
      <c r="O250" s="34" t="str">
        <f aca="false">IF(AND(K248=0,K250="min",L250=1),(B250-B249)/B249,IF(K250="min",(B250-M250)/M250,""))</f>
        <v/>
      </c>
      <c r="P250" s="19" t="n">
        <f aca="false">D250-s_p!H250</f>
        <v>0.0119162236480293</v>
      </c>
      <c r="Q250" s="19" t="n">
        <f aca="false">IF(P250&lt;0, P250^2, 0)</f>
        <v>0</v>
      </c>
      <c r="R250" s="5"/>
      <c r="S250" s="5"/>
      <c r="T250" s="5"/>
      <c r="U250" s="5"/>
      <c r="V250" s="5"/>
    </row>
    <row r="251" customFormat="false" ht="13.8" hidden="false" customHeight="false" outlineLevel="0" collapsed="false">
      <c r="A251" s="6" t="n">
        <f aca="false">WORKDAY(A250,1,holiday!$B$2:$B$10)</f>
        <v>39077</v>
      </c>
      <c r="B251" s="24" t="n">
        <v>1004977.01026149</v>
      </c>
      <c r="C251" s="24" t="n">
        <f aca="false">B251-B250</f>
        <v>-10458.9908110471</v>
      </c>
      <c r="D251" s="5" t="n">
        <f aca="false">C251/B250</f>
        <v>-0.0103</v>
      </c>
      <c r="E251" s="5" t="n">
        <f aca="false" t="array" ref="E251:E251">PRODUCT(1+$D$4:D251)-1</f>
        <v>0.00497701026149322</v>
      </c>
      <c r="F251" s="45" t="n">
        <f aca="false">E251/COUNT($E$4:E251)</f>
        <v>2.00685897640856E-005</v>
      </c>
      <c r="G251" s="5" t="n">
        <f aca="false">F251*252</f>
        <v>0.00505728462054956</v>
      </c>
      <c r="H251" s="46" t="n">
        <f aca="false">IF(D251&lt;F251,D251-F251,"")</f>
        <v>-0.0103200685897641</v>
      </c>
      <c r="I251" s="46" t="n">
        <f aca="false">IF(D251&lt;AVERAGE($D$235:D251),D251-AVERAGE($D$235:D251),"")</f>
        <v>-0.00551764705882349</v>
      </c>
      <c r="J251" s="0" t="n">
        <f aca="false">IF(ISBLANK(A252),MONTH(A251),IF(MONTH(A252)-MONTH(A251)=1,MONTH(A251),0))</f>
        <v>0</v>
      </c>
      <c r="K251" s="0" t="str">
        <f aca="false">IF(B252&gt;B251,IF(AND(B250&gt;B251,B252&gt;B251),"min",""),IF(AND(B250&gt;B251,B252&gt;B251),"",IF(AND(B250&lt;B251,B252&lt;B251),"max","")))</f>
        <v/>
      </c>
      <c r="L251" s="0" t="str">
        <f aca="false">IF(K251="min",COUNTIF(K$4:K251,"min"),IF(K251="max",COUNTIF(K$4:K251,"max"),""))</f>
        <v/>
      </c>
      <c r="M251" s="24" t="str">
        <f aca="false" t="array" ref="M251:M251">IF($K$3=0,IF(K251="min",INDEX($B$4:$B$254,(MATCH(1,($K$4:$K$254="max")*($L$4:$L$254=(L251-1)),0))),""),IF($K$3=1,IF(K251="min",INDEX($B$4:$B$254,(MATCH(1,($K$4:$K$254="max")*($L$4:$L$254=(L251)),0))),""),""))</f>
        <v/>
      </c>
      <c r="N251" s="29" t="str">
        <f aca="false">IF(AND(K249=0,K251="min",L251=1),B251-B250,IF(K251="min",B251-M251,""))</f>
        <v/>
      </c>
      <c r="O251" s="34" t="str">
        <f aca="false">IF(AND(K249=0,K251="min",L251=1),(B251-B250)/B250,IF(K251="min",(B251-M251)/M251,""))</f>
        <v/>
      </c>
      <c r="P251" s="19" t="n">
        <f aca="false">D251-s_p!H251</f>
        <v>-0.0146522640278999</v>
      </c>
      <c r="Q251" s="19" t="n">
        <f aca="false">IF(P251&lt;0, P251^2, 0)</f>
        <v>0.000214688841143289</v>
      </c>
      <c r="R251" s="5"/>
      <c r="S251" s="5"/>
      <c r="T251" s="5"/>
      <c r="U251" s="5"/>
      <c r="V251" s="5"/>
    </row>
    <row r="252" customFormat="false" ht="13.8" hidden="false" customHeight="false" outlineLevel="0" collapsed="false">
      <c r="A252" s="6" t="n">
        <f aca="false">WORKDAY(A251,1,holiday!$B$2:$B$10)</f>
        <v>39078</v>
      </c>
      <c r="B252" s="24" t="n">
        <v>1001258.59532353</v>
      </c>
      <c r="C252" s="24" t="n">
        <f aca="false">B252-B251</f>
        <v>-3718.41493796755</v>
      </c>
      <c r="D252" s="5" t="n">
        <f aca="false">C252/B251</f>
        <v>-0.00370000000000003</v>
      </c>
      <c r="E252" s="5" t="n">
        <f aca="false" t="array" ref="E252:E252">PRODUCT(1+$D$4:D252)-1</f>
        <v>0.00125859532352557</v>
      </c>
      <c r="F252" s="45" t="n">
        <f aca="false">E252/COUNT($E$4:E252)</f>
        <v>5.05459969287377E-006</v>
      </c>
      <c r="G252" s="5" t="n">
        <f aca="false">F252*252</f>
        <v>0.00127375912260419</v>
      </c>
      <c r="H252" s="46" t="n">
        <f aca="false">IF(D252&lt;F252,D252-F252,"")</f>
        <v>-0.0037050545996929</v>
      </c>
      <c r="I252" s="46" t="str">
        <f aca="false">IF(D252&lt;AVERAGE($D$235:D252),D252-AVERAGE($D$235:D252),"")</f>
        <v/>
      </c>
      <c r="J252" s="0" t="n">
        <f aca="false">IF(ISBLANK(A253),MONTH(A252),IF(MONTH(A253)-MONTH(A252)=1,MONTH(A252),0))</f>
        <v>0</v>
      </c>
      <c r="K252" s="0" t="str">
        <f aca="false">IF(B253&gt;B252,IF(AND(B251&gt;B252,B253&gt;B252),"min",""),IF(AND(B251&gt;B252,B253&gt;B252),"",IF(AND(B251&lt;B252,B253&lt;B252),"max","")))</f>
        <v>min</v>
      </c>
      <c r="L252" s="0" t="n">
        <f aca="false">IF(K252="min",COUNTIF(K$4:K252,"min"),IF(K252="max",COUNTIF(K$4:K252,"max"),""))</f>
        <v>62</v>
      </c>
      <c r="M252" s="24" t="n">
        <f aca="false" t="array" ref="M252:M252">IF($K$3=0,IF(K252="min",INDEX($B$4:$B$254,(MATCH(1,($K$4:$K$254="max")*($L$4:$L$254=(L252-1)),0))),""),IF($K$3=1,IF(K252="min",INDEX($B$4:$B$254,(MATCH(1,($K$4:$K$254="max")*($L$4:$L$254=(L252)),0))),""),""))</f>
        <v>1015436.00107254</v>
      </c>
      <c r="N252" s="29" t="n">
        <f aca="false">IF(AND(K250=0,K252="min",L252=1),B252-B251,IF(K252="min",B252-M252,""))</f>
        <v>-14177.4057490099</v>
      </c>
      <c r="O252" s="34" t="n">
        <f aca="false">IF(AND(K250=0,K252="min",L252=1),(B252-B251)/B251,IF(K252="min",(B252-M252)/M252,""))</f>
        <v>-0.0139618899999953</v>
      </c>
      <c r="P252" s="19" t="n">
        <f aca="false">D252-s_p!H252</f>
        <v>-0.0107153151245676</v>
      </c>
      <c r="Q252" s="19" t="n">
        <f aca="false">IF(P252&lt;0, P252^2, 0)</f>
        <v>0.000114817978218787</v>
      </c>
      <c r="R252" s="5"/>
      <c r="S252" s="5"/>
      <c r="T252" s="5"/>
      <c r="U252" s="5"/>
      <c r="V252" s="5"/>
    </row>
    <row r="253" customFormat="false" ht="13.8" hidden="false" customHeight="false" outlineLevel="0" collapsed="false">
      <c r="A253" s="6" t="n">
        <f aca="false">WORKDAY(A252,1,holiday!$B$2:$B$10)</f>
        <v>39079</v>
      </c>
      <c r="B253" s="24" t="n">
        <v>1049118.75617999</v>
      </c>
      <c r="C253" s="24" t="n">
        <f aca="false">B253-B252</f>
        <v>47860.1608564644</v>
      </c>
      <c r="D253" s="5" t="n">
        <f aca="false">C253/B252</f>
        <v>0.0477999999999999</v>
      </c>
      <c r="E253" s="5" t="n">
        <f aca="false" t="array" ref="E253:E253">PRODUCT(1+$D$4:D253)-1</f>
        <v>0.04911875617999</v>
      </c>
      <c r="F253" s="45" t="n">
        <f aca="false">E253/COUNT($E$4:E253)</f>
        <v>0.00019647502471996</v>
      </c>
      <c r="G253" s="5" t="n">
        <f aca="false">F253*252</f>
        <v>0.0495117062294299</v>
      </c>
      <c r="H253" s="46" t="str">
        <f aca="false">IF(D253&lt;F253,D253-F253,"")</f>
        <v/>
      </c>
      <c r="I253" s="46" t="str">
        <f aca="false">IF(D253&lt;AVERAGE($D$235:D253),D253-AVERAGE($D$235:D253),"")</f>
        <v/>
      </c>
      <c r="J253" s="0" t="n">
        <f aca="false">IF(ISBLANK(A254),MONTH(A253),IF(MONTH(A254)-MONTH(A253)=1,MONTH(A253),0))</f>
        <v>0</v>
      </c>
      <c r="K253" s="0" t="str">
        <f aca="false">IF(B254&gt;B253,IF(AND(B252&gt;B253,B254&gt;B253),"min",""),IF(AND(B252&gt;B253,B254&gt;B253),"",IF(AND(B252&lt;B253,B254&lt;B253),"max","")))</f>
        <v>max</v>
      </c>
      <c r="L253" s="0" t="n">
        <f aca="false">IF(K253="min",COUNTIF(K$4:K253,"min"),IF(K253="max",COUNTIF(K$4:K253,"max"),""))</f>
        <v>62</v>
      </c>
      <c r="M253" s="24" t="str">
        <f aca="false" t="array" ref="M253:M253">IF($K$3=0,IF(K253="min",INDEX($B$4:$B$254,(MATCH(1,($K$4:$K$254="max")*($L$4:$L$254=(L253-1)),0))),""),IF($K$3=1,IF(K253="min",INDEX($B$4:$B$254,(MATCH(1,($K$4:$K$254="max")*($L$4:$L$254=(L253)),0))),""),""))</f>
        <v/>
      </c>
      <c r="N253" s="29" t="str">
        <f aca="false">IF(AND(K251=0,K253="min",L253=1),B253-B252,IF(K253="min",B253-M253,""))</f>
        <v/>
      </c>
      <c r="O253" s="34" t="str">
        <f aca="false">IF(AND(K251=0,K253="min",L253=1),(B253-B252)/B252,IF(K253="min",(B253-M253)/M253,""))</f>
        <v/>
      </c>
      <c r="P253" s="19" t="n">
        <f aca="false">D253-s_p!H253</f>
        <v>0.0492787922962629</v>
      </c>
      <c r="Q253" s="19" t="n">
        <f aca="false">IF(P253&lt;0, P253^2, 0)</f>
        <v>0</v>
      </c>
      <c r="R253" s="5"/>
      <c r="S253" s="5"/>
      <c r="T253" s="5"/>
      <c r="U253" s="5"/>
      <c r="V253" s="5"/>
    </row>
    <row r="254" customFormat="false" ht="13.8" hidden="false" customHeight="false" outlineLevel="0" collapsed="false">
      <c r="A254" s="6" t="n">
        <f aca="false">WORKDAY(A253,1,holiday!$B$2:$B$10)</f>
        <v>39080</v>
      </c>
      <c r="B254" s="24" t="n">
        <v>1019953.25475819</v>
      </c>
      <c r="C254" s="24" t="n">
        <f aca="false">B254-B253</f>
        <v>-29165.5014218037</v>
      </c>
      <c r="D254" s="5" t="n">
        <f aca="false">C254/B253</f>
        <v>-0.0278</v>
      </c>
      <c r="E254" s="5" t="n">
        <f aca="false" t="array" ref="E254:E254">PRODUCT(1+$D$4:D254)-1</f>
        <v>0.019953254758186</v>
      </c>
      <c r="F254" s="45" t="n">
        <f aca="false">E254/COUNT($E$4:E254)</f>
        <v>7.9495038877235E-005</v>
      </c>
      <c r="G254" s="5" t="n">
        <f aca="false">F254*252</f>
        <v>0.0200327497970632</v>
      </c>
      <c r="H254" s="46" t="n">
        <f aca="false">IF(D254&lt;F254,D254-F254,"")</f>
        <v>-0.0278794950388772</v>
      </c>
      <c r="I254" s="46" t="n">
        <f aca="false">IF(D254&lt;AVERAGE($D$235:D254),D254-AVERAGE($D$235:D254),"")</f>
        <v>-0.02455</v>
      </c>
      <c r="J254" s="0" t="n">
        <f aca="false">IF(ISBLANK(A255),MONTH(A254),IF(MONTH(A255)-MONTH(A254)=1,MONTH(A254),0))</f>
        <v>12</v>
      </c>
      <c r="K254" s="0" t="str">
        <f aca="false">IF(B255&gt;B254,IF(AND(B253&gt;B254,B255&gt;B254),"min",""),IF(AND(B253&gt;B254,B255&gt;B254),"",IF(AND(B253&lt;B254,B255&lt;B254),"max","")))</f>
        <v/>
      </c>
      <c r="L254" s="0" t="str">
        <f aca="false">IF(K254="min",COUNTIF(K$4:K254,"min"),IF(K254="max",COUNTIF(K$4:K254,"max"),""))</f>
        <v/>
      </c>
      <c r="M254" s="24" t="str">
        <f aca="false" t="array" ref="M254:M254">IF($K$3=0,IF(K254="min",INDEX($B$4:$B$254,(MATCH(1,($K$4:$K$254="max")*($L$4:$L$254=(L254-1)),0))),""),IF($K$3=1,IF(K254="min",INDEX($B$4:$B$254,(MATCH(1,($K$4:$K$254="max")*($L$4:$L$254=(L254)),0))),""),""))</f>
        <v/>
      </c>
      <c r="N254" s="29" t="str">
        <f aca="false">IF(AND(K252=0,K254="min",L254=1),B254-B253,IF(K254="min",B254-M254,""))</f>
        <v/>
      </c>
      <c r="O254" s="34" t="str">
        <f aca="false">IF(AND(K252=0,K254="min",L254=1),(B254-B253)/B253,IF(K254="min",(B254-M254)/M254,""))</f>
        <v/>
      </c>
      <c r="P254" s="19" t="n">
        <f aca="false">D254-s_p!H254</f>
        <v>-0.023286864177774</v>
      </c>
      <c r="Q254" s="19" t="n">
        <f aca="false">IF(P254&lt;0, P254^2, 0)</f>
        <v>0.000542278043234094</v>
      </c>
      <c r="R254" s="5"/>
      <c r="S254" s="5"/>
      <c r="T254" s="5"/>
      <c r="U254" s="5"/>
      <c r="V254" s="5"/>
    </row>
  </sheetData>
  <mergeCells count="17">
    <mergeCell ref="Y8:AD8"/>
    <mergeCell ref="AE8:AJ8"/>
    <mergeCell ref="AA20:AD20"/>
    <mergeCell ref="AE20:AH20"/>
    <mergeCell ref="AI20:AL20"/>
    <mergeCell ref="AM20:AP20"/>
    <mergeCell ref="AQ20:AT20"/>
    <mergeCell ref="AU20:AX20"/>
    <mergeCell ref="AY20:BB20"/>
    <mergeCell ref="BC20:BF20"/>
    <mergeCell ref="BG20:BJ20"/>
    <mergeCell ref="BK20:BN20"/>
    <mergeCell ref="BO20:BR20"/>
    <mergeCell ref="BS20:BV20"/>
    <mergeCell ref="BW20:BZ20"/>
    <mergeCell ref="CA20:CD20"/>
    <mergeCell ref="AU37:AX3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C254"/>
  <sheetViews>
    <sheetView windowProtection="false" showFormulas="false" showGridLines="true" showRowColHeaders="true" showZeros="true" rightToLeft="false" tabSelected="false" showOutlineSymbols="true" defaultGridColor="true" view="normal" topLeftCell="F1" colorId="64" zoomScale="80" zoomScaleNormal="80" zoomScalePageLayoutView="100" workbookViewId="0">
      <selection pane="topLeft" activeCell="AA26" activeCellId="0" sqref="AA26"/>
    </sheetView>
  </sheetViews>
  <sheetFormatPr defaultRowHeight="13.8"/>
  <cols>
    <col collapsed="false" hidden="false" max="1" min="1" style="0" width="10.7551020408163"/>
    <col collapsed="false" hidden="false" max="7" min="2" style="0" width="8.82142857142857"/>
    <col collapsed="false" hidden="false" max="8" min="8" style="30" width="8.82142857142857"/>
    <col collapsed="false" hidden="false" max="10" min="9" style="30" width="11.3010204081633"/>
    <col collapsed="false" hidden="false" max="13" min="11" style="0" width="8.82142857142857"/>
    <col collapsed="false" hidden="false" max="15" min="14" style="0" width="10.8877551020408"/>
    <col collapsed="false" hidden="false" max="1025" min="16" style="0" width="8.82142857142857"/>
  </cols>
  <sheetData>
    <row r="1" customFormat="false" ht="13.8" hidden="false" customHeight="false" outlineLevel="0" collapsed="false">
      <c r="A1" s="23" t="str">
        <f aca="false">INDEX(map!$B$1:$B$26,MATCH(COLUMN(),map!$A$1:$A$26,0))</f>
        <v>A</v>
      </c>
      <c r="B1" s="23" t="str">
        <f aca="false">INDEX(map!$B$1:$B$26,MATCH(COLUMN(),map!$A$1:$A$26,0))</f>
        <v>B</v>
      </c>
      <c r="C1" s="23" t="str">
        <f aca="false">INDEX(map!$B$1:$B$26,MATCH(COLUMN(),map!$A$1:$A$26,0))</f>
        <v>C</v>
      </c>
      <c r="D1" s="23" t="str">
        <f aca="false">INDEX(map!$B$1:$B$26,MATCH(COLUMN(),map!$A$1:$A$26,0))</f>
        <v>D</v>
      </c>
      <c r="E1" s="23" t="str">
        <f aca="false">INDEX(map!$B$1:$B$26,MATCH(COLUMN(),map!$A$1:$A$26,0))</f>
        <v>E</v>
      </c>
      <c r="F1" s="23" t="str">
        <f aca="false">INDEX(map!$B$1:$B$26,MATCH(COLUMN(),map!$A$1:$A$26,0))</f>
        <v>F</v>
      </c>
      <c r="G1" s="23" t="str">
        <f aca="false">INDEX(map!$B$1:$B$26,MATCH(COLUMN(),map!$A$1:$A$26,0))</f>
        <v>G</v>
      </c>
      <c r="H1" s="30" t="str">
        <f aca="false">INDEX(map!$B$1:$B$26,MATCH(COLUMN(),map!$A$1:$A$26,0))</f>
        <v>H</v>
      </c>
      <c r="I1" s="0"/>
      <c r="J1" s="0"/>
      <c r="K1" s="23" t="str">
        <f aca="false">INDEX(map!$B$1:$B$26,MATCH(COLUMN(),map!$A$1:$A$26,0))</f>
        <v>K</v>
      </c>
    </row>
    <row r="2" customFormat="false" ht="13.8" hidden="false" customHeight="false" outlineLevel="0" collapsed="false">
      <c r="H2" s="0"/>
      <c r="I2" s="30" t="s">
        <v>449</v>
      </c>
      <c r="J2" s="0"/>
    </row>
    <row r="3" customFormat="false" ht="13.8" hidden="false" customHeight="false" outlineLevel="0" collapsed="false">
      <c r="A3" s="0" t="s">
        <v>0</v>
      </c>
      <c r="B3" s="0" t="s">
        <v>450</v>
      </c>
      <c r="C3" s="0" t="s">
        <v>451</v>
      </c>
      <c r="D3" s="0" t="s">
        <v>452</v>
      </c>
      <c r="E3" s="0" t="s">
        <v>453</v>
      </c>
      <c r="F3" s="0" t="s">
        <v>454</v>
      </c>
      <c r="G3" s="0" t="s">
        <v>455</v>
      </c>
      <c r="H3" s="30" t="s">
        <v>383</v>
      </c>
      <c r="I3" s="90" t="n">
        <v>1000000</v>
      </c>
      <c r="J3" s="90" t="s">
        <v>384</v>
      </c>
      <c r="K3" s="0" t="s">
        <v>385</v>
      </c>
      <c r="N3" s="0" t="s">
        <v>456</v>
      </c>
      <c r="P3" s="5" t="n">
        <f aca="false">STDEV(H4:H254)</f>
        <v>0.00631532100795891</v>
      </c>
    </row>
    <row r="4" customFormat="false" ht="13.8" hidden="false" customHeight="false" outlineLevel="0" collapsed="false">
      <c r="A4" s="6" t="n">
        <v>38720</v>
      </c>
      <c r="B4" s="0" t="n">
        <v>1248.29</v>
      </c>
      <c r="C4" s="0" t="n">
        <v>1270.22</v>
      </c>
      <c r="D4" s="0" t="n">
        <v>1245.74</v>
      </c>
      <c r="E4" s="0" t="n">
        <v>1268.8</v>
      </c>
      <c r="F4" s="0" t="n">
        <v>2554570000</v>
      </c>
      <c r="G4" s="0" t="n">
        <v>1268.8</v>
      </c>
      <c r="H4" s="34" t="n">
        <f aca="false">G4/B4-1</f>
        <v>0.0164304768923889</v>
      </c>
      <c r="I4" s="91" t="n">
        <f aca="false">(1+H4)*I3</f>
        <v>1016430.47689239</v>
      </c>
      <c r="J4" s="34" t="n">
        <f aca="false">I4/$I$3 -1</f>
        <v>0.0164304768923889</v>
      </c>
      <c r="K4" s="0" t="n">
        <f aca="false">IF(ISBLANK(A5),MONTH(A4),IF(MONTH(A5)-MONTH(A4)=1,MONTH(A4),0))</f>
        <v>0</v>
      </c>
    </row>
    <row r="5" customFormat="false" ht="13.8" hidden="false" customHeight="false" outlineLevel="0" collapsed="false">
      <c r="A5" s="6" t="n">
        <v>38721</v>
      </c>
      <c r="B5" s="0" t="n">
        <v>1268.8</v>
      </c>
      <c r="C5" s="0" t="n">
        <v>1275.37</v>
      </c>
      <c r="D5" s="0" t="n">
        <v>1267.74</v>
      </c>
      <c r="E5" s="0" t="n">
        <v>1273.46</v>
      </c>
      <c r="F5" s="0" t="n">
        <v>2515330000</v>
      </c>
      <c r="G5" s="0" t="n">
        <v>1273.46</v>
      </c>
      <c r="H5" s="34" t="n">
        <f aca="false">G5/G4-1</f>
        <v>0.00367276166456509</v>
      </c>
      <c r="I5" s="91" t="n">
        <f aca="false">(1+H5)*I4</f>
        <v>1020163.58378261</v>
      </c>
      <c r="J5" s="34" t="n">
        <f aca="false">I5/$I$3 -1</f>
        <v>0.0201635837826148</v>
      </c>
      <c r="K5" s="0" t="n">
        <f aca="false">IF(ISBLANK(A6),MONTH(A5),IF(MONTH(A6)-MONTH(A5)=1,MONTH(A5),0))</f>
        <v>0</v>
      </c>
      <c r="R5" s="68" t="s">
        <v>435</v>
      </c>
      <c r="S5" s="68"/>
      <c r="T5" s="68"/>
      <c r="U5" s="68"/>
      <c r="V5" s="69" t="s">
        <v>437</v>
      </c>
      <c r="W5" s="69"/>
      <c r="X5" s="69"/>
      <c r="Y5" s="69"/>
      <c r="Z5" s="69" t="s">
        <v>436</v>
      </c>
      <c r="AA5" s="69"/>
      <c r="AB5" s="69"/>
      <c r="AC5" s="69"/>
    </row>
    <row r="6" customFormat="false" ht="13.8" hidden="false" customHeight="false" outlineLevel="0" collapsed="false">
      <c r="A6" s="6" t="n">
        <v>38722</v>
      </c>
      <c r="B6" s="0" t="n">
        <v>1273.46</v>
      </c>
      <c r="C6" s="0" t="n">
        <v>1276.91</v>
      </c>
      <c r="D6" s="0" t="n">
        <v>1270.3</v>
      </c>
      <c r="E6" s="0" t="n">
        <v>1273.48</v>
      </c>
      <c r="F6" s="0" t="n">
        <v>2433340000</v>
      </c>
      <c r="G6" s="0" t="n">
        <v>1273.48</v>
      </c>
      <c r="H6" s="34" t="n">
        <f aca="false">G6/G5-1</f>
        <v>1.5705243980868E-005</v>
      </c>
      <c r="I6" s="91" t="n">
        <f aca="false">(1+H6)*I5</f>
        <v>1020179.6057006</v>
      </c>
      <c r="J6" s="34" t="n">
        <f aca="false">I6/$I$3 -1</f>
        <v>0.0201796057005985</v>
      </c>
      <c r="K6" s="0" t="n">
        <f aca="false">IF(ISBLANK(A7),MONTH(A6),IF(MONTH(A7)-MONTH(A6)=1,MONTH(A6),0))</f>
        <v>0</v>
      </c>
      <c r="N6" s="62"/>
      <c r="O6" s="62"/>
      <c r="P6" s="70" t="s">
        <v>1</v>
      </c>
      <c r="Q6" s="70" t="s">
        <v>457</v>
      </c>
      <c r="R6" s="70" t="s">
        <v>442</v>
      </c>
      <c r="S6" s="70" t="s">
        <v>443</v>
      </c>
      <c r="T6" s="70" t="s">
        <v>444</v>
      </c>
      <c r="U6" s="71" t="s">
        <v>445</v>
      </c>
      <c r="V6" s="70" t="s">
        <v>442</v>
      </c>
      <c r="W6" s="70" t="s">
        <v>443</v>
      </c>
      <c r="X6" s="70" t="s">
        <v>444</v>
      </c>
      <c r="Y6" s="70" t="s">
        <v>445</v>
      </c>
      <c r="Z6" s="70" t="s">
        <v>442</v>
      </c>
      <c r="AA6" s="70" t="s">
        <v>443</v>
      </c>
      <c r="AB6" s="70" t="s">
        <v>444</v>
      </c>
      <c r="AC6" s="70" t="s">
        <v>445</v>
      </c>
    </row>
    <row r="7" customFormat="false" ht="13.8" hidden="false" customHeight="false" outlineLevel="0" collapsed="false">
      <c r="A7" s="6" t="n">
        <v>38723</v>
      </c>
      <c r="B7" s="0" t="n">
        <v>1273.48</v>
      </c>
      <c r="C7" s="0" t="n">
        <v>1286.09</v>
      </c>
      <c r="D7" s="0" t="n">
        <v>1273.48</v>
      </c>
      <c r="E7" s="0" t="n">
        <v>1285.45</v>
      </c>
      <c r="F7" s="0" t="n">
        <v>2446560000</v>
      </c>
      <c r="G7" s="0" t="n">
        <v>1285.45</v>
      </c>
      <c r="H7" s="34" t="n">
        <f aca="false">G7/G6-1</f>
        <v>0.00939944090209499</v>
      </c>
      <c r="I7" s="91" t="n">
        <f aca="false">(1+H7)*I6</f>
        <v>1029768.7236139</v>
      </c>
      <c r="J7" s="34" t="n">
        <f aca="false">I7/$I$3 -1</f>
        <v>0.0297687236139039</v>
      </c>
      <c r="K7" s="0" t="n">
        <f aca="false">IF(ISBLANK(A8),MONTH(A7),IF(MONTH(A8)-MONTH(A7)=1,MONTH(A7),0))</f>
        <v>0</v>
      </c>
      <c r="N7" s="6" t="n">
        <f aca="false">EOMONTH(A4,-1)</f>
        <v>38717</v>
      </c>
      <c r="O7" s="6"/>
      <c r="P7" s="24" t="n">
        <f aca="false">B4</f>
        <v>1248.29</v>
      </c>
      <c r="U7" s="67"/>
      <c r="Z7" s="56"/>
      <c r="AA7" s="56"/>
      <c r="AB7" s="56"/>
      <c r="AC7" s="56"/>
    </row>
    <row r="8" customFormat="false" ht="13.8" hidden="false" customHeight="false" outlineLevel="0" collapsed="false">
      <c r="A8" s="6" t="n">
        <v>38726</v>
      </c>
      <c r="B8" s="0" t="n">
        <v>1285.45</v>
      </c>
      <c r="C8" s="0" t="n">
        <v>1290.78</v>
      </c>
      <c r="D8" s="0" t="n">
        <v>1284.82</v>
      </c>
      <c r="E8" s="0" t="n">
        <v>1290.15</v>
      </c>
      <c r="F8" s="0" t="n">
        <v>2301490000</v>
      </c>
      <c r="G8" s="0" t="n">
        <v>1290.15</v>
      </c>
      <c r="H8" s="34" t="n">
        <f aca="false">G8/G7-1</f>
        <v>0.00365630712979903</v>
      </c>
      <c r="I8" s="91" t="n">
        <f aca="false">(1+H8)*I7</f>
        <v>1033533.8743401</v>
      </c>
      <c r="J8" s="34" t="n">
        <f aca="false">I8/$I$3 -1</f>
        <v>0.0335338743400975</v>
      </c>
      <c r="K8" s="0" t="n">
        <f aca="false">IF(ISBLANK(A9),MONTH(A8),IF(MONTH(A9)-MONTH(A8)=1,MONTH(A8),0))</f>
        <v>0</v>
      </c>
      <c r="M8" s="24" t="n">
        <f aca="false">IF(ISERROR(MATCH(WORKDAY(N7,1,holiday!$B$2:$B$10),A:A,0)),MATCH(MAX(A:A),A:A,0)+1,MATCH(WORKDAY(N7,1,holiday!$B$2:$B$10),A:A,0))</f>
        <v>4</v>
      </c>
      <c r="N8" s="92" t="n">
        <f aca="false">EOMONTH(N7,1)</f>
        <v>38748</v>
      </c>
      <c r="O8" s="24" t="n">
        <f aca="true">COUNT(INDIRECT($H$1&amp;$M8):INDIRECT($H$1&amp;$M9-1))</f>
        <v>20</v>
      </c>
      <c r="P8" s="24" t="n">
        <f aca="false">INDEX($G$4:$G$254,MATCH(MONTH(N8),$K$4:$K$254,0))</f>
        <v>1280.08</v>
      </c>
      <c r="Q8" s="24" t="n">
        <f aca="false">P8-P7</f>
        <v>31.79</v>
      </c>
      <c r="R8" s="5" t="n">
        <f aca="false">Q8/P7</f>
        <v>0.025466838635253</v>
      </c>
      <c r="U8" s="67"/>
      <c r="V8" s="5" t="n">
        <f aca="true">STDEV(INDIRECT($H$1&amp;$M8):INDIRECT($H$1&amp;$M9-1))*SQRT(COUNT(INDIRECT($H$1&amp;$M8):INDIRECT($H$1&amp;$M9-1)))</f>
        <v>0.0314983455674622</v>
      </c>
      <c r="Z8" s="55" t="n">
        <f aca="true">AVERAGE(INDIRECT("H"&amp;M8):INDIRECT("H"&amp;$M9-1))</f>
        <v>0.00128178771080884</v>
      </c>
      <c r="AA8" s="55"/>
      <c r="AB8" s="55"/>
      <c r="AC8" s="55"/>
    </row>
    <row r="9" customFormat="false" ht="13.8" hidden="false" customHeight="false" outlineLevel="0" collapsed="false">
      <c r="A9" s="6" t="n">
        <v>38727</v>
      </c>
      <c r="B9" s="0" t="n">
        <v>1290.15</v>
      </c>
      <c r="C9" s="0" t="n">
        <v>1290.15</v>
      </c>
      <c r="D9" s="0" t="n">
        <v>1283.76</v>
      </c>
      <c r="E9" s="0" t="n">
        <v>1289.69</v>
      </c>
      <c r="F9" s="0" t="n">
        <v>2373080000</v>
      </c>
      <c r="G9" s="0" t="n">
        <v>1289.69</v>
      </c>
      <c r="H9" s="34" t="n">
        <f aca="false">G9/G8-1</f>
        <v>-0.000356547688253328</v>
      </c>
      <c r="I9" s="91" t="n">
        <f aca="false">(1+H9)*I8</f>
        <v>1033165.37022647</v>
      </c>
      <c r="J9" s="34" t="n">
        <f aca="false">I9/$I$3 -1</f>
        <v>0.03316537022647</v>
      </c>
      <c r="K9" s="0" t="n">
        <f aca="false">IF(ISBLANK(A10),MONTH(A9),IF(MONTH(A10)-MONTH(A9)=1,MONTH(A9),0))</f>
        <v>0</v>
      </c>
      <c r="M9" s="24" t="n">
        <f aca="false">IF(ISERROR(MATCH(WORKDAY(N8,1,holiday!$B$2:$B$10),A:A,0)),MATCH(MAX(A:A),A:A,0)+1,MATCH(WORKDAY(N8,1,holiday!$B$2:$B$10),A:A,0))</f>
        <v>24</v>
      </c>
      <c r="N9" s="92" t="n">
        <f aca="false">EOMONTH(N8,1)</f>
        <v>38776</v>
      </c>
      <c r="O9" s="24" t="n">
        <f aca="true">COUNT(INDIRECT($H$1&amp;$M9):INDIRECT($H$1&amp;$M10-1))</f>
        <v>19</v>
      </c>
      <c r="P9" s="24" t="n">
        <f aca="false">INDEX($G$4:$G$254,MATCH(MONTH(N9),$K$4:$K$254,0))</f>
        <v>1280.66</v>
      </c>
      <c r="Q9" s="24" t="n">
        <f aca="false">P9-P8</f>
        <v>0.580000000000155</v>
      </c>
      <c r="R9" s="5" t="n">
        <f aca="false">Q9/P8</f>
        <v>0.00045309668145753</v>
      </c>
      <c r="U9" s="67"/>
      <c r="V9" s="5" t="n">
        <f aca="true">STDEV(INDIRECT($H$1&amp;$M9):INDIRECT($H$1&amp;$M10-1))*SQRT(COUNT(INDIRECT($H$1&amp;$M9):INDIRECT($H$1&amp;$M10-1)))</f>
        <v>0.0261635756525245</v>
      </c>
      <c r="Z9" s="55" t="n">
        <f aca="true">AVERAGE(INDIRECT("H"&amp;M9):INDIRECT("H"&amp;$M10-1))</f>
        <v>4.09107348602619E-005</v>
      </c>
      <c r="AA9" s="55"/>
      <c r="AB9" s="55"/>
      <c r="AC9" s="55"/>
    </row>
    <row r="10" customFormat="false" ht="13.8" hidden="false" customHeight="false" outlineLevel="0" collapsed="false">
      <c r="A10" s="6" t="n">
        <v>38728</v>
      </c>
      <c r="B10" s="0" t="n">
        <v>1289.72</v>
      </c>
      <c r="C10" s="0" t="n">
        <v>1294.9</v>
      </c>
      <c r="D10" s="0" t="n">
        <v>1288.12</v>
      </c>
      <c r="E10" s="0" t="n">
        <v>1294.18</v>
      </c>
      <c r="F10" s="0" t="n">
        <v>2406130000</v>
      </c>
      <c r="G10" s="0" t="n">
        <v>1294.18</v>
      </c>
      <c r="H10" s="34" t="n">
        <f aca="false">G10/G9-1</f>
        <v>0.00348145678418854</v>
      </c>
      <c r="I10" s="91" t="n">
        <f aca="false">(1+H10)*I9</f>
        <v>1036762.29081383</v>
      </c>
      <c r="J10" s="34" t="n">
        <f aca="false">I10/$I$3 -1</f>
        <v>0.0367622908138336</v>
      </c>
      <c r="K10" s="0" t="n">
        <f aca="false">IF(ISBLANK(A11),MONTH(A10),IF(MONTH(A11)-MONTH(A10)=1,MONTH(A10),0))</f>
        <v>0</v>
      </c>
      <c r="M10" s="24" t="n">
        <f aca="false">IF(ISERROR(MATCH(WORKDAY(N9,1,holiday!$B$2:$B$10),A:A,0)),MATCH(MAX(A:A),A:A,0)+1,MATCH(WORKDAY(N9,1,holiday!$B$2:$B$10),A:A,0))</f>
        <v>43</v>
      </c>
      <c r="N10" s="92" t="n">
        <f aca="false">EOMONTH(N9,1)</f>
        <v>38807</v>
      </c>
      <c r="O10" s="24" t="n">
        <f aca="true">COUNT(INDIRECT($H$1&amp;$M10):INDIRECT($H$1&amp;$M11-1))</f>
        <v>23</v>
      </c>
      <c r="P10" s="24" t="n">
        <f aca="false">INDEX($G$4:$G$254,MATCH(MONTH(N10),$K$4:$K$254,0))</f>
        <v>1294.87</v>
      </c>
      <c r="Q10" s="24" t="n">
        <f aca="false">P10-P9</f>
        <v>14.2099999999998</v>
      </c>
      <c r="R10" s="5" t="n">
        <f aca="false">Q10/P9</f>
        <v>0.0110958412068776</v>
      </c>
      <c r="S10" s="5" t="n">
        <f aca="false" t="array" ref="S10:S10">PRODUCT(1+R8:R10)-1</f>
        <v>0.0373150469842745</v>
      </c>
      <c r="U10" s="67"/>
      <c r="V10" s="5" t="n">
        <f aca="true">STDEV(INDIRECT($H$1&amp;$M10):INDIRECT($H$1&amp;$M11-1))*SQRT(COUNT(INDIRECT($H$1&amp;$M10):INDIRECT($H$1&amp;$M11-1)))</f>
        <v>0.0237187356715007</v>
      </c>
      <c r="W10" s="5" t="n">
        <f aca="true">STDEV(INDIRECT($H$1&amp;$M8):INDIRECT($H$1&amp;$M11-1))*SQRT(COUNT(INDIRECT($H$1&amp;$M8):INDIRECT($H$1&amp;$M11-1)))</f>
        <v>0.0466885624501747</v>
      </c>
      <c r="Z10" s="55" t="n">
        <f aca="true">AVERAGE(INDIRECT("H"&amp;M10):INDIRECT("H"&amp;$M11-1))</f>
        <v>0.000491565059290587</v>
      </c>
      <c r="AA10" s="55" t="n">
        <f aca="true">AVERAGE(INDIRECT("H"&amp;$M8):INDIRECT("H"&amp;$M11-1))</f>
        <v>0.000608371847454923</v>
      </c>
      <c r="AB10" s="55"/>
      <c r="AC10" s="55"/>
    </row>
    <row r="11" customFormat="false" ht="13.8" hidden="false" customHeight="false" outlineLevel="0" collapsed="false">
      <c r="A11" s="6" t="n">
        <v>38729</v>
      </c>
      <c r="B11" s="0" t="n">
        <v>1294.18</v>
      </c>
      <c r="C11" s="0" t="n">
        <v>1294.18</v>
      </c>
      <c r="D11" s="0" t="n">
        <v>1285.04</v>
      </c>
      <c r="E11" s="0" t="n">
        <v>1286.06</v>
      </c>
      <c r="F11" s="0" t="n">
        <v>2318350000</v>
      </c>
      <c r="G11" s="0" t="n">
        <v>1286.06</v>
      </c>
      <c r="H11" s="34" t="n">
        <f aca="false">G11/G10-1</f>
        <v>-0.00627424315010283</v>
      </c>
      <c r="I11" s="91" t="n">
        <f aca="false">(1+H11)*I10</f>
        <v>1030257.39211241</v>
      </c>
      <c r="J11" s="34" t="n">
        <f aca="false">I11/$I$3 -1</f>
        <v>0.0302573921124099</v>
      </c>
      <c r="K11" s="0" t="n">
        <f aca="false">IF(ISBLANK(A12),MONTH(A11),IF(MONTH(A12)-MONTH(A11)=1,MONTH(A11),0))</f>
        <v>0</v>
      </c>
      <c r="L11" s="81" t="n">
        <f aca="false">(I11-I3)/I3</f>
        <v>0.0302573921124099</v>
      </c>
      <c r="M11" s="24" t="n">
        <f aca="false">IF(ISERROR(MATCH(WORKDAY(N10,1,holiday!$B$2:$B$10),A:A,0)),MATCH(MAX(A:A),A:A,0)+1,MATCH(WORKDAY(N10,1,holiday!$B$2:$B$10),A:A,0))</f>
        <v>66</v>
      </c>
      <c r="N11" s="92" t="n">
        <f aca="false">EOMONTH(N10,1)</f>
        <v>38837</v>
      </c>
      <c r="O11" s="24" t="n">
        <f aca="true">COUNT(INDIRECT($H$1&amp;$M11):INDIRECT($H$1&amp;$M12-1))</f>
        <v>19</v>
      </c>
      <c r="P11" s="24" t="n">
        <f aca="false">INDEX($G$4:$G$254,MATCH(MONTH(N11),$K$4:$K$254,0))</f>
        <v>1310.61</v>
      </c>
      <c r="Q11" s="24" t="n">
        <f aca="false">P11-P10</f>
        <v>15.74</v>
      </c>
      <c r="R11" s="5" t="n">
        <f aca="false">Q11/P10</f>
        <v>0.0121556604137867</v>
      </c>
      <c r="S11" s="5" t="n">
        <f aca="false" t="array" ref="S11:S11">PRODUCT(1+R9:R11)-1</f>
        <v>0.0238500718705081</v>
      </c>
      <c r="U11" s="67"/>
      <c r="V11" s="5" t="n">
        <f aca="true">STDEV(INDIRECT($H$1&amp;$M11):INDIRECT($H$1&amp;$M12-1))*SQRT(COUNT(INDIRECT($H$1&amp;$M11):INDIRECT($H$1&amp;$M12-1)))</f>
        <v>0.0248074849127617</v>
      </c>
      <c r="W11" s="5" t="n">
        <f aca="true">STDEV(INDIRECT($H$1&amp;$M9):INDIRECT($H$1&amp;$M12-1))*SQRT(COUNT(INDIRECT($H$1&amp;$M9):INDIRECT($H$1&amp;$M12-1)))</f>
        <v>0.0424622909183155</v>
      </c>
      <c r="Z11" s="55" t="n">
        <f aca="true">AVERAGE(INDIRECT("H"&amp;M11):INDIRECT("H"&amp;$M12-1))</f>
        <v>0.000651406464454367</v>
      </c>
      <c r="AA11" s="55" t="n">
        <f aca="true">AVERAGE(INDIRECT("H"&amp;$M9):INDIRECT("H"&amp;$M12-1))</f>
        <v>0.000400983986076417</v>
      </c>
      <c r="AB11" s="55"/>
      <c r="AC11" s="55"/>
    </row>
    <row r="12" customFormat="false" ht="13.8" hidden="false" customHeight="false" outlineLevel="0" collapsed="false">
      <c r="A12" s="6" t="n">
        <v>38730</v>
      </c>
      <c r="B12" s="0" t="n">
        <v>1286.06</v>
      </c>
      <c r="C12" s="0" t="n">
        <v>1288.96</v>
      </c>
      <c r="D12" s="0" t="n">
        <v>1282.78</v>
      </c>
      <c r="E12" s="0" t="n">
        <v>1287.61</v>
      </c>
      <c r="F12" s="0" t="n">
        <v>2206510000</v>
      </c>
      <c r="G12" s="0" t="n">
        <v>1287.61</v>
      </c>
      <c r="H12" s="34" t="n">
        <f aca="false">G12/G11-1</f>
        <v>0.00120523148220131</v>
      </c>
      <c r="I12" s="91" t="n">
        <f aca="false">(1+H12)*I11</f>
        <v>1031499.09075615</v>
      </c>
      <c r="J12" s="34" t="n">
        <f aca="false">I12/$I$3 -1</f>
        <v>0.0314990907561543</v>
      </c>
      <c r="K12" s="0" t="n">
        <f aca="false">IF(ISBLANK(A13),MONTH(A12),IF(MONTH(A13)-MONTH(A12)=1,MONTH(A12),0))</f>
        <v>0</v>
      </c>
      <c r="M12" s="24" t="n">
        <f aca="false">IF(ISERROR(MATCH(WORKDAY(N11,1,holiday!$B$2:$B$10),A:A,0)),MATCH(MAX(A:A),A:A,0)+1,MATCH(WORKDAY(N11,1,holiday!$B$2:$B$10),A:A,0))</f>
        <v>85</v>
      </c>
      <c r="N12" s="92" t="n">
        <f aca="false">EOMONTH(N11,1)</f>
        <v>38868</v>
      </c>
      <c r="O12" s="24" t="n">
        <f aca="true">COUNT(INDIRECT($H$1&amp;$M12):INDIRECT($H$1&amp;$M13-1))</f>
        <v>22</v>
      </c>
      <c r="P12" s="24" t="n">
        <f aca="false">INDEX($G$4:$G$254,MATCH(MONTH(N12),$K$4:$K$254,0))</f>
        <v>1270.09</v>
      </c>
      <c r="Q12" s="24" t="n">
        <f aca="false">P12-P11</f>
        <v>-40.52</v>
      </c>
      <c r="R12" s="5" t="n">
        <f aca="false">Q12/P11</f>
        <v>-0.0309169012902389</v>
      </c>
      <c r="S12" s="5" t="n">
        <f aca="false" t="array" ref="S12:S12">PRODUCT(1+R10:R12)-1</f>
        <v>-0.00825355675979589</v>
      </c>
      <c r="U12" s="67"/>
      <c r="V12" s="5" t="n">
        <f aca="true">STDEV(INDIRECT($H$1&amp;$M12):INDIRECT($H$1&amp;$M13-1))*SQRT(COUNT(INDIRECT($H$1&amp;$M12):INDIRECT($H$1&amp;$M13-1)))</f>
        <v>0.0370192076274519</v>
      </c>
      <c r="W12" s="5" t="n">
        <f aca="true">STDEV(INDIRECT($H$1&amp;$M10):INDIRECT($H$1&amp;$M13-1))*SQRT(COUNT(INDIRECT($H$1&amp;$M10):INDIRECT($H$1&amp;$M13-1)))</f>
        <v>0.0502441336295083</v>
      </c>
      <c r="Z12" s="55" t="n">
        <f aca="true">AVERAGE(INDIRECT("H"&amp;M12):INDIRECT("H"&amp;$M13-1))</f>
        <v>-0.0013966482235567</v>
      </c>
      <c r="AA12" s="55" t="n">
        <f aca="true">AVERAGE(INDIRECT("H"&amp;$M10):INDIRECT("H"&amp;$M13-1))</f>
        <v>-0.000110055339530171</v>
      </c>
      <c r="AB12" s="55"/>
      <c r="AC12" s="55"/>
    </row>
    <row r="13" customFormat="false" ht="13.8" hidden="false" customHeight="false" outlineLevel="0" collapsed="false">
      <c r="A13" s="6" t="n">
        <v>38734</v>
      </c>
      <c r="B13" s="0" t="n">
        <v>1287.61</v>
      </c>
      <c r="C13" s="0" t="n">
        <v>1287.61</v>
      </c>
      <c r="D13" s="0" t="n">
        <v>1278.61</v>
      </c>
      <c r="E13" s="0" t="n">
        <v>1283.03</v>
      </c>
      <c r="F13" s="0" t="n">
        <v>2179970000</v>
      </c>
      <c r="G13" s="0" t="n">
        <v>1283.03</v>
      </c>
      <c r="H13" s="34" t="n">
        <f aca="false">G13/G12-1</f>
        <v>-0.00355697765627783</v>
      </c>
      <c r="I13" s="91" t="n">
        <f aca="false">(1+H13)*I12</f>
        <v>1027830.07153786</v>
      </c>
      <c r="J13" s="34" t="n">
        <f aca="false">I13/$I$3 -1</f>
        <v>0.0278300715378639</v>
      </c>
      <c r="K13" s="0" t="n">
        <f aca="false">IF(ISBLANK(A14),MONTH(A13),IF(MONTH(A14)-MONTH(A13)=1,MONTH(A13),0))</f>
        <v>0</v>
      </c>
      <c r="M13" s="24" t="n">
        <f aca="false">IF(ISERROR(MATCH(WORKDAY(N12,1,holiday!$B$2:$B$10),A:A,0)),MATCH(MAX(A:A),A:A,0)+1,MATCH(WORKDAY(N12,1,holiday!$B$2:$B$10),A:A,0))</f>
        <v>107</v>
      </c>
      <c r="N13" s="92" t="n">
        <f aca="false">EOMONTH(N12,1)</f>
        <v>38898</v>
      </c>
      <c r="O13" s="24" t="n">
        <f aca="true">COUNT(INDIRECT($H$1&amp;$M13):INDIRECT($H$1&amp;$M14-1))</f>
        <v>22</v>
      </c>
      <c r="P13" s="24" t="n">
        <f aca="false">INDEX($G$4:$G$254,MATCH(MONTH(N13),$K$4:$K$254,0))</f>
        <v>1270.2</v>
      </c>
      <c r="Q13" s="24" t="n">
        <f aca="false">P13-P12</f>
        <v>0.110000000000127</v>
      </c>
      <c r="R13" s="5" t="n">
        <f aca="false">Q13/P12</f>
        <v>8.66080356511171E-005</v>
      </c>
      <c r="S13" s="5" t="n">
        <f aca="false" t="array" ref="S13:S13">PRODUCT(1+R11:R13)-1</f>
        <v>-0.0190521056167799</v>
      </c>
      <c r="T13" s="5" t="n">
        <f aca="false" t="array" ref="T13:T13">PRODUCT(1+R8:R13)-1</f>
        <v>0.017552011151255</v>
      </c>
      <c r="U13" s="67"/>
      <c r="V13" s="5" t="n">
        <f aca="true">STDEV(INDIRECT($H$1&amp;$M13):INDIRECT($H$1&amp;$M14-1))*SQRT(COUNT(INDIRECT($H$1&amp;$M13):INDIRECT($H$1&amp;$M14-1)))</f>
        <v>0.0469074795076168</v>
      </c>
      <c r="W13" s="5" t="n">
        <f aca="true">STDEV(INDIRECT($H$1&amp;$M11):INDIRECT($H$1&amp;$M14-1))*SQRT(COUNT(INDIRECT($H$1&amp;$M11):INDIRECT($H$1&amp;$M14-1)))</f>
        <v>0.0640539103003917</v>
      </c>
      <c r="X13" s="5" t="n">
        <f aca="true">STDEV(INDIRECT($H$1&amp;$M8):INDIRECT($H$1&amp;$M14-1))*SQRT(COUNT(INDIRECT($H$1&amp;$M8):INDIRECT($H$1&amp;$M14-1)))</f>
        <v>0.0790998425042966</v>
      </c>
      <c r="Z13" s="55" t="n">
        <f aca="true">AVERAGE(INDIRECT("H"&amp;M13):INDIRECT("H"&amp;$M14-1))</f>
        <v>5.14953065498467E-005</v>
      </c>
      <c r="AA13" s="55" t="n">
        <f aca="true">AVERAGE(INDIRECT("H"&amp;$M11):INDIRECT("H"&amp;$M14-1))</f>
        <v>-0.000273280021420918</v>
      </c>
      <c r="AB13" s="55" t="n">
        <f aca="true">AVERAGE(INDIRECT("H"&amp;$M8):INDIRECT("H"&amp;$M14-1))</f>
        <v>0.000164019305541499</v>
      </c>
      <c r="AC13" s="55"/>
    </row>
    <row r="14" customFormat="false" ht="13.8" hidden="false" customHeight="false" outlineLevel="0" collapsed="false">
      <c r="A14" s="6" t="n">
        <v>38735</v>
      </c>
      <c r="B14" s="0" t="n">
        <v>1282.93</v>
      </c>
      <c r="C14" s="0" t="n">
        <v>1282.93</v>
      </c>
      <c r="D14" s="0" t="n">
        <v>1272.08</v>
      </c>
      <c r="E14" s="0" t="n">
        <v>1277.93</v>
      </c>
      <c r="F14" s="0" t="n">
        <v>2233200000</v>
      </c>
      <c r="G14" s="0" t="n">
        <v>1277.93</v>
      </c>
      <c r="H14" s="34" t="n">
        <f aca="false">G14/G13-1</f>
        <v>-0.00397496551132859</v>
      </c>
      <c r="I14" s="91" t="n">
        <f aca="false">(1+H14)*I13</f>
        <v>1023744.48245199</v>
      </c>
      <c r="J14" s="34" t="n">
        <f aca="false">I14/$I$3 -1</f>
        <v>0.0237444824519943</v>
      </c>
      <c r="K14" s="0" t="n">
        <f aca="false">IF(ISBLANK(A15),MONTH(A14),IF(MONTH(A15)-MONTH(A14)=1,MONTH(A14),0))</f>
        <v>0</v>
      </c>
      <c r="M14" s="24" t="n">
        <f aca="false">IF(ISERROR(MATCH(WORKDAY(N13,1,holiday!$B$2:$B$10),A:A,0)),MATCH(MAX(A:A),A:A,0)+1,MATCH(WORKDAY(N13,1,holiday!$B$2:$B$10),A:A,0))</f>
        <v>129</v>
      </c>
      <c r="N14" s="92" t="n">
        <f aca="false">EOMONTH(N13,1)</f>
        <v>38929</v>
      </c>
      <c r="O14" s="24" t="n">
        <f aca="true">COUNT(INDIRECT($H$1&amp;$M14):INDIRECT($H$1&amp;$M15-1))</f>
        <v>20</v>
      </c>
      <c r="P14" s="24" t="n">
        <f aca="false">INDEX($G$4:$G$254,MATCH(MONTH(N14),$K$4:$K$254,0))</f>
        <v>1276.66</v>
      </c>
      <c r="Q14" s="24" t="n">
        <f aca="false">P14-P13</f>
        <v>6.46000000000004</v>
      </c>
      <c r="R14" s="5" t="n">
        <f aca="false">Q14/P13</f>
        <v>0.00508581325775471</v>
      </c>
      <c r="S14" s="5" t="n">
        <f aca="false" t="array" ref="S14:S14">PRODUCT(1+R12:R14)-1</f>
        <v>-0.0259039683811353</v>
      </c>
      <c r="T14" s="5" t="n">
        <f aca="false" t="array" ref="T14:T14">PRODUCT(1+R9:R14)-1</f>
        <v>-0.00267170801824868</v>
      </c>
      <c r="U14" s="67"/>
      <c r="V14" s="5" t="n">
        <f aca="true">STDEV(INDIRECT($H$1&amp;$M14):INDIRECT($H$1&amp;$M15-1))*SQRT(COUNT(INDIRECT($H$1&amp;$M14):INDIRECT($H$1&amp;$M15-1)))</f>
        <v>0.039041284265505</v>
      </c>
      <c r="W14" s="5" t="n">
        <f aca="true">STDEV(INDIRECT($H$1&amp;$M12):INDIRECT($H$1&amp;$M15-1))*SQRT(COUNT(INDIRECT($H$1&amp;$M12):INDIRECT($H$1&amp;$M15-1)))</f>
        <v>0.070497479356684</v>
      </c>
      <c r="X14" s="5" t="n">
        <f aca="true">STDEV(INDIRECT($H$1&amp;$M9):INDIRECT($H$1&amp;$M15-1))*SQRT(COUNT(INDIRECT($H$1&amp;$M9):INDIRECT($H$1&amp;$M15-1)))</f>
        <v>0.0820870772076853</v>
      </c>
      <c r="Z14" s="55" t="n">
        <f aca="true">AVERAGE(INDIRECT("H"&amp;M14):INDIRECT("H"&amp;$M15-1))</f>
        <v>0.000289753586655911</v>
      </c>
      <c r="AA14" s="55" t="n">
        <f aca="true">AVERAGE(INDIRECT("H"&amp;$M12):INDIRECT("H"&amp;$M15-1))</f>
        <v>-0.000371848319391134</v>
      </c>
      <c r="AB14" s="55" t="n">
        <f aca="true">AVERAGE(INDIRECT("H"&amp;$M9):INDIRECT("H"&amp;$M15-1))</f>
        <v>5.29384567703115E-006</v>
      </c>
      <c r="AC14" s="55"/>
    </row>
    <row r="15" customFormat="false" ht="13.8" hidden="false" customHeight="false" outlineLevel="0" collapsed="false">
      <c r="A15" s="6" t="n">
        <v>38736</v>
      </c>
      <c r="B15" s="0" t="n">
        <v>1277.93</v>
      </c>
      <c r="C15" s="0" t="n">
        <v>1287.79</v>
      </c>
      <c r="D15" s="0" t="n">
        <v>1277.93</v>
      </c>
      <c r="E15" s="0" t="n">
        <v>1285.04</v>
      </c>
      <c r="F15" s="0" t="n">
        <v>2444020000</v>
      </c>
      <c r="G15" s="0" t="n">
        <v>1285.04</v>
      </c>
      <c r="H15" s="34" t="n">
        <f aca="false">G15/G14-1</f>
        <v>0.00556368502187121</v>
      </c>
      <c r="I15" s="91" t="n">
        <f aca="false">(1+H15)*I14</f>
        <v>1029440.27429524</v>
      </c>
      <c r="J15" s="34" t="n">
        <f aca="false">I15/$I$3 -1</f>
        <v>0.0294402742952358</v>
      </c>
      <c r="K15" s="0" t="n">
        <f aca="false">IF(ISBLANK(A16),MONTH(A15),IF(MONTH(A16)-MONTH(A15)=1,MONTH(A15),0))</f>
        <v>0</v>
      </c>
      <c r="M15" s="24" t="n">
        <f aca="false">IF(ISERROR(MATCH(WORKDAY(N14,1,holiday!$B$2:$B$10),A:A,0)),MATCH(MAX(A:A),A:A,0)+1,MATCH(WORKDAY(N14,1,holiday!$B$2:$B$10),A:A,0))</f>
        <v>149</v>
      </c>
      <c r="N15" s="92" t="n">
        <f aca="false">EOMONTH(N14,1)</f>
        <v>38960</v>
      </c>
      <c r="O15" s="24" t="n">
        <f aca="true">COUNT(INDIRECT($H$1&amp;$M15):INDIRECT($H$1&amp;$M16-1))</f>
        <v>23</v>
      </c>
      <c r="P15" s="24" t="n">
        <f aca="false">INDEX($G$4:$G$254,MATCH(MONTH(N15),$K$4:$K$254,0))</f>
        <v>1303.82</v>
      </c>
      <c r="Q15" s="24" t="n">
        <f aca="false">P15-P14</f>
        <v>27.1599999999999</v>
      </c>
      <c r="R15" s="5" t="n">
        <f aca="false">Q15/P14</f>
        <v>0.0212742625287859</v>
      </c>
      <c r="S15" s="5" t="n">
        <f aca="false" t="array" ref="S15:S15">PRODUCT(1+R13:R15)-1</f>
        <v>0.0265571731137164</v>
      </c>
      <c r="T15" s="5" t="n">
        <f aca="false" t="array" ref="T15:T15">PRODUCT(1+R10:R15)-1</f>
        <v>0.0180844252182466</v>
      </c>
      <c r="U15" s="67"/>
      <c r="V15" s="5" t="n">
        <f aca="true">STDEV(INDIRECT($H$1&amp;$M15):INDIRECT($H$1&amp;$M16-1))*SQRT(COUNT(INDIRECT($H$1&amp;$M15):INDIRECT($H$1&amp;$M16-1)))</f>
        <v>0.0215639197153731</v>
      </c>
      <c r="W15" s="5" t="n">
        <f aca="true">STDEV(INDIRECT($H$1&amp;$M13):INDIRECT($H$1&amp;$M16-1))*SQRT(COUNT(INDIRECT($H$1&amp;$M13):INDIRECT($H$1&amp;$M16-1)))</f>
        <v>0.0637559100150929</v>
      </c>
      <c r="X15" s="5" t="n">
        <f aca="true">STDEV(INDIRECT($H$1&amp;$M10):INDIRECT($H$1&amp;$M16-1))*SQRT(COUNT(INDIRECT($H$1&amp;$M10):INDIRECT($H$1&amp;$M16-1)))</f>
        <v>0.0809173075301906</v>
      </c>
      <c r="Z15" s="55" t="n">
        <f aca="true">AVERAGE(INDIRECT("H"&amp;M15):INDIRECT("H"&amp;$M16-1))</f>
        <v>0.000925320030662952</v>
      </c>
      <c r="AA15" s="55" t="n">
        <f aca="true">AVERAGE(INDIRECT("H"&amp;$M13):INDIRECT("H"&amp;$M16-1))</f>
        <v>0.000434005064345581</v>
      </c>
      <c r="AB15" s="55" t="n">
        <f aca="true">AVERAGE(INDIRECT("H"&amp;$M10):INDIRECT("H"&amp;$M16-1))</f>
        <v>0.000164083623663037</v>
      </c>
      <c r="AC15" s="55"/>
    </row>
    <row r="16" customFormat="false" ht="13.8" hidden="false" customHeight="false" outlineLevel="0" collapsed="false">
      <c r="A16" s="6" t="n">
        <v>38737</v>
      </c>
      <c r="B16" s="0" t="n">
        <v>1285.04</v>
      </c>
      <c r="C16" s="0" t="n">
        <v>1285.04</v>
      </c>
      <c r="D16" s="0" t="n">
        <v>1260.92</v>
      </c>
      <c r="E16" s="0" t="n">
        <v>1261.49</v>
      </c>
      <c r="F16" s="0" t="n">
        <v>2845810000</v>
      </c>
      <c r="G16" s="0" t="n">
        <v>1261.49</v>
      </c>
      <c r="H16" s="34" t="n">
        <f aca="false">G16/G15-1</f>
        <v>-0.0183262777812363</v>
      </c>
      <c r="I16" s="91" t="n">
        <f aca="false">(1+H16)*I15</f>
        <v>1010574.46586931</v>
      </c>
      <c r="J16" s="34" t="n">
        <f aca="false">I16/$I$3 -1</f>
        <v>0.0105744658693092</v>
      </c>
      <c r="K16" s="0" t="n">
        <f aca="false">IF(ISBLANK(A17),MONTH(A16),IF(MONTH(A17)-MONTH(A16)=1,MONTH(A16),0))</f>
        <v>0</v>
      </c>
      <c r="M16" s="24" t="n">
        <f aca="false">IF(ISERROR(MATCH(WORKDAY(N15,1,holiday!$B$2:$B$10),A:A,0)),MATCH(MAX(A:A),A:A,0)+1,MATCH(WORKDAY(N15,1,holiday!$B$2:$B$10),A:A,0))</f>
        <v>172</v>
      </c>
      <c r="N16" s="92" t="n">
        <f aca="false">EOMONTH(N15,1)</f>
        <v>38990</v>
      </c>
      <c r="O16" s="24" t="n">
        <f aca="true">COUNT(INDIRECT($H$1&amp;$M16):INDIRECT($H$1&amp;$M17-1))</f>
        <v>20</v>
      </c>
      <c r="P16" s="24" t="n">
        <f aca="false">INDEX($G$4:$G$254,MATCH(MONTH(N16),$K$4:$K$254,0))</f>
        <v>1335.85</v>
      </c>
      <c r="Q16" s="24" t="n">
        <f aca="false">P16-P15</f>
        <v>32.03</v>
      </c>
      <c r="R16" s="5" t="n">
        <f aca="false">Q16/P15</f>
        <v>0.0245662744857419</v>
      </c>
      <c r="S16" s="5" t="n">
        <f aca="false" t="array" ref="S16:S16">PRODUCT(1+R14:R16)-1</f>
        <v>0.0516847740513304</v>
      </c>
      <c r="T16" s="5" t="n">
        <f aca="false" t="array" ref="T16:T16">PRODUCT(1+R11:R16)-1</f>
        <v>0.031647964660545</v>
      </c>
      <c r="U16" s="67"/>
      <c r="V16" s="5" t="n">
        <f aca="true">STDEV(INDIRECT($H$1&amp;$M16):INDIRECT($H$1&amp;$M17-1))*SQRT(COUNT(INDIRECT($H$1&amp;$M16):INDIRECT($H$1&amp;$M17-1)))</f>
        <v>0.0226685060795933</v>
      </c>
      <c r="W16" s="5" t="n">
        <f aca="true">STDEV(INDIRECT($H$1&amp;$M14):INDIRECT($H$1&amp;$M17-1))*SQRT(COUNT(INDIRECT($H$1&amp;$M14):INDIRECT($H$1&amp;$M17-1)))</f>
        <v>0.0492818049707792</v>
      </c>
      <c r="X16" s="5" t="n">
        <f aca="true">STDEV(INDIRECT($H$1&amp;$M11):INDIRECT($H$1&amp;$M17-1))*SQRT(COUNT(INDIRECT($H$1&amp;$M11):INDIRECT($H$1&amp;$M17-1)))</f>
        <v>0.0807294171010578</v>
      </c>
      <c r="Z16" s="55" t="n">
        <f aca="true">AVERAGE(INDIRECT("H"&amp;M16):INDIRECT("H"&amp;$M17-1))</f>
        <v>0.00122640157161959</v>
      </c>
      <c r="AA16" s="55" t="n">
        <f aca="true">AVERAGE(INDIRECT("H"&amp;$M14):INDIRECT("H"&amp;$M17-1))</f>
        <v>0.000819134347154886</v>
      </c>
      <c r="AB16" s="55" t="n">
        <f aca="true">AVERAGE(INDIRECT("H"&amp;$M11):INDIRECT("H"&amp;$M17-1))</f>
        <v>0.000272927162866984</v>
      </c>
      <c r="AC16" s="55"/>
    </row>
    <row r="17" customFormat="false" ht="13.8" hidden="false" customHeight="false" outlineLevel="0" collapsed="false">
      <c r="A17" s="6" t="n">
        <v>38740</v>
      </c>
      <c r="B17" s="0" t="n">
        <v>1261.49</v>
      </c>
      <c r="C17" s="0" t="n">
        <v>1268.19</v>
      </c>
      <c r="D17" s="0" t="n">
        <v>1261.49</v>
      </c>
      <c r="E17" s="0" t="n">
        <v>1263.82</v>
      </c>
      <c r="F17" s="0" t="n">
        <v>2256070000</v>
      </c>
      <c r="G17" s="0" t="n">
        <v>1263.82</v>
      </c>
      <c r="H17" s="34" t="n">
        <f aca="false">G17/G16-1</f>
        <v>0.00184702217219312</v>
      </c>
      <c r="I17" s="91" t="n">
        <f aca="false">(1+H17)*I16</f>
        <v>1012441.01931442</v>
      </c>
      <c r="J17" s="34" t="n">
        <f aca="false">I17/$I$3 -1</f>
        <v>0.0124410193144222</v>
      </c>
      <c r="K17" s="0" t="n">
        <f aca="false">IF(ISBLANK(A18),MONTH(A17),IF(MONTH(A18)-MONTH(A17)=1,MONTH(A17),0))</f>
        <v>0</v>
      </c>
      <c r="M17" s="24" t="n">
        <f aca="false">IF(ISERROR(MATCH(WORKDAY(N16,1,holiday!$B$2:$B$10),A:A,0)),MATCH(MAX(A:A),A:A,0)+1,MATCH(WORKDAY(N16,1,holiday!$B$2:$B$10),A:A,0))</f>
        <v>192</v>
      </c>
      <c r="N17" s="92" t="n">
        <f aca="false">EOMONTH(N16,1)</f>
        <v>39021</v>
      </c>
      <c r="O17" s="24" t="n">
        <f aca="true">COUNT(INDIRECT($H$1&amp;$M17):INDIRECT($H$1&amp;$M18-1))</f>
        <v>22</v>
      </c>
      <c r="P17" s="24" t="n">
        <f aca="false">INDEX($G$4:$G$254,MATCH(MONTH(N17),$K$4:$K$254,0))</f>
        <v>1377.94</v>
      </c>
      <c r="Q17" s="24" t="n">
        <f aca="false">P17-P16</f>
        <v>42.0900000000002</v>
      </c>
      <c r="R17" s="5" t="n">
        <f aca="false">Q17/P16</f>
        <v>0.0315080285960251</v>
      </c>
      <c r="S17" s="5" t="n">
        <f aca="false" t="array" ref="S17:S17">PRODUCT(1+R15:R17)-1</f>
        <v>0.07933200695565</v>
      </c>
      <c r="T17" s="5" t="n">
        <f aca="false" t="array" ref="T17:T17">PRODUCT(1+R12:R17)-1</f>
        <v>0.0513730247747237</v>
      </c>
      <c r="U17" s="67"/>
      <c r="V17" s="5" t="n">
        <f aca="true">STDEV(INDIRECT($H$1&amp;$M17):INDIRECT($H$1&amp;$M18-1))*SQRT(COUNT(INDIRECT($H$1&amp;$M17):INDIRECT($H$1&amp;$M18-1)))</f>
        <v>0.0206191243935104</v>
      </c>
      <c r="W17" s="5" t="n">
        <f aca="true">STDEV(INDIRECT($H$1&amp;$M15):INDIRECT($H$1&amp;$M18-1))*SQRT(COUNT(INDIRECT($H$1&amp;$M15):INDIRECT($H$1&amp;$M18-1)))</f>
        <v>0.0369126249131183</v>
      </c>
      <c r="X17" s="5" t="n">
        <f aca="true">STDEV(INDIRECT($H$1&amp;$M12):INDIRECT($H$1&amp;$M18-1))*SQRT(COUNT(INDIRECT($H$1&amp;$M12):INDIRECT($H$1&amp;$M18-1)))</f>
        <v>0.079758029569431</v>
      </c>
      <c r="Z17" s="55" t="n">
        <f aca="true">AVERAGE(INDIRECT("H"&amp;M17):INDIRECT("H"&amp;$M18-1))</f>
        <v>0.00142028013710384</v>
      </c>
      <c r="AA17" s="55" t="n">
        <f aca="true">AVERAGE(INDIRECT("H"&amp;$M15):INDIRECT("H"&amp;$M18-1))</f>
        <v>0.00118548546390652</v>
      </c>
      <c r="AB17" s="55" t="n">
        <f aca="true">AVERAGE(INDIRECT("H"&amp;$M12):INDIRECT("H"&amp;$M18-1))</f>
        <v>0.000412854749712337</v>
      </c>
      <c r="AC17" s="55"/>
    </row>
    <row r="18" customFormat="false" ht="13.8" hidden="false" customHeight="false" outlineLevel="0" collapsed="false">
      <c r="A18" s="6" t="n">
        <v>38741</v>
      </c>
      <c r="B18" s="0" t="n">
        <v>1263.82</v>
      </c>
      <c r="C18" s="0" t="n">
        <v>1271.47</v>
      </c>
      <c r="D18" s="0" t="n">
        <v>1263.82</v>
      </c>
      <c r="E18" s="0" t="n">
        <v>1266.86</v>
      </c>
      <c r="F18" s="0" t="n">
        <v>2608720000</v>
      </c>
      <c r="G18" s="0" t="n">
        <v>1266.86</v>
      </c>
      <c r="H18" s="34" t="n">
        <f aca="false">G18/G17-1</f>
        <v>0.00240540583310911</v>
      </c>
      <c r="I18" s="91" t="n">
        <f aca="false">(1+H18)*I17</f>
        <v>1014876.35084796</v>
      </c>
      <c r="J18" s="34" t="n">
        <f aca="false">I18/$I$3 -1</f>
        <v>0.0148763508479599</v>
      </c>
      <c r="K18" s="0" t="n">
        <f aca="false">IF(ISBLANK(A19),MONTH(A18),IF(MONTH(A19)-MONTH(A18)=1,MONTH(A18),0))</f>
        <v>0</v>
      </c>
      <c r="M18" s="24" t="n">
        <f aca="false">IF(ISERROR(MATCH(WORKDAY(N17,1,holiday!$B$2:$B$10),A:A,0)),MATCH(MAX(A:A),A:A,0)+1,MATCH(WORKDAY(N17,1,holiday!$B$2:$B$10),A:A,0))</f>
        <v>214</v>
      </c>
      <c r="N18" s="92" t="n">
        <f aca="false">EOMONTH(N17,1)</f>
        <v>39051</v>
      </c>
      <c r="O18" s="24" t="n">
        <f aca="true">COUNT(INDIRECT($H$1&amp;$M18):INDIRECT($H$1&amp;$M19-1))</f>
        <v>21</v>
      </c>
      <c r="P18" s="24" t="n">
        <f aca="false">INDEX($G$4:$G$254,MATCH(MONTH(N18),$K$4:$K$254,0))</f>
        <v>1400.63</v>
      </c>
      <c r="Q18" s="24" t="n">
        <f aca="false">P18-P17</f>
        <v>22.6900000000001</v>
      </c>
      <c r="R18" s="5" t="n">
        <f aca="false">Q18/P17</f>
        <v>0.0164666095766144</v>
      </c>
      <c r="S18" s="5" t="n">
        <f aca="false" t="array" ref="S18:S18">PRODUCT(1+R16:R18)-1</f>
        <v>0.0742510469236555</v>
      </c>
      <c r="T18" s="5" t="n">
        <f aca="false" t="array" ref="T18:T18">PRODUCT(1+R13:R18)-1</f>
        <v>0.102780117944398</v>
      </c>
      <c r="U18" s="67"/>
      <c r="V18" s="5" t="n">
        <f aca="true">STDEV(INDIRECT($H$1&amp;$M18):INDIRECT($H$1&amp;$M19-1))*SQRT(COUNT(INDIRECT($H$1&amp;$M18):INDIRECT($H$1&amp;$M19-1)))</f>
        <v>0.0246260414095705</v>
      </c>
      <c r="W18" s="5" t="n">
        <f aca="true">STDEV(INDIRECT($H$1&amp;$M16):INDIRECT($H$1&amp;$M19-1))*SQRT(COUNT(INDIRECT($H$1&amp;$M16):INDIRECT($H$1&amp;$M19-1)))</f>
        <v>0.0387269846876674</v>
      </c>
      <c r="X18" s="5" t="n">
        <f aca="true">STDEV(INDIRECT($H$1&amp;$M13):INDIRECT($H$1&amp;$M19-1))*SQRT(COUNT(INDIRECT($H$1&amp;$M13):INDIRECT($H$1&amp;$M19-1)))</f>
        <v>0.0744169639033419</v>
      </c>
      <c r="Z18" s="55" t="n">
        <f aca="true">AVERAGE(INDIRECT("H"&amp;M18):INDIRECT("H"&amp;$M19-1))</f>
        <v>0.000791811625497664</v>
      </c>
      <c r="AA18" s="55" t="n">
        <f aca="true">AVERAGE(INDIRECT("H"&amp;$M16):INDIRECT("H"&amp;$M19-1))</f>
        <v>0.00114924188228773</v>
      </c>
      <c r="AB18" s="55" t="n">
        <f aca="true">AVERAGE(INDIRECT("H"&amp;$M13):INDIRECT("H"&amp;$M19-1))</f>
        <v>0.000786035685676483</v>
      </c>
      <c r="AC18" s="55"/>
    </row>
    <row r="19" customFormat="false" ht="13.8" hidden="false" customHeight="false" outlineLevel="0" collapsed="false">
      <c r="A19" s="6" t="n">
        <v>38742</v>
      </c>
      <c r="B19" s="0" t="n">
        <v>1266.86</v>
      </c>
      <c r="C19" s="0" t="n">
        <v>1271.87</v>
      </c>
      <c r="D19" s="0" t="n">
        <v>1259.42</v>
      </c>
      <c r="E19" s="0" t="n">
        <v>1264.68</v>
      </c>
      <c r="F19" s="0" t="n">
        <v>2617060000</v>
      </c>
      <c r="G19" s="0" t="n">
        <v>1264.68</v>
      </c>
      <c r="H19" s="34" t="n">
        <f aca="false">G19/G18-1</f>
        <v>-0.00172078998468639</v>
      </c>
      <c r="I19" s="91" t="n">
        <f aca="false">(1+H19)*I18</f>
        <v>1013129.96178773</v>
      </c>
      <c r="J19" s="34" t="n">
        <f aca="false">I19/$I$3 -1</f>
        <v>0.0131299617877259</v>
      </c>
      <c r="K19" s="0" t="n">
        <f aca="false">IF(ISBLANK(A20),MONTH(A19),IF(MONTH(A20)-MONTH(A19)=1,MONTH(A19),0))</f>
        <v>0</v>
      </c>
      <c r="M19" s="24" t="n">
        <f aca="false">IF(ISERROR(MATCH(WORKDAY(N18,1,holiday!$B$2:$B$10),A:A,0)),MATCH(MAX(A:A),A:A,0)+1,MATCH(WORKDAY(N18,1,holiday!$B$2:$B$10),A:A,0))</f>
        <v>235</v>
      </c>
      <c r="N19" s="92" t="n">
        <f aca="false">EOMONTH(N18,1)</f>
        <v>39082</v>
      </c>
      <c r="O19" s="24" t="n">
        <f aca="true">COUNT(INDIRECT($H$1&amp;$M19):INDIRECT($H$1&amp;$M20-1))</f>
        <v>20</v>
      </c>
      <c r="P19" s="24" t="n">
        <f aca="false">INDEX($G$4:$G$254,MATCH(MONTH(N19),$K$4:$K$254,0))</f>
        <v>1418.3</v>
      </c>
      <c r="Q19" s="24" t="n">
        <f aca="false">P19-P18</f>
        <v>17.6699999999998</v>
      </c>
      <c r="R19" s="5" t="n">
        <f aca="false">Q19/P18</f>
        <v>0.012615751483261</v>
      </c>
      <c r="S19" s="5" t="n">
        <f aca="false" t="array" ref="S19:S19">PRODUCT(1+R17:R19)-1</f>
        <v>0.0617210016094623</v>
      </c>
      <c r="T19" s="5" t="n">
        <f aca="false" t="array" ref="T19:T19">PRODUCT(1+R14:R19)-1</f>
        <v>0.1165958116832</v>
      </c>
      <c r="U19" s="85" t="n">
        <f aca="false" t="array" ref="U19:U19">PRODUCT(1+R8:R19)-1</f>
        <v>0.136194313821308</v>
      </c>
      <c r="V19" s="5" t="n">
        <f aca="true">STDEV(INDIRECT($H$1&amp;$M19):INDIRECT($H$1&amp;$M20-1))*SQRT(COUNT(INDIRECT($H$1&amp;$M19):INDIRECT($H$1&amp;$M20-1)))</f>
        <v>0.019179129896774</v>
      </c>
      <c r="W19" s="5" t="n">
        <f aca="true">STDEV(INDIRECT($H$1&amp;$M17):INDIRECT($H$1&amp;$M20-1))*SQRT(COUNT(INDIRECT($H$1&amp;$M17):INDIRECT($H$1&amp;$M20-1)))</f>
        <v>0.0369026769110258</v>
      </c>
      <c r="X19" s="5" t="n">
        <f aca="true">STDEV(INDIRECT($H$1&amp;$M14):INDIRECT($H$1&amp;$M20-1))*SQRT(COUNT(INDIRECT($H$1&amp;$M14):INDIRECT($H$1&amp;$M20-1)))</f>
        <v>0.0613255698029983</v>
      </c>
      <c r="Y19" s="5" t="n">
        <f aca="true">STDEV(INDIRECT($H$1&amp;$M8):INDIRECT($H$1&amp;$M20-1))*SQRT(COUNT(INDIRECT($H$1&amp;$M8):INDIRECT($H$1&amp;$M20-1)))</f>
        <v>0.10005350137714</v>
      </c>
      <c r="Z19" s="55" t="n">
        <f aca="true">AVERAGE(INDIRECT("H"&amp;M19):INDIRECT("H"&amp;$M20-1))</f>
        <v>0.000635755931943988</v>
      </c>
      <c r="AA19" s="55" t="n">
        <f aca="true">AVERAGE(INDIRECT("H"&amp;$M17):INDIRECT("H"&amp;$M20-1))</f>
        <v>0.000961735330009764</v>
      </c>
      <c r="AB19" s="55" t="n">
        <f aca="true">AVERAGE(INDIRECT("H"&amp;$M14):INDIRECT("H"&amp;$M20-1))</f>
        <v>0.000890434838582325</v>
      </c>
      <c r="AC19" s="86" t="n">
        <f aca="true">AVERAGE(INDIRECT("H"&amp;$M8):INDIRECT("H"&amp;$M20-1))</f>
        <v>0.000528674114956416</v>
      </c>
    </row>
    <row r="20" customFormat="false" ht="13.8" hidden="false" customHeight="false" outlineLevel="0" collapsed="false">
      <c r="A20" s="6" t="n">
        <v>38743</v>
      </c>
      <c r="B20" s="0" t="n">
        <v>1264.68</v>
      </c>
      <c r="C20" s="0" t="n">
        <v>1276.44</v>
      </c>
      <c r="D20" s="0" t="n">
        <v>1264.68</v>
      </c>
      <c r="E20" s="0" t="n">
        <v>1273.83</v>
      </c>
      <c r="F20" s="0" t="n">
        <v>2856780000</v>
      </c>
      <c r="G20" s="0" t="n">
        <v>1273.83</v>
      </c>
      <c r="H20" s="34" t="n">
        <f aca="false">G20/G19-1</f>
        <v>0.00723503178669693</v>
      </c>
      <c r="I20" s="91" t="n">
        <f aca="false">(1+H20)*I19</f>
        <v>1020459.98926532</v>
      </c>
      <c r="J20" s="34" t="n">
        <f aca="false">I20/$I$3 -1</f>
        <v>0.020459989265315</v>
      </c>
      <c r="K20" s="0" t="n">
        <f aca="false">IF(ISBLANK(A21),MONTH(A20),IF(MONTH(A21)-MONTH(A20)=1,MONTH(A20),0))</f>
        <v>0</v>
      </c>
      <c r="M20" s="24" t="n">
        <f aca="false">IF(ISERROR(MATCH(WORKDAY(N19,1,holiday!$B$2:$B$10),A:A,0)),MATCH(MAX(A:A),A:A,0)+1,MATCH(WORKDAY(N19,1,holiday!$B$2:$B$10),A:A,0))</f>
        <v>255</v>
      </c>
    </row>
    <row r="21" customFormat="false" ht="13.8" hidden="false" customHeight="false" outlineLevel="0" collapsed="false">
      <c r="A21" s="6" t="n">
        <v>38744</v>
      </c>
      <c r="B21" s="0" t="n">
        <v>1273.83</v>
      </c>
      <c r="C21" s="0" t="n">
        <v>1286.38</v>
      </c>
      <c r="D21" s="0" t="n">
        <v>1273.83</v>
      </c>
      <c r="E21" s="0" t="n">
        <v>1283.72</v>
      </c>
      <c r="F21" s="0" t="n">
        <v>2623620000</v>
      </c>
      <c r="G21" s="0" t="n">
        <v>1283.72</v>
      </c>
      <c r="H21" s="34" t="n">
        <f aca="false">G21/G20-1</f>
        <v>0.00776398734525019</v>
      </c>
      <c r="I21" s="91" t="n">
        <f aca="false">(1+H21)*I20</f>
        <v>1028382.82770831</v>
      </c>
      <c r="J21" s="34" t="n">
        <f aca="false">I21/$I$3 -1</f>
        <v>0.0283828277083051</v>
      </c>
      <c r="K21" s="0" t="n">
        <f aca="false">IF(ISBLANK(A22),MONTH(A21),IF(MONTH(A22)-MONTH(A21)=1,MONTH(A21),0))</f>
        <v>0</v>
      </c>
    </row>
    <row r="22" customFormat="false" ht="13.8" hidden="false" customHeight="false" outlineLevel="0" collapsed="false">
      <c r="A22" s="6" t="n">
        <v>38747</v>
      </c>
      <c r="B22" s="0" t="n">
        <v>1283.72</v>
      </c>
      <c r="C22" s="0" t="n">
        <v>1287.94</v>
      </c>
      <c r="D22" s="0" t="n">
        <v>1283.51</v>
      </c>
      <c r="E22" s="0" t="n">
        <v>1285.19</v>
      </c>
      <c r="F22" s="0" t="n">
        <v>2282730000</v>
      </c>
      <c r="G22" s="0" t="n">
        <v>1285.19</v>
      </c>
      <c r="H22" s="34" t="n">
        <f aca="false">G22/G21-1</f>
        <v>0.00114510952544178</v>
      </c>
      <c r="I22" s="91" t="n">
        <f aca="false">(1+H22)*I21</f>
        <v>1029560.43868011</v>
      </c>
      <c r="J22" s="34" t="n">
        <f aca="false">I22/$I$3 -1</f>
        <v>0.0295604386801145</v>
      </c>
      <c r="K22" s="0" t="n">
        <f aca="false">IF(ISBLANK(A23),MONTH(A22),IF(MONTH(A23)-MONTH(A22)=1,MONTH(A22),0))</f>
        <v>0</v>
      </c>
    </row>
    <row r="23" customFormat="false" ht="13.8" hidden="false" customHeight="false" outlineLevel="0" collapsed="false">
      <c r="A23" s="6" t="n">
        <v>38748</v>
      </c>
      <c r="B23" s="0" t="n">
        <v>1285.2</v>
      </c>
      <c r="C23" s="0" t="n">
        <v>1285.2</v>
      </c>
      <c r="D23" s="0" t="n">
        <v>1276.85</v>
      </c>
      <c r="E23" s="0" t="n">
        <v>1280.08</v>
      </c>
      <c r="F23" s="0" t="n">
        <v>2708310000</v>
      </c>
      <c r="G23" s="0" t="n">
        <v>1280.08</v>
      </c>
      <c r="H23" s="34" t="n">
        <f aca="false">G23/G22-1</f>
        <v>-0.00397606579571907</v>
      </c>
      <c r="I23" s="91" t="n">
        <f aca="false">(1+H23)*I22</f>
        <v>1025466.83863525</v>
      </c>
      <c r="J23" s="34" t="n">
        <f aca="false">I23/$I$3 -1</f>
        <v>0.025466838635253</v>
      </c>
      <c r="K23" s="0" t="n">
        <f aca="false">IF(ISBLANK(A24),MONTH(A23),IF(MONTH(A24)-MONTH(A23)=1,MONTH(A23),0))</f>
        <v>1</v>
      </c>
    </row>
    <row r="24" customFormat="false" ht="13.8" hidden="false" customHeight="false" outlineLevel="0" collapsed="false">
      <c r="A24" s="6" t="n">
        <v>38749</v>
      </c>
      <c r="B24" s="0" t="n">
        <v>1280.08</v>
      </c>
      <c r="C24" s="0" t="n">
        <v>1283.33</v>
      </c>
      <c r="D24" s="0" t="n">
        <v>1277.57</v>
      </c>
      <c r="E24" s="0" t="n">
        <v>1282.46</v>
      </c>
      <c r="F24" s="0" t="n">
        <v>2589410000</v>
      </c>
      <c r="G24" s="0" t="n">
        <v>1282.46</v>
      </c>
      <c r="H24" s="34" t="n">
        <f aca="false">G24/G23-1</f>
        <v>0.00185925879632531</v>
      </c>
      <c r="I24" s="91" t="n">
        <f aca="false">(1+H24)*I23</f>
        <v>1027373.44687533</v>
      </c>
      <c r="J24" s="34" t="n">
        <f aca="false">I24/$I$3 -1</f>
        <v>0.0273734468753255</v>
      </c>
      <c r="K24" s="0" t="n">
        <f aca="false">IF(ISBLANK(A25),MONTH(A24),IF(MONTH(A25)-MONTH(A24)=1,MONTH(A24),0))</f>
        <v>0</v>
      </c>
    </row>
    <row r="25" customFormat="false" ht="13.8" hidden="false" customHeight="false" outlineLevel="0" collapsed="false">
      <c r="A25" s="6" t="n">
        <v>38750</v>
      </c>
      <c r="B25" s="0" t="n">
        <v>1282.46</v>
      </c>
      <c r="C25" s="0" t="n">
        <v>1282.46</v>
      </c>
      <c r="D25" s="0" t="n">
        <v>1267.72</v>
      </c>
      <c r="E25" s="0" t="n">
        <v>1270.84</v>
      </c>
      <c r="F25" s="0" t="n">
        <v>2565300000</v>
      </c>
      <c r="G25" s="0" t="n">
        <v>1270.84</v>
      </c>
      <c r="H25" s="34" t="n">
        <f aca="false">G25/G24-1</f>
        <v>-0.00906071144519138</v>
      </c>
      <c r="I25" s="91" t="n">
        <f aca="false">(1+H25)*I24</f>
        <v>1018064.71252674</v>
      </c>
      <c r="J25" s="34" t="n">
        <f aca="false">I25/$I$3 -1</f>
        <v>0.0180647125267366</v>
      </c>
      <c r="K25" s="0" t="n">
        <f aca="false">IF(ISBLANK(A26),MONTH(A25),IF(MONTH(A26)-MONTH(A25)=1,MONTH(A25),0))</f>
        <v>0</v>
      </c>
    </row>
    <row r="26" customFormat="false" ht="13.8" hidden="false" customHeight="false" outlineLevel="0" collapsed="false">
      <c r="A26" s="6" t="n">
        <v>38751</v>
      </c>
      <c r="B26" s="0" t="n">
        <v>1270.84</v>
      </c>
      <c r="C26" s="0" t="n">
        <v>1270.87</v>
      </c>
      <c r="D26" s="0" t="n">
        <v>1261.02</v>
      </c>
      <c r="E26" s="0" t="n">
        <v>1264.03</v>
      </c>
      <c r="F26" s="0" t="n">
        <v>2282210000</v>
      </c>
      <c r="G26" s="0" t="n">
        <v>1264.03</v>
      </c>
      <c r="H26" s="34" t="n">
        <f aca="false">G26/G25-1</f>
        <v>-0.00535866041358468</v>
      </c>
      <c r="I26" s="91" t="n">
        <f aca="false">(1+H26)*I25</f>
        <v>1012609.24945325</v>
      </c>
      <c r="J26" s="34" t="n">
        <f aca="false">I26/$I$3 -1</f>
        <v>0.0126092494532521</v>
      </c>
      <c r="K26" s="0" t="n">
        <f aca="false">IF(ISBLANK(A27),MONTH(A26),IF(MONTH(A27)-MONTH(A26)=1,MONTH(A26),0))</f>
        <v>0</v>
      </c>
    </row>
    <row r="27" customFormat="false" ht="13.8" hidden="false" customHeight="false" outlineLevel="0" collapsed="false">
      <c r="A27" s="6" t="n">
        <v>38754</v>
      </c>
      <c r="B27" s="0" t="n">
        <v>1264.03</v>
      </c>
      <c r="C27" s="0" t="n">
        <v>1267.04</v>
      </c>
      <c r="D27" s="0" t="n">
        <v>1261.62</v>
      </c>
      <c r="E27" s="0" t="n">
        <v>1265.02</v>
      </c>
      <c r="F27" s="0" t="n">
        <v>2132360000</v>
      </c>
      <c r="G27" s="0" t="n">
        <v>1265.02</v>
      </c>
      <c r="H27" s="34" t="n">
        <f aca="false">G27/G26-1</f>
        <v>0.000783209259273887</v>
      </c>
      <c r="I27" s="91" t="n">
        <f aca="false">(1+H27)*I26</f>
        <v>1013402.33439345</v>
      </c>
      <c r="J27" s="34" t="n">
        <f aca="false">I27/$I$3 -1</f>
        <v>0.0134023343934502</v>
      </c>
      <c r="K27" s="0" t="n">
        <f aca="false">IF(ISBLANK(A28),MONTH(A27),IF(MONTH(A28)-MONTH(A27)=1,MONTH(A27),0))</f>
        <v>0</v>
      </c>
    </row>
    <row r="28" customFormat="false" ht="13.8" hidden="false" customHeight="false" outlineLevel="0" collapsed="false">
      <c r="A28" s="6" t="n">
        <v>38755</v>
      </c>
      <c r="B28" s="0" t="n">
        <v>1265.02</v>
      </c>
      <c r="C28" s="0" t="n">
        <v>1265.78</v>
      </c>
      <c r="D28" s="0" t="n">
        <v>1253.61</v>
      </c>
      <c r="E28" s="0" t="n">
        <v>1254.78</v>
      </c>
      <c r="F28" s="0" t="n">
        <v>2366370000</v>
      </c>
      <c r="G28" s="0" t="n">
        <v>1254.78</v>
      </c>
      <c r="H28" s="34" t="n">
        <f aca="false">G28/G27-1</f>
        <v>-0.00809473368009994</v>
      </c>
      <c r="I28" s="91" t="n">
        <f aca="false">(1+H28)*I27</f>
        <v>1005199.11238574</v>
      </c>
      <c r="J28" s="34" t="n">
        <f aca="false">I28/$I$3 -1</f>
        <v>0.00519911238574355</v>
      </c>
      <c r="K28" s="0" t="n">
        <f aca="false">IF(ISBLANK(A29),MONTH(A28),IF(MONTH(A29)-MONTH(A28)=1,MONTH(A28),0))</f>
        <v>0</v>
      </c>
    </row>
    <row r="29" customFormat="false" ht="13.8" hidden="false" customHeight="false" outlineLevel="0" collapsed="false">
      <c r="A29" s="6" t="n">
        <v>38756</v>
      </c>
      <c r="B29" s="0" t="n">
        <v>1254.78</v>
      </c>
      <c r="C29" s="0" t="n">
        <v>1266.47</v>
      </c>
      <c r="D29" s="0" t="n">
        <v>1254.78</v>
      </c>
      <c r="E29" s="0" t="n">
        <v>1265.65</v>
      </c>
      <c r="F29" s="0" t="n">
        <v>2456860000</v>
      </c>
      <c r="G29" s="0" t="n">
        <v>1265.65</v>
      </c>
      <c r="H29" s="34" t="n">
        <f aca="false">G29/G28-1</f>
        <v>0.00866287317298653</v>
      </c>
      <c r="I29" s="91" t="n">
        <f aca="false">(1+H29)*I28</f>
        <v>1013907.02480994</v>
      </c>
      <c r="J29" s="34" t="n">
        <f aca="false">I29/$I$3 -1</f>
        <v>0.01390702480994</v>
      </c>
      <c r="K29" s="0" t="n">
        <f aca="false">IF(ISBLANK(A30),MONTH(A29),IF(MONTH(A30)-MONTH(A29)=1,MONTH(A29),0))</f>
        <v>0</v>
      </c>
    </row>
    <row r="30" customFormat="false" ht="13.8" hidden="false" customHeight="false" outlineLevel="0" collapsed="false">
      <c r="A30" s="6" t="n">
        <v>38757</v>
      </c>
      <c r="B30" s="0" t="n">
        <v>1265.65</v>
      </c>
      <c r="C30" s="0" t="n">
        <v>1274.56</v>
      </c>
      <c r="D30" s="0" t="n">
        <v>1262.8</v>
      </c>
      <c r="E30" s="0" t="n">
        <v>1263.78</v>
      </c>
      <c r="F30" s="0" t="n">
        <v>2441920000</v>
      </c>
      <c r="G30" s="0" t="n">
        <v>1263.78</v>
      </c>
      <c r="H30" s="34" t="n">
        <f aca="false">G30/G29-1</f>
        <v>-0.00147750167897931</v>
      </c>
      <c r="I30" s="91" t="n">
        <f aca="false">(1+H30)*I29</f>
        <v>1012408.97547845</v>
      </c>
      <c r="J30" s="34" t="n">
        <f aca="false">I30/$I$3 -1</f>
        <v>0.0124089754784544</v>
      </c>
      <c r="K30" s="0" t="n">
        <f aca="false">IF(ISBLANK(A31),MONTH(A30),IF(MONTH(A31)-MONTH(A30)=1,MONTH(A30),0))</f>
        <v>0</v>
      </c>
    </row>
    <row r="31" customFormat="false" ht="13.8" hidden="false" customHeight="false" outlineLevel="0" collapsed="false">
      <c r="A31" s="6" t="n">
        <v>38758</v>
      </c>
      <c r="B31" s="0" t="n">
        <v>1263.82</v>
      </c>
      <c r="C31" s="0" t="n">
        <v>1269.89</v>
      </c>
      <c r="D31" s="0" t="n">
        <v>1254.98</v>
      </c>
      <c r="E31" s="0" t="n">
        <v>1266.99</v>
      </c>
      <c r="F31" s="0" t="n">
        <v>2290050000</v>
      </c>
      <c r="G31" s="0" t="n">
        <v>1266.99</v>
      </c>
      <c r="H31" s="34" t="n">
        <f aca="false">G31/G30-1</f>
        <v>0.00253999905046776</v>
      </c>
      <c r="I31" s="91" t="n">
        <f aca="false">(1+H31)*I30</f>
        <v>1014980.49331485</v>
      </c>
      <c r="J31" s="34" t="n">
        <f aca="false">I31/$I$3 -1</f>
        <v>0.0149804933148547</v>
      </c>
      <c r="K31" s="0" t="n">
        <f aca="false">IF(ISBLANK(A32),MONTH(A31),IF(MONTH(A32)-MONTH(A31)=1,MONTH(A31),0))</f>
        <v>0</v>
      </c>
    </row>
    <row r="32" customFormat="false" ht="13.8" hidden="false" customHeight="false" outlineLevel="0" collapsed="false">
      <c r="A32" s="6" t="n">
        <v>38761</v>
      </c>
      <c r="B32" s="0" t="n">
        <v>1266.99</v>
      </c>
      <c r="C32" s="0" t="n">
        <v>1266.99</v>
      </c>
      <c r="D32" s="0" t="n">
        <v>1258.34</v>
      </c>
      <c r="E32" s="0" t="n">
        <v>1262.86</v>
      </c>
      <c r="F32" s="0" t="n">
        <v>1850080000</v>
      </c>
      <c r="G32" s="0" t="n">
        <v>1262.86</v>
      </c>
      <c r="H32" s="34" t="n">
        <f aca="false">G32/G31-1</f>
        <v>-0.00325969423594508</v>
      </c>
      <c r="I32" s="91" t="n">
        <f aca="false">(1+H32)*I31</f>
        <v>1011671.9672512</v>
      </c>
      <c r="J32" s="34" t="n">
        <f aca="false">I32/$I$3 -1</f>
        <v>0.0116719672511996</v>
      </c>
      <c r="K32" s="0" t="n">
        <f aca="false">IF(ISBLANK(A33),MONTH(A32),IF(MONTH(A33)-MONTH(A32)=1,MONTH(A32),0))</f>
        <v>0</v>
      </c>
    </row>
    <row r="33" customFormat="false" ht="13.8" hidden="false" customHeight="false" outlineLevel="0" collapsed="false">
      <c r="A33" s="6" t="n">
        <v>38762</v>
      </c>
      <c r="B33" s="0" t="n">
        <v>1262.86</v>
      </c>
      <c r="C33" s="0" t="n">
        <v>1278.21</v>
      </c>
      <c r="D33" s="0" t="n">
        <v>1260.8</v>
      </c>
      <c r="E33" s="0" t="n">
        <v>1275.53</v>
      </c>
      <c r="F33" s="0" t="n">
        <v>2437940000</v>
      </c>
      <c r="G33" s="0" t="n">
        <v>1275.53</v>
      </c>
      <c r="H33" s="34" t="n">
        <f aca="false">G33/G32-1</f>
        <v>0.0100327827312607</v>
      </c>
      <c r="I33" s="91" t="n">
        <f aca="false">(1+H33)*I32</f>
        <v>1021821.85229394</v>
      </c>
      <c r="J33" s="34" t="n">
        <f aca="false">I33/$I$3 -1</f>
        <v>0.021821852293938</v>
      </c>
      <c r="K33" s="0" t="n">
        <f aca="false">IF(ISBLANK(A34),MONTH(A33),IF(MONTH(A34)-MONTH(A33)=1,MONTH(A33),0))</f>
        <v>0</v>
      </c>
    </row>
    <row r="34" customFormat="false" ht="13.8" hidden="false" customHeight="false" outlineLevel="0" collapsed="false">
      <c r="A34" s="6" t="n">
        <v>38763</v>
      </c>
      <c r="B34" s="0" t="n">
        <v>1275.53</v>
      </c>
      <c r="C34" s="0" t="n">
        <v>1281</v>
      </c>
      <c r="D34" s="0" t="n">
        <v>1271.06</v>
      </c>
      <c r="E34" s="0" t="n">
        <v>1280</v>
      </c>
      <c r="F34" s="0" t="n">
        <v>2317590000</v>
      </c>
      <c r="G34" s="0" t="n">
        <v>1280</v>
      </c>
      <c r="H34" s="34" t="n">
        <f aca="false">G34/G33-1</f>
        <v>0.00350442561131459</v>
      </c>
      <c r="I34" s="91" t="n">
        <f aca="false">(1+H34)*I33</f>
        <v>1025402.75096332</v>
      </c>
      <c r="J34" s="34" t="n">
        <f aca="false">I34/$I$3 -1</f>
        <v>0.0254027509633177</v>
      </c>
      <c r="K34" s="0" t="n">
        <f aca="false">IF(ISBLANK(A35),MONTH(A34),IF(MONTH(A35)-MONTH(A34)=1,MONTH(A34),0))</f>
        <v>0</v>
      </c>
    </row>
    <row r="35" customFormat="false" ht="13.8" hidden="false" customHeight="false" outlineLevel="0" collapsed="false">
      <c r="A35" s="6" t="n">
        <v>38764</v>
      </c>
      <c r="B35" s="0" t="n">
        <v>1280</v>
      </c>
      <c r="C35" s="0" t="n">
        <v>1289.39</v>
      </c>
      <c r="D35" s="0" t="n">
        <v>1280</v>
      </c>
      <c r="E35" s="0" t="n">
        <v>1289.38</v>
      </c>
      <c r="F35" s="0" t="n">
        <v>2251490000</v>
      </c>
      <c r="G35" s="0" t="n">
        <v>1289.38</v>
      </c>
      <c r="H35" s="34" t="n">
        <f aca="false">G35/G34-1</f>
        <v>0.00732812500000013</v>
      </c>
      <c r="I35" s="91" t="n">
        <f aca="false">(1+H35)*I34</f>
        <v>1032917.03049772</v>
      </c>
      <c r="J35" s="34" t="n">
        <f aca="false">I35/$I$3 -1</f>
        <v>0.0329170304977209</v>
      </c>
      <c r="K35" s="0" t="n">
        <f aca="false">IF(ISBLANK(A36),MONTH(A35),IF(MONTH(A36)-MONTH(A35)=1,MONTH(A35),0))</f>
        <v>0</v>
      </c>
    </row>
    <row r="36" customFormat="false" ht="13.8" hidden="false" customHeight="false" outlineLevel="0" collapsed="false">
      <c r="A36" s="6" t="n">
        <v>38765</v>
      </c>
      <c r="B36" s="0" t="n">
        <v>1289.38</v>
      </c>
      <c r="C36" s="0" t="n">
        <v>1289.47</v>
      </c>
      <c r="D36" s="0" t="n">
        <v>1284.07</v>
      </c>
      <c r="E36" s="0" t="n">
        <v>1287.24</v>
      </c>
      <c r="F36" s="0" t="n">
        <v>2128260000</v>
      </c>
      <c r="G36" s="0" t="n">
        <v>1287.24</v>
      </c>
      <c r="H36" s="34" t="n">
        <f aca="false">G36/G35-1</f>
        <v>-0.0016597124199228</v>
      </c>
      <c r="I36" s="91" t="n">
        <f aca="false">(1+H36)*I35</f>
        <v>1031202.68527345</v>
      </c>
      <c r="J36" s="34" t="n">
        <f aca="false">I36/$I$3 -1</f>
        <v>0.0312026852734542</v>
      </c>
      <c r="K36" s="0" t="n">
        <f aca="false">IF(ISBLANK(A37),MONTH(A36),IF(MONTH(A37)-MONTH(A36)=1,MONTH(A36),0))</f>
        <v>0</v>
      </c>
    </row>
    <row r="37" customFormat="false" ht="13.8" hidden="false" customHeight="false" outlineLevel="0" collapsed="false">
      <c r="A37" s="6" t="n">
        <v>38769</v>
      </c>
      <c r="B37" s="0" t="n">
        <v>1287.24</v>
      </c>
      <c r="C37" s="0" t="n">
        <v>1291.92</v>
      </c>
      <c r="D37" s="0" t="n">
        <v>1281.33</v>
      </c>
      <c r="E37" s="0" t="n">
        <v>1283.03</v>
      </c>
      <c r="F37" s="0" t="n">
        <v>2104320000</v>
      </c>
      <c r="G37" s="0" t="n">
        <v>1283.03</v>
      </c>
      <c r="H37" s="34" t="n">
        <f aca="false">G37/G36-1</f>
        <v>-0.00327056337590503</v>
      </c>
      <c r="I37" s="91" t="n">
        <f aca="false">(1+H37)*I36</f>
        <v>1027830.07153786</v>
      </c>
      <c r="J37" s="34" t="n">
        <f aca="false">I37/$I$3 -1</f>
        <v>0.0278300715378639</v>
      </c>
      <c r="K37" s="0" t="n">
        <f aca="false">IF(ISBLANK(A38),MONTH(A37),IF(MONTH(A38)-MONTH(A37)=1,MONTH(A37),0))</f>
        <v>0</v>
      </c>
    </row>
    <row r="38" customFormat="false" ht="13.8" hidden="false" customHeight="false" outlineLevel="0" collapsed="false">
      <c r="A38" s="6" t="n">
        <v>38770</v>
      </c>
      <c r="B38" s="0" t="n">
        <v>1283.03</v>
      </c>
      <c r="C38" s="0" t="n">
        <v>1294.17</v>
      </c>
      <c r="D38" s="0" t="n">
        <v>1283.03</v>
      </c>
      <c r="E38" s="0" t="n">
        <v>1292.67</v>
      </c>
      <c r="F38" s="0" t="n">
        <v>2222380000</v>
      </c>
      <c r="G38" s="0" t="n">
        <v>1292.67</v>
      </c>
      <c r="H38" s="34" t="n">
        <f aca="false">G38/G37-1</f>
        <v>0.00751346422141341</v>
      </c>
      <c r="I38" s="91" t="n">
        <f aca="false">(1+H38)*I37</f>
        <v>1035552.63600606</v>
      </c>
      <c r="J38" s="34" t="n">
        <f aca="false">I38/$I$3 -1</f>
        <v>0.0355526360060563</v>
      </c>
      <c r="K38" s="0" t="n">
        <f aca="false">IF(ISBLANK(A39),MONTH(A38),IF(MONTH(A39)-MONTH(A38)=1,MONTH(A38),0))</f>
        <v>0</v>
      </c>
    </row>
    <row r="39" customFormat="false" ht="13.8" hidden="false" customHeight="false" outlineLevel="0" collapsed="false">
      <c r="A39" s="6" t="n">
        <v>38771</v>
      </c>
      <c r="B39" s="0" t="n">
        <v>1292.67</v>
      </c>
      <c r="C39" s="0" t="n">
        <v>1293.84</v>
      </c>
      <c r="D39" s="0" t="n">
        <v>1285.14</v>
      </c>
      <c r="E39" s="0" t="n">
        <v>1287.79</v>
      </c>
      <c r="F39" s="0" t="n">
        <v>2144210000</v>
      </c>
      <c r="G39" s="0" t="n">
        <v>1287.79</v>
      </c>
      <c r="H39" s="34" t="n">
        <f aca="false">G39/G38-1</f>
        <v>-0.0037751320909436</v>
      </c>
      <c r="I39" s="91" t="n">
        <f aca="false">(1+H39)*I38</f>
        <v>1031643.28801801</v>
      </c>
      <c r="J39" s="34" t="n">
        <f aca="false">I39/$I$3 -1</f>
        <v>0.0316432880180086</v>
      </c>
      <c r="K39" s="0" t="n">
        <f aca="false">IF(ISBLANK(A40),MONTH(A39),IF(MONTH(A40)-MONTH(A39)=1,MONTH(A39),0))</f>
        <v>0</v>
      </c>
    </row>
    <row r="40" customFormat="false" ht="13.8" hidden="false" customHeight="false" outlineLevel="0" collapsed="false">
      <c r="A40" s="6" t="n">
        <v>38772</v>
      </c>
      <c r="B40" s="0" t="n">
        <v>1287.79</v>
      </c>
      <c r="C40" s="0" t="n">
        <v>1292.11</v>
      </c>
      <c r="D40" s="0" t="n">
        <v>1285.62</v>
      </c>
      <c r="E40" s="0" t="n">
        <v>1289.43</v>
      </c>
      <c r="F40" s="0" t="n">
        <v>1933010000</v>
      </c>
      <c r="G40" s="0" t="n">
        <v>1289.43</v>
      </c>
      <c r="H40" s="34" t="n">
        <f aca="false">G40/G39-1</f>
        <v>0.00127349956126399</v>
      </c>
      <c r="I40" s="91" t="n">
        <f aca="false">(1+H40)*I39</f>
        <v>1032957.08529268</v>
      </c>
      <c r="J40" s="34" t="n">
        <f aca="false">I40/$I$3 -1</f>
        <v>0.0329570852926804</v>
      </c>
      <c r="K40" s="0" t="n">
        <f aca="false">IF(ISBLANK(A41),MONTH(A40),IF(MONTH(A41)-MONTH(A40)=1,MONTH(A40),0))</f>
        <v>0</v>
      </c>
    </row>
    <row r="41" customFormat="false" ht="13.8" hidden="false" customHeight="false" outlineLevel="0" collapsed="false">
      <c r="A41" s="6" t="n">
        <v>38775</v>
      </c>
      <c r="B41" s="0" t="n">
        <v>1289.43</v>
      </c>
      <c r="C41" s="0" t="n">
        <v>1297.57</v>
      </c>
      <c r="D41" s="0" t="n">
        <v>1289.43</v>
      </c>
      <c r="E41" s="0" t="n">
        <v>1294.12</v>
      </c>
      <c r="F41" s="0" t="n">
        <v>1975320000</v>
      </c>
      <c r="G41" s="0" t="n">
        <v>1294.12</v>
      </c>
      <c r="H41" s="34" t="n">
        <f aca="false">G41/G40-1</f>
        <v>0.00363726607880999</v>
      </c>
      <c r="I41" s="91" t="n">
        <f aca="false">(1+H41)*I40</f>
        <v>1036714.22505988</v>
      </c>
      <c r="J41" s="34" t="n">
        <f aca="false">I41/$I$3 -1</f>
        <v>0.036714225059882</v>
      </c>
      <c r="K41" s="0" t="n">
        <f aca="false">IF(ISBLANK(A42),MONTH(A41),IF(MONTH(A42)-MONTH(A41)=1,MONTH(A41),0))</f>
        <v>0</v>
      </c>
    </row>
    <row r="42" customFormat="false" ht="13.8" hidden="false" customHeight="false" outlineLevel="0" collapsed="false">
      <c r="A42" s="6" t="n">
        <v>38776</v>
      </c>
      <c r="B42" s="0" t="n">
        <v>1294.12</v>
      </c>
      <c r="C42" s="0" t="n">
        <v>1294.12</v>
      </c>
      <c r="D42" s="0" t="n">
        <v>1278.66</v>
      </c>
      <c r="E42" s="0" t="n">
        <v>1280.66</v>
      </c>
      <c r="F42" s="0" t="n">
        <v>2370860000</v>
      </c>
      <c r="G42" s="0" t="n">
        <v>1280.66</v>
      </c>
      <c r="H42" s="34" t="n">
        <f aca="false">G42/G41-1</f>
        <v>-0.0104008901801995</v>
      </c>
      <c r="I42" s="91" t="n">
        <f aca="false">(1+H42)*I41</f>
        <v>1025931.47425678</v>
      </c>
      <c r="J42" s="34" t="n">
        <f aca="false">I42/$I$3 -1</f>
        <v>0.0259314742567835</v>
      </c>
      <c r="K42" s="0" t="n">
        <f aca="false">IF(ISBLANK(A43),MONTH(A42),IF(MONTH(A43)-MONTH(A42)=1,MONTH(A42),0))</f>
        <v>2</v>
      </c>
    </row>
    <row r="43" customFormat="false" ht="13.8" hidden="false" customHeight="false" outlineLevel="0" collapsed="false">
      <c r="A43" s="6" t="n">
        <v>38777</v>
      </c>
      <c r="B43" s="0" t="n">
        <v>1280.66</v>
      </c>
      <c r="C43" s="0" t="n">
        <v>1291.8</v>
      </c>
      <c r="D43" s="0" t="n">
        <v>1280.66</v>
      </c>
      <c r="E43" s="0" t="n">
        <v>1291.24</v>
      </c>
      <c r="F43" s="0" t="n">
        <v>2308320000</v>
      </c>
      <c r="G43" s="0" t="n">
        <v>1291.24</v>
      </c>
      <c r="H43" s="34" t="n">
        <f aca="false">G43/G42-1</f>
        <v>0.00826136523355148</v>
      </c>
      <c r="I43" s="91" t="n">
        <f aca="false">(1+H43)*I42</f>
        <v>1034407.06887021</v>
      </c>
      <c r="J43" s="34" t="n">
        <f aca="false">I43/$I$3 -1</f>
        <v>0.0344070688702147</v>
      </c>
      <c r="K43" s="0" t="n">
        <f aca="false">IF(ISBLANK(A44),MONTH(A43),IF(MONTH(A44)-MONTH(A43)=1,MONTH(A43),0))</f>
        <v>0</v>
      </c>
    </row>
    <row r="44" customFormat="false" ht="13.8" hidden="false" customHeight="false" outlineLevel="0" collapsed="false">
      <c r="A44" s="6" t="n">
        <v>38778</v>
      </c>
      <c r="B44" s="0" t="n">
        <v>1291.24</v>
      </c>
      <c r="C44" s="0" t="n">
        <v>1291.24</v>
      </c>
      <c r="D44" s="0" t="n">
        <v>1283.21</v>
      </c>
      <c r="E44" s="0" t="n">
        <v>1289.14</v>
      </c>
      <c r="F44" s="0" t="n">
        <v>2494590000</v>
      </c>
      <c r="G44" s="0" t="n">
        <v>1289.14</v>
      </c>
      <c r="H44" s="34" t="n">
        <f aca="false">G44/G43-1</f>
        <v>-0.00162634366965075</v>
      </c>
      <c r="I44" s="91" t="n">
        <f aca="false">(1+H44)*I43</f>
        <v>1032724.76748192</v>
      </c>
      <c r="J44" s="34" t="n">
        <f aca="false">I44/$I$3 -1</f>
        <v>0.0327247674819155</v>
      </c>
      <c r="K44" s="0" t="n">
        <f aca="false">IF(ISBLANK(A45),MONTH(A44),IF(MONTH(A45)-MONTH(A44)=1,MONTH(A44),0))</f>
        <v>0</v>
      </c>
    </row>
    <row r="45" customFormat="false" ht="13.8" hidden="false" customHeight="false" outlineLevel="0" collapsed="false">
      <c r="A45" s="6" t="n">
        <v>38779</v>
      </c>
      <c r="B45" s="0" t="n">
        <v>1289.14</v>
      </c>
      <c r="C45" s="0" t="n">
        <v>1297.33</v>
      </c>
      <c r="D45" s="0" t="n">
        <v>1284.2</v>
      </c>
      <c r="E45" s="0" t="n">
        <v>1287.23</v>
      </c>
      <c r="F45" s="0" t="n">
        <v>2152950000</v>
      </c>
      <c r="G45" s="0" t="n">
        <v>1287.23</v>
      </c>
      <c r="H45" s="34" t="n">
        <f aca="false">G45/G44-1</f>
        <v>-0.00148160789363461</v>
      </c>
      <c r="I45" s="91" t="n">
        <f aca="false">(1+H45)*I44</f>
        <v>1031194.67431446</v>
      </c>
      <c r="J45" s="34" t="n">
        <f aca="false">I45/$I$3 -1</f>
        <v>0.0311946743144624</v>
      </c>
      <c r="K45" s="0" t="n">
        <f aca="false">IF(ISBLANK(A46),MONTH(A45),IF(MONTH(A46)-MONTH(A45)=1,MONTH(A45),0))</f>
        <v>0</v>
      </c>
    </row>
    <row r="46" customFormat="false" ht="13.8" hidden="false" customHeight="false" outlineLevel="0" collapsed="false">
      <c r="A46" s="6" t="n">
        <v>38782</v>
      </c>
      <c r="B46" s="0" t="n">
        <v>1287.23</v>
      </c>
      <c r="C46" s="0" t="n">
        <v>1288.23</v>
      </c>
      <c r="D46" s="0" t="n">
        <v>1275.67</v>
      </c>
      <c r="E46" s="0" t="n">
        <v>1278.26</v>
      </c>
      <c r="F46" s="0" t="n">
        <v>2280190000</v>
      </c>
      <c r="G46" s="0" t="n">
        <v>1278.26</v>
      </c>
      <c r="H46" s="34" t="n">
        <f aca="false">G46/G45-1</f>
        <v>-0.00696845163645976</v>
      </c>
      <c r="I46" s="91" t="n">
        <f aca="false">(1+H46)*I45</f>
        <v>1024008.84409873</v>
      </c>
      <c r="J46" s="34" t="n">
        <f aca="false">I46/$I$3 -1</f>
        <v>0.0240088440987272</v>
      </c>
      <c r="K46" s="0" t="n">
        <f aca="false">IF(ISBLANK(A47),MONTH(A46),IF(MONTH(A47)-MONTH(A46)=1,MONTH(A46),0))</f>
        <v>0</v>
      </c>
    </row>
    <row r="47" customFormat="false" ht="13.8" hidden="false" customHeight="false" outlineLevel="0" collapsed="false">
      <c r="A47" s="6" t="n">
        <v>38783</v>
      </c>
      <c r="B47" s="0" t="n">
        <v>1278.26</v>
      </c>
      <c r="C47" s="0" t="n">
        <v>1278.26</v>
      </c>
      <c r="D47" s="0" t="n">
        <v>1271.11</v>
      </c>
      <c r="E47" s="0" t="n">
        <v>1275.88</v>
      </c>
      <c r="F47" s="0" t="n">
        <v>2268050000</v>
      </c>
      <c r="G47" s="0" t="n">
        <v>1275.88</v>
      </c>
      <c r="H47" s="34" t="n">
        <f aca="false">G47/G46-1</f>
        <v>-0.00186190602850744</v>
      </c>
      <c r="I47" s="91" t="n">
        <f aca="false">(1+H47)*I46</f>
        <v>1022102.23585866</v>
      </c>
      <c r="J47" s="34" t="n">
        <f aca="false">I47/$I$3 -1</f>
        <v>0.0221022358586549</v>
      </c>
      <c r="K47" s="0" t="n">
        <f aca="false">IF(ISBLANK(A48),MONTH(A47),IF(MONTH(A48)-MONTH(A47)=1,MONTH(A47),0))</f>
        <v>0</v>
      </c>
    </row>
    <row r="48" customFormat="false" ht="13.8" hidden="false" customHeight="false" outlineLevel="0" collapsed="false">
      <c r="A48" s="6" t="n">
        <v>38784</v>
      </c>
      <c r="B48" s="0" t="n">
        <v>1275.88</v>
      </c>
      <c r="C48" s="0" t="n">
        <v>1280.33</v>
      </c>
      <c r="D48" s="0" t="n">
        <v>1268.42</v>
      </c>
      <c r="E48" s="0" t="n">
        <v>1278.47</v>
      </c>
      <c r="F48" s="0" t="n">
        <v>2442870000</v>
      </c>
      <c r="G48" s="0" t="n">
        <v>1278.47</v>
      </c>
      <c r="H48" s="34" t="n">
        <f aca="false">G48/G47-1</f>
        <v>0.00202997147067108</v>
      </c>
      <c r="I48" s="91" t="n">
        <f aca="false">(1+H48)*I47</f>
        <v>1024177.07423756</v>
      </c>
      <c r="J48" s="34" t="n">
        <f aca="false">I48/$I$3 -1</f>
        <v>0.0241770742375571</v>
      </c>
      <c r="K48" s="0" t="n">
        <f aca="false">IF(ISBLANK(A49),MONTH(A48),IF(MONTH(A49)-MONTH(A48)=1,MONTH(A48),0))</f>
        <v>0</v>
      </c>
    </row>
    <row r="49" customFormat="false" ht="13.8" hidden="false" customHeight="false" outlineLevel="0" collapsed="false">
      <c r="A49" s="6" t="n">
        <v>38785</v>
      </c>
      <c r="B49" s="0" t="n">
        <v>1278.47</v>
      </c>
      <c r="C49" s="0" t="n">
        <v>1282.74</v>
      </c>
      <c r="D49" s="0" t="n">
        <v>1272.23</v>
      </c>
      <c r="E49" s="0" t="n">
        <v>1272.23</v>
      </c>
      <c r="F49" s="0" t="n">
        <v>2140110000</v>
      </c>
      <c r="G49" s="0" t="n">
        <v>1272.23</v>
      </c>
      <c r="H49" s="34" t="n">
        <f aca="false">G49/G48-1</f>
        <v>-0.00488083412203655</v>
      </c>
      <c r="I49" s="91" t="n">
        <f aca="false">(1+H49)*I48</f>
        <v>1019178.23582661</v>
      </c>
      <c r="J49" s="34" t="n">
        <f aca="false">I49/$I$3 -1</f>
        <v>0.0191782358266108</v>
      </c>
      <c r="K49" s="0" t="n">
        <f aca="false">IF(ISBLANK(A50),MONTH(A49),IF(MONTH(A50)-MONTH(A49)=1,MONTH(A49),0))</f>
        <v>0</v>
      </c>
    </row>
    <row r="50" customFormat="false" ht="13.8" hidden="false" customHeight="false" outlineLevel="0" collapsed="false">
      <c r="A50" s="6" t="n">
        <v>38786</v>
      </c>
      <c r="B50" s="0" t="n">
        <v>1272.23</v>
      </c>
      <c r="C50" s="0" t="n">
        <v>1284.37</v>
      </c>
      <c r="D50" s="0" t="n">
        <v>1271.11</v>
      </c>
      <c r="E50" s="0" t="n">
        <v>1281.42</v>
      </c>
      <c r="F50" s="0" t="n">
        <v>2123450000</v>
      </c>
      <c r="G50" s="0" t="n">
        <v>1281.42</v>
      </c>
      <c r="H50" s="34" t="n">
        <f aca="false">G50/G49-1</f>
        <v>0.0072235366246669</v>
      </c>
      <c r="I50" s="91" t="n">
        <f aca="false">(1+H50)*I49</f>
        <v>1026540.30714017</v>
      </c>
      <c r="J50" s="34" t="n">
        <f aca="false">I50/$I$3 -1</f>
        <v>0.0265403071401678</v>
      </c>
      <c r="K50" s="0" t="n">
        <f aca="false">IF(ISBLANK(A51),MONTH(A50),IF(MONTH(A51)-MONTH(A50)=1,MONTH(A50),0))</f>
        <v>0</v>
      </c>
    </row>
    <row r="51" customFormat="false" ht="13.8" hidden="false" customHeight="false" outlineLevel="0" collapsed="false">
      <c r="A51" s="6" t="n">
        <v>38789</v>
      </c>
      <c r="B51" s="0" t="n">
        <v>1281.58</v>
      </c>
      <c r="C51" s="0" t="n">
        <v>1287.37</v>
      </c>
      <c r="D51" s="0" t="n">
        <v>1281.58</v>
      </c>
      <c r="E51" s="0" t="n">
        <v>1284.13</v>
      </c>
      <c r="F51" s="0" t="n">
        <v>2070330000</v>
      </c>
      <c r="G51" s="0" t="n">
        <v>1284.13</v>
      </c>
      <c r="H51" s="34" t="n">
        <f aca="false">G51/G50-1</f>
        <v>0.00211484134787976</v>
      </c>
      <c r="I51" s="91" t="n">
        <f aca="false">(1+H51)*I50</f>
        <v>1028711.27702697</v>
      </c>
      <c r="J51" s="34" t="n">
        <f aca="false">I51/$I$3 -1</f>
        <v>0.0287112770269731</v>
      </c>
      <c r="K51" s="0" t="n">
        <f aca="false">IF(ISBLANK(A52),MONTH(A51),IF(MONTH(A52)-MONTH(A51)=1,MONTH(A51),0))</f>
        <v>0</v>
      </c>
    </row>
    <row r="52" customFormat="false" ht="13.8" hidden="false" customHeight="false" outlineLevel="0" collapsed="false">
      <c r="A52" s="6" t="n">
        <v>38790</v>
      </c>
      <c r="B52" s="0" t="n">
        <v>1284.13</v>
      </c>
      <c r="C52" s="0" t="n">
        <v>1298.14</v>
      </c>
      <c r="D52" s="0" t="n">
        <v>1282.67</v>
      </c>
      <c r="E52" s="0" t="n">
        <v>1297.48</v>
      </c>
      <c r="F52" s="0" t="n">
        <v>2165270000</v>
      </c>
      <c r="G52" s="0" t="n">
        <v>1297.48</v>
      </c>
      <c r="H52" s="34" t="n">
        <f aca="false">G52/G51-1</f>
        <v>0.0103961436926168</v>
      </c>
      <c r="I52" s="91" t="n">
        <f aca="false">(1+H52)*I51</f>
        <v>1039405.90728116</v>
      </c>
      <c r="J52" s="34" t="n">
        <f aca="false">I52/$I$3 -1</f>
        <v>0.0394059072811608</v>
      </c>
      <c r="K52" s="0" t="n">
        <f aca="false">IF(ISBLANK(A53),MONTH(A52),IF(MONTH(A53)-MONTH(A52)=1,MONTH(A52),0))</f>
        <v>0</v>
      </c>
    </row>
    <row r="53" customFormat="false" ht="13.8" hidden="false" customHeight="false" outlineLevel="0" collapsed="false">
      <c r="A53" s="6" t="n">
        <v>38791</v>
      </c>
      <c r="B53" s="0" t="n">
        <v>1297.48</v>
      </c>
      <c r="C53" s="0" t="n">
        <v>1304.4</v>
      </c>
      <c r="D53" s="0" t="n">
        <v>1294.97</v>
      </c>
      <c r="E53" s="0" t="n">
        <v>1303.02</v>
      </c>
      <c r="F53" s="0" t="n">
        <v>2293000000</v>
      </c>
      <c r="G53" s="0" t="n">
        <v>1303.02</v>
      </c>
      <c r="H53" s="34" t="n">
        <f aca="false">G53/G52-1</f>
        <v>0.00426981533434034</v>
      </c>
      <c r="I53" s="91" t="n">
        <f aca="false">(1+H53)*I52</f>
        <v>1043843.97856267</v>
      </c>
      <c r="J53" s="34" t="n">
        <f aca="false">I53/$I$3 -1</f>
        <v>0.0438439785626739</v>
      </c>
      <c r="K53" s="0" t="n">
        <f aca="false">IF(ISBLANK(A54),MONTH(A53),IF(MONTH(A54)-MONTH(A53)=1,MONTH(A53),0))</f>
        <v>0</v>
      </c>
    </row>
    <row r="54" customFormat="false" ht="13.8" hidden="false" customHeight="false" outlineLevel="0" collapsed="false">
      <c r="A54" s="6" t="n">
        <v>38792</v>
      </c>
      <c r="B54" s="0" t="n">
        <v>1303.02</v>
      </c>
      <c r="C54" s="0" t="n">
        <v>1310.45</v>
      </c>
      <c r="D54" s="0" t="n">
        <v>1303.02</v>
      </c>
      <c r="E54" s="0" t="n">
        <v>1305.33</v>
      </c>
      <c r="F54" s="0" t="n">
        <v>2292180000</v>
      </c>
      <c r="G54" s="0" t="n">
        <v>1305.33</v>
      </c>
      <c r="H54" s="34" t="n">
        <f aca="false">G54/G53-1</f>
        <v>0.00177280471520014</v>
      </c>
      <c r="I54" s="91" t="n">
        <f aca="false">(1+H54)*I53</f>
        <v>1045694.5100898</v>
      </c>
      <c r="J54" s="34" t="n">
        <f aca="false">I54/$I$3 -1</f>
        <v>0.045694510089803</v>
      </c>
      <c r="K54" s="0" t="n">
        <f aca="false">IF(ISBLANK(A55),MONTH(A54),IF(MONTH(A55)-MONTH(A54)=1,MONTH(A54),0))</f>
        <v>0</v>
      </c>
    </row>
    <row r="55" customFormat="false" ht="13.8" hidden="false" customHeight="false" outlineLevel="0" collapsed="false">
      <c r="A55" s="6" t="n">
        <v>38793</v>
      </c>
      <c r="B55" s="0" t="n">
        <v>1305.33</v>
      </c>
      <c r="C55" s="0" t="n">
        <v>1309.79</v>
      </c>
      <c r="D55" s="0" t="n">
        <v>1305.32</v>
      </c>
      <c r="E55" s="0" t="n">
        <v>1307.25</v>
      </c>
      <c r="F55" s="0" t="n">
        <v>2549620000</v>
      </c>
      <c r="G55" s="0" t="n">
        <v>1307.25</v>
      </c>
      <c r="H55" s="34" t="n">
        <f aca="false">G55/G54-1</f>
        <v>0.00147089241800935</v>
      </c>
      <c r="I55" s="91" t="n">
        <f aca="false">(1+H55)*I54</f>
        <v>1047232.61421625</v>
      </c>
      <c r="J55" s="34" t="n">
        <f aca="false">I55/$I$3 -1</f>
        <v>0.0472326142162483</v>
      </c>
      <c r="K55" s="0" t="n">
        <f aca="false">IF(ISBLANK(A56),MONTH(A55),IF(MONTH(A56)-MONTH(A55)=1,MONTH(A55),0))</f>
        <v>0</v>
      </c>
    </row>
    <row r="56" customFormat="false" ht="13.8" hidden="false" customHeight="false" outlineLevel="0" collapsed="false">
      <c r="A56" s="6" t="n">
        <v>38796</v>
      </c>
      <c r="B56" s="0" t="n">
        <v>1307.25</v>
      </c>
      <c r="C56" s="0" t="n">
        <v>1310</v>
      </c>
      <c r="D56" s="0" t="n">
        <v>1303.59</v>
      </c>
      <c r="E56" s="0" t="n">
        <v>1305.08</v>
      </c>
      <c r="F56" s="0" t="n">
        <v>1976830000</v>
      </c>
      <c r="G56" s="0" t="n">
        <v>1305.08</v>
      </c>
      <c r="H56" s="34" t="n">
        <f aca="false">G56/G55-1</f>
        <v>-0.00165997322623834</v>
      </c>
      <c r="I56" s="91" t="n">
        <f aca="false">(1+H56)*I55</f>
        <v>1045494.23611501</v>
      </c>
      <c r="J56" s="34" t="n">
        <f aca="false">I56/$I$3 -1</f>
        <v>0.0454942361150055</v>
      </c>
      <c r="K56" s="0" t="n">
        <f aca="false">IF(ISBLANK(A57),MONTH(A56),IF(MONTH(A57)-MONTH(A56)=1,MONTH(A56),0))</f>
        <v>0</v>
      </c>
    </row>
    <row r="57" customFormat="false" ht="13.8" hidden="false" customHeight="false" outlineLevel="0" collapsed="false">
      <c r="A57" s="6" t="n">
        <v>38797</v>
      </c>
      <c r="B57" s="0" t="n">
        <v>1305.08</v>
      </c>
      <c r="C57" s="0" t="n">
        <v>1310.88</v>
      </c>
      <c r="D57" s="0" t="n">
        <v>1295.82</v>
      </c>
      <c r="E57" s="0" t="n">
        <v>1297.23</v>
      </c>
      <c r="F57" s="0" t="n">
        <v>2147370000</v>
      </c>
      <c r="G57" s="0" t="n">
        <v>1297.23</v>
      </c>
      <c r="H57" s="34" t="n">
        <f aca="false">G57/G56-1</f>
        <v>-0.00601495693750564</v>
      </c>
      <c r="I57" s="91" t="n">
        <f aca="false">(1+H57)*I56</f>
        <v>1039205.63330636</v>
      </c>
      <c r="J57" s="34" t="n">
        <f aca="false">I57/$I$3 -1</f>
        <v>0.0392056333063635</v>
      </c>
      <c r="K57" s="0" t="n">
        <f aca="false">IF(ISBLANK(A58),MONTH(A57),IF(MONTH(A58)-MONTH(A57)=1,MONTH(A57),0))</f>
        <v>0</v>
      </c>
    </row>
    <row r="58" customFormat="false" ht="13.8" hidden="false" customHeight="false" outlineLevel="0" collapsed="false">
      <c r="A58" s="6" t="n">
        <v>38798</v>
      </c>
      <c r="B58" s="0" t="n">
        <v>1297.23</v>
      </c>
      <c r="C58" s="0" t="n">
        <v>1305.97</v>
      </c>
      <c r="D58" s="0" t="n">
        <v>1295.81</v>
      </c>
      <c r="E58" s="0" t="n">
        <v>1305.04</v>
      </c>
      <c r="F58" s="0" t="n">
        <v>2039810000</v>
      </c>
      <c r="G58" s="0" t="n">
        <v>1305.04</v>
      </c>
      <c r="H58" s="34" t="n">
        <f aca="false">G58/G57-1</f>
        <v>0.00602052064784187</v>
      </c>
      <c r="I58" s="91" t="n">
        <f aca="false">(1+H58)*I57</f>
        <v>1045462.19227904</v>
      </c>
      <c r="J58" s="34" t="n">
        <f aca="false">I58/$I$3 -1</f>
        <v>0.0454621922790379</v>
      </c>
      <c r="K58" s="0" t="n">
        <f aca="false">IF(ISBLANK(A59),MONTH(A58),IF(MONTH(A59)-MONTH(A58)=1,MONTH(A58),0))</f>
        <v>0</v>
      </c>
    </row>
    <row r="59" customFormat="false" ht="13.8" hidden="false" customHeight="false" outlineLevel="0" collapsed="false">
      <c r="A59" s="6" t="n">
        <v>38799</v>
      </c>
      <c r="B59" s="0" t="n">
        <v>1305.04</v>
      </c>
      <c r="C59" s="0" t="n">
        <v>1305.04</v>
      </c>
      <c r="D59" s="0" t="n">
        <v>1298.11</v>
      </c>
      <c r="E59" s="0" t="n">
        <v>1301.67</v>
      </c>
      <c r="F59" s="0" t="n">
        <v>1980940000</v>
      </c>
      <c r="G59" s="0" t="n">
        <v>1301.67</v>
      </c>
      <c r="H59" s="34" t="n">
        <f aca="false">G59/G58-1</f>
        <v>-0.00258229632808182</v>
      </c>
      <c r="I59" s="91" t="n">
        <f aca="false">(1+H59)*I58</f>
        <v>1042762.49909877</v>
      </c>
      <c r="J59" s="34" t="n">
        <f aca="false">I59/$I$3 -1</f>
        <v>0.0427624990987676</v>
      </c>
      <c r="K59" s="0" t="n">
        <f aca="false">IF(ISBLANK(A60),MONTH(A59),IF(MONTH(A60)-MONTH(A59)=1,MONTH(A59),0))</f>
        <v>0</v>
      </c>
    </row>
    <row r="60" customFormat="false" ht="13.8" hidden="false" customHeight="false" outlineLevel="0" collapsed="false">
      <c r="A60" s="6" t="n">
        <v>38800</v>
      </c>
      <c r="B60" s="0" t="n">
        <v>1301.67</v>
      </c>
      <c r="C60" s="0" t="n">
        <v>1306.53</v>
      </c>
      <c r="D60" s="0" t="n">
        <v>1298.89</v>
      </c>
      <c r="E60" s="0" t="n">
        <v>1302.95</v>
      </c>
      <c r="F60" s="0" t="n">
        <v>2326070000</v>
      </c>
      <c r="G60" s="0" t="n">
        <v>1302.95</v>
      </c>
      <c r="H60" s="34" t="n">
        <f aca="false">G60/G59-1</f>
        <v>0.000983352155308204</v>
      </c>
      <c r="I60" s="91" t="n">
        <f aca="false">(1+H60)*I59</f>
        <v>1043787.90184973</v>
      </c>
      <c r="J60" s="34" t="n">
        <f aca="false">I60/$I$3 -1</f>
        <v>0.0437879018497309</v>
      </c>
      <c r="K60" s="0" t="n">
        <f aca="false">IF(ISBLANK(A61),MONTH(A60),IF(MONTH(A61)-MONTH(A60)=1,MONTH(A60),0))</f>
        <v>0</v>
      </c>
    </row>
    <row r="61" customFormat="false" ht="13.8" hidden="false" customHeight="false" outlineLevel="0" collapsed="false">
      <c r="A61" s="6" t="n">
        <v>38803</v>
      </c>
      <c r="B61" s="0" t="n">
        <v>1302.95</v>
      </c>
      <c r="C61" s="0" t="n">
        <v>1303.74</v>
      </c>
      <c r="D61" s="0" t="n">
        <v>1299.09</v>
      </c>
      <c r="E61" s="0" t="n">
        <v>1301.61</v>
      </c>
      <c r="F61" s="0" t="n">
        <v>2029700000</v>
      </c>
      <c r="G61" s="0" t="n">
        <v>1301.61</v>
      </c>
      <c r="H61" s="34" t="n">
        <f aca="false">G61/G60-1</f>
        <v>-0.00102843547334908</v>
      </c>
      <c r="I61" s="91" t="n">
        <f aca="false">(1+H61)*I60</f>
        <v>1042714.43334482</v>
      </c>
      <c r="J61" s="34" t="n">
        <f aca="false">I61/$I$3 -1</f>
        <v>0.042714433344816</v>
      </c>
      <c r="K61" s="0" t="n">
        <f aca="false">IF(ISBLANK(A62),MONTH(A61),IF(MONTH(A62)-MONTH(A61)=1,MONTH(A61),0))</f>
        <v>0</v>
      </c>
    </row>
    <row r="62" customFormat="false" ht="13.8" hidden="false" customHeight="false" outlineLevel="0" collapsed="false">
      <c r="A62" s="6" t="n">
        <v>38804</v>
      </c>
      <c r="B62" s="0" t="n">
        <v>1301.61</v>
      </c>
      <c r="C62" s="0" t="n">
        <v>1306.24</v>
      </c>
      <c r="D62" s="0" t="n">
        <v>1291.84</v>
      </c>
      <c r="E62" s="0" t="n">
        <v>1293.23</v>
      </c>
      <c r="F62" s="0" t="n">
        <v>2148580000</v>
      </c>
      <c r="G62" s="0" t="n">
        <v>1293.23</v>
      </c>
      <c r="H62" s="34" t="n">
        <f aca="false">G62/G61-1</f>
        <v>-0.00643818040734157</v>
      </c>
      <c r="I62" s="91" t="n">
        <f aca="false">(1+H62)*I61</f>
        <v>1036001.2497096</v>
      </c>
      <c r="J62" s="34" t="n">
        <f aca="false">I62/$I$3 -1</f>
        <v>0.0360012497096032</v>
      </c>
      <c r="K62" s="0" t="n">
        <f aca="false">IF(ISBLANK(A63),MONTH(A62),IF(MONTH(A63)-MONTH(A62)=1,MONTH(A62),0))</f>
        <v>0</v>
      </c>
    </row>
    <row r="63" customFormat="false" ht="13.8" hidden="false" customHeight="false" outlineLevel="0" collapsed="false">
      <c r="A63" s="6" t="n">
        <v>38805</v>
      </c>
      <c r="B63" s="0" t="n">
        <v>1293.23</v>
      </c>
      <c r="C63" s="0" t="n">
        <v>1305.6</v>
      </c>
      <c r="D63" s="0" t="n">
        <v>1293.23</v>
      </c>
      <c r="E63" s="0" t="n">
        <v>1302.89</v>
      </c>
      <c r="F63" s="0" t="n">
        <v>2143540000</v>
      </c>
      <c r="G63" s="0" t="n">
        <v>1302.89</v>
      </c>
      <c r="H63" s="34" t="n">
        <f aca="false">G63/G62-1</f>
        <v>0.00746966896839707</v>
      </c>
      <c r="I63" s="91" t="n">
        <f aca="false">(1+H63)*I62</f>
        <v>1043739.83609578</v>
      </c>
      <c r="J63" s="34" t="n">
        <f aca="false">I63/$I$3 -1</f>
        <v>0.0437398360957795</v>
      </c>
      <c r="K63" s="0" t="n">
        <f aca="false">IF(ISBLANK(A64),MONTH(A63),IF(MONTH(A64)-MONTH(A63)=1,MONTH(A63),0))</f>
        <v>0</v>
      </c>
    </row>
    <row r="64" customFormat="false" ht="13.8" hidden="false" customHeight="false" outlineLevel="0" collapsed="false">
      <c r="A64" s="6" t="n">
        <v>38806</v>
      </c>
      <c r="B64" s="0" t="n">
        <v>1302.89</v>
      </c>
      <c r="C64" s="0" t="n">
        <v>1310.15</v>
      </c>
      <c r="D64" s="0" t="n">
        <v>1296.72</v>
      </c>
      <c r="E64" s="0" t="n">
        <v>1300.25</v>
      </c>
      <c r="F64" s="0" t="n">
        <v>2294560000</v>
      </c>
      <c r="G64" s="0" t="n">
        <v>1300.25</v>
      </c>
      <c r="H64" s="34" t="n">
        <f aca="false">G64/G63-1</f>
        <v>-0.00202626468850031</v>
      </c>
      <c r="I64" s="91" t="n">
        <f aca="false">(1+H64)*I63</f>
        <v>1041624.94292192</v>
      </c>
      <c r="J64" s="34" t="n">
        <f aca="false">I64/$I$3 -1</f>
        <v>0.0416249429219175</v>
      </c>
      <c r="K64" s="0" t="n">
        <f aca="false">IF(ISBLANK(A65),MONTH(A64),IF(MONTH(A65)-MONTH(A64)=1,MONTH(A64),0))</f>
        <v>0</v>
      </c>
    </row>
    <row r="65" customFormat="false" ht="13.8" hidden="false" customHeight="false" outlineLevel="0" collapsed="false">
      <c r="A65" s="6" t="n">
        <v>38807</v>
      </c>
      <c r="B65" s="0" t="n">
        <v>1300.25</v>
      </c>
      <c r="C65" s="0" t="n">
        <v>1303</v>
      </c>
      <c r="D65" s="0" t="n">
        <v>1294.87</v>
      </c>
      <c r="E65" s="0" t="n">
        <v>1294.87</v>
      </c>
      <c r="F65" s="0" t="n">
        <v>2236710000</v>
      </c>
      <c r="G65" s="0" t="n">
        <v>1294.87</v>
      </c>
      <c r="H65" s="34" t="n">
        <f aca="false">G65/G64-1</f>
        <v>-0.00413766583349362</v>
      </c>
      <c r="I65" s="91" t="n">
        <f aca="false">(1+H65)*I64</f>
        <v>1037315.04698427</v>
      </c>
      <c r="J65" s="34" t="n">
        <f aca="false">I65/$I$3 -1</f>
        <v>0.0373150469842747</v>
      </c>
      <c r="K65" s="0" t="n">
        <f aca="false">IF(ISBLANK(A66),MONTH(A65),IF(MONTH(A66)-MONTH(A65)=1,MONTH(A65),0))</f>
        <v>3</v>
      </c>
    </row>
    <row r="66" customFormat="false" ht="13.8" hidden="false" customHeight="false" outlineLevel="0" collapsed="false">
      <c r="A66" s="6" t="n">
        <v>38810</v>
      </c>
      <c r="B66" s="0" t="n">
        <v>1302.88</v>
      </c>
      <c r="C66" s="0" t="n">
        <v>1309.19</v>
      </c>
      <c r="D66" s="0" t="n">
        <v>1296.65</v>
      </c>
      <c r="E66" s="0" t="n">
        <v>1297.81</v>
      </c>
      <c r="F66" s="0" t="n">
        <v>2494080000</v>
      </c>
      <c r="G66" s="0" t="n">
        <v>1297.81</v>
      </c>
      <c r="H66" s="34" t="n">
        <f aca="false">G66/G65-1</f>
        <v>0.00227049819673031</v>
      </c>
      <c r="I66" s="91" t="n">
        <f aca="false">(1+H66)*I65</f>
        <v>1039670.26892789</v>
      </c>
      <c r="J66" s="34" t="n">
        <f aca="false">I66/$I$3 -1</f>
        <v>0.0396702689278938</v>
      </c>
      <c r="K66" s="0" t="n">
        <f aca="false">IF(ISBLANK(A67),MONTH(A66),IF(MONTH(A67)-MONTH(A66)=1,MONTH(A66),0))</f>
        <v>0</v>
      </c>
    </row>
    <row r="67" customFormat="false" ht="13.8" hidden="false" customHeight="false" outlineLevel="0" collapsed="false">
      <c r="A67" s="6" t="n">
        <v>38811</v>
      </c>
      <c r="B67" s="0" t="n">
        <v>1297.81</v>
      </c>
      <c r="C67" s="0" t="n">
        <v>1307.55</v>
      </c>
      <c r="D67" s="0" t="n">
        <v>1294.71</v>
      </c>
      <c r="E67" s="0" t="n">
        <v>1305.93</v>
      </c>
      <c r="F67" s="0" t="n">
        <v>2147660000</v>
      </c>
      <c r="G67" s="0" t="n">
        <v>1305.93</v>
      </c>
      <c r="H67" s="34" t="n">
        <f aca="false">G67/G66-1</f>
        <v>0.00625669396907114</v>
      </c>
      <c r="I67" s="91" t="n">
        <f aca="false">(1+H67)*I66</f>
        <v>1046175.16762932</v>
      </c>
      <c r="J67" s="34" t="n">
        <f aca="false">I67/$I$3 -1</f>
        <v>0.0461751676293174</v>
      </c>
      <c r="K67" s="0" t="n">
        <f aca="false">IF(ISBLANK(A68),MONTH(A67),IF(MONTH(A68)-MONTH(A67)=1,MONTH(A67),0))</f>
        <v>0</v>
      </c>
    </row>
    <row r="68" customFormat="false" ht="13.8" hidden="false" customHeight="false" outlineLevel="0" collapsed="false">
      <c r="A68" s="6" t="n">
        <v>38812</v>
      </c>
      <c r="B68" s="0" t="n">
        <v>1305.93</v>
      </c>
      <c r="C68" s="0" t="n">
        <v>1312.81</v>
      </c>
      <c r="D68" s="0" t="n">
        <v>1304.82</v>
      </c>
      <c r="E68" s="0" t="n">
        <v>1311.56</v>
      </c>
      <c r="F68" s="0" t="n">
        <v>2420020000</v>
      </c>
      <c r="G68" s="0" t="n">
        <v>1311.56</v>
      </c>
      <c r="H68" s="34" t="n">
        <f aca="false">G68/G67-1</f>
        <v>0.00431110396422474</v>
      </c>
      <c r="I68" s="91" t="n">
        <f aca="false">(1+H68)*I67</f>
        <v>1050685.33754176</v>
      </c>
      <c r="J68" s="34" t="n">
        <f aca="false">I68/$I$3 -1</f>
        <v>0.0506853375417575</v>
      </c>
      <c r="K68" s="0" t="n">
        <f aca="false">IF(ISBLANK(A69),MONTH(A68),IF(MONTH(A69)-MONTH(A68)=1,MONTH(A68),0))</f>
        <v>0</v>
      </c>
    </row>
    <row r="69" customFormat="false" ht="13.8" hidden="false" customHeight="false" outlineLevel="0" collapsed="false">
      <c r="A69" s="6" t="n">
        <v>38813</v>
      </c>
      <c r="B69" s="0" t="n">
        <v>1311.56</v>
      </c>
      <c r="C69" s="0" t="n">
        <v>1311.99</v>
      </c>
      <c r="D69" s="0" t="n">
        <v>1302.44</v>
      </c>
      <c r="E69" s="0" t="n">
        <v>1309.04</v>
      </c>
      <c r="F69" s="0" t="n">
        <v>2281680000</v>
      </c>
      <c r="G69" s="0" t="n">
        <v>1309.04</v>
      </c>
      <c r="H69" s="34" t="n">
        <f aca="false">G69/G68-1</f>
        <v>-0.00192137607124343</v>
      </c>
      <c r="I69" s="91" t="n">
        <f aca="false">(1+H69)*I68</f>
        <v>1048666.5758758</v>
      </c>
      <c r="J69" s="34" t="n">
        <f aca="false">I69/$I$3 -1</f>
        <v>0.0486665758757985</v>
      </c>
      <c r="K69" s="0" t="n">
        <f aca="false">IF(ISBLANK(A70),MONTH(A69),IF(MONTH(A70)-MONTH(A69)=1,MONTH(A69),0))</f>
        <v>0</v>
      </c>
    </row>
    <row r="70" customFormat="false" ht="13.8" hidden="false" customHeight="false" outlineLevel="0" collapsed="false">
      <c r="A70" s="6" t="n">
        <v>38814</v>
      </c>
      <c r="B70" s="0" t="n">
        <v>1309.04</v>
      </c>
      <c r="C70" s="0" t="n">
        <v>1314.07</v>
      </c>
      <c r="D70" s="0" t="n">
        <v>1294.18</v>
      </c>
      <c r="E70" s="0" t="n">
        <v>1295.5</v>
      </c>
      <c r="F70" s="0" t="n">
        <v>2082470000</v>
      </c>
      <c r="G70" s="0" t="n">
        <v>1295.5</v>
      </c>
      <c r="H70" s="34" t="n">
        <f aca="false">G70/G69-1</f>
        <v>-0.0103434578011367</v>
      </c>
      <c r="I70" s="91" t="n">
        <f aca="false">(1+H70)*I69</f>
        <v>1037819.73740076</v>
      </c>
      <c r="J70" s="34" t="n">
        <f aca="false">I70/$I$3 -1</f>
        <v>0.0378197374007647</v>
      </c>
      <c r="K70" s="0" t="n">
        <f aca="false">IF(ISBLANK(A71),MONTH(A70),IF(MONTH(A71)-MONTH(A70)=1,MONTH(A70),0))</f>
        <v>0</v>
      </c>
    </row>
    <row r="71" customFormat="false" ht="13.8" hidden="false" customHeight="false" outlineLevel="0" collapsed="false">
      <c r="A71" s="6" t="n">
        <v>38817</v>
      </c>
      <c r="B71" s="0" t="n">
        <v>1295.51</v>
      </c>
      <c r="C71" s="0" t="n">
        <v>1300.74</v>
      </c>
      <c r="D71" s="0" t="n">
        <v>1293.17</v>
      </c>
      <c r="E71" s="0" t="n">
        <v>1296.62</v>
      </c>
      <c r="F71" s="0" t="n">
        <v>1898320000</v>
      </c>
      <c r="G71" s="0" t="n">
        <v>1296.62</v>
      </c>
      <c r="H71" s="34" t="n">
        <f aca="false">G71/G70-1</f>
        <v>0.000864531069085128</v>
      </c>
      <c r="I71" s="91" t="n">
        <f aca="false">(1+H71)*I70</f>
        <v>1038716.96480786</v>
      </c>
      <c r="J71" s="34" t="n">
        <f aca="false">I71/$I$3 -1</f>
        <v>0.0387169648078574</v>
      </c>
      <c r="K71" s="0" t="n">
        <f aca="false">IF(ISBLANK(A72),MONTH(A71),IF(MONTH(A72)-MONTH(A71)=1,MONTH(A71),0))</f>
        <v>0</v>
      </c>
    </row>
    <row r="72" customFormat="false" ht="13.8" hidden="false" customHeight="false" outlineLevel="0" collapsed="false">
      <c r="A72" s="6" t="n">
        <v>38818</v>
      </c>
      <c r="B72" s="0" t="n">
        <v>1296.6</v>
      </c>
      <c r="C72" s="0" t="n">
        <v>1300.71</v>
      </c>
      <c r="D72" s="0" t="n">
        <v>1282.96</v>
      </c>
      <c r="E72" s="0" t="n">
        <v>1286.57</v>
      </c>
      <c r="F72" s="0" t="n">
        <v>2232880000</v>
      </c>
      <c r="G72" s="0" t="n">
        <v>1286.57</v>
      </c>
      <c r="H72" s="34" t="n">
        <f aca="false">G72/G71-1</f>
        <v>-0.00775092162699942</v>
      </c>
      <c r="I72" s="91" t="n">
        <f aca="false">(1+H72)*I71</f>
        <v>1030665.951021</v>
      </c>
      <c r="J72" s="34" t="n">
        <f aca="false">I72/$I$3 -1</f>
        <v>0.030665951020997</v>
      </c>
      <c r="K72" s="0" t="n">
        <f aca="false">IF(ISBLANK(A73),MONTH(A72),IF(MONTH(A73)-MONTH(A72)=1,MONTH(A72),0))</f>
        <v>0</v>
      </c>
    </row>
    <row r="73" customFormat="false" ht="13.8" hidden="false" customHeight="false" outlineLevel="0" collapsed="false">
      <c r="A73" s="6" t="n">
        <v>38819</v>
      </c>
      <c r="B73" s="0" t="n">
        <v>1286.57</v>
      </c>
      <c r="C73" s="0" t="n">
        <v>1290.93</v>
      </c>
      <c r="D73" s="0" t="n">
        <v>1286.45</v>
      </c>
      <c r="E73" s="0" t="n">
        <v>1288.12</v>
      </c>
      <c r="F73" s="0" t="n">
        <v>1938100000</v>
      </c>
      <c r="G73" s="0" t="n">
        <v>1288.12</v>
      </c>
      <c r="H73" s="34" t="n">
        <f aca="false">G73/G72-1</f>
        <v>0.00120475372502082</v>
      </c>
      <c r="I73" s="91" t="n">
        <f aca="false">(1+H73)*I72</f>
        <v>1031907.64966474</v>
      </c>
      <c r="J73" s="34" t="n">
        <f aca="false">I73/$I$3 -1</f>
        <v>0.0319076496647417</v>
      </c>
      <c r="K73" s="0" t="n">
        <f aca="false">IF(ISBLANK(A74),MONTH(A73),IF(MONTH(A74)-MONTH(A73)=1,MONTH(A73),0))</f>
        <v>0</v>
      </c>
    </row>
    <row r="74" customFormat="false" ht="13.8" hidden="false" customHeight="false" outlineLevel="0" collapsed="false">
      <c r="A74" s="6" t="n">
        <v>38820</v>
      </c>
      <c r="B74" s="0" t="n">
        <v>1288.12</v>
      </c>
      <c r="C74" s="0" t="n">
        <v>1292.09</v>
      </c>
      <c r="D74" s="0" t="n">
        <v>1283.37</v>
      </c>
      <c r="E74" s="0" t="n">
        <v>1289.12</v>
      </c>
      <c r="F74" s="0" t="n">
        <v>1891940000</v>
      </c>
      <c r="G74" s="0" t="n">
        <v>1289.12</v>
      </c>
      <c r="H74" s="34" t="n">
        <f aca="false">G74/G73-1</f>
        <v>0.000776325187094473</v>
      </c>
      <c r="I74" s="91" t="n">
        <f aca="false">(1+H74)*I73</f>
        <v>1032708.74556393</v>
      </c>
      <c r="J74" s="34" t="n">
        <f aca="false">I74/$I$3 -1</f>
        <v>0.0327087455639319</v>
      </c>
      <c r="K74" s="0" t="n">
        <f aca="false">IF(ISBLANK(A75),MONTH(A74),IF(MONTH(A75)-MONTH(A74)=1,MONTH(A74),0))</f>
        <v>0</v>
      </c>
    </row>
    <row r="75" customFormat="false" ht="13.8" hidden="false" customHeight="false" outlineLevel="0" collapsed="false">
      <c r="A75" s="6" t="n">
        <v>38824</v>
      </c>
      <c r="B75" s="0" t="n">
        <v>1289.12</v>
      </c>
      <c r="C75" s="0" t="n">
        <v>1292.45</v>
      </c>
      <c r="D75" s="0" t="n">
        <v>1280.74</v>
      </c>
      <c r="E75" s="0" t="n">
        <v>1285.33</v>
      </c>
      <c r="F75" s="0" t="n">
        <v>1794650000</v>
      </c>
      <c r="G75" s="0" t="n">
        <v>1285.33</v>
      </c>
      <c r="H75" s="34" t="n">
        <f aca="false">G75/G74-1</f>
        <v>-0.00293999007074586</v>
      </c>
      <c r="I75" s="91" t="n">
        <f aca="false">(1+H75)*I74</f>
        <v>1029672.592106</v>
      </c>
      <c r="J75" s="34" t="n">
        <f aca="false">I75/$I$3 -1</f>
        <v>0.0296725921060015</v>
      </c>
      <c r="K75" s="0" t="n">
        <f aca="false">IF(ISBLANK(A76),MONTH(A75),IF(MONTH(A76)-MONTH(A75)=1,MONTH(A75),0))</f>
        <v>0</v>
      </c>
    </row>
    <row r="76" customFormat="false" ht="13.8" hidden="false" customHeight="false" outlineLevel="0" collapsed="false">
      <c r="A76" s="6" t="n">
        <v>38825</v>
      </c>
      <c r="B76" s="0" t="n">
        <v>1285.33</v>
      </c>
      <c r="C76" s="0" t="n">
        <v>1309.02</v>
      </c>
      <c r="D76" s="0" t="n">
        <v>1285.33</v>
      </c>
      <c r="E76" s="0" t="n">
        <v>1307.28</v>
      </c>
      <c r="F76" s="0" t="n">
        <v>2595440000</v>
      </c>
      <c r="G76" s="0" t="n">
        <v>1307.28</v>
      </c>
      <c r="H76" s="34" t="n">
        <f aca="false">G76/G75-1</f>
        <v>0.0170773264453488</v>
      </c>
      <c r="I76" s="91" t="n">
        <f aca="false">(1+H76)*I75</f>
        <v>1047256.64709322</v>
      </c>
      <c r="J76" s="34" t="n">
        <f aca="false">I76/$I$3 -1</f>
        <v>0.0472566470932243</v>
      </c>
      <c r="K76" s="0" t="n">
        <f aca="false">IF(ISBLANK(A77),MONTH(A76),IF(MONTH(A77)-MONTH(A76)=1,MONTH(A76),0))</f>
        <v>0</v>
      </c>
    </row>
    <row r="77" customFormat="false" ht="13.8" hidden="false" customHeight="false" outlineLevel="0" collapsed="false">
      <c r="A77" s="6" t="n">
        <v>38826</v>
      </c>
      <c r="B77" s="0" t="n">
        <v>1307.65</v>
      </c>
      <c r="C77" s="0" t="n">
        <v>1310.39</v>
      </c>
      <c r="D77" s="0" t="n">
        <v>1302.79</v>
      </c>
      <c r="E77" s="0" t="n">
        <v>1309.93</v>
      </c>
      <c r="F77" s="0" t="n">
        <v>2447310000</v>
      </c>
      <c r="G77" s="0" t="n">
        <v>1309.93</v>
      </c>
      <c r="H77" s="34" t="n">
        <f aca="false">G77/G76-1</f>
        <v>0.00202710972400721</v>
      </c>
      <c r="I77" s="91" t="n">
        <f aca="false">(1+H77)*I76</f>
        <v>1049379.55122608</v>
      </c>
      <c r="J77" s="34" t="n">
        <f aca="false">I77/$I$3 -1</f>
        <v>0.0493795512260782</v>
      </c>
      <c r="K77" s="0" t="n">
        <f aca="false">IF(ISBLANK(A78),MONTH(A77),IF(MONTH(A78)-MONTH(A77)=1,MONTH(A77),0))</f>
        <v>0</v>
      </c>
    </row>
    <row r="78" customFormat="false" ht="13.8" hidden="false" customHeight="false" outlineLevel="0" collapsed="false">
      <c r="A78" s="6" t="n">
        <v>38827</v>
      </c>
      <c r="B78" s="0" t="n">
        <v>1309.93</v>
      </c>
      <c r="C78" s="0" t="n">
        <v>1318.16</v>
      </c>
      <c r="D78" s="0" t="n">
        <v>1306.38</v>
      </c>
      <c r="E78" s="0" t="n">
        <v>1311.46</v>
      </c>
      <c r="F78" s="0" t="n">
        <v>2512920000</v>
      </c>
      <c r="G78" s="0" t="n">
        <v>1311.46</v>
      </c>
      <c r="H78" s="34" t="n">
        <f aca="false">G78/G77-1</f>
        <v>0.0011680013435833</v>
      </c>
      <c r="I78" s="91" t="n">
        <f aca="false">(1+H78)*I77</f>
        <v>1050605.22795184</v>
      </c>
      <c r="J78" s="34" t="n">
        <f aca="false">I78/$I$3 -1</f>
        <v>0.050605227951839</v>
      </c>
      <c r="K78" s="0" t="n">
        <f aca="false">IF(ISBLANK(A79),MONTH(A78),IF(MONTH(A79)-MONTH(A78)=1,MONTH(A78),0))</f>
        <v>0</v>
      </c>
    </row>
    <row r="79" customFormat="false" ht="13.8" hidden="false" customHeight="false" outlineLevel="0" collapsed="false">
      <c r="A79" s="6" t="n">
        <v>38828</v>
      </c>
      <c r="B79" s="0" t="n">
        <v>1311.46</v>
      </c>
      <c r="C79" s="0" t="n">
        <v>1317.67</v>
      </c>
      <c r="D79" s="0" t="n">
        <v>1306.59</v>
      </c>
      <c r="E79" s="0" t="n">
        <v>1311.28</v>
      </c>
      <c r="F79" s="0" t="n">
        <v>2392630000</v>
      </c>
      <c r="G79" s="0" t="n">
        <v>1311.28</v>
      </c>
      <c r="H79" s="34" t="n">
        <f aca="false">G79/G78-1</f>
        <v>-0.000137251612706502</v>
      </c>
      <c r="I79" s="91" t="n">
        <f aca="false">(1+H79)*I78</f>
        <v>1050461.03068998</v>
      </c>
      <c r="J79" s="34" t="n">
        <f aca="false">I79/$I$3 -1</f>
        <v>0.0504610306899846</v>
      </c>
      <c r="K79" s="0" t="n">
        <f aca="false">IF(ISBLANK(A80),MONTH(A79),IF(MONTH(A80)-MONTH(A79)=1,MONTH(A79),0))</f>
        <v>0</v>
      </c>
    </row>
    <row r="80" customFormat="false" ht="13.8" hidden="false" customHeight="false" outlineLevel="0" collapsed="false">
      <c r="A80" s="6" t="n">
        <v>38831</v>
      </c>
      <c r="B80" s="0" t="n">
        <v>1311.28</v>
      </c>
      <c r="C80" s="0" t="n">
        <v>1311.28</v>
      </c>
      <c r="D80" s="0" t="n">
        <v>1303.79</v>
      </c>
      <c r="E80" s="0" t="n">
        <v>1308.11</v>
      </c>
      <c r="F80" s="0" t="n">
        <v>2117330000</v>
      </c>
      <c r="G80" s="0" t="n">
        <v>1308.11</v>
      </c>
      <c r="H80" s="34" t="n">
        <f aca="false">G80/G79-1</f>
        <v>-0.00241748520529561</v>
      </c>
      <c r="I80" s="91" t="n">
        <f aca="false">(1+H80)*I79</f>
        <v>1047921.55668955</v>
      </c>
      <c r="J80" s="34" t="n">
        <f aca="false">I80/$I$3 -1</f>
        <v>0.0479215566895519</v>
      </c>
      <c r="K80" s="0" t="n">
        <f aca="false">IF(ISBLANK(A81),MONTH(A80),IF(MONTH(A81)-MONTH(A80)=1,MONTH(A80),0))</f>
        <v>0</v>
      </c>
    </row>
    <row r="81" customFormat="false" ht="13.8" hidden="false" customHeight="false" outlineLevel="0" collapsed="false">
      <c r="A81" s="6" t="n">
        <v>38832</v>
      </c>
      <c r="B81" s="0" t="n">
        <v>1308.11</v>
      </c>
      <c r="C81" s="0" t="n">
        <v>1310.79</v>
      </c>
      <c r="D81" s="0" t="n">
        <v>1299.17</v>
      </c>
      <c r="E81" s="0" t="n">
        <v>1301.74</v>
      </c>
      <c r="F81" s="0" t="n">
        <v>2366380000</v>
      </c>
      <c r="G81" s="0" t="n">
        <v>1301.74</v>
      </c>
      <c r="H81" s="34" t="n">
        <f aca="false">G81/G80-1</f>
        <v>-0.00486962105633315</v>
      </c>
      <c r="I81" s="91" t="n">
        <f aca="false">(1+H81)*I80</f>
        <v>1042818.57581171</v>
      </c>
      <c r="J81" s="34" t="n">
        <f aca="false">I81/$I$3 -1</f>
        <v>0.042818575811711</v>
      </c>
      <c r="K81" s="0" t="n">
        <f aca="false">IF(ISBLANK(A82),MONTH(A81),IF(MONTH(A82)-MONTH(A81)=1,MONTH(A81),0))</f>
        <v>0</v>
      </c>
    </row>
    <row r="82" customFormat="false" ht="13.8" hidden="false" customHeight="false" outlineLevel="0" collapsed="false">
      <c r="A82" s="6" t="n">
        <v>38833</v>
      </c>
      <c r="B82" s="0" t="n">
        <v>1301.74</v>
      </c>
      <c r="C82" s="0" t="n">
        <v>1310.97</v>
      </c>
      <c r="D82" s="0" t="n">
        <v>1301.74</v>
      </c>
      <c r="E82" s="0" t="n">
        <v>1305.41</v>
      </c>
      <c r="F82" s="0" t="n">
        <v>2502690000</v>
      </c>
      <c r="G82" s="0" t="n">
        <v>1305.41</v>
      </c>
      <c r="H82" s="34" t="n">
        <f aca="false">G82/G81-1</f>
        <v>0.002819303393919</v>
      </c>
      <c r="I82" s="91" t="n">
        <f aca="false">(1+H82)*I81</f>
        <v>1045758.59776174</v>
      </c>
      <c r="J82" s="34" t="n">
        <f aca="false">I82/$I$3 -1</f>
        <v>0.0457585977617387</v>
      </c>
      <c r="K82" s="0" t="n">
        <f aca="false">IF(ISBLANK(A83),MONTH(A82),IF(MONTH(A83)-MONTH(A82)=1,MONTH(A82),0))</f>
        <v>0</v>
      </c>
    </row>
    <row r="83" customFormat="false" ht="13.8" hidden="false" customHeight="false" outlineLevel="0" collapsed="false">
      <c r="A83" s="6" t="n">
        <v>38834</v>
      </c>
      <c r="B83" s="0" t="n">
        <v>1305.41</v>
      </c>
      <c r="C83" s="0" t="n">
        <v>1315</v>
      </c>
      <c r="D83" s="0" t="n">
        <v>1295.57</v>
      </c>
      <c r="E83" s="0" t="n">
        <v>1309.72</v>
      </c>
      <c r="F83" s="0" t="n">
        <v>2772010000</v>
      </c>
      <c r="G83" s="0" t="n">
        <v>1309.72</v>
      </c>
      <c r="H83" s="34" t="n">
        <f aca="false">G83/G82-1</f>
        <v>0.00330164469400418</v>
      </c>
      <c r="I83" s="91" t="n">
        <f aca="false">(1+H83)*I82</f>
        <v>1049211.32108725</v>
      </c>
      <c r="J83" s="34" t="n">
        <f aca="false">I83/$I$3 -1</f>
        <v>0.0492113210872482</v>
      </c>
      <c r="K83" s="0" t="n">
        <f aca="false">IF(ISBLANK(A84),MONTH(A83),IF(MONTH(A84)-MONTH(A83)=1,MONTH(A83),0))</f>
        <v>0</v>
      </c>
    </row>
    <row r="84" customFormat="false" ht="13.8" hidden="false" customHeight="false" outlineLevel="0" collapsed="false">
      <c r="A84" s="6" t="n">
        <v>38835</v>
      </c>
      <c r="B84" s="0" t="n">
        <v>1309.72</v>
      </c>
      <c r="C84" s="0" t="n">
        <v>1316.04</v>
      </c>
      <c r="D84" s="0" t="n">
        <v>1306.16</v>
      </c>
      <c r="E84" s="0" t="n">
        <v>1310.61</v>
      </c>
      <c r="F84" s="0" t="n">
        <v>2419920000</v>
      </c>
      <c r="G84" s="0" t="n">
        <v>1310.61</v>
      </c>
      <c r="H84" s="34" t="n">
        <f aca="false">G84/G83-1</f>
        <v>0.000679534557004535</v>
      </c>
      <c r="I84" s="91" t="n">
        <f aca="false">(1+H84)*I83</f>
        <v>1049924.29643753</v>
      </c>
      <c r="J84" s="34" t="n">
        <f aca="false">I84/$I$3 -1</f>
        <v>0.0499242964375273</v>
      </c>
      <c r="K84" s="0" t="n">
        <f aca="false">IF(ISBLANK(A85),MONTH(A84),IF(MONTH(A85)-MONTH(A84)=1,MONTH(A84),0))</f>
        <v>4</v>
      </c>
    </row>
    <row r="85" customFormat="false" ht="13.8" hidden="false" customHeight="false" outlineLevel="0" collapsed="false">
      <c r="A85" s="6" t="n">
        <v>38838</v>
      </c>
      <c r="B85" s="0" t="n">
        <v>1310.61</v>
      </c>
      <c r="C85" s="0" t="n">
        <v>1317.21</v>
      </c>
      <c r="D85" s="0" t="n">
        <v>1303.46</v>
      </c>
      <c r="E85" s="0" t="n">
        <v>1305.19</v>
      </c>
      <c r="F85" s="0" t="n">
        <v>2437040000</v>
      </c>
      <c r="G85" s="0" t="n">
        <v>1305.19</v>
      </c>
      <c r="H85" s="34" t="n">
        <f aca="false">G85/G84-1</f>
        <v>-0.00413547889913846</v>
      </c>
      <c r="I85" s="91" t="n">
        <f aca="false">(1+H85)*I84</f>
        <v>1045582.35666392</v>
      </c>
      <c r="J85" s="34" t="n">
        <f aca="false">I85/$I$3 -1</f>
        <v>0.0455823566639171</v>
      </c>
      <c r="K85" s="0" t="n">
        <f aca="false">IF(ISBLANK(A86),MONTH(A85),IF(MONTH(A86)-MONTH(A85)=1,MONTH(A85),0))</f>
        <v>0</v>
      </c>
    </row>
    <row r="86" customFormat="false" ht="13.8" hidden="false" customHeight="false" outlineLevel="0" collapsed="false">
      <c r="A86" s="6" t="n">
        <v>38839</v>
      </c>
      <c r="B86" s="0" t="n">
        <v>1305.19</v>
      </c>
      <c r="C86" s="0" t="n">
        <v>1313.66</v>
      </c>
      <c r="D86" s="0" t="n">
        <v>1305.19</v>
      </c>
      <c r="E86" s="0" t="n">
        <v>1313.21</v>
      </c>
      <c r="F86" s="0" t="n">
        <v>2403470000</v>
      </c>
      <c r="G86" s="0" t="n">
        <v>1313.21</v>
      </c>
      <c r="H86" s="34" t="n">
        <f aca="false">G86/G85-1</f>
        <v>0.00614469923919114</v>
      </c>
      <c r="I86" s="91" t="n">
        <f aca="false">(1+H86)*I85</f>
        <v>1052007.14577542</v>
      </c>
      <c r="J86" s="34" t="n">
        <f aca="false">I86/$I$3 -1</f>
        <v>0.0520071457754214</v>
      </c>
      <c r="K86" s="0" t="n">
        <f aca="false">IF(ISBLANK(A87),MONTH(A86),IF(MONTH(A87)-MONTH(A86)=1,MONTH(A86),0))</f>
        <v>0</v>
      </c>
    </row>
    <row r="87" customFormat="false" ht="13.8" hidden="false" customHeight="false" outlineLevel="0" collapsed="false">
      <c r="A87" s="6" t="n">
        <v>38840</v>
      </c>
      <c r="B87" s="0" t="n">
        <v>1313.21</v>
      </c>
      <c r="C87" s="0" t="n">
        <v>1313.47</v>
      </c>
      <c r="D87" s="0" t="n">
        <v>1303.92</v>
      </c>
      <c r="E87" s="0" t="n">
        <v>1308.12</v>
      </c>
      <c r="F87" s="0" t="n">
        <v>2395230000</v>
      </c>
      <c r="G87" s="0" t="n">
        <v>1308.12</v>
      </c>
      <c r="H87" s="34" t="n">
        <f aca="false">G87/G86-1</f>
        <v>-0.00387599850747411</v>
      </c>
      <c r="I87" s="91" t="n">
        <f aca="false">(1+H87)*I86</f>
        <v>1047929.56764854</v>
      </c>
      <c r="J87" s="34" t="n">
        <f aca="false">I87/$I$3 -1</f>
        <v>0.0479295676485438</v>
      </c>
      <c r="K87" s="0" t="n">
        <f aca="false">IF(ISBLANK(A88),MONTH(A87),IF(MONTH(A88)-MONTH(A87)=1,MONTH(A87),0))</f>
        <v>0</v>
      </c>
    </row>
    <row r="88" customFormat="false" ht="13.8" hidden="false" customHeight="false" outlineLevel="0" collapsed="false">
      <c r="A88" s="6" t="n">
        <v>38841</v>
      </c>
      <c r="B88" s="0" t="n">
        <v>1307.85</v>
      </c>
      <c r="C88" s="0" t="n">
        <v>1315.14</v>
      </c>
      <c r="D88" s="0" t="n">
        <v>1307.85</v>
      </c>
      <c r="E88" s="0" t="n">
        <v>1312.25</v>
      </c>
      <c r="F88" s="0" t="n">
        <v>2431450000</v>
      </c>
      <c r="G88" s="0" t="n">
        <v>1312.25</v>
      </c>
      <c r="H88" s="34" t="n">
        <f aca="false">G88/G87-1</f>
        <v>0.00315720270311592</v>
      </c>
      <c r="I88" s="91" t="n">
        <f aca="false">(1+H88)*I87</f>
        <v>1051238.0937122</v>
      </c>
      <c r="J88" s="34" t="n">
        <f aca="false">I88/$I$3 -1</f>
        <v>0.051238093712199</v>
      </c>
      <c r="K88" s="0" t="n">
        <f aca="false">IF(ISBLANK(A89),MONTH(A88),IF(MONTH(A89)-MONTH(A88)=1,MONTH(A88),0))</f>
        <v>0</v>
      </c>
    </row>
    <row r="89" customFormat="false" ht="13.8" hidden="false" customHeight="false" outlineLevel="0" collapsed="false">
      <c r="A89" s="6" t="n">
        <v>38842</v>
      </c>
      <c r="B89" s="0" t="n">
        <v>1312.25</v>
      </c>
      <c r="C89" s="0" t="n">
        <v>1326.53</v>
      </c>
      <c r="D89" s="0" t="n">
        <v>1312.25</v>
      </c>
      <c r="E89" s="0" t="n">
        <v>1325.76</v>
      </c>
      <c r="F89" s="0" t="n">
        <v>2294760000</v>
      </c>
      <c r="G89" s="0" t="n">
        <v>1325.76</v>
      </c>
      <c r="H89" s="34" t="n">
        <f aca="false">G89/G88-1</f>
        <v>0.0102952943417793</v>
      </c>
      <c r="I89" s="91" t="n">
        <f aca="false">(1+H89)*I88</f>
        <v>1062060.89931026</v>
      </c>
      <c r="J89" s="34" t="n">
        <f aca="false">I89/$I$3 -1</f>
        <v>0.0620608993102572</v>
      </c>
      <c r="K89" s="0" t="n">
        <f aca="false">IF(ISBLANK(A90),MONTH(A89),IF(MONTH(A90)-MONTH(A89)=1,MONTH(A89),0))</f>
        <v>0</v>
      </c>
    </row>
    <row r="90" customFormat="false" ht="13.8" hidden="false" customHeight="false" outlineLevel="0" collapsed="false">
      <c r="A90" s="6" t="n">
        <v>38845</v>
      </c>
      <c r="B90" s="0" t="n">
        <v>1325.76</v>
      </c>
      <c r="C90" s="0" t="n">
        <v>1326.7</v>
      </c>
      <c r="D90" s="0" t="n">
        <v>1322.87</v>
      </c>
      <c r="E90" s="0" t="n">
        <v>1324.66</v>
      </c>
      <c r="F90" s="0" t="n">
        <v>2151300000</v>
      </c>
      <c r="G90" s="0" t="n">
        <v>1324.66</v>
      </c>
      <c r="H90" s="34" t="n">
        <f aca="false">G90/G89-1</f>
        <v>-0.00082971276852517</v>
      </c>
      <c r="I90" s="91" t="n">
        <f aca="false">(1+H90)*I89</f>
        <v>1061179.69382115</v>
      </c>
      <c r="J90" s="34" t="n">
        <f aca="false">I90/$I$3 -1</f>
        <v>0.061179693821148</v>
      </c>
      <c r="K90" s="0" t="n">
        <f aca="false">IF(ISBLANK(A91),MONTH(A90),IF(MONTH(A91)-MONTH(A90)=1,MONTH(A90),0))</f>
        <v>0</v>
      </c>
    </row>
    <row r="91" customFormat="false" ht="13.8" hidden="false" customHeight="false" outlineLevel="0" collapsed="false">
      <c r="A91" s="6" t="n">
        <v>38846</v>
      </c>
      <c r="B91" s="0" t="n">
        <v>1324.66</v>
      </c>
      <c r="C91" s="0" t="n">
        <v>1326.6</v>
      </c>
      <c r="D91" s="0" t="n">
        <v>1322.48</v>
      </c>
      <c r="E91" s="0" t="n">
        <v>1325.14</v>
      </c>
      <c r="F91" s="0" t="n">
        <v>2157290000</v>
      </c>
      <c r="G91" s="0" t="n">
        <v>1325.14</v>
      </c>
      <c r="H91" s="34" t="n">
        <f aca="false">G91/G90-1</f>
        <v>0.000362357133151248</v>
      </c>
      <c r="I91" s="91" t="n">
        <f aca="false">(1+H91)*I90</f>
        <v>1061564.21985276</v>
      </c>
      <c r="J91" s="34" t="n">
        <f aca="false">I91/$I$3 -1</f>
        <v>0.0615642198527593</v>
      </c>
      <c r="K91" s="0" t="n">
        <f aca="false">IF(ISBLANK(A92),MONTH(A91),IF(MONTH(A92)-MONTH(A91)=1,MONTH(A91),0))</f>
        <v>0</v>
      </c>
    </row>
    <row r="92" customFormat="false" ht="13.8" hidden="false" customHeight="false" outlineLevel="0" collapsed="false">
      <c r="A92" s="6" t="n">
        <v>38847</v>
      </c>
      <c r="B92" s="0" t="n">
        <v>1324.57</v>
      </c>
      <c r="C92" s="0" t="n">
        <v>1325.51</v>
      </c>
      <c r="D92" s="0" t="n">
        <v>1317.44</v>
      </c>
      <c r="E92" s="0" t="n">
        <v>1322.85</v>
      </c>
      <c r="F92" s="0" t="n">
        <v>2268550000</v>
      </c>
      <c r="G92" s="0" t="n">
        <v>1322.85</v>
      </c>
      <c r="H92" s="34" t="n">
        <f aca="false">G92/G91-1</f>
        <v>-0.00172811929305594</v>
      </c>
      <c r="I92" s="91" t="n">
        <f aca="false">(1+H92)*I91</f>
        <v>1059729.71024361</v>
      </c>
      <c r="J92" s="34" t="n">
        <f aca="false">I92/$I$3 -1</f>
        <v>0.0597297102436138</v>
      </c>
      <c r="K92" s="0" t="n">
        <f aca="false">IF(ISBLANK(A93),MONTH(A92),IF(MONTH(A93)-MONTH(A92)=1,MONTH(A92),0))</f>
        <v>0</v>
      </c>
    </row>
    <row r="93" customFormat="false" ht="13.8" hidden="false" customHeight="false" outlineLevel="0" collapsed="false">
      <c r="A93" s="6" t="n">
        <v>38848</v>
      </c>
      <c r="B93" s="0" t="n">
        <v>1322.63</v>
      </c>
      <c r="C93" s="0" t="n">
        <v>1322.63</v>
      </c>
      <c r="D93" s="0" t="n">
        <v>1303.45</v>
      </c>
      <c r="E93" s="0" t="n">
        <v>1305.92</v>
      </c>
      <c r="F93" s="0" t="n">
        <v>2531520000</v>
      </c>
      <c r="G93" s="0" t="n">
        <v>1305.92</v>
      </c>
      <c r="H93" s="34" t="n">
        <f aca="false">G93/G92-1</f>
        <v>-0.0127981252598555</v>
      </c>
      <c r="I93" s="91" t="n">
        <f aca="false">(1+H93)*I92</f>
        <v>1046167.15667033</v>
      </c>
      <c r="J93" s="34" t="n">
        <f aca="false">I93/$I$3 -1</f>
        <v>0.0461671566703259</v>
      </c>
      <c r="K93" s="0" t="n">
        <f aca="false">IF(ISBLANK(A94),MONTH(A93),IF(MONTH(A94)-MONTH(A93)=1,MONTH(A93),0))</f>
        <v>0</v>
      </c>
    </row>
    <row r="94" customFormat="false" ht="13.8" hidden="false" customHeight="false" outlineLevel="0" collapsed="false">
      <c r="A94" s="6" t="n">
        <v>38849</v>
      </c>
      <c r="B94" s="0" t="n">
        <v>1305.88</v>
      </c>
      <c r="C94" s="0" t="n">
        <v>1305.88</v>
      </c>
      <c r="D94" s="0" t="n">
        <v>1290.38</v>
      </c>
      <c r="E94" s="0" t="n">
        <v>1291.24</v>
      </c>
      <c r="F94" s="0" t="n">
        <v>2567970000</v>
      </c>
      <c r="G94" s="0" t="n">
        <v>1291.24</v>
      </c>
      <c r="H94" s="34" t="n">
        <f aca="false">G94/G93-1</f>
        <v>-0.0112411173731929</v>
      </c>
      <c r="I94" s="91" t="n">
        <f aca="false">(1+H94)*I93</f>
        <v>1034407.06887022</v>
      </c>
      <c r="J94" s="34" t="n">
        <f aca="false">I94/$I$3 -1</f>
        <v>0.0344070688702152</v>
      </c>
      <c r="K94" s="0" t="n">
        <f aca="false">IF(ISBLANK(A95),MONTH(A94),IF(MONTH(A95)-MONTH(A94)=1,MONTH(A94),0))</f>
        <v>0</v>
      </c>
    </row>
    <row r="95" customFormat="false" ht="13.8" hidden="false" customHeight="false" outlineLevel="0" collapsed="false">
      <c r="A95" s="6" t="n">
        <v>38852</v>
      </c>
      <c r="B95" s="0" t="n">
        <v>1291.19</v>
      </c>
      <c r="C95" s="0" t="n">
        <v>1294.81</v>
      </c>
      <c r="D95" s="0" t="n">
        <v>1284.51</v>
      </c>
      <c r="E95" s="0" t="n">
        <v>1294.5</v>
      </c>
      <c r="F95" s="0" t="n">
        <v>2505660000</v>
      </c>
      <c r="G95" s="0" t="n">
        <v>1294.5</v>
      </c>
      <c r="H95" s="34" t="n">
        <f aca="false">G95/G94-1</f>
        <v>0.0025247049347914</v>
      </c>
      <c r="I95" s="91" t="n">
        <f aca="false">(1+H95)*I94</f>
        <v>1037018.64150158</v>
      </c>
      <c r="J95" s="34" t="n">
        <f aca="false">I95/$I$3 -1</f>
        <v>0.037018641501575</v>
      </c>
      <c r="K95" s="0" t="n">
        <f aca="false">IF(ISBLANK(A96),MONTH(A95),IF(MONTH(A96)-MONTH(A95)=1,MONTH(A95),0))</f>
        <v>0</v>
      </c>
    </row>
    <row r="96" customFormat="false" ht="13.8" hidden="false" customHeight="false" outlineLevel="0" collapsed="false">
      <c r="A96" s="6" t="n">
        <v>38853</v>
      </c>
      <c r="B96" s="0" t="n">
        <v>1294.5</v>
      </c>
      <c r="C96" s="0" t="n">
        <v>1297.88</v>
      </c>
      <c r="D96" s="0" t="n">
        <v>1288.51</v>
      </c>
      <c r="E96" s="0" t="n">
        <v>1292.08</v>
      </c>
      <c r="F96" s="0" t="n">
        <v>2386210000</v>
      </c>
      <c r="G96" s="0" t="n">
        <v>1292.08</v>
      </c>
      <c r="H96" s="34" t="n">
        <f aca="false">G96/G95-1</f>
        <v>-0.00186944766319053</v>
      </c>
      <c r="I96" s="91" t="n">
        <f aca="false">(1+H96)*I95</f>
        <v>1035079.98942553</v>
      </c>
      <c r="J96" s="34" t="n">
        <f aca="false">I96/$I$3 -1</f>
        <v>0.0350799894255347</v>
      </c>
      <c r="K96" s="0" t="n">
        <f aca="false">IF(ISBLANK(A97),MONTH(A96),IF(MONTH(A97)-MONTH(A96)=1,MONTH(A96),0))</f>
        <v>0</v>
      </c>
    </row>
    <row r="97" customFormat="false" ht="13.8" hidden="false" customHeight="false" outlineLevel="0" collapsed="false">
      <c r="A97" s="6" t="n">
        <v>38854</v>
      </c>
      <c r="B97" s="0" t="n">
        <v>1291.73</v>
      </c>
      <c r="C97" s="0" t="n">
        <v>1291.73</v>
      </c>
      <c r="D97" s="0" t="n">
        <v>1267.31</v>
      </c>
      <c r="E97" s="0" t="n">
        <v>1270.32</v>
      </c>
      <c r="F97" s="0" t="n">
        <v>2830200000</v>
      </c>
      <c r="G97" s="0" t="n">
        <v>1270.32</v>
      </c>
      <c r="H97" s="34" t="n">
        <f aca="false">G97/G96-1</f>
        <v>-0.0168410624729118</v>
      </c>
      <c r="I97" s="91" t="n">
        <f aca="false">(1+H97)*I96</f>
        <v>1017648.14265916</v>
      </c>
      <c r="J97" s="34" t="n">
        <f aca="false">I97/$I$3 -1</f>
        <v>0.0176481426591584</v>
      </c>
      <c r="K97" s="0" t="n">
        <f aca="false">IF(ISBLANK(A98),MONTH(A97),IF(MONTH(A98)-MONTH(A97)=1,MONTH(A97),0))</f>
        <v>0</v>
      </c>
    </row>
    <row r="98" customFormat="false" ht="13.8" hidden="false" customHeight="false" outlineLevel="0" collapsed="false">
      <c r="A98" s="6" t="n">
        <v>38855</v>
      </c>
      <c r="B98" s="0" t="n">
        <v>1270.25</v>
      </c>
      <c r="C98" s="0" t="n">
        <v>1274.89</v>
      </c>
      <c r="D98" s="0" t="n">
        <v>1261.75</v>
      </c>
      <c r="E98" s="0" t="n">
        <v>1261.81</v>
      </c>
      <c r="F98" s="0" t="n">
        <v>2537490000</v>
      </c>
      <c r="G98" s="0" t="n">
        <v>1261.81</v>
      </c>
      <c r="H98" s="34" t="n">
        <f aca="false">G98/G97-1</f>
        <v>-0.0066990994395113</v>
      </c>
      <c r="I98" s="91" t="n">
        <f aca="false">(1+H98)*I97</f>
        <v>1010830.81655705</v>
      </c>
      <c r="J98" s="34" t="n">
        <f aca="false">I98/$I$3 -1</f>
        <v>0.0108308165570508</v>
      </c>
      <c r="K98" s="0" t="n">
        <f aca="false">IF(ISBLANK(A99),MONTH(A98),IF(MONTH(A99)-MONTH(A98)=1,MONTH(A98),0))</f>
        <v>0</v>
      </c>
    </row>
    <row r="99" customFormat="false" ht="13.8" hidden="false" customHeight="false" outlineLevel="0" collapsed="false">
      <c r="A99" s="6" t="n">
        <v>38856</v>
      </c>
      <c r="B99" s="0" t="n">
        <v>1261.81</v>
      </c>
      <c r="C99" s="0" t="n">
        <v>1272.15</v>
      </c>
      <c r="D99" s="0" t="n">
        <v>1256.28</v>
      </c>
      <c r="E99" s="0" t="n">
        <v>1267.03</v>
      </c>
      <c r="F99" s="0" t="n">
        <v>2982300000</v>
      </c>
      <c r="G99" s="0" t="n">
        <v>1267.03</v>
      </c>
      <c r="H99" s="34" t="n">
        <f aca="false">G99/G98-1</f>
        <v>0.00413691443244235</v>
      </c>
      <c r="I99" s="91" t="n">
        <f aca="false">(1+H99)*I98</f>
        <v>1015012.53715082</v>
      </c>
      <c r="J99" s="34" t="n">
        <f aca="false">I99/$I$3 -1</f>
        <v>0.015012537150823</v>
      </c>
      <c r="K99" s="0" t="n">
        <f aca="false">IF(ISBLANK(A100),MONTH(A99),IF(MONTH(A100)-MONTH(A99)=1,MONTH(A99),0))</f>
        <v>0</v>
      </c>
    </row>
    <row r="100" customFormat="false" ht="13.8" hidden="false" customHeight="false" outlineLevel="0" collapsed="false">
      <c r="A100" s="6" t="n">
        <v>38859</v>
      </c>
      <c r="B100" s="0" t="n">
        <v>1267.03</v>
      </c>
      <c r="C100" s="0" t="n">
        <v>1268.77</v>
      </c>
      <c r="D100" s="0" t="n">
        <v>1252.98</v>
      </c>
      <c r="E100" s="0" t="n">
        <v>1262.07</v>
      </c>
      <c r="F100" s="0" t="n">
        <v>2773010000</v>
      </c>
      <c r="G100" s="0" t="n">
        <v>1262.07</v>
      </c>
      <c r="H100" s="34" t="n">
        <f aca="false">G100/G99-1</f>
        <v>-0.0039146665824803</v>
      </c>
      <c r="I100" s="91" t="n">
        <f aca="false">(1+H100)*I99</f>
        <v>1011039.10149084</v>
      </c>
      <c r="J100" s="34" t="n">
        <f aca="false">I100/$I$3 -1</f>
        <v>0.0110391014908402</v>
      </c>
      <c r="K100" s="0" t="n">
        <f aca="false">IF(ISBLANK(A101),MONTH(A100),IF(MONTH(A101)-MONTH(A100)=1,MONTH(A100),0))</f>
        <v>0</v>
      </c>
    </row>
    <row r="101" customFormat="false" ht="13.8" hidden="false" customHeight="false" outlineLevel="0" collapsed="false">
      <c r="A101" s="6" t="n">
        <v>38860</v>
      </c>
      <c r="B101" s="0" t="n">
        <v>1262.06</v>
      </c>
      <c r="C101" s="0" t="n">
        <v>1273.67</v>
      </c>
      <c r="D101" s="0" t="n">
        <v>1256.15</v>
      </c>
      <c r="E101" s="0" t="n">
        <v>1256.58</v>
      </c>
      <c r="F101" s="0" t="n">
        <v>2605250000</v>
      </c>
      <c r="G101" s="0" t="n">
        <v>1256.58</v>
      </c>
      <c r="H101" s="34" t="n">
        <f aca="false">G101/G100-1</f>
        <v>-0.00434999643442913</v>
      </c>
      <c r="I101" s="91" t="n">
        <f aca="false">(1+H101)*I100</f>
        <v>1006641.08500429</v>
      </c>
      <c r="J101" s="34" t="n">
        <f aca="false">I101/$I$3 -1</f>
        <v>0.00664108500428662</v>
      </c>
      <c r="K101" s="0" t="n">
        <f aca="false">IF(ISBLANK(A102),MONTH(A101),IF(MONTH(A102)-MONTH(A101)=1,MONTH(A101),0))</f>
        <v>0</v>
      </c>
    </row>
    <row r="102" customFormat="false" ht="13.8" hidden="false" customHeight="false" outlineLevel="0" collapsed="false">
      <c r="A102" s="6" t="n">
        <v>38861</v>
      </c>
      <c r="B102" s="0" t="n">
        <v>1256.56</v>
      </c>
      <c r="C102" s="0" t="n">
        <v>1264.53</v>
      </c>
      <c r="D102" s="0" t="n">
        <v>1245.34</v>
      </c>
      <c r="E102" s="0" t="n">
        <v>1258.57</v>
      </c>
      <c r="F102" s="0" t="n">
        <v>2999030000</v>
      </c>
      <c r="G102" s="0" t="n">
        <v>1258.57</v>
      </c>
      <c r="H102" s="34" t="n">
        <f aca="false">G102/G101-1</f>
        <v>0.00158366359483675</v>
      </c>
      <c r="I102" s="91" t="n">
        <f aca="false">(1+H102)*I101</f>
        <v>1008235.26584367</v>
      </c>
      <c r="J102" s="34" t="n">
        <f aca="false">I102/$I$3 -1</f>
        <v>0.00823526584367484</v>
      </c>
      <c r="K102" s="0" t="n">
        <f aca="false">IF(ISBLANK(A103),MONTH(A102),IF(MONTH(A103)-MONTH(A102)=1,MONTH(A102),0))</f>
        <v>0</v>
      </c>
    </row>
    <row r="103" customFormat="false" ht="13.8" hidden="false" customHeight="false" outlineLevel="0" collapsed="false">
      <c r="A103" s="6" t="n">
        <v>38862</v>
      </c>
      <c r="B103" s="0" t="n">
        <v>1258.41</v>
      </c>
      <c r="C103" s="0" t="n">
        <v>1273.26</v>
      </c>
      <c r="D103" s="0" t="n">
        <v>1258.41</v>
      </c>
      <c r="E103" s="0" t="n">
        <v>1272.88</v>
      </c>
      <c r="F103" s="0" t="n">
        <v>2372730000</v>
      </c>
      <c r="G103" s="0" t="n">
        <v>1272.88</v>
      </c>
      <c r="H103" s="34" t="n">
        <f aca="false">G103/G102-1</f>
        <v>0.0113700469580558</v>
      </c>
      <c r="I103" s="91" t="n">
        <f aca="false">(1+H103)*I102</f>
        <v>1019698.94816109</v>
      </c>
      <c r="J103" s="34" t="n">
        <f aca="false">I103/$I$3 -1</f>
        <v>0.0196989481610854</v>
      </c>
      <c r="K103" s="0" t="n">
        <f aca="false">IF(ISBLANK(A104),MONTH(A103),IF(MONTH(A104)-MONTH(A103)=1,MONTH(A103),0))</f>
        <v>0</v>
      </c>
    </row>
    <row r="104" customFormat="false" ht="13.8" hidden="false" customHeight="false" outlineLevel="0" collapsed="false">
      <c r="A104" s="6" t="n">
        <v>38863</v>
      </c>
      <c r="B104" s="0" t="n">
        <v>1272.71</v>
      </c>
      <c r="C104" s="0" t="n">
        <v>1280.54</v>
      </c>
      <c r="D104" s="0" t="n">
        <v>1272.5</v>
      </c>
      <c r="E104" s="0" t="n">
        <v>1280.16</v>
      </c>
      <c r="F104" s="0" t="n">
        <v>1814020000</v>
      </c>
      <c r="G104" s="0" t="n">
        <v>1280.16</v>
      </c>
      <c r="H104" s="34" t="n">
        <f aca="false">G104/G103-1</f>
        <v>0.00571931368235812</v>
      </c>
      <c r="I104" s="91" t="n">
        <f aca="false">(1+H104)*I103</f>
        <v>1025530.92630719</v>
      </c>
      <c r="J104" s="34" t="n">
        <f aca="false">I104/$I$3 -1</f>
        <v>0.0255309263071892</v>
      </c>
      <c r="K104" s="0" t="n">
        <f aca="false">IF(ISBLANK(A105),MONTH(A104),IF(MONTH(A105)-MONTH(A104)=1,MONTH(A104),0))</f>
        <v>0</v>
      </c>
    </row>
    <row r="105" customFormat="false" ht="13.8" hidden="false" customHeight="false" outlineLevel="0" collapsed="false">
      <c r="A105" s="6" t="n">
        <v>38867</v>
      </c>
      <c r="B105" s="0" t="n">
        <v>1280.04</v>
      </c>
      <c r="C105" s="0" t="n">
        <v>1280.04</v>
      </c>
      <c r="D105" s="0" t="n">
        <v>1259.87</v>
      </c>
      <c r="E105" s="0" t="n">
        <v>1259.87</v>
      </c>
      <c r="F105" s="0" t="n">
        <v>2176190000</v>
      </c>
      <c r="G105" s="0" t="n">
        <v>1259.87</v>
      </c>
      <c r="H105" s="34" t="n">
        <f aca="false">G105/G104-1</f>
        <v>-0.0158495813023374</v>
      </c>
      <c r="I105" s="91" t="n">
        <f aca="false">(1+H105)*I104</f>
        <v>1009276.69051262</v>
      </c>
      <c r="J105" s="34" t="n">
        <f aca="false">I105/$I$3 -1</f>
        <v>0.00927669051262203</v>
      </c>
      <c r="K105" s="0" t="n">
        <f aca="false">IF(ISBLANK(A106),MONTH(A105),IF(MONTH(A106)-MONTH(A105)=1,MONTH(A105),0))</f>
        <v>0</v>
      </c>
    </row>
    <row r="106" customFormat="false" ht="13.8" hidden="false" customHeight="false" outlineLevel="0" collapsed="false">
      <c r="A106" s="6" t="n">
        <v>38868</v>
      </c>
      <c r="B106" s="0" t="n">
        <v>1259.38</v>
      </c>
      <c r="C106" s="0" t="n">
        <v>1270.09</v>
      </c>
      <c r="D106" s="0" t="n">
        <v>1259.38</v>
      </c>
      <c r="E106" s="0" t="n">
        <v>1270.09</v>
      </c>
      <c r="F106" s="0" t="n">
        <v>2692160000</v>
      </c>
      <c r="G106" s="0" t="n">
        <v>1270.09</v>
      </c>
      <c r="H106" s="34" t="n">
        <f aca="false">G106/G105-1</f>
        <v>0.00811194805813309</v>
      </c>
      <c r="I106" s="91" t="n">
        <f aca="false">(1+H106)*I105</f>
        <v>1017463.89060235</v>
      </c>
      <c r="J106" s="34" t="n">
        <f aca="false">I106/$I$3 -1</f>
        <v>0.017463890602345</v>
      </c>
      <c r="K106" s="0" t="n">
        <f aca="false">IF(ISBLANK(A107),MONTH(A106),IF(MONTH(A107)-MONTH(A106)=1,MONTH(A106),0))</f>
        <v>5</v>
      </c>
    </row>
    <row r="107" customFormat="false" ht="13.8" hidden="false" customHeight="false" outlineLevel="0" collapsed="false">
      <c r="A107" s="6" t="n">
        <v>38869</v>
      </c>
      <c r="B107" s="0" t="n">
        <v>1270.05</v>
      </c>
      <c r="C107" s="0" t="n">
        <v>1285.71</v>
      </c>
      <c r="D107" s="0" t="n">
        <v>1269.19</v>
      </c>
      <c r="E107" s="0" t="n">
        <v>1285.71</v>
      </c>
      <c r="F107" s="0" t="n">
        <v>2360160000</v>
      </c>
      <c r="G107" s="0" t="n">
        <v>1285.71</v>
      </c>
      <c r="H107" s="34" t="n">
        <f aca="false">G107/G106-1</f>
        <v>0.0122983410624444</v>
      </c>
      <c r="I107" s="91" t="n">
        <f aca="false">(1+H107)*I106</f>
        <v>1029977.00854769</v>
      </c>
      <c r="J107" s="34" t="n">
        <f aca="false">I107/$I$3 -1</f>
        <v>0.0299770085476943</v>
      </c>
      <c r="K107" s="0" t="n">
        <f aca="false">IF(ISBLANK(A108),MONTH(A107),IF(MONTH(A108)-MONTH(A107)=1,MONTH(A107),0))</f>
        <v>0</v>
      </c>
    </row>
    <row r="108" customFormat="false" ht="13.8" hidden="false" customHeight="false" outlineLevel="0" collapsed="false">
      <c r="A108" s="6" t="n">
        <v>38870</v>
      </c>
      <c r="B108" s="0" t="n">
        <v>1285.71</v>
      </c>
      <c r="C108" s="0" t="n">
        <v>1290.68</v>
      </c>
      <c r="D108" s="0" t="n">
        <v>1280.22</v>
      </c>
      <c r="E108" s="0" t="n">
        <v>1288.22</v>
      </c>
      <c r="F108" s="0" t="n">
        <v>2295540000</v>
      </c>
      <c r="G108" s="0" t="n">
        <v>1288.22</v>
      </c>
      <c r="H108" s="34" t="n">
        <f aca="false">G108/G107-1</f>
        <v>0.0019522287296514</v>
      </c>
      <c r="I108" s="91" t="n">
        <f aca="false">(1+H108)*I107</f>
        <v>1031987.75925466</v>
      </c>
      <c r="J108" s="34" t="n">
        <f aca="false">I108/$I$3 -1</f>
        <v>0.0319877592546616</v>
      </c>
      <c r="K108" s="0" t="n">
        <f aca="false">IF(ISBLANK(A109),MONTH(A108),IF(MONTH(A109)-MONTH(A108)=1,MONTH(A108),0))</f>
        <v>0</v>
      </c>
    </row>
    <row r="109" customFormat="false" ht="13.8" hidden="false" customHeight="false" outlineLevel="0" collapsed="false">
      <c r="A109" s="6" t="n">
        <v>38873</v>
      </c>
      <c r="B109" s="0" t="n">
        <v>1288.16</v>
      </c>
      <c r="C109" s="0" t="n">
        <v>1288.16</v>
      </c>
      <c r="D109" s="0" t="n">
        <v>1264.66</v>
      </c>
      <c r="E109" s="0" t="n">
        <v>1265.29</v>
      </c>
      <c r="F109" s="0" t="n">
        <v>2313470000</v>
      </c>
      <c r="G109" s="0" t="n">
        <v>1265.29</v>
      </c>
      <c r="H109" s="34" t="n">
        <f aca="false">G109/G108-1</f>
        <v>-0.0177997547002842</v>
      </c>
      <c r="I109" s="91" t="n">
        <f aca="false">(1+H109)*I108</f>
        <v>1013618.63028623</v>
      </c>
      <c r="J109" s="34" t="n">
        <f aca="false">I109/$I$3 -1</f>
        <v>0.0136186302862327</v>
      </c>
      <c r="K109" s="0" t="n">
        <f aca="false">IF(ISBLANK(A110),MONTH(A109),IF(MONTH(A110)-MONTH(A109)=1,MONTH(A109),0))</f>
        <v>0</v>
      </c>
    </row>
    <row r="110" customFormat="false" ht="13.8" hidden="false" customHeight="false" outlineLevel="0" collapsed="false">
      <c r="A110" s="6" t="n">
        <v>38874</v>
      </c>
      <c r="B110" s="0" t="n">
        <v>1265.23</v>
      </c>
      <c r="C110" s="0" t="n">
        <v>1269.88</v>
      </c>
      <c r="D110" s="0" t="n">
        <v>1254.46</v>
      </c>
      <c r="E110" s="0" t="n">
        <v>1263.85</v>
      </c>
      <c r="F110" s="0" t="n">
        <v>2697650000</v>
      </c>
      <c r="G110" s="0" t="n">
        <v>1263.85</v>
      </c>
      <c r="H110" s="34" t="n">
        <f aca="false">G110/G109-1</f>
        <v>-0.00113807901745844</v>
      </c>
      <c r="I110" s="91" t="n">
        <f aca="false">(1+H110)*I109</f>
        <v>1012465.0521914</v>
      </c>
      <c r="J110" s="34" t="n">
        <f aca="false">I110/$I$3 -1</f>
        <v>0.0124650521913987</v>
      </c>
      <c r="K110" s="0" t="n">
        <f aca="false">IF(ISBLANK(A111),MONTH(A110),IF(MONTH(A111)-MONTH(A110)=1,MONTH(A110),0))</f>
        <v>0</v>
      </c>
    </row>
    <row r="111" customFormat="false" ht="13.8" hidden="false" customHeight="false" outlineLevel="0" collapsed="false">
      <c r="A111" s="6" t="n">
        <v>38875</v>
      </c>
      <c r="B111" s="0" t="n">
        <v>1263.61</v>
      </c>
      <c r="C111" s="0" t="n">
        <v>1272.47</v>
      </c>
      <c r="D111" s="0" t="n">
        <v>1255.77</v>
      </c>
      <c r="E111" s="0" t="n">
        <v>1256.15</v>
      </c>
      <c r="F111" s="0" t="n">
        <v>2644170000</v>
      </c>
      <c r="G111" s="0" t="n">
        <v>1256.15</v>
      </c>
      <c r="H111" s="34" t="n">
        <f aca="false">G111/G110-1</f>
        <v>-0.00609249515369692</v>
      </c>
      <c r="I111" s="91" t="n">
        <f aca="false">(1+H111)*I110</f>
        <v>1006296.61376764</v>
      </c>
      <c r="J111" s="34" t="n">
        <f aca="false">I111/$I$3 -1</f>
        <v>0.00629661376763524</v>
      </c>
      <c r="K111" s="0" t="n">
        <f aca="false">IF(ISBLANK(A112),MONTH(A111),IF(MONTH(A112)-MONTH(A111)=1,MONTH(A111),0))</f>
        <v>0</v>
      </c>
    </row>
    <row r="112" customFormat="false" ht="13.8" hidden="false" customHeight="false" outlineLevel="0" collapsed="false">
      <c r="A112" s="6" t="n">
        <v>38876</v>
      </c>
      <c r="B112" s="0" t="n">
        <v>1256.08</v>
      </c>
      <c r="C112" s="0" t="n">
        <v>1259.85</v>
      </c>
      <c r="D112" s="0" t="n">
        <v>1235.18</v>
      </c>
      <c r="E112" s="0" t="n">
        <v>1257.93</v>
      </c>
      <c r="F112" s="0" t="n">
        <v>3543790000</v>
      </c>
      <c r="G112" s="0" t="n">
        <v>1257.93</v>
      </c>
      <c r="H112" s="34" t="n">
        <f aca="false">G112/G111-1</f>
        <v>0.00141702822115186</v>
      </c>
      <c r="I112" s="91" t="n">
        <f aca="false">(1+H112)*I111</f>
        <v>1007722.56446819</v>
      </c>
      <c r="J112" s="34" t="n">
        <f aca="false">I112/$I$3 -1</f>
        <v>0.00772256446819353</v>
      </c>
      <c r="K112" s="0" t="n">
        <f aca="false">IF(ISBLANK(A113),MONTH(A112),IF(MONTH(A113)-MONTH(A112)=1,MONTH(A112),0))</f>
        <v>0</v>
      </c>
    </row>
    <row r="113" customFormat="false" ht="13.8" hidden="false" customHeight="false" outlineLevel="0" collapsed="false">
      <c r="A113" s="6" t="n">
        <v>38877</v>
      </c>
      <c r="B113" s="0" t="n">
        <v>1257.93</v>
      </c>
      <c r="C113" s="0" t="n">
        <v>1262.58</v>
      </c>
      <c r="D113" s="0" t="n">
        <v>1250.03</v>
      </c>
      <c r="E113" s="0" t="n">
        <v>1252.3</v>
      </c>
      <c r="F113" s="0" t="n">
        <v>2214000000</v>
      </c>
      <c r="G113" s="0" t="n">
        <v>1252.3</v>
      </c>
      <c r="H113" s="34" t="n">
        <f aca="false">G113/G112-1</f>
        <v>-0.00447560675077319</v>
      </c>
      <c r="I113" s="91" t="n">
        <f aca="false">(1+H113)*I112</f>
        <v>1003212.39455575</v>
      </c>
      <c r="J113" s="34" t="n">
        <f aca="false">I113/$I$3 -1</f>
        <v>0.00321239455575317</v>
      </c>
      <c r="K113" s="0" t="n">
        <f aca="false">IF(ISBLANK(A114),MONTH(A113),IF(MONTH(A114)-MONTH(A113)=1,MONTH(A113),0))</f>
        <v>0</v>
      </c>
    </row>
    <row r="114" customFormat="false" ht="13.8" hidden="false" customHeight="false" outlineLevel="0" collapsed="false">
      <c r="A114" s="6" t="n">
        <v>38880</v>
      </c>
      <c r="B114" s="0" t="n">
        <v>1252.27</v>
      </c>
      <c r="C114" s="0" t="n">
        <v>1255.22</v>
      </c>
      <c r="D114" s="0" t="n">
        <v>1236.43</v>
      </c>
      <c r="E114" s="0" t="n">
        <v>1237.44</v>
      </c>
      <c r="F114" s="0" t="n">
        <v>2247010000</v>
      </c>
      <c r="G114" s="0" t="n">
        <v>1237.44</v>
      </c>
      <c r="H114" s="34" t="n">
        <f aca="false">G114/G113-1</f>
        <v>-0.0118661662540924</v>
      </c>
      <c r="I114" s="91" t="n">
        <f aca="false">(1+H114)*I113</f>
        <v>991308.109493788</v>
      </c>
      <c r="J114" s="34" t="n">
        <f aca="false">I114/$I$3 -1</f>
        <v>-0.00869189050621166</v>
      </c>
      <c r="K114" s="0" t="n">
        <f aca="false">IF(ISBLANK(A115),MONTH(A114),IF(MONTH(A115)-MONTH(A114)=1,MONTH(A114),0))</f>
        <v>0</v>
      </c>
    </row>
    <row r="115" customFormat="false" ht="13.8" hidden="false" customHeight="false" outlineLevel="0" collapsed="false">
      <c r="A115" s="6" t="n">
        <v>38881</v>
      </c>
      <c r="B115" s="0" t="n">
        <v>1236.08</v>
      </c>
      <c r="C115" s="0" t="n">
        <v>1243.37</v>
      </c>
      <c r="D115" s="0" t="n">
        <v>1222.52</v>
      </c>
      <c r="E115" s="0" t="n">
        <v>1223.69</v>
      </c>
      <c r="F115" s="0" t="n">
        <v>3215770000</v>
      </c>
      <c r="G115" s="0" t="n">
        <v>1223.69</v>
      </c>
      <c r="H115" s="34" t="n">
        <f aca="false">G115/G114-1</f>
        <v>-0.0111116498577709</v>
      </c>
      <c r="I115" s="91" t="n">
        <f aca="false">(1+H115)*I114</f>
        <v>980293.040879925</v>
      </c>
      <c r="J115" s="34" t="n">
        <f aca="false">I115/$I$3 -1</f>
        <v>-0.0197069591200755</v>
      </c>
      <c r="K115" s="0" t="n">
        <f aca="false">IF(ISBLANK(A116),MONTH(A115),IF(MONTH(A116)-MONTH(A115)=1,MONTH(A115),0))</f>
        <v>0</v>
      </c>
    </row>
    <row r="116" customFormat="false" ht="13.8" hidden="false" customHeight="false" outlineLevel="0" collapsed="false">
      <c r="A116" s="6" t="n">
        <v>38882</v>
      </c>
      <c r="B116" s="0" t="n">
        <v>1223.66</v>
      </c>
      <c r="C116" s="0" t="n">
        <v>1231.46</v>
      </c>
      <c r="D116" s="0" t="n">
        <v>1219.29</v>
      </c>
      <c r="E116" s="0" t="n">
        <v>1230.04</v>
      </c>
      <c r="F116" s="0" t="n">
        <v>2667990000</v>
      </c>
      <c r="G116" s="0" t="n">
        <v>1230.04</v>
      </c>
      <c r="H116" s="34" t="n">
        <f aca="false">G116/G115-1</f>
        <v>0.00518922276066647</v>
      </c>
      <c r="I116" s="91" t="n">
        <f aca="false">(1+H116)*I115</f>
        <v>985379.999839781</v>
      </c>
      <c r="J116" s="34" t="n">
        <f aca="false">I116/$I$3 -1</f>
        <v>-0.0146200001602185</v>
      </c>
      <c r="K116" s="0" t="n">
        <f aca="false">IF(ISBLANK(A117),MONTH(A116),IF(MONTH(A117)-MONTH(A116)=1,MONTH(A116),0))</f>
        <v>0</v>
      </c>
    </row>
    <row r="117" customFormat="false" ht="13.8" hidden="false" customHeight="false" outlineLevel="0" collapsed="false">
      <c r="A117" s="6" t="n">
        <v>38883</v>
      </c>
      <c r="B117" s="0" t="n">
        <v>1230.01</v>
      </c>
      <c r="C117" s="0" t="n">
        <v>1258.64</v>
      </c>
      <c r="D117" s="0" t="n">
        <v>1230.01</v>
      </c>
      <c r="E117" s="0" t="n">
        <v>1256.16</v>
      </c>
      <c r="F117" s="0" t="n">
        <v>2775480000</v>
      </c>
      <c r="G117" s="0" t="n">
        <v>1256.16</v>
      </c>
      <c r="H117" s="34" t="n">
        <f aca="false">G117/G116-1</f>
        <v>0.0212350817859583</v>
      </c>
      <c r="I117" s="91" t="n">
        <f aca="false">(1+H117)*I116</f>
        <v>1006304.62472663</v>
      </c>
      <c r="J117" s="34" t="n">
        <f aca="false">I117/$I$3 -1</f>
        <v>0.00630462472662696</v>
      </c>
      <c r="K117" s="0" t="n">
        <f aca="false">IF(ISBLANK(A118),MONTH(A117),IF(MONTH(A118)-MONTH(A117)=1,MONTH(A117),0))</f>
        <v>0</v>
      </c>
    </row>
    <row r="118" customFormat="false" ht="13.8" hidden="false" customHeight="false" outlineLevel="0" collapsed="false">
      <c r="A118" s="6" t="n">
        <v>38884</v>
      </c>
      <c r="B118" s="0" t="n">
        <v>1256.16</v>
      </c>
      <c r="C118" s="0" t="n">
        <v>1256.27</v>
      </c>
      <c r="D118" s="0" t="n">
        <v>1246.33</v>
      </c>
      <c r="E118" s="0" t="n">
        <v>1251.54</v>
      </c>
      <c r="F118" s="0" t="n">
        <v>2783390000</v>
      </c>
      <c r="G118" s="0" t="n">
        <v>1251.54</v>
      </c>
      <c r="H118" s="34" t="n">
        <f aca="false">G118/G117-1</f>
        <v>-0.00367787542988163</v>
      </c>
      <c r="I118" s="91" t="n">
        <f aca="false">(1+H118)*I117</f>
        <v>1002603.56167237</v>
      </c>
      <c r="J118" s="34" t="n">
        <f aca="false">I118/$I$3 -1</f>
        <v>0.00260356167236853</v>
      </c>
      <c r="K118" s="0" t="n">
        <f aca="false">IF(ISBLANK(A119),MONTH(A118),IF(MONTH(A119)-MONTH(A118)=1,MONTH(A118),0))</f>
        <v>0</v>
      </c>
    </row>
    <row r="119" customFormat="false" ht="13.8" hidden="false" customHeight="false" outlineLevel="0" collapsed="false">
      <c r="A119" s="6" t="n">
        <v>38887</v>
      </c>
      <c r="B119" s="0" t="n">
        <v>1251.54</v>
      </c>
      <c r="C119" s="0" t="n">
        <v>1255.93</v>
      </c>
      <c r="D119" s="0" t="n">
        <v>1237.17</v>
      </c>
      <c r="E119" s="0" t="n">
        <v>1240.13</v>
      </c>
      <c r="F119" s="0" t="n">
        <v>2517200000</v>
      </c>
      <c r="G119" s="0" t="n">
        <v>1240.13</v>
      </c>
      <c r="H119" s="34" t="n">
        <f aca="false">G119/G118-1</f>
        <v>-0.00911676814164941</v>
      </c>
      <c r="I119" s="91" t="n">
        <f aca="false">(1+H119)*I118</f>
        <v>993463.05746261</v>
      </c>
      <c r="J119" s="34" t="n">
        <f aca="false">I119/$I$3 -1</f>
        <v>-0.00653694253739023</v>
      </c>
      <c r="K119" s="0" t="n">
        <f aca="false">IF(ISBLANK(A120),MONTH(A119),IF(MONTH(A120)-MONTH(A119)=1,MONTH(A119),0))</f>
        <v>0</v>
      </c>
    </row>
    <row r="120" customFormat="false" ht="13.8" hidden="false" customHeight="false" outlineLevel="0" collapsed="false">
      <c r="A120" s="6" t="n">
        <v>38888</v>
      </c>
      <c r="B120" s="0" t="n">
        <v>1240.12</v>
      </c>
      <c r="C120" s="0" t="n">
        <v>1249.01</v>
      </c>
      <c r="D120" s="0" t="n">
        <v>1238.87</v>
      </c>
      <c r="E120" s="0" t="n">
        <v>1240.12</v>
      </c>
      <c r="F120" s="0" t="n">
        <v>2232950000</v>
      </c>
      <c r="G120" s="0" t="n">
        <v>1240.12</v>
      </c>
      <c r="H120" s="34" t="n">
        <f aca="false">G120/G119-1</f>
        <v>-8.06367074435155E-006</v>
      </c>
      <c r="I120" s="91" t="n">
        <f aca="false">(1+H120)*I119</f>
        <v>993455.046503618</v>
      </c>
      <c r="J120" s="34" t="n">
        <f aca="false">I120/$I$3 -1</f>
        <v>-0.00654495349638229</v>
      </c>
      <c r="K120" s="0" t="n">
        <f aca="false">IF(ISBLANK(A121),MONTH(A120),IF(MONTH(A121)-MONTH(A120)=1,MONTH(A120),0))</f>
        <v>0</v>
      </c>
    </row>
    <row r="121" customFormat="false" ht="13.8" hidden="false" customHeight="false" outlineLevel="0" collapsed="false">
      <c r="A121" s="6" t="n">
        <v>38889</v>
      </c>
      <c r="B121" s="0" t="n">
        <v>1240.09</v>
      </c>
      <c r="C121" s="0" t="n">
        <v>1257.96</v>
      </c>
      <c r="D121" s="0" t="n">
        <v>1240.09</v>
      </c>
      <c r="E121" s="0" t="n">
        <v>1252.2</v>
      </c>
      <c r="F121" s="0" t="n">
        <v>2361230000</v>
      </c>
      <c r="G121" s="0" t="n">
        <v>1252.2</v>
      </c>
      <c r="H121" s="34" t="n">
        <f aca="false">G121/G120-1</f>
        <v>0.00974099280714791</v>
      </c>
      <c r="I121" s="91" t="n">
        <f aca="false">(1+H121)*I120</f>
        <v>1003132.28496583</v>
      </c>
      <c r="J121" s="34" t="n">
        <f aca="false">I121/$I$3 -1</f>
        <v>0.00313228496583418</v>
      </c>
      <c r="K121" s="0" t="n">
        <f aca="false">IF(ISBLANK(A122),MONTH(A121),IF(MONTH(A122)-MONTH(A121)=1,MONTH(A121),0))</f>
        <v>0</v>
      </c>
    </row>
    <row r="122" customFormat="false" ht="13.8" hidden="false" customHeight="false" outlineLevel="0" collapsed="false">
      <c r="A122" s="6" t="n">
        <v>38890</v>
      </c>
      <c r="B122" s="0" t="n">
        <v>1251.92</v>
      </c>
      <c r="C122" s="0" t="n">
        <v>1251.92</v>
      </c>
      <c r="D122" s="0" t="n">
        <v>1241.53</v>
      </c>
      <c r="E122" s="0" t="n">
        <v>1245.6</v>
      </c>
      <c r="F122" s="0" t="n">
        <v>2148180000</v>
      </c>
      <c r="G122" s="0" t="n">
        <v>1245.6</v>
      </c>
      <c r="H122" s="34" t="n">
        <f aca="false">G122/G121-1</f>
        <v>-0.0052707235265933</v>
      </c>
      <c r="I122" s="91" t="n">
        <f aca="false">(1+H122)*I121</f>
        <v>997845.05203118</v>
      </c>
      <c r="J122" s="34" t="n">
        <f aca="false">I122/$I$3 -1</f>
        <v>-0.00215494796882043</v>
      </c>
      <c r="K122" s="0" t="n">
        <f aca="false">IF(ISBLANK(A123),MONTH(A122),IF(MONTH(A123)-MONTH(A122)=1,MONTH(A122),0))</f>
        <v>0</v>
      </c>
    </row>
    <row r="123" customFormat="false" ht="13.8" hidden="false" customHeight="false" outlineLevel="0" collapsed="false">
      <c r="A123" s="6" t="n">
        <v>38891</v>
      </c>
      <c r="B123" s="0" t="n">
        <v>1245.59</v>
      </c>
      <c r="C123" s="0" t="n">
        <v>1253.13</v>
      </c>
      <c r="D123" s="0" t="n">
        <v>1241.43</v>
      </c>
      <c r="E123" s="0" t="n">
        <v>1244.5</v>
      </c>
      <c r="F123" s="0" t="n">
        <v>2017270000</v>
      </c>
      <c r="G123" s="0" t="n">
        <v>1244.5</v>
      </c>
      <c r="H123" s="34" t="n">
        <f aca="false">G123/G122-1</f>
        <v>-0.000883108542067967</v>
      </c>
      <c r="I123" s="91" t="n">
        <f aca="false">(1+H123)*I122</f>
        <v>996963.84654207</v>
      </c>
      <c r="J123" s="34" t="n">
        <f aca="false">I123/$I$3 -1</f>
        <v>-0.00303615345792951</v>
      </c>
      <c r="K123" s="0" t="n">
        <f aca="false">IF(ISBLANK(A124),MONTH(A123),IF(MONTH(A124)-MONTH(A123)=1,MONTH(A123),0))</f>
        <v>0</v>
      </c>
    </row>
    <row r="124" customFormat="false" ht="13.8" hidden="false" customHeight="false" outlineLevel="0" collapsed="false">
      <c r="A124" s="6" t="n">
        <v>38894</v>
      </c>
      <c r="B124" s="0" t="n">
        <v>1244.5</v>
      </c>
      <c r="C124" s="0" t="n">
        <v>1250.92</v>
      </c>
      <c r="D124" s="0" t="n">
        <v>1243.68</v>
      </c>
      <c r="E124" s="0" t="n">
        <v>1250.56</v>
      </c>
      <c r="F124" s="0" t="n">
        <v>1878580000</v>
      </c>
      <c r="G124" s="0" t="n">
        <v>1250.56</v>
      </c>
      <c r="H124" s="34" t="n">
        <f aca="false">G124/G123-1</f>
        <v>0.00486942547207714</v>
      </c>
      <c r="I124" s="91" t="n">
        <f aca="false">(1+H124)*I123</f>
        <v>1001818.48769116</v>
      </c>
      <c r="J124" s="34" t="n">
        <f aca="false">I124/$I$3 -1</f>
        <v>0.00181848769116244</v>
      </c>
      <c r="K124" s="0" t="n">
        <f aca="false">IF(ISBLANK(A125),MONTH(A124),IF(MONTH(A125)-MONTH(A124)=1,MONTH(A124),0))</f>
        <v>0</v>
      </c>
    </row>
    <row r="125" customFormat="false" ht="13.8" hidden="false" customHeight="false" outlineLevel="0" collapsed="false">
      <c r="A125" s="6" t="n">
        <v>38895</v>
      </c>
      <c r="B125" s="0" t="n">
        <v>1250.55</v>
      </c>
      <c r="C125" s="0" t="n">
        <v>1253.37</v>
      </c>
      <c r="D125" s="0" t="n">
        <v>1238.94</v>
      </c>
      <c r="E125" s="0" t="n">
        <v>1239.2</v>
      </c>
      <c r="F125" s="0" t="n">
        <v>2203130000</v>
      </c>
      <c r="G125" s="0" t="n">
        <v>1239.2</v>
      </c>
      <c r="H125" s="34" t="n">
        <f aca="false">G125/G124-1</f>
        <v>-0.00908393039918109</v>
      </c>
      <c r="I125" s="91" t="n">
        <f aca="false">(1+H125)*I124</f>
        <v>992718.038276363</v>
      </c>
      <c r="J125" s="34" t="n">
        <f aca="false">I125/$I$3 -1</f>
        <v>-0.00728196172363682</v>
      </c>
      <c r="K125" s="0" t="n">
        <f aca="false">IF(ISBLANK(A126),MONTH(A125),IF(MONTH(A126)-MONTH(A125)=1,MONTH(A125),0))</f>
        <v>0</v>
      </c>
    </row>
    <row r="126" customFormat="false" ht="13.8" hidden="false" customHeight="false" outlineLevel="0" collapsed="false">
      <c r="A126" s="6" t="n">
        <v>38896</v>
      </c>
      <c r="B126" s="0" t="n">
        <v>1238.99</v>
      </c>
      <c r="C126" s="0" t="n">
        <v>1247.06</v>
      </c>
      <c r="D126" s="0" t="n">
        <v>1237.59</v>
      </c>
      <c r="E126" s="0" t="n">
        <v>1246</v>
      </c>
      <c r="F126" s="0" t="n">
        <v>2085490000</v>
      </c>
      <c r="G126" s="0" t="n">
        <v>1246</v>
      </c>
      <c r="H126" s="34" t="n">
        <f aca="false">G126/G125-1</f>
        <v>0.00548741123305363</v>
      </c>
      <c r="I126" s="91" t="n">
        <f aca="false">(1+H126)*I125</f>
        <v>998165.490390856</v>
      </c>
      <c r="J126" s="34" t="n">
        <f aca="false">I126/$I$3 -1</f>
        <v>-0.00183450960914422</v>
      </c>
      <c r="K126" s="0" t="n">
        <f aca="false">IF(ISBLANK(A127),MONTH(A126),IF(MONTH(A127)-MONTH(A126)=1,MONTH(A126),0))</f>
        <v>0</v>
      </c>
    </row>
    <row r="127" customFormat="false" ht="13.8" hidden="false" customHeight="false" outlineLevel="0" collapsed="false">
      <c r="A127" s="6" t="n">
        <v>38897</v>
      </c>
      <c r="B127" s="0" t="n">
        <v>1245.94</v>
      </c>
      <c r="C127" s="0" t="n">
        <v>1272.88</v>
      </c>
      <c r="D127" s="0" t="n">
        <v>1245.94</v>
      </c>
      <c r="E127" s="0" t="n">
        <v>1272.87</v>
      </c>
      <c r="F127" s="0" t="n">
        <v>2621250000</v>
      </c>
      <c r="G127" s="0" t="n">
        <v>1272.87</v>
      </c>
      <c r="H127" s="34" t="n">
        <f aca="false">G127/G126-1</f>
        <v>0.0215650080256822</v>
      </c>
      <c r="I127" s="91" t="n">
        <f aca="false">(1+H127)*I126</f>
        <v>1019690.93720209</v>
      </c>
      <c r="J127" s="34" t="n">
        <f aca="false">I127/$I$3 -1</f>
        <v>0.0196909372020937</v>
      </c>
      <c r="K127" s="0" t="n">
        <f aca="false">IF(ISBLANK(A128),MONTH(A127),IF(MONTH(A128)-MONTH(A127)=1,MONTH(A127),0))</f>
        <v>0</v>
      </c>
    </row>
    <row r="128" customFormat="false" ht="13.8" hidden="false" customHeight="false" outlineLevel="0" collapsed="false">
      <c r="A128" s="6" t="n">
        <v>38898</v>
      </c>
      <c r="B128" s="0" t="n">
        <v>1272.86</v>
      </c>
      <c r="C128" s="0" t="n">
        <v>1276.3</v>
      </c>
      <c r="D128" s="0" t="n">
        <v>1270.2</v>
      </c>
      <c r="E128" s="0" t="n">
        <v>1270.2</v>
      </c>
      <c r="F128" s="0" t="n">
        <v>3049560000</v>
      </c>
      <c r="G128" s="0" t="n">
        <v>1270.2</v>
      </c>
      <c r="H128" s="34" t="n">
        <f aca="false">G128/G127-1</f>
        <v>-0.00209762190954288</v>
      </c>
      <c r="I128" s="91" t="n">
        <f aca="false">(1+H128)*I127</f>
        <v>1017552.01115126</v>
      </c>
      <c r="J128" s="34" t="n">
        <f aca="false">I128/$I$3 -1</f>
        <v>0.0175520111512564</v>
      </c>
      <c r="K128" s="0" t="n">
        <f aca="false">IF(ISBLANK(A129),MONTH(A128),IF(MONTH(A129)-MONTH(A128)=1,MONTH(A128),0))</f>
        <v>6</v>
      </c>
    </row>
    <row r="129" customFormat="false" ht="13.8" hidden="false" customHeight="false" outlineLevel="0" collapsed="false">
      <c r="A129" s="6" t="n">
        <v>38901</v>
      </c>
      <c r="B129" s="0" t="n">
        <v>1270.06</v>
      </c>
      <c r="C129" s="0" t="n">
        <v>1280.38</v>
      </c>
      <c r="D129" s="0" t="n">
        <v>1270.06</v>
      </c>
      <c r="E129" s="0" t="n">
        <v>1280.19</v>
      </c>
      <c r="F129" s="0" t="n">
        <v>1114470000</v>
      </c>
      <c r="G129" s="0" t="n">
        <v>1280.19</v>
      </c>
      <c r="H129" s="34" t="n">
        <f aca="false">G129/G128-1</f>
        <v>0.00786490316485589</v>
      </c>
      <c r="I129" s="91" t="n">
        <f aca="false">(1+H129)*I128</f>
        <v>1025554.95918417</v>
      </c>
      <c r="J129" s="34" t="n">
        <f aca="false">I129/$I$3 -1</f>
        <v>0.0255549591841653</v>
      </c>
      <c r="K129" s="0" t="n">
        <f aca="false">IF(ISBLANK(A130),MONTH(A129),IF(MONTH(A130)-MONTH(A129)=1,MONTH(A129),0))</f>
        <v>0</v>
      </c>
    </row>
    <row r="130" customFormat="false" ht="13.8" hidden="false" customHeight="false" outlineLevel="0" collapsed="false">
      <c r="A130" s="6" t="n">
        <v>38903</v>
      </c>
      <c r="B130" s="0" t="n">
        <v>1280.05</v>
      </c>
      <c r="C130" s="0" t="n">
        <v>1280.05</v>
      </c>
      <c r="D130" s="0" t="n">
        <v>1265.91</v>
      </c>
      <c r="E130" s="0" t="n">
        <v>1270.91</v>
      </c>
      <c r="F130" s="0" t="n">
        <v>2165070000</v>
      </c>
      <c r="G130" s="0" t="n">
        <v>1270.91</v>
      </c>
      <c r="H130" s="34" t="n">
        <f aca="false">G130/G129-1</f>
        <v>-0.00724892398784549</v>
      </c>
      <c r="I130" s="91" t="n">
        <f aca="false">(1+H130)*I129</f>
        <v>1018120.78923968</v>
      </c>
      <c r="J130" s="34" t="n">
        <f aca="false">I130/$I$3 -1</f>
        <v>0.0181207892396813</v>
      </c>
      <c r="K130" s="0" t="n">
        <f aca="false">IF(ISBLANK(A131),MONTH(A130),IF(MONTH(A131)-MONTH(A130)=1,MONTH(A130),0))</f>
        <v>0</v>
      </c>
    </row>
    <row r="131" customFormat="false" ht="13.8" hidden="false" customHeight="false" outlineLevel="0" collapsed="false">
      <c r="A131" s="6" t="n">
        <v>38904</v>
      </c>
      <c r="B131" s="0" t="n">
        <v>1270.58</v>
      </c>
      <c r="C131" s="0" t="n">
        <v>1278.32</v>
      </c>
      <c r="D131" s="0" t="n">
        <v>1270.58</v>
      </c>
      <c r="E131" s="0" t="n">
        <v>1274.08</v>
      </c>
      <c r="F131" s="0" t="n">
        <v>2009160000</v>
      </c>
      <c r="G131" s="0" t="n">
        <v>1274.08</v>
      </c>
      <c r="H131" s="34" t="n">
        <f aca="false">G131/G130-1</f>
        <v>0.00249427575516736</v>
      </c>
      <c r="I131" s="91" t="n">
        <f aca="false">(1+H131)*I130</f>
        <v>1020660.26324011</v>
      </c>
      <c r="J131" s="34" t="n">
        <f aca="false">I131/$I$3 -1</f>
        <v>0.0206602632401136</v>
      </c>
      <c r="K131" s="0" t="n">
        <f aca="false">IF(ISBLANK(A132),MONTH(A131),IF(MONTH(A132)-MONTH(A131)=1,MONTH(A131),0))</f>
        <v>0</v>
      </c>
    </row>
    <row r="132" customFormat="false" ht="13.8" hidden="false" customHeight="false" outlineLevel="0" collapsed="false">
      <c r="A132" s="6" t="n">
        <v>38905</v>
      </c>
      <c r="B132" s="0" t="n">
        <v>1274.08</v>
      </c>
      <c r="C132" s="0" t="n">
        <v>1275.38</v>
      </c>
      <c r="D132" s="0" t="n">
        <v>1263.13</v>
      </c>
      <c r="E132" s="0" t="n">
        <v>1265.48</v>
      </c>
      <c r="F132" s="0" t="n">
        <v>1988150000</v>
      </c>
      <c r="G132" s="0" t="n">
        <v>1265.48</v>
      </c>
      <c r="H132" s="34" t="n">
        <f aca="false">G132/G131-1</f>
        <v>-0.00674996860479715</v>
      </c>
      <c r="I132" s="91" t="n">
        <f aca="false">(1+H132)*I131</f>
        <v>1013770.83850708</v>
      </c>
      <c r="J132" s="34" t="n">
        <f aca="false">I132/$I$3 -1</f>
        <v>0.0137708385070787</v>
      </c>
      <c r="K132" s="0" t="n">
        <f aca="false">IF(ISBLANK(A133),MONTH(A132),IF(MONTH(A133)-MONTH(A132)=1,MONTH(A132),0))</f>
        <v>0</v>
      </c>
    </row>
    <row r="133" customFormat="false" ht="13.8" hidden="false" customHeight="false" outlineLevel="0" collapsed="false">
      <c r="A133" s="6" t="n">
        <v>38908</v>
      </c>
      <c r="B133" s="0" t="n">
        <v>1265.46</v>
      </c>
      <c r="C133" s="0" t="n">
        <v>1274.06</v>
      </c>
      <c r="D133" s="0" t="n">
        <v>1264.46</v>
      </c>
      <c r="E133" s="0" t="n">
        <v>1267.34</v>
      </c>
      <c r="F133" s="0" t="n">
        <v>1854590000</v>
      </c>
      <c r="G133" s="0" t="n">
        <v>1267.34</v>
      </c>
      <c r="H133" s="34" t="n">
        <f aca="false">G133/G132-1</f>
        <v>0.00146979802130409</v>
      </c>
      <c r="I133" s="91" t="n">
        <f aca="false">(1+H133)*I132</f>
        <v>1015260.87687957</v>
      </c>
      <c r="J133" s="34" t="n">
        <f aca="false">I133/$I$3 -1</f>
        <v>0.0152608768795723</v>
      </c>
      <c r="K133" s="0" t="n">
        <f aca="false">IF(ISBLANK(A134),MONTH(A133),IF(MONTH(A134)-MONTH(A133)=1,MONTH(A133),0))</f>
        <v>0</v>
      </c>
    </row>
    <row r="134" customFormat="false" ht="13.8" hidden="false" customHeight="false" outlineLevel="0" collapsed="false">
      <c r="A134" s="6" t="n">
        <v>38909</v>
      </c>
      <c r="B134" s="0" t="n">
        <v>1267.26</v>
      </c>
      <c r="C134" s="0" t="n">
        <v>1273.64</v>
      </c>
      <c r="D134" s="0" t="n">
        <v>1259.65</v>
      </c>
      <c r="E134" s="0" t="n">
        <v>1272.43</v>
      </c>
      <c r="F134" s="0" t="n">
        <v>2310850000</v>
      </c>
      <c r="G134" s="0" t="n">
        <v>1272.43</v>
      </c>
      <c r="H134" s="34" t="n">
        <f aca="false">G134/G133-1</f>
        <v>0.00401628607950522</v>
      </c>
      <c r="I134" s="91" t="n">
        <f aca="false">(1+H134)*I133</f>
        <v>1019338.45500645</v>
      </c>
      <c r="J134" s="34" t="n">
        <f aca="false">I134/$I$3 -1</f>
        <v>0.0193384550064499</v>
      </c>
      <c r="K134" s="0" t="n">
        <f aca="false">IF(ISBLANK(A135),MONTH(A134),IF(MONTH(A135)-MONTH(A134)=1,MONTH(A134),0))</f>
        <v>0</v>
      </c>
    </row>
    <row r="135" customFormat="false" ht="13.8" hidden="false" customHeight="false" outlineLevel="0" collapsed="false">
      <c r="A135" s="6" t="n">
        <v>38910</v>
      </c>
      <c r="B135" s="0" t="n">
        <v>1272.39</v>
      </c>
      <c r="C135" s="0" t="n">
        <v>1273.31</v>
      </c>
      <c r="D135" s="0" t="n">
        <v>1257.29</v>
      </c>
      <c r="E135" s="0" t="n">
        <v>1258.6</v>
      </c>
      <c r="F135" s="0" t="n">
        <v>2250450000</v>
      </c>
      <c r="G135" s="0" t="n">
        <v>1258.6</v>
      </c>
      <c r="H135" s="34" t="n">
        <f aca="false">G135/G134-1</f>
        <v>-0.0108689672516368</v>
      </c>
      <c r="I135" s="91" t="n">
        <f aca="false">(1+H135)*I134</f>
        <v>1008259.29872065</v>
      </c>
      <c r="J135" s="34" t="n">
        <f aca="false">I135/$I$3 -1</f>
        <v>0.0082592987206509</v>
      </c>
      <c r="K135" s="0" t="n">
        <f aca="false">IF(ISBLANK(A136),MONTH(A135),IF(MONTH(A136)-MONTH(A135)=1,MONTH(A135),0))</f>
        <v>0</v>
      </c>
    </row>
    <row r="136" customFormat="false" ht="13.8" hidden="false" customHeight="false" outlineLevel="0" collapsed="false">
      <c r="A136" s="6" t="n">
        <v>38911</v>
      </c>
      <c r="B136" s="0" t="n">
        <v>1258.58</v>
      </c>
      <c r="C136" s="0" t="n">
        <v>1258.58</v>
      </c>
      <c r="D136" s="0" t="n">
        <v>1241.43</v>
      </c>
      <c r="E136" s="0" t="n">
        <v>1242.28</v>
      </c>
      <c r="F136" s="0" t="n">
        <v>2545760000</v>
      </c>
      <c r="G136" s="0" t="n">
        <v>1242.28</v>
      </c>
      <c r="H136" s="34" t="n">
        <f aca="false">G136/G135-1</f>
        <v>-0.0129667884951533</v>
      </c>
      <c r="I136" s="91" t="n">
        <f aca="false">(1+H136)*I135</f>
        <v>995185.413645869</v>
      </c>
      <c r="J136" s="34" t="n">
        <f aca="false">I136/$I$3 -1</f>
        <v>-0.00481458635413146</v>
      </c>
      <c r="K136" s="0" t="n">
        <f aca="false">IF(ISBLANK(A137),MONTH(A136),IF(MONTH(A137)-MONTH(A136)=1,MONTH(A136),0))</f>
        <v>0</v>
      </c>
    </row>
    <row r="137" customFormat="false" ht="13.8" hidden="false" customHeight="false" outlineLevel="0" collapsed="false">
      <c r="A137" s="6" t="n">
        <v>38912</v>
      </c>
      <c r="B137" s="0" t="n">
        <v>1242.29</v>
      </c>
      <c r="C137" s="0" t="n">
        <v>1242.7</v>
      </c>
      <c r="D137" s="0" t="n">
        <v>1228.45</v>
      </c>
      <c r="E137" s="0" t="n">
        <v>1236.2</v>
      </c>
      <c r="F137" s="0" t="n">
        <v>2467120000</v>
      </c>
      <c r="G137" s="0" t="n">
        <v>1236.2</v>
      </c>
      <c r="H137" s="34" t="n">
        <f aca="false">G137/G136-1</f>
        <v>-0.00489422674437323</v>
      </c>
      <c r="I137" s="91" t="n">
        <f aca="false">(1+H137)*I136</f>
        <v>990314.750578793</v>
      </c>
      <c r="J137" s="34" t="n">
        <f aca="false">I137/$I$3 -1</f>
        <v>-0.00968524942120719</v>
      </c>
      <c r="K137" s="0" t="n">
        <f aca="false">IF(ISBLANK(A138),MONTH(A137),IF(MONTH(A138)-MONTH(A137)=1,MONTH(A137),0))</f>
        <v>0</v>
      </c>
    </row>
    <row r="138" customFormat="false" ht="13.8" hidden="false" customHeight="false" outlineLevel="0" collapsed="false">
      <c r="A138" s="6" t="n">
        <v>38915</v>
      </c>
      <c r="B138" s="0" t="n">
        <v>1236.2</v>
      </c>
      <c r="C138" s="0" t="n">
        <v>1240.07</v>
      </c>
      <c r="D138" s="0" t="n">
        <v>1231.49</v>
      </c>
      <c r="E138" s="0" t="n">
        <v>1234.49</v>
      </c>
      <c r="F138" s="0" t="n">
        <v>2146410000</v>
      </c>
      <c r="G138" s="0" t="n">
        <v>1234.49</v>
      </c>
      <c r="H138" s="34" t="n">
        <f aca="false">G138/G137-1</f>
        <v>-0.00138327131532112</v>
      </c>
      <c r="I138" s="91" t="n">
        <f aca="false">(1+H138)*I137</f>
        <v>988944.876591178</v>
      </c>
      <c r="J138" s="34" t="n">
        <f aca="false">I138/$I$3 -1</f>
        <v>-0.0110551234088222</v>
      </c>
      <c r="K138" s="0" t="n">
        <f aca="false">IF(ISBLANK(A139),MONTH(A138),IF(MONTH(A139)-MONTH(A138)=1,MONTH(A138),0))</f>
        <v>0</v>
      </c>
    </row>
    <row r="139" customFormat="false" ht="13.8" hidden="false" customHeight="false" outlineLevel="0" collapsed="false">
      <c r="A139" s="6" t="n">
        <v>38916</v>
      </c>
      <c r="B139" s="0" t="n">
        <v>1234.48</v>
      </c>
      <c r="C139" s="0" t="n">
        <v>1239.86</v>
      </c>
      <c r="D139" s="0" t="n">
        <v>1224.54</v>
      </c>
      <c r="E139" s="0" t="n">
        <v>1236.86</v>
      </c>
      <c r="F139" s="0" t="n">
        <v>2481750000</v>
      </c>
      <c r="G139" s="0" t="n">
        <v>1236.86</v>
      </c>
      <c r="H139" s="34" t="n">
        <f aca="false">G139/G138-1</f>
        <v>0.00191982114071387</v>
      </c>
      <c r="I139" s="91" t="n">
        <f aca="false">(1+H139)*I138</f>
        <v>990843.473872258</v>
      </c>
      <c r="J139" s="34" t="n">
        <f aca="false">I139/$I$3 -1</f>
        <v>-0.00915652612774176</v>
      </c>
      <c r="K139" s="0" t="n">
        <f aca="false">IF(ISBLANK(A140),MONTH(A139),IF(MONTH(A140)-MONTH(A139)=1,MONTH(A139),0))</f>
        <v>0</v>
      </c>
    </row>
    <row r="140" customFormat="false" ht="13.8" hidden="false" customHeight="false" outlineLevel="0" collapsed="false">
      <c r="A140" s="6" t="n">
        <v>38917</v>
      </c>
      <c r="B140" s="0" t="n">
        <v>1236.74</v>
      </c>
      <c r="C140" s="0" t="n">
        <v>1261.81</v>
      </c>
      <c r="D140" s="0" t="n">
        <v>1236.74</v>
      </c>
      <c r="E140" s="0" t="n">
        <v>1259.81</v>
      </c>
      <c r="F140" s="0" t="n">
        <v>2701980000</v>
      </c>
      <c r="G140" s="0" t="n">
        <v>1259.81</v>
      </c>
      <c r="H140" s="34" t="n">
        <f aca="false">G140/G139-1</f>
        <v>0.0185550506928835</v>
      </c>
      <c r="I140" s="91" t="n">
        <f aca="false">(1+H140)*I139</f>
        <v>1009228.62475867</v>
      </c>
      <c r="J140" s="34" t="n">
        <f aca="false">I140/$I$3 -1</f>
        <v>0.00922862475867081</v>
      </c>
      <c r="K140" s="0" t="n">
        <f aca="false">IF(ISBLANK(A141),MONTH(A140),IF(MONTH(A141)-MONTH(A140)=1,MONTH(A140),0))</f>
        <v>0</v>
      </c>
    </row>
    <row r="141" customFormat="false" ht="13.8" hidden="false" customHeight="false" outlineLevel="0" collapsed="false">
      <c r="A141" s="6" t="n">
        <v>38918</v>
      </c>
      <c r="B141" s="0" t="n">
        <v>1259.81</v>
      </c>
      <c r="C141" s="0" t="n">
        <v>1262.56</v>
      </c>
      <c r="D141" s="0" t="n">
        <v>1249.13</v>
      </c>
      <c r="E141" s="0" t="n">
        <v>1249.13</v>
      </c>
      <c r="F141" s="0" t="n">
        <v>2345580000</v>
      </c>
      <c r="G141" s="0" t="n">
        <v>1249.13</v>
      </c>
      <c r="H141" s="34" t="n">
        <f aca="false">G141/G140-1</f>
        <v>-0.00847746882466394</v>
      </c>
      <c r="I141" s="91" t="n">
        <f aca="false">(1+H141)*I140</f>
        <v>1000672.92055532</v>
      </c>
      <c r="J141" s="34" t="n">
        <f aca="false">I141/$I$3 -1</f>
        <v>0.000672920555320644</v>
      </c>
      <c r="K141" s="0" t="n">
        <f aca="false">IF(ISBLANK(A142),MONTH(A141),IF(MONTH(A142)-MONTH(A141)=1,MONTH(A141),0))</f>
        <v>0</v>
      </c>
    </row>
    <row r="142" customFormat="false" ht="13.8" hidden="false" customHeight="false" outlineLevel="0" collapsed="false">
      <c r="A142" s="6" t="n">
        <v>38919</v>
      </c>
      <c r="B142" s="0" t="n">
        <v>1249.12</v>
      </c>
      <c r="C142" s="0" t="n">
        <v>1250.96</v>
      </c>
      <c r="D142" s="0" t="n">
        <v>1238.72</v>
      </c>
      <c r="E142" s="0" t="n">
        <v>1240.29</v>
      </c>
      <c r="F142" s="0" t="n">
        <v>2704090000</v>
      </c>
      <c r="G142" s="0" t="n">
        <v>1240.29</v>
      </c>
      <c r="H142" s="34" t="n">
        <f aca="false">G142/G141-1</f>
        <v>-0.00707692554017603</v>
      </c>
      <c r="I142" s="91" t="n">
        <f aca="false">(1+H142)*I141</f>
        <v>993591.23280648</v>
      </c>
      <c r="J142" s="34" t="n">
        <f aca="false">I142/$I$3 -1</f>
        <v>-0.00640876719351979</v>
      </c>
      <c r="K142" s="0" t="n">
        <f aca="false">IF(ISBLANK(A143),MONTH(A142),IF(MONTH(A143)-MONTH(A142)=1,MONTH(A142),0))</f>
        <v>0</v>
      </c>
    </row>
    <row r="143" customFormat="false" ht="13.8" hidden="false" customHeight="false" outlineLevel="0" collapsed="false">
      <c r="A143" s="6" t="n">
        <v>38922</v>
      </c>
      <c r="B143" s="0" t="n">
        <v>1240.25</v>
      </c>
      <c r="C143" s="0" t="n">
        <v>1262.5</v>
      </c>
      <c r="D143" s="0" t="n">
        <v>1240.25</v>
      </c>
      <c r="E143" s="0" t="n">
        <v>1260.91</v>
      </c>
      <c r="F143" s="0" t="n">
        <v>2312720000</v>
      </c>
      <c r="G143" s="0" t="n">
        <v>1260.91</v>
      </c>
      <c r="H143" s="34" t="n">
        <f aca="false">G143/G142-1</f>
        <v>0.0166251441195204</v>
      </c>
      <c r="I143" s="91" t="n">
        <f aca="false">(1+H143)*I142</f>
        <v>1010109.83024778</v>
      </c>
      <c r="J143" s="34" t="n">
        <f aca="false">I143/$I$3 -1</f>
        <v>0.01010983024778</v>
      </c>
      <c r="K143" s="0" t="n">
        <f aca="false">IF(ISBLANK(A144),MONTH(A143),IF(MONTH(A144)-MONTH(A143)=1,MONTH(A143),0))</f>
        <v>0</v>
      </c>
    </row>
    <row r="144" customFormat="false" ht="13.8" hidden="false" customHeight="false" outlineLevel="0" collapsed="false">
      <c r="A144" s="6" t="n">
        <v>38923</v>
      </c>
      <c r="B144" s="0" t="n">
        <v>1260.91</v>
      </c>
      <c r="C144" s="0" t="n">
        <v>1272.39</v>
      </c>
      <c r="D144" s="0" t="n">
        <v>1257.19</v>
      </c>
      <c r="E144" s="0" t="n">
        <v>1268.88</v>
      </c>
      <c r="F144" s="0" t="n">
        <v>2563930000</v>
      </c>
      <c r="G144" s="0" t="n">
        <v>1268.88</v>
      </c>
      <c r="H144" s="34" t="n">
        <f aca="false">G144/G143-1</f>
        <v>0.00632083178022214</v>
      </c>
      <c r="I144" s="91" t="n">
        <f aca="false">(1+H144)*I143</f>
        <v>1016494.56456432</v>
      </c>
      <c r="J144" s="34" t="n">
        <f aca="false">I144/$I$3 -1</f>
        <v>0.0164945645643249</v>
      </c>
      <c r="K144" s="0" t="n">
        <f aca="false">IF(ISBLANK(A145),MONTH(A144),IF(MONTH(A145)-MONTH(A144)=1,MONTH(A144),0))</f>
        <v>0</v>
      </c>
    </row>
    <row r="145" customFormat="false" ht="13.8" hidden="false" customHeight="false" outlineLevel="0" collapsed="false">
      <c r="A145" s="6" t="n">
        <v>38924</v>
      </c>
      <c r="B145" s="0" t="n">
        <v>1268.87</v>
      </c>
      <c r="C145" s="0" t="n">
        <v>1273.89</v>
      </c>
      <c r="D145" s="0" t="n">
        <v>1261.94</v>
      </c>
      <c r="E145" s="0" t="n">
        <v>1268.4</v>
      </c>
      <c r="F145" s="0" t="n">
        <v>2667710000</v>
      </c>
      <c r="G145" s="0" t="n">
        <v>1268.4</v>
      </c>
      <c r="H145" s="34" t="n">
        <f aca="false">G145/G144-1</f>
        <v>-0.000378286362776592</v>
      </c>
      <c r="I145" s="91" t="n">
        <f aca="false">(1+H145)*I144</f>
        <v>1016110.03853271</v>
      </c>
      <c r="J145" s="34" t="n">
        <f aca="false">I145/$I$3 -1</f>
        <v>0.0161100385327138</v>
      </c>
      <c r="K145" s="0" t="n">
        <f aca="false">IF(ISBLANK(A146),MONTH(A145),IF(MONTH(A146)-MONTH(A145)=1,MONTH(A145),0))</f>
        <v>0</v>
      </c>
    </row>
    <row r="146" customFormat="false" ht="13.8" hidden="false" customHeight="false" outlineLevel="0" collapsed="false">
      <c r="A146" s="6" t="n">
        <v>38925</v>
      </c>
      <c r="B146" s="0" t="n">
        <v>1268.2</v>
      </c>
      <c r="C146" s="0" t="n">
        <v>1275.85</v>
      </c>
      <c r="D146" s="0" t="n">
        <v>1261.92</v>
      </c>
      <c r="E146" s="0" t="n">
        <v>1263.2</v>
      </c>
      <c r="F146" s="0" t="n">
        <v>2776710000</v>
      </c>
      <c r="G146" s="0" t="n">
        <v>1263.2</v>
      </c>
      <c r="H146" s="34" t="n">
        <f aca="false">G146/G145-1</f>
        <v>-0.00409965310627569</v>
      </c>
      <c r="I146" s="91" t="n">
        <f aca="false">(1+H146)*I145</f>
        <v>1011944.33985693</v>
      </c>
      <c r="J146" s="34" t="n">
        <f aca="false">I146/$I$3 -1</f>
        <v>0.011944339856925</v>
      </c>
      <c r="K146" s="0" t="n">
        <f aca="false">IF(ISBLANK(A147),MONTH(A146),IF(MONTH(A147)-MONTH(A146)=1,MONTH(A146),0))</f>
        <v>0</v>
      </c>
    </row>
    <row r="147" customFormat="false" ht="13.8" hidden="false" customHeight="false" outlineLevel="0" collapsed="false">
      <c r="A147" s="6" t="n">
        <v>38926</v>
      </c>
      <c r="B147" s="0" t="n">
        <v>1263.15</v>
      </c>
      <c r="C147" s="0" t="n">
        <v>1280.42</v>
      </c>
      <c r="D147" s="0" t="n">
        <v>1263.15</v>
      </c>
      <c r="E147" s="0" t="n">
        <v>1278.55</v>
      </c>
      <c r="F147" s="0" t="n">
        <v>2480420000</v>
      </c>
      <c r="G147" s="0" t="n">
        <v>1278.55</v>
      </c>
      <c r="H147" s="34" t="n">
        <f aca="false">G147/G146-1</f>
        <v>0.0121516782773907</v>
      </c>
      <c r="I147" s="91" t="n">
        <f aca="false">(1+H147)*I146</f>
        <v>1024241.16190949</v>
      </c>
      <c r="J147" s="34" t="n">
        <f aca="false">I147/$I$3 -1</f>
        <v>0.0242411619094929</v>
      </c>
      <c r="K147" s="0" t="n">
        <f aca="false">IF(ISBLANK(A148),MONTH(A147),IF(MONTH(A148)-MONTH(A147)=1,MONTH(A147),0))</f>
        <v>0</v>
      </c>
    </row>
    <row r="148" customFormat="false" ht="13.8" hidden="false" customHeight="false" outlineLevel="0" collapsed="false">
      <c r="A148" s="6" t="n">
        <v>38929</v>
      </c>
      <c r="B148" s="0" t="n">
        <v>1278.53</v>
      </c>
      <c r="C148" s="0" t="n">
        <v>1278.66</v>
      </c>
      <c r="D148" s="0" t="n">
        <v>1274.31</v>
      </c>
      <c r="E148" s="0" t="n">
        <v>1276.66</v>
      </c>
      <c r="F148" s="0" t="n">
        <v>2461300000</v>
      </c>
      <c r="G148" s="0" t="n">
        <v>1276.66</v>
      </c>
      <c r="H148" s="34" t="n">
        <f aca="false">G148/G147-1</f>
        <v>-0.0014782370654256</v>
      </c>
      <c r="I148" s="91" t="n">
        <f aca="false">(1+H148)*I147</f>
        <v>1022727.09066002</v>
      </c>
      <c r="J148" s="34" t="n">
        <f aca="false">I148/$I$3 -1</f>
        <v>0.0227270906600237</v>
      </c>
      <c r="K148" s="0" t="n">
        <f aca="false">IF(ISBLANK(A149),MONTH(A148),IF(MONTH(A149)-MONTH(A148)=1,MONTH(A148),0))</f>
        <v>7</v>
      </c>
    </row>
    <row r="149" customFormat="false" ht="13.8" hidden="false" customHeight="false" outlineLevel="0" collapsed="false">
      <c r="A149" s="6" t="n">
        <v>38930</v>
      </c>
      <c r="B149" s="0" t="n">
        <v>1278.53</v>
      </c>
      <c r="C149" s="0" t="n">
        <v>1278.66</v>
      </c>
      <c r="D149" s="0" t="n">
        <v>1265.71</v>
      </c>
      <c r="E149" s="0" t="n">
        <v>1270.92</v>
      </c>
      <c r="F149" s="0" t="n">
        <v>2527690000</v>
      </c>
      <c r="G149" s="0" t="n">
        <v>1270.92</v>
      </c>
      <c r="H149" s="34" t="n">
        <f aca="false">G149/G148-1</f>
        <v>-0.0044961070292795</v>
      </c>
      <c r="I149" s="91" t="n">
        <f aca="false">(1+H149)*I148</f>
        <v>1018128.80019867</v>
      </c>
      <c r="J149" s="34" t="n">
        <f aca="false">I149/$I$3 -1</f>
        <v>0.0181288001986726</v>
      </c>
      <c r="K149" s="0" t="n">
        <f aca="false">IF(ISBLANK(A150),MONTH(A149),IF(MONTH(A150)-MONTH(A149)=1,MONTH(A149),0))</f>
        <v>0</v>
      </c>
    </row>
    <row r="150" customFormat="false" ht="13.8" hidden="false" customHeight="false" outlineLevel="0" collapsed="false">
      <c r="A150" s="6" t="n">
        <v>38931</v>
      </c>
      <c r="B150" s="0" t="n">
        <v>1270.73</v>
      </c>
      <c r="C150" s="0" t="n">
        <v>1283.42</v>
      </c>
      <c r="D150" s="0" t="n">
        <v>1270.73</v>
      </c>
      <c r="E150" s="0" t="n">
        <v>1277.41</v>
      </c>
      <c r="F150" s="0" t="n">
        <v>2610750000</v>
      </c>
      <c r="G150" s="0" t="n">
        <v>1277.41</v>
      </c>
      <c r="H150" s="34" t="n">
        <f aca="false">G150/G149-1</f>
        <v>0.00510653699682129</v>
      </c>
      <c r="I150" s="91" t="n">
        <f aca="false">(1+H150)*I149</f>
        <v>1023327.91258442</v>
      </c>
      <c r="J150" s="34" t="n">
        <f aca="false">I150/$I$3 -1</f>
        <v>0.0233279125844164</v>
      </c>
      <c r="K150" s="0" t="n">
        <f aca="false">IF(ISBLANK(A151),MONTH(A150),IF(MONTH(A151)-MONTH(A150)=1,MONTH(A150),0))</f>
        <v>0</v>
      </c>
    </row>
    <row r="151" customFormat="false" ht="13.8" hidden="false" customHeight="false" outlineLevel="0" collapsed="false">
      <c r="A151" s="6" t="n">
        <v>38932</v>
      </c>
      <c r="B151" s="0" t="n">
        <v>1278.22</v>
      </c>
      <c r="C151" s="0" t="n">
        <v>1283.96</v>
      </c>
      <c r="D151" s="0" t="n">
        <v>1271.25</v>
      </c>
      <c r="E151" s="0" t="n">
        <v>1280.27</v>
      </c>
      <c r="F151" s="0" t="n">
        <v>2728440000</v>
      </c>
      <c r="G151" s="0" t="n">
        <v>1280.27</v>
      </c>
      <c r="H151" s="34" t="n">
        <f aca="false">G151/G150-1</f>
        <v>0.00223890528491233</v>
      </c>
      <c r="I151" s="91" t="n">
        <f aca="false">(1+H151)*I150</f>
        <v>1025619.0468561</v>
      </c>
      <c r="J151" s="34" t="n">
        <f aca="false">I151/$I$3 -1</f>
        <v>0.0256190468560999</v>
      </c>
      <c r="K151" s="0" t="n">
        <f aca="false">IF(ISBLANK(A152),MONTH(A151),IF(MONTH(A152)-MONTH(A151)=1,MONTH(A151),0))</f>
        <v>0</v>
      </c>
    </row>
    <row r="152" customFormat="false" ht="13.8" hidden="false" customHeight="false" outlineLevel="0" collapsed="false">
      <c r="A152" s="6" t="n">
        <v>38933</v>
      </c>
      <c r="B152" s="0" t="n">
        <v>1280.26</v>
      </c>
      <c r="C152" s="0" t="n">
        <v>1292.92</v>
      </c>
      <c r="D152" s="0" t="n">
        <v>1273.82</v>
      </c>
      <c r="E152" s="0" t="n">
        <v>1279.36</v>
      </c>
      <c r="F152" s="0" t="n">
        <v>2530970000</v>
      </c>
      <c r="G152" s="0" t="n">
        <v>1279.36</v>
      </c>
      <c r="H152" s="34" t="n">
        <f aca="false">G152/G151-1</f>
        <v>-0.000710787568247384</v>
      </c>
      <c r="I152" s="91" t="n">
        <f aca="false">(1+H152)*I151</f>
        <v>1024890.04958784</v>
      </c>
      <c r="J152" s="34" t="n">
        <f aca="false">I152/$I$3 -1</f>
        <v>0.024890049587837</v>
      </c>
      <c r="K152" s="0" t="n">
        <f aca="false">IF(ISBLANK(A153),MONTH(A152),IF(MONTH(A153)-MONTH(A152)=1,MONTH(A152),0))</f>
        <v>0</v>
      </c>
    </row>
    <row r="153" customFormat="false" ht="13.8" hidden="false" customHeight="false" outlineLevel="0" collapsed="false">
      <c r="A153" s="6" t="n">
        <v>38936</v>
      </c>
      <c r="B153" s="0" t="n">
        <v>1279.31</v>
      </c>
      <c r="C153" s="0" t="n">
        <v>1279.31</v>
      </c>
      <c r="D153" s="0" t="n">
        <v>1273</v>
      </c>
      <c r="E153" s="0" t="n">
        <v>1275.77</v>
      </c>
      <c r="F153" s="0" t="n">
        <v>2045660000</v>
      </c>
      <c r="G153" s="0" t="n">
        <v>1275.77</v>
      </c>
      <c r="H153" s="34" t="n">
        <f aca="false">G153/G152-1</f>
        <v>-0.00280609054527259</v>
      </c>
      <c r="I153" s="91" t="n">
        <f aca="false">(1+H153)*I152</f>
        <v>1022014.11530974</v>
      </c>
      <c r="J153" s="34" t="n">
        <f aca="false">I153/$I$3 -1</f>
        <v>0.0220141153097446</v>
      </c>
      <c r="K153" s="0" t="n">
        <f aca="false">IF(ISBLANK(A154),MONTH(A153),IF(MONTH(A154)-MONTH(A153)=1,MONTH(A153),0))</f>
        <v>0</v>
      </c>
    </row>
    <row r="154" customFormat="false" ht="13.8" hidden="false" customHeight="false" outlineLevel="0" collapsed="false">
      <c r="A154" s="6" t="n">
        <v>38937</v>
      </c>
      <c r="B154" s="0" t="n">
        <v>1275.67</v>
      </c>
      <c r="C154" s="0" t="n">
        <v>1282.75</v>
      </c>
      <c r="D154" s="0" t="n">
        <v>1268.37</v>
      </c>
      <c r="E154" s="0" t="n">
        <v>1271.48</v>
      </c>
      <c r="F154" s="0" t="n">
        <v>2457840000</v>
      </c>
      <c r="G154" s="0" t="n">
        <v>1271.48</v>
      </c>
      <c r="H154" s="34" t="n">
        <f aca="false">G154/G153-1</f>
        <v>-0.00336267509033761</v>
      </c>
      <c r="I154" s="91" t="n">
        <f aca="false">(1+H154)*I153</f>
        <v>1018577.41390222</v>
      </c>
      <c r="J154" s="34" t="n">
        <f aca="false">I154/$I$3 -1</f>
        <v>0.0185774139022192</v>
      </c>
      <c r="K154" s="0" t="n">
        <f aca="false">IF(ISBLANK(A155),MONTH(A154),IF(MONTH(A155)-MONTH(A154)=1,MONTH(A154),0))</f>
        <v>0</v>
      </c>
    </row>
    <row r="155" customFormat="false" ht="13.8" hidden="false" customHeight="false" outlineLevel="0" collapsed="false">
      <c r="A155" s="6" t="n">
        <v>38938</v>
      </c>
      <c r="B155" s="0" t="n">
        <v>1271.13</v>
      </c>
      <c r="C155" s="0" t="n">
        <v>1283.74</v>
      </c>
      <c r="D155" s="0" t="n">
        <v>1264.73</v>
      </c>
      <c r="E155" s="0" t="n">
        <v>1265.95</v>
      </c>
      <c r="F155" s="0" t="n">
        <v>2555180000</v>
      </c>
      <c r="G155" s="0" t="n">
        <v>1265.95</v>
      </c>
      <c r="H155" s="34" t="n">
        <f aca="false">G155/G154-1</f>
        <v>-0.00434926227703147</v>
      </c>
      <c r="I155" s="91" t="n">
        <f aca="false">(1+H155)*I154</f>
        <v>1014147.3535797</v>
      </c>
      <c r="J155" s="34" t="n">
        <f aca="false">I155/$I$3 -1</f>
        <v>0.0141473535796981</v>
      </c>
      <c r="K155" s="0" t="n">
        <f aca="false">IF(ISBLANK(A156),MONTH(A155),IF(MONTH(A156)-MONTH(A155)=1,MONTH(A155),0))</f>
        <v>0</v>
      </c>
    </row>
    <row r="156" customFormat="false" ht="13.8" hidden="false" customHeight="false" outlineLevel="0" collapsed="false">
      <c r="A156" s="6" t="n">
        <v>38939</v>
      </c>
      <c r="B156" s="0" t="n">
        <v>1265.72</v>
      </c>
      <c r="C156" s="0" t="n">
        <v>1272.55</v>
      </c>
      <c r="D156" s="0" t="n">
        <v>1261.3</v>
      </c>
      <c r="E156" s="0" t="n">
        <v>1271.81</v>
      </c>
      <c r="F156" s="0" t="n">
        <v>2402190000</v>
      </c>
      <c r="G156" s="0" t="n">
        <v>1271.81</v>
      </c>
      <c r="H156" s="34" t="n">
        <f aca="false">G156/G155-1</f>
        <v>0.0046289347920534</v>
      </c>
      <c r="I156" s="91" t="n">
        <f aca="false">(1+H156)*I155</f>
        <v>1018841.77554895</v>
      </c>
      <c r="J156" s="34" t="n">
        <f aca="false">I156/$I$3 -1</f>
        <v>0.0188417755489518</v>
      </c>
      <c r="K156" s="0" t="n">
        <f aca="false">IF(ISBLANK(A157),MONTH(A156),IF(MONTH(A157)-MONTH(A156)=1,MONTH(A156),0))</f>
        <v>0</v>
      </c>
    </row>
    <row r="157" customFormat="false" ht="13.8" hidden="false" customHeight="false" outlineLevel="0" collapsed="false">
      <c r="A157" s="6" t="n">
        <v>38940</v>
      </c>
      <c r="B157" s="0" t="n">
        <v>1271.64</v>
      </c>
      <c r="C157" s="0" t="n">
        <v>1271.64</v>
      </c>
      <c r="D157" s="0" t="n">
        <v>1262.08</v>
      </c>
      <c r="E157" s="0" t="n">
        <v>1266.74</v>
      </c>
      <c r="F157" s="0" t="n">
        <v>2004540000</v>
      </c>
      <c r="G157" s="0" t="n">
        <v>1266.74</v>
      </c>
      <c r="H157" s="34" t="n">
        <f aca="false">G157/G156-1</f>
        <v>-0.00398644451608332</v>
      </c>
      <c r="I157" s="91" t="n">
        <f aca="false">(1+H157)*I156</f>
        <v>1014780.21934006</v>
      </c>
      <c r="J157" s="34" t="n">
        <f aca="false">I157/$I$3 -1</f>
        <v>0.0147802193400584</v>
      </c>
      <c r="K157" s="0" t="n">
        <f aca="false">IF(ISBLANK(A158),MONTH(A157),IF(MONTH(A158)-MONTH(A157)=1,MONTH(A157),0))</f>
        <v>0</v>
      </c>
    </row>
    <row r="158" customFormat="false" ht="13.8" hidden="false" customHeight="false" outlineLevel="0" collapsed="false">
      <c r="A158" s="6" t="n">
        <v>38943</v>
      </c>
      <c r="B158" s="0" t="n">
        <v>1266.67</v>
      </c>
      <c r="C158" s="0" t="n">
        <v>1278.9</v>
      </c>
      <c r="D158" s="0" t="n">
        <v>1266.67</v>
      </c>
      <c r="E158" s="0" t="n">
        <v>1268.21</v>
      </c>
      <c r="F158" s="0" t="n">
        <v>2118020000</v>
      </c>
      <c r="G158" s="0" t="n">
        <v>1268.21</v>
      </c>
      <c r="H158" s="34" t="n">
        <f aca="false">G158/G157-1</f>
        <v>0.00116045913131346</v>
      </c>
      <c r="I158" s="91" t="n">
        <f aca="false">(1+H158)*I157</f>
        <v>1015957.83031187</v>
      </c>
      <c r="J158" s="34" t="n">
        <f aca="false">I158/$I$3 -1</f>
        <v>0.0159578303118677</v>
      </c>
      <c r="K158" s="0" t="n">
        <f aca="false">IF(ISBLANK(A159),MONTH(A158),IF(MONTH(A159)-MONTH(A158)=1,MONTH(A158),0))</f>
        <v>0</v>
      </c>
    </row>
    <row r="159" customFormat="false" ht="13.8" hidden="false" customHeight="false" outlineLevel="0" collapsed="false">
      <c r="A159" s="6" t="n">
        <v>38944</v>
      </c>
      <c r="B159" s="0" t="n">
        <v>1268.19</v>
      </c>
      <c r="C159" s="0" t="n">
        <v>1286.23</v>
      </c>
      <c r="D159" s="0" t="n">
        <v>1268.19</v>
      </c>
      <c r="E159" s="0" t="n">
        <v>1285.58</v>
      </c>
      <c r="F159" s="0" t="n">
        <v>2334100000</v>
      </c>
      <c r="G159" s="0" t="n">
        <v>1285.58</v>
      </c>
      <c r="H159" s="34" t="n">
        <f aca="false">G159/G158-1</f>
        <v>0.0136964698275521</v>
      </c>
      <c r="I159" s="91" t="n">
        <f aca="false">(1+H159)*I158</f>
        <v>1029872.8660808</v>
      </c>
      <c r="J159" s="34" t="n">
        <f aca="false">I159/$I$3 -1</f>
        <v>0.0298728660807996</v>
      </c>
      <c r="K159" s="0" t="n">
        <f aca="false">IF(ISBLANK(A160),MONTH(A159),IF(MONTH(A160)-MONTH(A159)=1,MONTH(A159),0))</f>
        <v>0</v>
      </c>
    </row>
    <row r="160" customFormat="false" ht="13.8" hidden="false" customHeight="false" outlineLevel="0" collapsed="false">
      <c r="A160" s="6" t="n">
        <v>38945</v>
      </c>
      <c r="B160" s="0" t="n">
        <v>1285.27</v>
      </c>
      <c r="C160" s="0" t="n">
        <v>1296.21</v>
      </c>
      <c r="D160" s="0" t="n">
        <v>1285.27</v>
      </c>
      <c r="E160" s="0" t="n">
        <v>1295.43</v>
      </c>
      <c r="F160" s="0" t="n">
        <v>2554570000</v>
      </c>
      <c r="G160" s="0" t="n">
        <v>1295.43</v>
      </c>
      <c r="H160" s="34" t="n">
        <f aca="false">G160/G159-1</f>
        <v>0.00766191135518612</v>
      </c>
      <c r="I160" s="91" t="n">
        <f aca="false">(1+H160)*I159</f>
        <v>1037763.66068782</v>
      </c>
      <c r="J160" s="34" t="n">
        <f aca="false">I160/$I$3 -1</f>
        <v>0.0377636606878222</v>
      </c>
      <c r="K160" s="0" t="n">
        <f aca="false">IF(ISBLANK(A161),MONTH(A160),IF(MONTH(A161)-MONTH(A160)=1,MONTH(A160),0))</f>
        <v>0</v>
      </c>
    </row>
    <row r="161" customFormat="false" ht="13.8" hidden="false" customHeight="false" outlineLevel="0" collapsed="false">
      <c r="A161" s="6" t="n">
        <v>38946</v>
      </c>
      <c r="B161" s="0" t="n">
        <v>1295.37</v>
      </c>
      <c r="C161" s="0" t="n">
        <v>1300.78</v>
      </c>
      <c r="D161" s="0" t="n">
        <v>1292.71</v>
      </c>
      <c r="E161" s="0" t="n">
        <v>1297.48</v>
      </c>
      <c r="F161" s="0" t="n">
        <v>2458340000</v>
      </c>
      <c r="G161" s="0" t="n">
        <v>1297.48</v>
      </c>
      <c r="H161" s="34" t="n">
        <f aca="false">G161/G160-1</f>
        <v>0.00158248612429857</v>
      </c>
      <c r="I161" s="91" t="n">
        <f aca="false">(1+H161)*I160</f>
        <v>1039405.90728116</v>
      </c>
      <c r="J161" s="34" t="n">
        <f aca="false">I161/$I$3 -1</f>
        <v>0.0394059072811619</v>
      </c>
      <c r="K161" s="0" t="n">
        <f aca="false">IF(ISBLANK(A162),MONTH(A161),IF(MONTH(A162)-MONTH(A161)=1,MONTH(A161),0))</f>
        <v>0</v>
      </c>
    </row>
    <row r="162" customFormat="false" ht="13.8" hidden="false" customHeight="false" outlineLevel="0" collapsed="false">
      <c r="A162" s="6" t="n">
        <v>38947</v>
      </c>
      <c r="B162" s="0" t="n">
        <v>1297.48</v>
      </c>
      <c r="C162" s="0" t="n">
        <v>1302.3</v>
      </c>
      <c r="D162" s="0" t="n">
        <v>1293.57</v>
      </c>
      <c r="E162" s="0" t="n">
        <v>1302.3</v>
      </c>
      <c r="F162" s="0" t="n">
        <v>2033910000</v>
      </c>
      <c r="G162" s="0" t="n">
        <v>1302.3</v>
      </c>
      <c r="H162" s="34" t="n">
        <f aca="false">G162/G161-1</f>
        <v>0.00371489348583398</v>
      </c>
      <c r="I162" s="91" t="n">
        <f aca="false">(1+H162)*I161</f>
        <v>1043267.18951526</v>
      </c>
      <c r="J162" s="34" t="n">
        <f aca="false">I162/$I$3 -1</f>
        <v>0.0432671895152581</v>
      </c>
      <c r="K162" s="0" t="n">
        <f aca="false">IF(ISBLANK(A163),MONTH(A162),IF(MONTH(A163)-MONTH(A162)=1,MONTH(A162),0))</f>
        <v>0</v>
      </c>
    </row>
    <row r="163" customFormat="false" ht="13.8" hidden="false" customHeight="false" outlineLevel="0" collapsed="false">
      <c r="A163" s="6" t="n">
        <v>38950</v>
      </c>
      <c r="B163" s="0" t="n">
        <v>1302.3</v>
      </c>
      <c r="C163" s="0" t="n">
        <v>1302.3</v>
      </c>
      <c r="D163" s="0" t="n">
        <v>1295.51</v>
      </c>
      <c r="E163" s="0" t="n">
        <v>1297.52</v>
      </c>
      <c r="F163" s="0" t="n">
        <v>1759240000</v>
      </c>
      <c r="G163" s="0" t="n">
        <v>1297.52</v>
      </c>
      <c r="H163" s="34" t="n">
        <f aca="false">G163/G162-1</f>
        <v>-0.00367042924057437</v>
      </c>
      <c r="I163" s="91" t="n">
        <f aca="false">(1+H163)*I162</f>
        <v>1039437.95111713</v>
      </c>
      <c r="J163" s="34" t="n">
        <f aca="false">I163/$I$3 -1</f>
        <v>0.0394379511171294</v>
      </c>
      <c r="K163" s="0" t="n">
        <f aca="false">IF(ISBLANK(A164),MONTH(A163),IF(MONTH(A164)-MONTH(A163)=1,MONTH(A163),0))</f>
        <v>0</v>
      </c>
    </row>
    <row r="164" customFormat="false" ht="13.8" hidden="false" customHeight="false" outlineLevel="0" collapsed="false">
      <c r="A164" s="6" t="n">
        <v>38951</v>
      </c>
      <c r="B164" s="0" t="n">
        <v>1297.52</v>
      </c>
      <c r="C164" s="0" t="n">
        <v>1302.49</v>
      </c>
      <c r="D164" s="0" t="n">
        <v>1294.44</v>
      </c>
      <c r="E164" s="0" t="n">
        <v>1298.82</v>
      </c>
      <c r="F164" s="0" t="n">
        <v>1908740000</v>
      </c>
      <c r="G164" s="0" t="n">
        <v>1298.82</v>
      </c>
      <c r="H164" s="34" t="n">
        <f aca="false">G164/G163-1</f>
        <v>0.00100191133855354</v>
      </c>
      <c r="I164" s="91" t="n">
        <f aca="false">(1+H164)*I163</f>
        <v>1040479.37578608</v>
      </c>
      <c r="J164" s="34" t="n">
        <f aca="false">I164/$I$3 -1</f>
        <v>0.0404793757860766</v>
      </c>
      <c r="K164" s="0" t="n">
        <f aca="false">IF(ISBLANK(A165),MONTH(A164),IF(MONTH(A165)-MONTH(A164)=1,MONTH(A164),0))</f>
        <v>0</v>
      </c>
    </row>
    <row r="165" customFormat="false" ht="13.8" hidden="false" customHeight="false" outlineLevel="0" collapsed="false">
      <c r="A165" s="6" t="n">
        <v>38952</v>
      </c>
      <c r="B165" s="0" t="n">
        <v>1298.73</v>
      </c>
      <c r="C165" s="0" t="n">
        <v>1301.5</v>
      </c>
      <c r="D165" s="0" t="n">
        <v>1289.82</v>
      </c>
      <c r="E165" s="0" t="n">
        <v>1292.99</v>
      </c>
      <c r="F165" s="0" t="n">
        <v>1893670000</v>
      </c>
      <c r="G165" s="0" t="n">
        <v>1292.99</v>
      </c>
      <c r="H165" s="34" t="n">
        <f aca="false">G165/G164-1</f>
        <v>-0.00448868973375827</v>
      </c>
      <c r="I165" s="91" t="n">
        <f aca="false">(1+H165)*I164</f>
        <v>1035808.9866938</v>
      </c>
      <c r="J165" s="34" t="n">
        <f aca="false">I165/$I$3 -1</f>
        <v>0.0358089866937983</v>
      </c>
      <c r="K165" s="0" t="n">
        <f aca="false">IF(ISBLANK(A166),MONTH(A165),IF(MONTH(A166)-MONTH(A165)=1,MONTH(A165),0))</f>
        <v>0</v>
      </c>
    </row>
    <row r="166" customFormat="false" ht="13.8" hidden="false" customHeight="false" outlineLevel="0" collapsed="false">
      <c r="A166" s="6" t="n">
        <v>38953</v>
      </c>
      <c r="B166" s="0" t="n">
        <v>1292.97</v>
      </c>
      <c r="C166" s="0" t="n">
        <v>1297.23</v>
      </c>
      <c r="D166" s="0" t="n">
        <v>1291.4</v>
      </c>
      <c r="E166" s="0" t="n">
        <v>1296.06</v>
      </c>
      <c r="F166" s="0" t="n">
        <v>1930320000</v>
      </c>
      <c r="G166" s="0" t="n">
        <v>1296.06</v>
      </c>
      <c r="H166" s="34" t="n">
        <f aca="false">G166/G165-1</f>
        <v>0.00237434164223993</v>
      </c>
      <c r="I166" s="91" t="n">
        <f aca="false">(1+H166)*I165</f>
        <v>1038268.35110431</v>
      </c>
      <c r="J166" s="34" t="n">
        <f aca="false">I166/$I$3 -1</f>
        <v>0.0382683511043118</v>
      </c>
      <c r="K166" s="0" t="n">
        <f aca="false">IF(ISBLANK(A167),MONTH(A166),IF(MONTH(A167)-MONTH(A166)=1,MONTH(A166),0))</f>
        <v>0</v>
      </c>
    </row>
    <row r="167" customFormat="false" ht="13.8" hidden="false" customHeight="false" outlineLevel="0" collapsed="false">
      <c r="A167" s="6" t="n">
        <v>38954</v>
      </c>
      <c r="B167" s="0" t="n">
        <v>1295.92</v>
      </c>
      <c r="C167" s="0" t="n">
        <v>1298.88</v>
      </c>
      <c r="D167" s="0" t="n">
        <v>1292.39</v>
      </c>
      <c r="E167" s="0" t="n">
        <v>1295.09</v>
      </c>
      <c r="F167" s="0" t="n">
        <v>1667580000</v>
      </c>
      <c r="G167" s="0" t="n">
        <v>1295.09</v>
      </c>
      <c r="H167" s="34" t="n">
        <f aca="false">G167/G166-1</f>
        <v>-0.000748422140950278</v>
      </c>
      <c r="I167" s="91" t="n">
        <f aca="false">(1+H167)*I166</f>
        <v>1037491.2880821</v>
      </c>
      <c r="J167" s="34" t="n">
        <f aca="false">I167/$I$3 -1</f>
        <v>0.0374912880820972</v>
      </c>
      <c r="K167" s="0" t="n">
        <f aca="false">IF(ISBLANK(A168),MONTH(A167),IF(MONTH(A168)-MONTH(A167)=1,MONTH(A167),0))</f>
        <v>0</v>
      </c>
    </row>
    <row r="168" customFormat="false" ht="13.8" hidden="false" customHeight="false" outlineLevel="0" collapsed="false">
      <c r="A168" s="6" t="n">
        <v>38957</v>
      </c>
      <c r="B168" s="0" t="n">
        <v>1295.09</v>
      </c>
      <c r="C168" s="0" t="n">
        <v>1305.02</v>
      </c>
      <c r="D168" s="0" t="n">
        <v>1293.97</v>
      </c>
      <c r="E168" s="0" t="n">
        <v>1301.78</v>
      </c>
      <c r="F168" s="0" t="n">
        <v>1834920000</v>
      </c>
      <c r="G168" s="0" t="n">
        <v>1301.78</v>
      </c>
      <c r="H168" s="34" t="n">
        <f aca="false">G168/G167-1</f>
        <v>0.00516566416233633</v>
      </c>
      <c r="I168" s="91" t="n">
        <f aca="false">(1+H168)*I167</f>
        <v>1042850.61964768</v>
      </c>
      <c r="J168" s="34" t="n">
        <f aca="false">I168/$I$3 -1</f>
        <v>0.0428506196476792</v>
      </c>
      <c r="K168" s="0" t="n">
        <f aca="false">IF(ISBLANK(A169),MONTH(A168),IF(MONTH(A169)-MONTH(A168)=1,MONTH(A168),0))</f>
        <v>0</v>
      </c>
    </row>
    <row r="169" customFormat="false" ht="13.8" hidden="false" customHeight="false" outlineLevel="0" collapsed="false">
      <c r="A169" s="6" t="n">
        <v>38958</v>
      </c>
      <c r="B169" s="0" t="n">
        <v>1301.57</v>
      </c>
      <c r="C169" s="0" t="n">
        <v>1305.02</v>
      </c>
      <c r="D169" s="0" t="n">
        <v>1295.29</v>
      </c>
      <c r="E169" s="0" t="n">
        <v>1304.28</v>
      </c>
      <c r="F169" s="0" t="n">
        <v>2093720000</v>
      </c>
      <c r="G169" s="0" t="n">
        <v>1304.28</v>
      </c>
      <c r="H169" s="34" t="n">
        <f aca="false">G169/G168-1</f>
        <v>0.00192044738742347</v>
      </c>
      <c r="I169" s="91" t="n">
        <f aca="false">(1+H169)*I168</f>
        <v>1044853.35939565</v>
      </c>
      <c r="J169" s="34" t="n">
        <f aca="false">I169/$I$3 -1</f>
        <v>0.0448533593956546</v>
      </c>
      <c r="K169" s="0" t="n">
        <f aca="false">IF(ISBLANK(A170),MONTH(A169),IF(MONTH(A170)-MONTH(A169)=1,MONTH(A169),0))</f>
        <v>0</v>
      </c>
    </row>
    <row r="170" customFormat="false" ht="13.8" hidden="false" customHeight="false" outlineLevel="0" collapsed="false">
      <c r="A170" s="6" t="n">
        <v>38959</v>
      </c>
      <c r="B170" s="0" t="n">
        <v>1303.7</v>
      </c>
      <c r="C170" s="0" t="n">
        <v>1306.74</v>
      </c>
      <c r="D170" s="0" t="n">
        <v>1302.15</v>
      </c>
      <c r="E170" s="0" t="n">
        <v>1305.37</v>
      </c>
      <c r="F170" s="0" t="n">
        <v>2060690000</v>
      </c>
      <c r="G170" s="0" t="n">
        <v>1305.37</v>
      </c>
      <c r="H170" s="34" t="n">
        <f aca="false">G170/G169-1</f>
        <v>0.000835710123592959</v>
      </c>
      <c r="I170" s="91" t="n">
        <f aca="false">(1+H170)*I169</f>
        <v>1045726.55392577</v>
      </c>
      <c r="J170" s="34" t="n">
        <f aca="false">I170/$I$3 -1</f>
        <v>0.0457265539257716</v>
      </c>
      <c r="K170" s="0" t="n">
        <f aca="false">IF(ISBLANK(A171),MONTH(A170),IF(MONTH(A171)-MONTH(A170)=1,MONTH(A170),0))</f>
        <v>0</v>
      </c>
    </row>
    <row r="171" customFormat="false" ht="13.8" hidden="false" customHeight="false" outlineLevel="0" collapsed="false">
      <c r="A171" s="6" t="n">
        <v>38960</v>
      </c>
      <c r="B171" s="0" t="n">
        <v>1304.25</v>
      </c>
      <c r="C171" s="0" t="n">
        <v>1306.11</v>
      </c>
      <c r="D171" s="0" t="n">
        <v>1302.45</v>
      </c>
      <c r="E171" s="0" t="n">
        <v>1303.82</v>
      </c>
      <c r="F171" s="0" t="n">
        <v>1974540000</v>
      </c>
      <c r="G171" s="0" t="n">
        <v>1303.82</v>
      </c>
      <c r="H171" s="34" t="n">
        <f aca="false">G171/G170-1</f>
        <v>-0.0011874028053348</v>
      </c>
      <c r="I171" s="91" t="n">
        <f aca="false">(1+H171)*I170</f>
        <v>1044484.85528203</v>
      </c>
      <c r="J171" s="34" t="n">
        <f aca="false">I171/$I$3 -1</f>
        <v>0.044484855282027</v>
      </c>
      <c r="K171" s="0" t="n">
        <f aca="false">IF(ISBLANK(A172),MONTH(A171),IF(MONTH(A172)-MONTH(A171)=1,MONTH(A171),0))</f>
        <v>8</v>
      </c>
    </row>
    <row r="172" customFormat="false" ht="13.8" hidden="false" customHeight="false" outlineLevel="0" collapsed="false">
      <c r="A172" s="6" t="n">
        <v>38961</v>
      </c>
      <c r="B172" s="0" t="n">
        <v>1303.8</v>
      </c>
      <c r="C172" s="0" t="n">
        <v>1312.03</v>
      </c>
      <c r="D172" s="0" t="n">
        <v>1303.8</v>
      </c>
      <c r="E172" s="0" t="n">
        <v>1311.01</v>
      </c>
      <c r="F172" s="0" t="n">
        <v>1800520000</v>
      </c>
      <c r="G172" s="0" t="n">
        <v>1311.01</v>
      </c>
      <c r="H172" s="34" t="n">
        <f aca="false">G172/G171-1</f>
        <v>0.00551456489392721</v>
      </c>
      <c r="I172" s="91" t="n">
        <f aca="false">(1+H172)*I171</f>
        <v>1050244.7347972</v>
      </c>
      <c r="J172" s="34" t="n">
        <f aca="false">I172/$I$3 -1</f>
        <v>0.0502447347972039</v>
      </c>
      <c r="K172" s="0" t="n">
        <f aca="false">IF(ISBLANK(A173),MONTH(A172),IF(MONTH(A173)-MONTH(A172)=1,MONTH(A172),0))</f>
        <v>0</v>
      </c>
    </row>
    <row r="173" customFormat="false" ht="13.8" hidden="false" customHeight="false" outlineLevel="0" collapsed="false">
      <c r="A173" s="6" t="n">
        <v>38965</v>
      </c>
      <c r="B173" s="0" t="n">
        <v>1310.94</v>
      </c>
      <c r="C173" s="0" t="n">
        <v>1314.67</v>
      </c>
      <c r="D173" s="0" t="n">
        <v>1308.82</v>
      </c>
      <c r="E173" s="0" t="n">
        <v>1313.25</v>
      </c>
      <c r="F173" s="0" t="n">
        <v>2114480000</v>
      </c>
      <c r="G173" s="0" t="n">
        <v>1313.25</v>
      </c>
      <c r="H173" s="34" t="n">
        <f aca="false">G173/G172-1</f>
        <v>0.00170860634167558</v>
      </c>
      <c r="I173" s="91" t="n">
        <f aca="false">(1+H173)*I172</f>
        <v>1052039.18961139</v>
      </c>
      <c r="J173" s="34" t="n">
        <f aca="false">I173/$I$3 -1</f>
        <v>0.0520391896113899</v>
      </c>
      <c r="K173" s="0" t="n">
        <f aca="false">IF(ISBLANK(A174),MONTH(A173),IF(MONTH(A174)-MONTH(A173)=1,MONTH(A173),0))</f>
        <v>0</v>
      </c>
    </row>
    <row r="174" customFormat="false" ht="13.8" hidden="false" customHeight="false" outlineLevel="0" collapsed="false">
      <c r="A174" s="6" t="n">
        <v>38966</v>
      </c>
      <c r="B174" s="0" t="n">
        <v>1313.04</v>
      </c>
      <c r="C174" s="0" t="n">
        <v>1313.04</v>
      </c>
      <c r="D174" s="0" t="n">
        <v>1299.28</v>
      </c>
      <c r="E174" s="0" t="n">
        <v>1300.26</v>
      </c>
      <c r="F174" s="0" t="n">
        <v>2329870000</v>
      </c>
      <c r="G174" s="0" t="n">
        <v>1300.26</v>
      </c>
      <c r="H174" s="34" t="n">
        <f aca="false">G174/G173-1</f>
        <v>-0.00989149057681327</v>
      </c>
      <c r="I174" s="91" t="n">
        <f aca="false">(1+H174)*I173</f>
        <v>1041632.95388091</v>
      </c>
      <c r="J174" s="34" t="n">
        <f aca="false">I174/$I$3 -1</f>
        <v>0.0416329538809104</v>
      </c>
      <c r="K174" s="0" t="n">
        <f aca="false">IF(ISBLANK(A175),MONTH(A174),IF(MONTH(A175)-MONTH(A174)=1,MONTH(A174),0))</f>
        <v>0</v>
      </c>
    </row>
    <row r="175" customFormat="false" ht="13.8" hidden="false" customHeight="false" outlineLevel="0" collapsed="false">
      <c r="A175" s="6" t="n">
        <v>38967</v>
      </c>
      <c r="B175" s="0" t="n">
        <v>1300.21</v>
      </c>
      <c r="C175" s="0" t="n">
        <v>1301.25</v>
      </c>
      <c r="D175" s="0" t="n">
        <v>1292.13</v>
      </c>
      <c r="E175" s="0" t="n">
        <v>1294.02</v>
      </c>
      <c r="F175" s="0" t="n">
        <v>2325850000</v>
      </c>
      <c r="G175" s="0" t="n">
        <v>1294.02</v>
      </c>
      <c r="H175" s="34" t="n">
        <f aca="false">G175/G174-1</f>
        <v>-0.00479904019196165</v>
      </c>
      <c r="I175" s="91" t="n">
        <f aca="false">(1+H175)*I174</f>
        <v>1036634.11546996</v>
      </c>
      <c r="J175" s="34" t="n">
        <f aca="false">I175/$I$3 -1</f>
        <v>0.0366341154699643</v>
      </c>
      <c r="K175" s="0" t="n">
        <f aca="false">IF(ISBLANK(A176),MONTH(A175),IF(MONTH(A176)-MONTH(A175)=1,MONTH(A175),0))</f>
        <v>0</v>
      </c>
    </row>
    <row r="176" customFormat="false" ht="13.8" hidden="false" customHeight="false" outlineLevel="0" collapsed="false">
      <c r="A176" s="6" t="n">
        <v>38968</v>
      </c>
      <c r="B176" s="0" t="n">
        <v>1294.02</v>
      </c>
      <c r="C176" s="0" t="n">
        <v>1300.14</v>
      </c>
      <c r="D176" s="0" t="n">
        <v>1294.02</v>
      </c>
      <c r="E176" s="0" t="n">
        <v>1298.92</v>
      </c>
      <c r="F176" s="0" t="n">
        <v>2132890000</v>
      </c>
      <c r="G176" s="0" t="n">
        <v>1298.92</v>
      </c>
      <c r="H176" s="34" t="n">
        <f aca="false">G176/G175-1</f>
        <v>0.00378664935626971</v>
      </c>
      <c r="I176" s="91" t="n">
        <f aca="false">(1+H176)*I175</f>
        <v>1040559.485376</v>
      </c>
      <c r="J176" s="34" t="n">
        <f aca="false">I176/$I$3 -1</f>
        <v>0.0405594853759959</v>
      </c>
      <c r="K176" s="0" t="n">
        <f aca="false">IF(ISBLANK(A177),MONTH(A176),IF(MONTH(A177)-MONTH(A176)=1,MONTH(A176),0))</f>
        <v>0</v>
      </c>
    </row>
    <row r="177" customFormat="false" ht="13.8" hidden="false" customHeight="false" outlineLevel="0" collapsed="false">
      <c r="A177" s="6" t="n">
        <v>38971</v>
      </c>
      <c r="B177" s="0" t="n">
        <v>1298.86</v>
      </c>
      <c r="C177" s="0" t="n">
        <v>1302.36</v>
      </c>
      <c r="D177" s="0" t="n">
        <v>1290.93</v>
      </c>
      <c r="E177" s="0" t="n">
        <v>1299.54</v>
      </c>
      <c r="F177" s="0" t="n">
        <v>2506430000</v>
      </c>
      <c r="G177" s="0" t="n">
        <v>1299.54</v>
      </c>
      <c r="H177" s="34" t="n">
        <f aca="false">G177/G176-1</f>
        <v>0.000477319619375916</v>
      </c>
      <c r="I177" s="91" t="n">
        <f aca="false">(1+H177)*I176</f>
        <v>1041056.16483349</v>
      </c>
      <c r="J177" s="34" t="n">
        <f aca="false">I177/$I$3 -1</f>
        <v>0.0410561648334935</v>
      </c>
      <c r="K177" s="0" t="n">
        <f aca="false">IF(ISBLANK(A178),MONTH(A177),IF(MONTH(A178)-MONTH(A177)=1,MONTH(A177),0))</f>
        <v>0</v>
      </c>
    </row>
    <row r="178" customFormat="false" ht="13.8" hidden="false" customHeight="false" outlineLevel="0" collapsed="false">
      <c r="A178" s="6" t="n">
        <v>38972</v>
      </c>
      <c r="B178" s="0" t="n">
        <v>1299.53</v>
      </c>
      <c r="C178" s="0" t="n">
        <v>1314.28</v>
      </c>
      <c r="D178" s="0" t="n">
        <v>1299.53</v>
      </c>
      <c r="E178" s="0" t="n">
        <v>1313</v>
      </c>
      <c r="F178" s="0" t="n">
        <v>2791580000</v>
      </c>
      <c r="G178" s="0" t="n">
        <v>1313</v>
      </c>
      <c r="H178" s="34" t="n">
        <f aca="false">G178/G177-1</f>
        <v>0.0103575111193193</v>
      </c>
      <c r="I178" s="91" t="n">
        <f aca="false">(1+H178)*I177</f>
        <v>1051838.91563659</v>
      </c>
      <c r="J178" s="34" t="n">
        <f aca="false">I178/$I$3 -1</f>
        <v>0.0518389156365922</v>
      </c>
      <c r="K178" s="0" t="n">
        <f aca="false">IF(ISBLANK(A179),MONTH(A178),IF(MONTH(A179)-MONTH(A178)=1,MONTH(A178),0))</f>
        <v>0</v>
      </c>
    </row>
    <row r="179" customFormat="false" ht="13.8" hidden="false" customHeight="false" outlineLevel="0" collapsed="false">
      <c r="A179" s="6" t="n">
        <v>38973</v>
      </c>
      <c r="B179" s="0" t="n">
        <v>1312.74</v>
      </c>
      <c r="C179" s="0" t="n">
        <v>1319.92</v>
      </c>
      <c r="D179" s="0" t="n">
        <v>1311.12</v>
      </c>
      <c r="E179" s="0" t="n">
        <v>1318.07</v>
      </c>
      <c r="F179" s="0" t="n">
        <v>2597220000</v>
      </c>
      <c r="G179" s="0" t="n">
        <v>1318.07</v>
      </c>
      <c r="H179" s="34" t="n">
        <f aca="false">G179/G178-1</f>
        <v>0.00386138613861386</v>
      </c>
      <c r="I179" s="91" t="n">
        <f aca="false">(1+H179)*I178</f>
        <v>1055900.47184549</v>
      </c>
      <c r="J179" s="34" t="n">
        <f aca="false">I179/$I$3 -1</f>
        <v>0.0559004718454861</v>
      </c>
      <c r="K179" s="0" t="n">
        <f aca="false">IF(ISBLANK(A180),MONTH(A179),IF(MONTH(A180)-MONTH(A179)=1,MONTH(A179),0))</f>
        <v>0</v>
      </c>
    </row>
    <row r="180" customFormat="false" ht="13.8" hidden="false" customHeight="false" outlineLevel="0" collapsed="false">
      <c r="A180" s="6" t="n">
        <v>38974</v>
      </c>
      <c r="B180" s="0" t="n">
        <v>1318</v>
      </c>
      <c r="C180" s="0" t="n">
        <v>1318</v>
      </c>
      <c r="D180" s="0" t="n">
        <v>1313.25</v>
      </c>
      <c r="E180" s="0" t="n">
        <v>1316.28</v>
      </c>
      <c r="F180" s="0" t="n">
        <v>2351220000</v>
      </c>
      <c r="G180" s="0" t="n">
        <v>1316.28</v>
      </c>
      <c r="H180" s="34" t="n">
        <f aca="false">G180/G179-1</f>
        <v>-0.00135804623426672</v>
      </c>
      <c r="I180" s="91" t="n">
        <f aca="false">(1+H180)*I179</f>
        <v>1054466.51018594</v>
      </c>
      <c r="J180" s="34" t="n">
        <f aca="false">I180/$I$3 -1</f>
        <v>0.0544665101859358</v>
      </c>
      <c r="K180" s="0" t="n">
        <f aca="false">IF(ISBLANK(A181),MONTH(A180),IF(MONTH(A181)-MONTH(A180)=1,MONTH(A180),0))</f>
        <v>0</v>
      </c>
    </row>
    <row r="181" customFormat="false" ht="13.8" hidden="false" customHeight="false" outlineLevel="0" collapsed="false">
      <c r="A181" s="6" t="n">
        <v>38975</v>
      </c>
      <c r="B181" s="0" t="n">
        <v>1316.28</v>
      </c>
      <c r="C181" s="0" t="n">
        <v>1324.65</v>
      </c>
      <c r="D181" s="0" t="n">
        <v>1316.28</v>
      </c>
      <c r="E181" s="0" t="n">
        <v>1319.66</v>
      </c>
      <c r="F181" s="0" t="n">
        <v>3198030000</v>
      </c>
      <c r="G181" s="0" t="n">
        <v>1319.66</v>
      </c>
      <c r="H181" s="34" t="n">
        <f aca="false">G181/G180-1</f>
        <v>0.00256784270823851</v>
      </c>
      <c r="I181" s="91" t="n">
        <f aca="false">(1+H181)*I180</f>
        <v>1057174.2143252</v>
      </c>
      <c r="J181" s="34" t="n">
        <f aca="false">I181/$I$3 -1</f>
        <v>0.0571742143251985</v>
      </c>
      <c r="K181" s="0" t="n">
        <f aca="false">IF(ISBLANK(A182),MONTH(A181),IF(MONTH(A182)-MONTH(A181)=1,MONTH(A181),0))</f>
        <v>0</v>
      </c>
    </row>
    <row r="182" customFormat="false" ht="13.8" hidden="false" customHeight="false" outlineLevel="0" collapsed="false">
      <c r="A182" s="6" t="n">
        <v>38978</v>
      </c>
      <c r="B182" s="0" t="n">
        <v>1319.85</v>
      </c>
      <c r="C182" s="0" t="n">
        <v>1324.87</v>
      </c>
      <c r="D182" s="0" t="n">
        <v>1318.16</v>
      </c>
      <c r="E182" s="0" t="n">
        <v>1321.18</v>
      </c>
      <c r="F182" s="0" t="n">
        <v>2325080000</v>
      </c>
      <c r="G182" s="0" t="n">
        <v>1321.18</v>
      </c>
      <c r="H182" s="34" t="n">
        <f aca="false">G182/G181-1</f>
        <v>0.00115181183031998</v>
      </c>
      <c r="I182" s="91" t="n">
        <f aca="false">(1+H182)*I181</f>
        <v>1058391.88009197</v>
      </c>
      <c r="J182" s="34" t="n">
        <f aca="false">I182/$I$3 -1</f>
        <v>0.0583918800919676</v>
      </c>
      <c r="K182" s="0" t="n">
        <f aca="false">IF(ISBLANK(A183),MONTH(A182),IF(MONTH(A183)-MONTH(A182)=1,MONTH(A182),0))</f>
        <v>0</v>
      </c>
    </row>
    <row r="183" customFormat="false" ht="13.8" hidden="false" customHeight="false" outlineLevel="0" collapsed="false">
      <c r="A183" s="6" t="n">
        <v>38979</v>
      </c>
      <c r="B183" s="0" t="n">
        <v>1321.17</v>
      </c>
      <c r="C183" s="0" t="n">
        <v>1322.04</v>
      </c>
      <c r="D183" s="0" t="n">
        <v>1312.17</v>
      </c>
      <c r="E183" s="0" t="n">
        <v>1317.64</v>
      </c>
      <c r="F183" s="0" t="n">
        <v>2390850000</v>
      </c>
      <c r="G183" s="0" t="n">
        <v>1317.64</v>
      </c>
      <c r="H183" s="34" t="n">
        <f aca="false">G183/G182-1</f>
        <v>-0.00267942294009893</v>
      </c>
      <c r="I183" s="91" t="n">
        <f aca="false">(1+H183)*I182</f>
        <v>1055556.00060883</v>
      </c>
      <c r="J183" s="34" t="n">
        <f aca="false">I183/$I$3 -1</f>
        <v>0.0555560006088347</v>
      </c>
      <c r="K183" s="0" t="n">
        <f aca="false">IF(ISBLANK(A184),MONTH(A183),IF(MONTH(A184)-MONTH(A183)=1,MONTH(A183),0))</f>
        <v>0</v>
      </c>
    </row>
    <row r="184" customFormat="false" ht="13.8" hidden="false" customHeight="false" outlineLevel="0" collapsed="false">
      <c r="A184" s="6" t="n">
        <v>38980</v>
      </c>
      <c r="B184" s="0" t="n">
        <v>1318.28</v>
      </c>
      <c r="C184" s="0" t="n">
        <v>1328.53</v>
      </c>
      <c r="D184" s="0" t="n">
        <v>1318.28</v>
      </c>
      <c r="E184" s="0" t="n">
        <v>1325.18</v>
      </c>
      <c r="F184" s="0" t="n">
        <v>2543070000</v>
      </c>
      <c r="G184" s="0" t="n">
        <v>1325.18</v>
      </c>
      <c r="H184" s="34" t="n">
        <f aca="false">G184/G183-1</f>
        <v>0.00572235208402905</v>
      </c>
      <c r="I184" s="91" t="n">
        <f aca="false">(1+H184)*I183</f>
        <v>1061596.26368873</v>
      </c>
      <c r="J184" s="34" t="n">
        <f aca="false">I184/$I$3 -1</f>
        <v>0.061596263688728</v>
      </c>
      <c r="K184" s="0" t="n">
        <f aca="false">IF(ISBLANK(A185),MONTH(A184),IF(MONTH(A185)-MONTH(A184)=1,MONTH(A184),0))</f>
        <v>0</v>
      </c>
    </row>
    <row r="185" customFormat="false" ht="13.8" hidden="false" customHeight="false" outlineLevel="0" collapsed="false">
      <c r="A185" s="6" t="n">
        <v>38981</v>
      </c>
      <c r="B185" s="0" t="n">
        <v>1324.89</v>
      </c>
      <c r="C185" s="0" t="n">
        <v>1328.19</v>
      </c>
      <c r="D185" s="0" t="n">
        <v>1315.45</v>
      </c>
      <c r="E185" s="0" t="n">
        <v>1318.03</v>
      </c>
      <c r="F185" s="0" t="n">
        <v>2627440000</v>
      </c>
      <c r="G185" s="0" t="n">
        <v>1318.03</v>
      </c>
      <c r="H185" s="34" t="n">
        <f aca="false">G185/G184-1</f>
        <v>-0.00539549344240031</v>
      </c>
      <c r="I185" s="91" t="n">
        <f aca="false">(1+H185)*I184</f>
        <v>1055868.42800952</v>
      </c>
      <c r="J185" s="34" t="n">
        <f aca="false">I185/$I$3 -1</f>
        <v>0.055868428009519</v>
      </c>
      <c r="K185" s="0" t="n">
        <f aca="false">IF(ISBLANK(A186),MONTH(A185),IF(MONTH(A186)-MONTH(A185)=1,MONTH(A185),0))</f>
        <v>0</v>
      </c>
    </row>
    <row r="186" customFormat="false" ht="13.8" hidden="false" customHeight="false" outlineLevel="0" collapsed="false">
      <c r="A186" s="6" t="n">
        <v>38982</v>
      </c>
      <c r="B186" s="0" t="n">
        <v>1318.03</v>
      </c>
      <c r="C186" s="0" t="n">
        <v>1318.03</v>
      </c>
      <c r="D186" s="0" t="n">
        <v>1310.94</v>
      </c>
      <c r="E186" s="0" t="n">
        <v>1314.78</v>
      </c>
      <c r="F186" s="0" t="n">
        <v>2162880000</v>
      </c>
      <c r="G186" s="0" t="n">
        <v>1314.78</v>
      </c>
      <c r="H186" s="34" t="n">
        <f aca="false">G186/G185-1</f>
        <v>-0.00246580123365936</v>
      </c>
      <c r="I186" s="91" t="n">
        <f aca="false">(1+H186)*I185</f>
        <v>1053264.86633715</v>
      </c>
      <c r="J186" s="34" t="n">
        <f aca="false">I186/$I$3 -1</f>
        <v>0.0532648663371511</v>
      </c>
      <c r="K186" s="0" t="n">
        <f aca="false">IF(ISBLANK(A187),MONTH(A186),IF(MONTH(A187)-MONTH(A186)=1,MONTH(A186),0))</f>
        <v>0</v>
      </c>
    </row>
    <row r="187" customFormat="false" ht="13.8" hidden="false" customHeight="false" outlineLevel="0" collapsed="false">
      <c r="A187" s="6" t="n">
        <v>38985</v>
      </c>
      <c r="B187" s="0" t="n">
        <v>1314.78</v>
      </c>
      <c r="C187" s="0" t="n">
        <v>1329.35</v>
      </c>
      <c r="D187" s="0" t="n">
        <v>1311.58</v>
      </c>
      <c r="E187" s="0" t="n">
        <v>1326.37</v>
      </c>
      <c r="F187" s="0" t="n">
        <v>2710240000</v>
      </c>
      <c r="G187" s="0" t="n">
        <v>1326.37</v>
      </c>
      <c r="H187" s="34" t="n">
        <f aca="false">G187/G186-1</f>
        <v>0.00881516299304819</v>
      </c>
      <c r="I187" s="91" t="n">
        <f aca="false">(1+H187)*I186</f>
        <v>1062549.56780876</v>
      </c>
      <c r="J187" s="34" t="n">
        <f aca="false">I187/$I$3 -1</f>
        <v>0.062549567808764</v>
      </c>
      <c r="K187" s="0" t="n">
        <f aca="false">IF(ISBLANK(A188),MONTH(A187),IF(MONTH(A188)-MONTH(A187)=1,MONTH(A187),0))</f>
        <v>0</v>
      </c>
    </row>
    <row r="188" customFormat="false" ht="13.8" hidden="false" customHeight="false" outlineLevel="0" collapsed="false">
      <c r="A188" s="6" t="n">
        <v>38986</v>
      </c>
      <c r="B188" s="0" t="n">
        <v>1326.35</v>
      </c>
      <c r="C188" s="0" t="n">
        <v>1336.6</v>
      </c>
      <c r="D188" s="0" t="n">
        <v>1325.3</v>
      </c>
      <c r="E188" s="0" t="n">
        <v>1336.35</v>
      </c>
      <c r="F188" s="0" t="n">
        <v>2673350000</v>
      </c>
      <c r="G188" s="0" t="n">
        <v>1336.35</v>
      </c>
      <c r="H188" s="34" t="n">
        <f aca="false">G188/G187-1</f>
        <v>0.0075242956339483</v>
      </c>
      <c r="I188" s="91" t="n">
        <f aca="false">(1+H188)*I187</f>
        <v>1070544.50488268</v>
      </c>
      <c r="J188" s="34" t="n">
        <f aca="false">I188/$I$3 -1</f>
        <v>0.0705445048826812</v>
      </c>
      <c r="K188" s="0" t="n">
        <f aca="false">IF(ISBLANK(A189),MONTH(A188),IF(MONTH(A189)-MONTH(A188)=1,MONTH(A188),0))</f>
        <v>0</v>
      </c>
    </row>
    <row r="189" customFormat="false" ht="13.8" hidden="false" customHeight="false" outlineLevel="0" collapsed="false">
      <c r="A189" s="6" t="n">
        <v>38987</v>
      </c>
      <c r="B189" s="0" t="n">
        <v>1336.12</v>
      </c>
      <c r="C189" s="0" t="n">
        <v>1340.08</v>
      </c>
      <c r="D189" s="0" t="n">
        <v>1333.54</v>
      </c>
      <c r="E189" s="0" t="n">
        <v>1336.59</v>
      </c>
      <c r="F189" s="0" t="n">
        <v>2749190000</v>
      </c>
      <c r="G189" s="0" t="n">
        <v>1336.59</v>
      </c>
      <c r="H189" s="34" t="n">
        <f aca="false">G189/G188-1</f>
        <v>0.000179593669323186</v>
      </c>
      <c r="I189" s="91" t="n">
        <f aca="false">(1+H189)*I188</f>
        <v>1070736.76789849</v>
      </c>
      <c r="J189" s="34" t="n">
        <f aca="false">I189/$I$3 -1</f>
        <v>0.0707367678984869</v>
      </c>
      <c r="K189" s="0" t="n">
        <f aca="false">IF(ISBLANK(A190),MONTH(A189),IF(MONTH(A190)-MONTH(A189)=1,MONTH(A189),0))</f>
        <v>0</v>
      </c>
    </row>
    <row r="190" customFormat="false" ht="13.8" hidden="false" customHeight="false" outlineLevel="0" collapsed="false">
      <c r="A190" s="6" t="n">
        <v>38988</v>
      </c>
      <c r="B190" s="0" t="n">
        <v>1336.56</v>
      </c>
      <c r="C190" s="0" t="n">
        <v>1340.28</v>
      </c>
      <c r="D190" s="0" t="n">
        <v>1333.75</v>
      </c>
      <c r="E190" s="0" t="n">
        <v>1338.88</v>
      </c>
      <c r="F190" s="0" t="n">
        <v>2397820000</v>
      </c>
      <c r="G190" s="0" t="n">
        <v>1338.88</v>
      </c>
      <c r="H190" s="34" t="n">
        <f aca="false">G190/G189-1</f>
        <v>0.0017133152275568</v>
      </c>
      <c r="I190" s="91" t="n">
        <f aca="false">(1+H190)*I189</f>
        <v>1072571.27750763</v>
      </c>
      <c r="J190" s="34" t="n">
        <f aca="false">I190/$I$3 -1</f>
        <v>0.0725712775076324</v>
      </c>
      <c r="K190" s="0" t="n">
        <f aca="false">IF(ISBLANK(A191),MONTH(A190),IF(MONTH(A191)-MONTH(A190)=1,MONTH(A190),0))</f>
        <v>0</v>
      </c>
    </row>
    <row r="191" customFormat="false" ht="13.8" hidden="false" customHeight="false" outlineLevel="0" collapsed="false">
      <c r="A191" s="6" t="n">
        <v>38989</v>
      </c>
      <c r="B191" s="0" t="n">
        <v>1339.15</v>
      </c>
      <c r="C191" s="0" t="n">
        <v>1339.88</v>
      </c>
      <c r="D191" s="0" t="n">
        <v>1335.64</v>
      </c>
      <c r="E191" s="0" t="n">
        <v>1335.85</v>
      </c>
      <c r="F191" s="0" t="n">
        <v>2273430000</v>
      </c>
      <c r="G191" s="0" t="n">
        <v>1335.85</v>
      </c>
      <c r="H191" s="34" t="n">
        <f aca="false">G191/G190-1</f>
        <v>-0.00226308556405364</v>
      </c>
      <c r="I191" s="91" t="n">
        <f aca="false">(1+H191)*I190</f>
        <v>1070143.95693309</v>
      </c>
      <c r="J191" s="34" t="n">
        <f aca="false">I191/$I$3 -1</f>
        <v>0.0701439569330862</v>
      </c>
      <c r="K191" s="0" t="n">
        <f aca="false">IF(ISBLANK(A192),MONTH(A191),IF(MONTH(A192)-MONTH(A191)=1,MONTH(A191),0))</f>
        <v>9</v>
      </c>
    </row>
    <row r="192" customFormat="false" ht="13.8" hidden="false" customHeight="false" outlineLevel="0" collapsed="false">
      <c r="A192" s="6" t="n">
        <v>38992</v>
      </c>
      <c r="B192" s="0" t="n">
        <v>1335.82</v>
      </c>
      <c r="C192" s="0" t="n">
        <v>1338.54</v>
      </c>
      <c r="D192" s="0" t="n">
        <v>1330.28</v>
      </c>
      <c r="E192" s="0" t="n">
        <v>1331.32</v>
      </c>
      <c r="F192" s="0" t="n">
        <v>2154480000</v>
      </c>
      <c r="G192" s="0" t="n">
        <v>1331.32</v>
      </c>
      <c r="H192" s="34" t="n">
        <f aca="false">G192/G191-1</f>
        <v>-0.00339109930007109</v>
      </c>
      <c r="I192" s="91" t="n">
        <f aca="false">(1+H192)*I191</f>
        <v>1066514.99250976</v>
      </c>
      <c r="J192" s="34" t="n">
        <f aca="false">I192/$I$3 -1</f>
        <v>0.066514992509755</v>
      </c>
      <c r="K192" s="0" t="n">
        <f aca="false">IF(ISBLANK(A193),MONTH(A192),IF(MONTH(A193)-MONTH(A192)=1,MONTH(A192),0))</f>
        <v>0</v>
      </c>
    </row>
    <row r="193" customFormat="false" ht="13.8" hidden="false" customHeight="false" outlineLevel="0" collapsed="false">
      <c r="A193" s="6" t="n">
        <v>38993</v>
      </c>
      <c r="B193" s="0" t="n">
        <v>1331.32</v>
      </c>
      <c r="C193" s="0" t="n">
        <v>1338.31</v>
      </c>
      <c r="D193" s="0" t="n">
        <v>1327.1</v>
      </c>
      <c r="E193" s="0" t="n">
        <v>1334.11</v>
      </c>
      <c r="F193" s="0" t="n">
        <v>2682690000</v>
      </c>
      <c r="G193" s="0" t="n">
        <v>1334.11</v>
      </c>
      <c r="H193" s="34" t="n">
        <f aca="false">G193/G192-1</f>
        <v>0.00209566445332454</v>
      </c>
      <c r="I193" s="91" t="n">
        <f aca="false">(1+H193)*I192</f>
        <v>1068750.0500685</v>
      </c>
      <c r="J193" s="34" t="n">
        <f aca="false">I193/$I$3 -1</f>
        <v>0.0687500500684957</v>
      </c>
      <c r="K193" s="0" t="n">
        <f aca="false">IF(ISBLANK(A194),MONTH(A193),IF(MONTH(A194)-MONTH(A193)=1,MONTH(A193),0))</f>
        <v>0</v>
      </c>
    </row>
    <row r="194" customFormat="false" ht="13.8" hidden="false" customHeight="false" outlineLevel="0" collapsed="false">
      <c r="A194" s="6" t="n">
        <v>38994</v>
      </c>
      <c r="B194" s="0" t="n">
        <v>1333.81</v>
      </c>
      <c r="C194" s="0" t="n">
        <v>1350.2</v>
      </c>
      <c r="D194" s="0" t="n">
        <v>1331.48</v>
      </c>
      <c r="E194" s="0" t="n">
        <v>1350.2</v>
      </c>
      <c r="F194" s="0" t="n">
        <v>3019880000</v>
      </c>
      <c r="G194" s="0" t="n">
        <v>1350.2</v>
      </c>
      <c r="H194" s="34" t="n">
        <f aca="false">G194/G193-1</f>
        <v>0.0120604747734445</v>
      </c>
      <c r="I194" s="91" t="n">
        <f aca="false">(1+H194)*I193</f>
        <v>1081639.68308646</v>
      </c>
      <c r="J194" s="34" t="n">
        <f aca="false">I194/$I$3 -1</f>
        <v>0.0816396830864641</v>
      </c>
      <c r="K194" s="0" t="n">
        <f aca="false">IF(ISBLANK(A195),MONTH(A194),IF(MONTH(A195)-MONTH(A194)=1,MONTH(A194),0))</f>
        <v>0</v>
      </c>
    </row>
    <row r="195" customFormat="false" ht="13.8" hidden="false" customHeight="false" outlineLevel="0" collapsed="false">
      <c r="A195" s="6" t="n">
        <v>38995</v>
      </c>
      <c r="B195" s="0" t="n">
        <v>1349.84</v>
      </c>
      <c r="C195" s="0" t="n">
        <v>1353.79</v>
      </c>
      <c r="D195" s="0" t="n">
        <v>1347.75</v>
      </c>
      <c r="E195" s="0" t="n">
        <v>1353.22</v>
      </c>
      <c r="F195" s="0" t="n">
        <v>2817240000</v>
      </c>
      <c r="G195" s="0" t="n">
        <v>1353.22</v>
      </c>
      <c r="H195" s="34" t="n">
        <f aca="false">G195/G194-1</f>
        <v>0.00223670567323353</v>
      </c>
      <c r="I195" s="91" t="n">
        <f aca="false">(1+H195)*I194</f>
        <v>1084058.99270202</v>
      </c>
      <c r="J195" s="34" t="n">
        <f aca="false">I195/$I$3 -1</f>
        <v>0.0840589927020183</v>
      </c>
      <c r="K195" s="0" t="n">
        <f aca="false">IF(ISBLANK(A196),MONTH(A195),IF(MONTH(A196)-MONTH(A195)=1,MONTH(A195),0))</f>
        <v>0</v>
      </c>
    </row>
    <row r="196" customFormat="false" ht="13.8" hidden="false" customHeight="false" outlineLevel="0" collapsed="false">
      <c r="A196" s="6" t="n">
        <v>38996</v>
      </c>
      <c r="B196" s="0" t="n">
        <v>1353.22</v>
      </c>
      <c r="C196" s="0" t="n">
        <v>1353.22</v>
      </c>
      <c r="D196" s="0" t="n">
        <v>1344.21</v>
      </c>
      <c r="E196" s="0" t="n">
        <v>1349.59</v>
      </c>
      <c r="F196" s="0" t="n">
        <v>2523000000</v>
      </c>
      <c r="G196" s="0" t="n">
        <v>1349.59</v>
      </c>
      <c r="H196" s="34" t="n">
        <f aca="false">G196/G195-1</f>
        <v>-0.00268249065192661</v>
      </c>
      <c r="I196" s="91" t="n">
        <f aca="false">(1+H196)*I195</f>
        <v>1081151.01458796</v>
      </c>
      <c r="J196" s="34" t="n">
        <f aca="false">I196/$I$3 -1</f>
        <v>0.0811510145879582</v>
      </c>
      <c r="K196" s="0" t="n">
        <f aca="false">IF(ISBLANK(A197),MONTH(A196),IF(MONTH(A197)-MONTH(A196)=1,MONTH(A196),0))</f>
        <v>0</v>
      </c>
    </row>
    <row r="197" customFormat="false" ht="13.8" hidden="false" customHeight="false" outlineLevel="0" collapsed="false">
      <c r="A197" s="6" t="n">
        <v>38999</v>
      </c>
      <c r="B197" s="0" t="n">
        <v>1349.58</v>
      </c>
      <c r="C197" s="0" t="n">
        <v>1352.69</v>
      </c>
      <c r="D197" s="0" t="n">
        <v>1346.55</v>
      </c>
      <c r="E197" s="0" t="n">
        <v>1350.66</v>
      </c>
      <c r="F197" s="0" t="n">
        <v>1935170000</v>
      </c>
      <c r="G197" s="0" t="n">
        <v>1350.66</v>
      </c>
      <c r="H197" s="34" t="n">
        <f aca="false">G197/G196-1</f>
        <v>0.000792833379026359</v>
      </c>
      <c r="I197" s="91" t="n">
        <f aca="false">(1+H197)*I196</f>
        <v>1082008.18720009</v>
      </c>
      <c r="J197" s="34" t="n">
        <f aca="false">I197/$I$3 -1</f>
        <v>0.0820081872000915</v>
      </c>
      <c r="K197" s="0" t="n">
        <f aca="false">IF(ISBLANK(A198),MONTH(A197),IF(MONTH(A198)-MONTH(A197)=1,MONTH(A197),0))</f>
        <v>0</v>
      </c>
    </row>
    <row r="198" customFormat="false" ht="13.8" hidden="false" customHeight="false" outlineLevel="0" collapsed="false">
      <c r="A198" s="6" t="n">
        <v>39000</v>
      </c>
      <c r="B198" s="0" t="n">
        <v>1350.62</v>
      </c>
      <c r="C198" s="0" t="n">
        <v>1354.23</v>
      </c>
      <c r="D198" s="0" t="n">
        <v>1348.6</v>
      </c>
      <c r="E198" s="0" t="n">
        <v>1353.42</v>
      </c>
      <c r="F198" s="0" t="n">
        <v>2376140000</v>
      </c>
      <c r="G198" s="0" t="n">
        <v>1353.42</v>
      </c>
      <c r="H198" s="34" t="n">
        <f aca="false">G198/G197-1</f>
        <v>0.00204344542668022</v>
      </c>
      <c r="I198" s="91" t="n">
        <f aca="false">(1+H198)*I197</f>
        <v>1084219.21188186</v>
      </c>
      <c r="J198" s="34" t="n">
        <f aca="false">I198/$I$3 -1</f>
        <v>0.0842192118818561</v>
      </c>
      <c r="K198" s="0" t="n">
        <f aca="false">IF(ISBLANK(A199),MONTH(A198),IF(MONTH(A199)-MONTH(A198)=1,MONTH(A198),0))</f>
        <v>0</v>
      </c>
    </row>
    <row r="199" customFormat="false" ht="13.8" hidden="false" customHeight="false" outlineLevel="0" collapsed="false">
      <c r="A199" s="6" t="n">
        <v>39001</v>
      </c>
      <c r="B199" s="0" t="n">
        <v>1353.28</v>
      </c>
      <c r="C199" s="0" t="n">
        <v>1353.97</v>
      </c>
      <c r="D199" s="0" t="n">
        <v>1343.57</v>
      </c>
      <c r="E199" s="0" t="n">
        <v>1349.95</v>
      </c>
      <c r="F199" s="0" t="n">
        <v>2521000000</v>
      </c>
      <c r="G199" s="0" t="n">
        <v>1349.95</v>
      </c>
      <c r="H199" s="34" t="n">
        <f aca="false">G199/G198-1</f>
        <v>-0.00256387521981349</v>
      </c>
      <c r="I199" s="91" t="n">
        <f aca="false">(1+H199)*I198</f>
        <v>1081439.40911167</v>
      </c>
      <c r="J199" s="34" t="n">
        <f aca="false">I199/$I$3 -1</f>
        <v>0.0814394091116666</v>
      </c>
      <c r="K199" s="0" t="n">
        <f aca="false">IF(ISBLANK(A200),MONTH(A199),IF(MONTH(A200)-MONTH(A199)=1,MONTH(A199),0))</f>
        <v>0</v>
      </c>
    </row>
    <row r="200" customFormat="false" ht="13.8" hidden="false" customHeight="false" outlineLevel="0" collapsed="false">
      <c r="A200" s="6" t="n">
        <v>39002</v>
      </c>
      <c r="B200" s="0" t="n">
        <v>1349.94</v>
      </c>
      <c r="C200" s="0" t="n">
        <v>1363.76</v>
      </c>
      <c r="D200" s="0" t="n">
        <v>1349.94</v>
      </c>
      <c r="E200" s="0" t="n">
        <v>1362.83</v>
      </c>
      <c r="F200" s="0" t="n">
        <v>2514350000</v>
      </c>
      <c r="G200" s="0" t="n">
        <v>1362.83</v>
      </c>
      <c r="H200" s="34" t="n">
        <f aca="false">G200/G199-1</f>
        <v>0.0095410941145968</v>
      </c>
      <c r="I200" s="91" t="n">
        <f aca="false">(1+H200)*I199</f>
        <v>1091757.52429324</v>
      </c>
      <c r="J200" s="34" t="n">
        <f aca="false">I200/$I$3 -1</f>
        <v>0.0917575242932349</v>
      </c>
      <c r="K200" s="0" t="n">
        <f aca="false">IF(ISBLANK(A201),MONTH(A200),IF(MONTH(A201)-MONTH(A200)=1,MONTH(A200),0))</f>
        <v>0</v>
      </c>
    </row>
    <row r="201" customFormat="false" ht="13.8" hidden="false" customHeight="false" outlineLevel="0" collapsed="false">
      <c r="A201" s="6" t="n">
        <v>39003</v>
      </c>
      <c r="B201" s="0" t="n">
        <v>1362.82</v>
      </c>
      <c r="C201" s="0" t="n">
        <v>1366.63</v>
      </c>
      <c r="D201" s="0" t="n">
        <v>1360.5</v>
      </c>
      <c r="E201" s="0" t="n">
        <v>1365.62</v>
      </c>
      <c r="F201" s="0" t="n">
        <v>2482920000</v>
      </c>
      <c r="G201" s="0" t="n">
        <v>1365.62</v>
      </c>
      <c r="H201" s="34" t="n">
        <f aca="false">G201/G200-1</f>
        <v>0.00204721058385848</v>
      </c>
      <c r="I201" s="91" t="n">
        <f aca="false">(1+H201)*I200</f>
        <v>1093992.58185198</v>
      </c>
      <c r="J201" s="34" t="n">
        <f aca="false">I201/$I$3 -1</f>
        <v>0.0939925818519751</v>
      </c>
      <c r="K201" s="0" t="n">
        <f aca="false">IF(ISBLANK(A202),MONTH(A201),IF(MONTH(A202)-MONTH(A201)=1,MONTH(A201),0))</f>
        <v>0</v>
      </c>
    </row>
    <row r="202" customFormat="false" ht="13.8" hidden="false" customHeight="false" outlineLevel="0" collapsed="false">
      <c r="A202" s="6" t="n">
        <v>39006</v>
      </c>
      <c r="B202" s="0" t="n">
        <v>1365.61</v>
      </c>
      <c r="C202" s="0" t="n">
        <v>1370.2</v>
      </c>
      <c r="D202" s="0" t="n">
        <v>1364.48</v>
      </c>
      <c r="E202" s="0" t="n">
        <v>1369.06</v>
      </c>
      <c r="F202" s="0" t="n">
        <v>2305920000</v>
      </c>
      <c r="G202" s="0" t="n">
        <v>1369.06</v>
      </c>
      <c r="H202" s="34" t="n">
        <f aca="false">G202/G201-1</f>
        <v>0.00251900235790337</v>
      </c>
      <c r="I202" s="91" t="n">
        <f aca="false">(1+H202)*I201</f>
        <v>1096748.35174519</v>
      </c>
      <c r="J202" s="34" t="n">
        <f aca="false">I202/$I$3 -1</f>
        <v>0.096748351745189</v>
      </c>
      <c r="K202" s="0" t="n">
        <f aca="false">IF(ISBLANK(A203),MONTH(A202),IF(MONTH(A203)-MONTH(A202)=1,MONTH(A202),0))</f>
        <v>0</v>
      </c>
    </row>
    <row r="203" customFormat="false" ht="13.8" hidden="false" customHeight="false" outlineLevel="0" collapsed="false">
      <c r="A203" s="6" t="n">
        <v>39007</v>
      </c>
      <c r="B203" s="0" t="n">
        <v>1369.05</v>
      </c>
      <c r="C203" s="0" t="n">
        <v>1369.05</v>
      </c>
      <c r="D203" s="0" t="n">
        <v>1356.87</v>
      </c>
      <c r="E203" s="0" t="n">
        <v>1364.05</v>
      </c>
      <c r="F203" s="0" t="n">
        <v>2519620000</v>
      </c>
      <c r="G203" s="0" t="n">
        <v>1364.05</v>
      </c>
      <c r="H203" s="34" t="n">
        <f aca="false">G203/G202-1</f>
        <v>-0.00365944516675676</v>
      </c>
      <c r="I203" s="91" t="n">
        <f aca="false">(1+H203)*I202</f>
        <v>1092734.86129025</v>
      </c>
      <c r="J203" s="34" t="n">
        <f aca="false">I203/$I$3 -1</f>
        <v>0.0927348612902465</v>
      </c>
      <c r="K203" s="0" t="n">
        <f aca="false">IF(ISBLANK(A204),MONTH(A203),IF(MONTH(A204)-MONTH(A203)=1,MONTH(A203),0))</f>
        <v>0</v>
      </c>
    </row>
    <row r="204" customFormat="false" ht="13.8" hidden="false" customHeight="false" outlineLevel="0" collapsed="false">
      <c r="A204" s="6" t="n">
        <v>39008</v>
      </c>
      <c r="B204" s="0" t="n">
        <v>1363.93</v>
      </c>
      <c r="C204" s="0" t="n">
        <v>1372.87</v>
      </c>
      <c r="D204" s="0" t="n">
        <v>1360.95</v>
      </c>
      <c r="E204" s="0" t="n">
        <v>1365.8</v>
      </c>
      <c r="F204" s="0" t="n">
        <v>2658840000</v>
      </c>
      <c r="G204" s="0" t="n">
        <v>1365.8</v>
      </c>
      <c r="H204" s="34" t="n">
        <f aca="false">G204/G203-1</f>
        <v>0.00128294417360064</v>
      </c>
      <c r="I204" s="91" t="n">
        <f aca="false">(1+H204)*I203</f>
        <v>1094136.77911383</v>
      </c>
      <c r="J204" s="34" t="n">
        <f aca="false">I204/$I$3 -1</f>
        <v>0.0941367791138292</v>
      </c>
      <c r="K204" s="0" t="n">
        <f aca="false">IF(ISBLANK(A205),MONTH(A204),IF(MONTH(A205)-MONTH(A204)=1,MONTH(A204),0))</f>
        <v>0</v>
      </c>
    </row>
    <row r="205" customFormat="false" ht="13.8" hidden="false" customHeight="false" outlineLevel="0" collapsed="false">
      <c r="A205" s="6" t="n">
        <v>39009</v>
      </c>
      <c r="B205" s="0" t="n">
        <v>1365.95</v>
      </c>
      <c r="C205" s="0" t="n">
        <v>1368.09</v>
      </c>
      <c r="D205" s="0" t="n">
        <v>1362.06</v>
      </c>
      <c r="E205" s="0" t="n">
        <v>1366.96</v>
      </c>
      <c r="F205" s="0" t="n">
        <v>2619830000</v>
      </c>
      <c r="G205" s="0" t="n">
        <v>1366.96</v>
      </c>
      <c r="H205" s="34" t="n">
        <f aca="false">G205/G204-1</f>
        <v>0.00084931908039243</v>
      </c>
      <c r="I205" s="91" t="n">
        <f aca="false">(1+H205)*I204</f>
        <v>1095066.05035689</v>
      </c>
      <c r="J205" s="34" t="n">
        <f aca="false">I205/$I$3 -1</f>
        <v>0.0950660503568896</v>
      </c>
      <c r="K205" s="0" t="n">
        <f aca="false">IF(ISBLANK(A206),MONTH(A205),IF(MONTH(A206)-MONTH(A205)=1,MONTH(A205),0))</f>
        <v>0</v>
      </c>
    </row>
    <row r="206" customFormat="false" ht="13.8" hidden="false" customHeight="false" outlineLevel="0" collapsed="false">
      <c r="A206" s="6" t="n">
        <v>39010</v>
      </c>
      <c r="B206" s="0" t="n">
        <v>1366.94</v>
      </c>
      <c r="C206" s="0" t="n">
        <v>1368.66</v>
      </c>
      <c r="D206" s="0" t="n">
        <v>1362.1</v>
      </c>
      <c r="E206" s="0" t="n">
        <v>1368.6</v>
      </c>
      <c r="F206" s="0" t="n">
        <v>2526410000</v>
      </c>
      <c r="G206" s="0" t="n">
        <v>1368.6</v>
      </c>
      <c r="H206" s="34" t="n">
        <f aca="false">G206/G205-1</f>
        <v>0.00119974249429378</v>
      </c>
      <c r="I206" s="91" t="n">
        <f aca="false">(1+H206)*I205</f>
        <v>1096379.84763156</v>
      </c>
      <c r="J206" s="34" t="n">
        <f aca="false">I206/$I$3 -1</f>
        <v>0.0963798476315612</v>
      </c>
      <c r="K206" s="0" t="n">
        <f aca="false">IF(ISBLANK(A207),MONTH(A206),IF(MONTH(A207)-MONTH(A206)=1,MONTH(A206),0))</f>
        <v>0</v>
      </c>
    </row>
    <row r="207" customFormat="false" ht="13.8" hidden="false" customHeight="false" outlineLevel="0" collapsed="false">
      <c r="A207" s="6" t="n">
        <v>39013</v>
      </c>
      <c r="B207" s="0" t="n">
        <v>1368.58</v>
      </c>
      <c r="C207" s="0" t="n">
        <v>1377.4</v>
      </c>
      <c r="D207" s="0" t="n">
        <v>1363.94</v>
      </c>
      <c r="E207" s="0" t="n">
        <v>1377.02</v>
      </c>
      <c r="F207" s="0" t="n">
        <v>2480430000</v>
      </c>
      <c r="G207" s="0" t="n">
        <v>1377.02</v>
      </c>
      <c r="H207" s="34" t="n">
        <f aca="false">G207/G206-1</f>
        <v>0.00615227239514837</v>
      </c>
      <c r="I207" s="91" t="n">
        <f aca="false">(1+H207)*I206</f>
        <v>1103125.07510274</v>
      </c>
      <c r="J207" s="34" t="n">
        <f aca="false">I207/$I$3 -1</f>
        <v>0.103125075102742</v>
      </c>
      <c r="K207" s="0" t="n">
        <f aca="false">IF(ISBLANK(A208),MONTH(A207),IF(MONTH(A208)-MONTH(A207)=1,MONTH(A207),0))</f>
        <v>0</v>
      </c>
    </row>
    <row r="208" customFormat="false" ht="13.8" hidden="false" customHeight="false" outlineLevel="0" collapsed="false">
      <c r="A208" s="6" t="n">
        <v>39014</v>
      </c>
      <c r="B208" s="0" t="n">
        <v>1377.02</v>
      </c>
      <c r="C208" s="0" t="n">
        <v>1377.78</v>
      </c>
      <c r="D208" s="0" t="n">
        <v>1372.42</v>
      </c>
      <c r="E208" s="0" t="n">
        <v>1377.38</v>
      </c>
      <c r="F208" s="0" t="n">
        <v>2876890000</v>
      </c>
      <c r="G208" s="0" t="n">
        <v>1377.38</v>
      </c>
      <c r="H208" s="34" t="n">
        <f aca="false">G208/G207-1</f>
        <v>0.000261434111342052</v>
      </c>
      <c r="I208" s="91" t="n">
        <f aca="false">(1+H208)*I207</f>
        <v>1103413.46962645</v>
      </c>
      <c r="J208" s="34" t="n">
        <f aca="false">I208/$I$3 -1</f>
        <v>0.10341346962645</v>
      </c>
      <c r="K208" s="0" t="n">
        <f aca="false">IF(ISBLANK(A209),MONTH(A208),IF(MONTH(A209)-MONTH(A208)=1,MONTH(A208),0))</f>
        <v>0</v>
      </c>
    </row>
    <row r="209" customFormat="false" ht="13.8" hidden="false" customHeight="false" outlineLevel="0" collapsed="false">
      <c r="A209" s="6" t="n">
        <v>39015</v>
      </c>
      <c r="B209" s="0" t="n">
        <v>1377.36</v>
      </c>
      <c r="C209" s="0" t="n">
        <v>1383.61</v>
      </c>
      <c r="D209" s="0" t="n">
        <v>1376</v>
      </c>
      <c r="E209" s="0" t="n">
        <v>1382.22</v>
      </c>
      <c r="F209" s="0" t="n">
        <v>2953540000</v>
      </c>
      <c r="G209" s="0" t="n">
        <v>1382.22</v>
      </c>
      <c r="H209" s="34" t="n">
        <f aca="false">G209/G208-1</f>
        <v>0.00351391772786003</v>
      </c>
      <c r="I209" s="91" t="n">
        <f aca="false">(1+H209)*I208</f>
        <v>1107290.77377853</v>
      </c>
      <c r="J209" s="34" t="n">
        <f aca="false">I209/$I$3 -1</f>
        <v>0.10729077377853</v>
      </c>
      <c r="K209" s="0" t="n">
        <f aca="false">IF(ISBLANK(A210),MONTH(A209),IF(MONTH(A210)-MONTH(A209)=1,MONTH(A209),0))</f>
        <v>0</v>
      </c>
    </row>
    <row r="210" customFormat="false" ht="13.8" hidden="false" customHeight="false" outlineLevel="0" collapsed="false">
      <c r="A210" s="6" t="n">
        <v>39016</v>
      </c>
      <c r="B210" s="0" t="n">
        <v>1382.21</v>
      </c>
      <c r="C210" s="0" t="n">
        <v>1389.45</v>
      </c>
      <c r="D210" s="0" t="n">
        <v>1379.47</v>
      </c>
      <c r="E210" s="0" t="n">
        <v>1389.08</v>
      </c>
      <c r="F210" s="0" t="n">
        <v>2793350000</v>
      </c>
      <c r="G210" s="0" t="n">
        <v>1389.08</v>
      </c>
      <c r="H210" s="34" t="n">
        <f aca="false">G210/G209-1</f>
        <v>0.00496303048718727</v>
      </c>
      <c r="I210" s="91" t="n">
        <f aca="false">(1+H210)*I209</f>
        <v>1112786.29164697</v>
      </c>
      <c r="J210" s="34" t="n">
        <f aca="false">I210/$I$3 -1</f>
        <v>0.112786291646974</v>
      </c>
      <c r="K210" s="0" t="n">
        <f aca="false">IF(ISBLANK(A211),MONTH(A210),IF(MONTH(A211)-MONTH(A210)=1,MONTH(A210),0))</f>
        <v>0</v>
      </c>
    </row>
    <row r="211" customFormat="false" ht="13.8" hidden="false" customHeight="false" outlineLevel="0" collapsed="false">
      <c r="A211" s="6" t="n">
        <v>39017</v>
      </c>
      <c r="B211" s="0" t="n">
        <v>1388.89</v>
      </c>
      <c r="C211" s="0" t="n">
        <v>1388.89</v>
      </c>
      <c r="D211" s="0" t="n">
        <v>1375.85</v>
      </c>
      <c r="E211" s="0" t="n">
        <v>1377.34</v>
      </c>
      <c r="F211" s="0" t="n">
        <v>2458450000</v>
      </c>
      <c r="G211" s="0" t="n">
        <v>1377.34</v>
      </c>
      <c r="H211" s="34" t="n">
        <f aca="false">G211/G210-1</f>
        <v>-0.00845163705474128</v>
      </c>
      <c r="I211" s="91" t="n">
        <f aca="false">(1+H211)*I210</f>
        <v>1103381.42579048</v>
      </c>
      <c r="J211" s="34" t="n">
        <f aca="false">I211/$I$3 -1</f>
        <v>0.103381425790483</v>
      </c>
      <c r="K211" s="0" t="n">
        <f aca="false">IF(ISBLANK(A212),MONTH(A211),IF(MONTH(A212)-MONTH(A211)=1,MONTH(A211),0))</f>
        <v>0</v>
      </c>
    </row>
    <row r="212" customFormat="false" ht="13.8" hidden="false" customHeight="false" outlineLevel="0" collapsed="false">
      <c r="A212" s="6" t="n">
        <v>39020</v>
      </c>
      <c r="B212" s="0" t="n">
        <v>1377.3</v>
      </c>
      <c r="C212" s="0" t="n">
        <v>1381.22</v>
      </c>
      <c r="D212" s="0" t="n">
        <v>1373.46</v>
      </c>
      <c r="E212" s="0" t="n">
        <v>1377.93</v>
      </c>
      <c r="F212" s="0" t="n">
        <v>2770440000</v>
      </c>
      <c r="G212" s="0" t="n">
        <v>1377.93</v>
      </c>
      <c r="H212" s="34" t="n">
        <f aca="false">G212/G211-1</f>
        <v>0.000428361914995623</v>
      </c>
      <c r="I212" s="91" t="n">
        <f aca="false">(1+H212)*I211</f>
        <v>1103854.072371</v>
      </c>
      <c r="J212" s="34" t="n">
        <f aca="false">I212/$I$3 -1</f>
        <v>0.103854072371005</v>
      </c>
      <c r="K212" s="0" t="n">
        <f aca="false">IF(ISBLANK(A213),MONTH(A212),IF(MONTH(A213)-MONTH(A212)=1,MONTH(A212),0))</f>
        <v>0</v>
      </c>
    </row>
    <row r="213" customFormat="false" ht="13.8" hidden="false" customHeight="false" outlineLevel="0" collapsed="false">
      <c r="A213" s="6" t="n">
        <v>39021</v>
      </c>
      <c r="B213" s="0" t="n">
        <v>1377.93</v>
      </c>
      <c r="C213" s="0" t="n">
        <v>1381.21</v>
      </c>
      <c r="D213" s="0" t="n">
        <v>1372.19</v>
      </c>
      <c r="E213" s="0" t="n">
        <v>1377.94</v>
      </c>
      <c r="F213" s="0" t="n">
        <v>2803030000</v>
      </c>
      <c r="G213" s="0" t="n">
        <v>1377.94</v>
      </c>
      <c r="H213" s="34" t="n">
        <f aca="false">G213/G212-1</f>
        <v>7.25726270567328E-006</v>
      </c>
      <c r="I213" s="91" t="n">
        <f aca="false">(1+H213)*I212</f>
        <v>1103862.08333</v>
      </c>
      <c r="J213" s="34" t="n">
        <f aca="false">I213/$I$3 -1</f>
        <v>0.103862083329997</v>
      </c>
      <c r="K213" s="0" t="n">
        <f aca="false">IF(ISBLANK(A214),MONTH(A213),IF(MONTH(A214)-MONTH(A213)=1,MONTH(A213),0))</f>
        <v>10</v>
      </c>
    </row>
    <row r="214" customFormat="false" ht="13.8" hidden="false" customHeight="false" outlineLevel="0" collapsed="false">
      <c r="A214" s="6" t="n">
        <v>39022</v>
      </c>
      <c r="B214" s="0" t="n">
        <v>1377.76</v>
      </c>
      <c r="C214" s="0" t="n">
        <v>1381.95</v>
      </c>
      <c r="D214" s="0" t="n">
        <v>1366.26</v>
      </c>
      <c r="E214" s="0" t="n">
        <v>1367.81</v>
      </c>
      <c r="F214" s="0" t="n">
        <v>2821160000</v>
      </c>
      <c r="G214" s="0" t="n">
        <v>1367.81</v>
      </c>
      <c r="H214" s="34" t="n">
        <f aca="false">G214/G213-1</f>
        <v>-0.00735155376866925</v>
      </c>
      <c r="I214" s="91" t="n">
        <f aca="false">(1+H214)*I213</f>
        <v>1095746.9818712</v>
      </c>
      <c r="J214" s="34" t="n">
        <f aca="false">I214/$I$3 -1</f>
        <v>0.0957469818712009</v>
      </c>
      <c r="K214" s="0" t="n">
        <f aca="false">IF(ISBLANK(A215),MONTH(A214),IF(MONTH(A215)-MONTH(A214)=1,MONTH(A214),0))</f>
        <v>0</v>
      </c>
    </row>
    <row r="215" customFormat="false" ht="13.8" hidden="false" customHeight="false" outlineLevel="0" collapsed="false">
      <c r="A215" s="6" t="n">
        <v>39023</v>
      </c>
      <c r="B215" s="0" t="n">
        <v>1367.44</v>
      </c>
      <c r="C215" s="0" t="n">
        <v>1368.39</v>
      </c>
      <c r="D215" s="0" t="n">
        <v>1362.21</v>
      </c>
      <c r="E215" s="0" t="n">
        <v>1367.34</v>
      </c>
      <c r="F215" s="0" t="n">
        <v>2646180000</v>
      </c>
      <c r="G215" s="0" t="n">
        <v>1367.34</v>
      </c>
      <c r="H215" s="34" t="n">
        <f aca="false">G215/G214-1</f>
        <v>-0.000343614975764184</v>
      </c>
      <c r="I215" s="91" t="n">
        <f aca="false">(1+H215)*I214</f>
        <v>1095370.46679858</v>
      </c>
      <c r="J215" s="34" t="n">
        <f aca="false">I215/$I$3 -1</f>
        <v>0.0953704667985817</v>
      </c>
      <c r="K215" s="0" t="n">
        <f aca="false">IF(ISBLANK(A216),MONTH(A215),IF(MONTH(A216)-MONTH(A215)=1,MONTH(A215),0))</f>
        <v>0</v>
      </c>
    </row>
    <row r="216" customFormat="false" ht="13.8" hidden="false" customHeight="false" outlineLevel="0" collapsed="false">
      <c r="A216" s="6" t="n">
        <v>39024</v>
      </c>
      <c r="B216" s="0" t="n">
        <v>1367.31</v>
      </c>
      <c r="C216" s="0" t="n">
        <v>1371.68</v>
      </c>
      <c r="D216" s="0" t="n">
        <v>1360.98</v>
      </c>
      <c r="E216" s="0" t="n">
        <v>1364.3</v>
      </c>
      <c r="F216" s="0" t="n">
        <v>2419730000</v>
      </c>
      <c r="G216" s="0" t="n">
        <v>1364.3</v>
      </c>
      <c r="H216" s="34" t="n">
        <f aca="false">G216/G215-1</f>
        <v>-0.00222329486448136</v>
      </c>
      <c r="I216" s="91" t="n">
        <f aca="false">(1+H216)*I215</f>
        <v>1092935.13526504</v>
      </c>
      <c r="J216" s="34" t="n">
        <f aca="false">I216/$I$3 -1</f>
        <v>0.0929351352650436</v>
      </c>
      <c r="K216" s="0" t="n">
        <f aca="false">IF(ISBLANK(A217),MONTH(A216),IF(MONTH(A217)-MONTH(A216)=1,MONTH(A216),0))</f>
        <v>0</v>
      </c>
    </row>
    <row r="217" customFormat="false" ht="13.8" hidden="false" customHeight="false" outlineLevel="0" collapsed="false">
      <c r="A217" s="6" t="n">
        <v>39027</v>
      </c>
      <c r="B217" s="0" t="n">
        <v>1364.27</v>
      </c>
      <c r="C217" s="0" t="n">
        <v>1381.4</v>
      </c>
      <c r="D217" s="0" t="n">
        <v>1364.27</v>
      </c>
      <c r="E217" s="0" t="n">
        <v>1379.78</v>
      </c>
      <c r="F217" s="0" t="n">
        <v>2533550000</v>
      </c>
      <c r="G217" s="0" t="n">
        <v>1379.78</v>
      </c>
      <c r="H217" s="34" t="n">
        <f aca="false">G217/G216-1</f>
        <v>0.0113464780473502</v>
      </c>
      <c r="I217" s="91" t="n">
        <f aca="false">(1+H217)*I216</f>
        <v>1105336.09978451</v>
      </c>
      <c r="J217" s="34" t="n">
        <f aca="false">I217/$I$3 -1</f>
        <v>0.105336099784506</v>
      </c>
      <c r="K217" s="0" t="n">
        <f aca="false">IF(ISBLANK(A218),MONTH(A217),IF(MONTH(A218)-MONTH(A217)=1,MONTH(A217),0))</f>
        <v>0</v>
      </c>
    </row>
    <row r="218" customFormat="false" ht="13.8" hidden="false" customHeight="false" outlineLevel="0" collapsed="false">
      <c r="A218" s="6" t="n">
        <v>39028</v>
      </c>
      <c r="B218" s="0" t="n">
        <v>1379.75</v>
      </c>
      <c r="C218" s="0" t="n">
        <v>1388.19</v>
      </c>
      <c r="D218" s="0" t="n">
        <v>1379.19</v>
      </c>
      <c r="E218" s="0" t="n">
        <v>1382.84</v>
      </c>
      <c r="F218" s="0" t="n">
        <v>2636390000</v>
      </c>
      <c r="G218" s="0" t="n">
        <v>1382.84</v>
      </c>
      <c r="H218" s="34" t="n">
        <f aca="false">G218/G217-1</f>
        <v>0.00221774485787596</v>
      </c>
      <c r="I218" s="91" t="n">
        <f aca="false">(1+H218)*I217</f>
        <v>1107787.45323603</v>
      </c>
      <c r="J218" s="34" t="n">
        <f aca="false">I218/$I$3 -1</f>
        <v>0.107787453236028</v>
      </c>
      <c r="K218" s="0" t="n">
        <f aca="false">IF(ISBLANK(A219),MONTH(A218),IF(MONTH(A219)-MONTH(A218)=1,MONTH(A218),0))</f>
        <v>0</v>
      </c>
    </row>
    <row r="219" customFormat="false" ht="13.8" hidden="false" customHeight="false" outlineLevel="0" collapsed="false">
      <c r="A219" s="6" t="n">
        <v>39029</v>
      </c>
      <c r="B219" s="0" t="n">
        <v>1382.5</v>
      </c>
      <c r="C219" s="0" t="n">
        <v>1388.61</v>
      </c>
      <c r="D219" s="0" t="n">
        <v>1379.33</v>
      </c>
      <c r="E219" s="0" t="n">
        <v>1385.72</v>
      </c>
      <c r="F219" s="0" t="n">
        <v>2814820000</v>
      </c>
      <c r="G219" s="0" t="n">
        <v>1385.72</v>
      </c>
      <c r="H219" s="34" t="n">
        <f aca="false">G219/G218-1</f>
        <v>0.00208267044632793</v>
      </c>
      <c r="I219" s="91" t="n">
        <f aca="false">(1+H219)*I218</f>
        <v>1110094.6094257</v>
      </c>
      <c r="J219" s="34" t="n">
        <f aca="false">I219/$I$3 -1</f>
        <v>0.110094609425696</v>
      </c>
      <c r="K219" s="0" t="n">
        <f aca="false">IF(ISBLANK(A220),MONTH(A219),IF(MONTH(A220)-MONTH(A219)=1,MONTH(A219),0))</f>
        <v>0</v>
      </c>
    </row>
    <row r="220" customFormat="false" ht="13.8" hidden="false" customHeight="false" outlineLevel="0" collapsed="false">
      <c r="A220" s="6" t="n">
        <v>39030</v>
      </c>
      <c r="B220" s="0" t="n">
        <v>1385.43</v>
      </c>
      <c r="C220" s="0" t="n">
        <v>1388.92</v>
      </c>
      <c r="D220" s="0" t="n">
        <v>1377.31</v>
      </c>
      <c r="E220" s="0" t="n">
        <v>1378.33</v>
      </c>
      <c r="F220" s="0" t="n">
        <v>3012050000</v>
      </c>
      <c r="G220" s="0" t="n">
        <v>1378.33</v>
      </c>
      <c r="H220" s="34" t="n">
        <f aca="false">G220/G219-1</f>
        <v>-0.0053329676991023</v>
      </c>
      <c r="I220" s="91" t="n">
        <f aca="false">(1+H220)*I219</f>
        <v>1104174.51073068</v>
      </c>
      <c r="J220" s="34" t="n">
        <f aca="false">I220/$I$3 -1</f>
        <v>0.104174510730681</v>
      </c>
      <c r="K220" s="0" t="n">
        <f aca="false">IF(ISBLANK(A221),MONTH(A220),IF(MONTH(A221)-MONTH(A220)=1,MONTH(A220),0))</f>
        <v>0</v>
      </c>
    </row>
    <row r="221" customFormat="false" ht="13.8" hidden="false" customHeight="false" outlineLevel="0" collapsed="false">
      <c r="A221" s="6" t="n">
        <v>39031</v>
      </c>
      <c r="B221" s="0" t="n">
        <v>1378.33</v>
      </c>
      <c r="C221" s="0" t="n">
        <v>1381.04</v>
      </c>
      <c r="D221" s="0" t="n">
        <v>1375.6</v>
      </c>
      <c r="E221" s="0" t="n">
        <v>1380.9</v>
      </c>
      <c r="F221" s="0" t="n">
        <v>2290200000</v>
      </c>
      <c r="G221" s="0" t="n">
        <v>1380.9</v>
      </c>
      <c r="H221" s="34" t="n">
        <f aca="false">G221/G220-1</f>
        <v>0.0018645752468569</v>
      </c>
      <c r="I221" s="91" t="n">
        <f aca="false">(1+H221)*I220</f>
        <v>1106233.3271916</v>
      </c>
      <c r="J221" s="34" t="n">
        <f aca="false">I221/$I$3 -1</f>
        <v>0.1062333271916</v>
      </c>
      <c r="K221" s="0" t="n">
        <f aca="false">IF(ISBLANK(A222),MONTH(A221),IF(MONTH(A222)-MONTH(A221)=1,MONTH(A221),0))</f>
        <v>0</v>
      </c>
    </row>
    <row r="222" customFormat="false" ht="13.8" hidden="false" customHeight="false" outlineLevel="0" collapsed="false">
      <c r="A222" s="6" t="n">
        <v>39034</v>
      </c>
      <c r="B222" s="0" t="n">
        <v>1380.58</v>
      </c>
      <c r="C222" s="0" t="n">
        <v>1387.61</v>
      </c>
      <c r="D222" s="0" t="n">
        <v>1378.8</v>
      </c>
      <c r="E222" s="0" t="n">
        <v>1384.42</v>
      </c>
      <c r="F222" s="0" t="n">
        <v>2386340000</v>
      </c>
      <c r="G222" s="0" t="n">
        <v>1384.42</v>
      </c>
      <c r="H222" s="34" t="n">
        <f aca="false">G222/G221-1</f>
        <v>0.00254906220580775</v>
      </c>
      <c r="I222" s="91" t="n">
        <f aca="false">(1+H222)*I221</f>
        <v>1109053.18475675</v>
      </c>
      <c r="J222" s="34" t="n">
        <f aca="false">I222/$I$3 -1</f>
        <v>0.109053184756749</v>
      </c>
      <c r="K222" s="0" t="n">
        <f aca="false">IF(ISBLANK(A223),MONTH(A222),IF(MONTH(A223)-MONTH(A222)=1,MONTH(A222),0))</f>
        <v>0</v>
      </c>
    </row>
    <row r="223" customFormat="false" ht="13.8" hidden="false" customHeight="false" outlineLevel="0" collapsed="false">
      <c r="A223" s="6" t="n">
        <v>39035</v>
      </c>
      <c r="B223" s="0" t="n">
        <v>1384.36</v>
      </c>
      <c r="C223" s="0" t="n">
        <v>1394.49</v>
      </c>
      <c r="D223" s="0" t="n">
        <v>1379.07</v>
      </c>
      <c r="E223" s="0" t="n">
        <v>1393.22</v>
      </c>
      <c r="F223" s="0" t="n">
        <v>3027480000</v>
      </c>
      <c r="G223" s="0" t="n">
        <v>1393.22</v>
      </c>
      <c r="H223" s="34" t="n">
        <f aca="false">G223/G222-1</f>
        <v>0.00635645252163353</v>
      </c>
      <c r="I223" s="91" t="n">
        <f aca="false">(1+H223)*I222</f>
        <v>1116102.82866962</v>
      </c>
      <c r="J223" s="34" t="n">
        <f aca="false">I223/$I$3 -1</f>
        <v>0.116102828669621</v>
      </c>
      <c r="K223" s="0" t="n">
        <f aca="false">IF(ISBLANK(A224),MONTH(A223),IF(MONTH(A224)-MONTH(A223)=1,MONTH(A223),0))</f>
        <v>0</v>
      </c>
    </row>
    <row r="224" customFormat="false" ht="13.8" hidden="false" customHeight="false" outlineLevel="0" collapsed="false">
      <c r="A224" s="6" t="n">
        <v>39036</v>
      </c>
      <c r="B224" s="0" t="n">
        <v>1392.91</v>
      </c>
      <c r="C224" s="0" t="n">
        <v>1401.35</v>
      </c>
      <c r="D224" s="0" t="n">
        <v>1392.13</v>
      </c>
      <c r="E224" s="0" t="n">
        <v>1396.57</v>
      </c>
      <c r="F224" s="0" t="n">
        <v>2831130000</v>
      </c>
      <c r="G224" s="0" t="n">
        <v>1396.57</v>
      </c>
      <c r="H224" s="34" t="n">
        <f aca="false">G224/G223-1</f>
        <v>0.00240450180158192</v>
      </c>
      <c r="I224" s="91" t="n">
        <f aca="false">(1+H224)*I223</f>
        <v>1118786.49993191</v>
      </c>
      <c r="J224" s="34" t="n">
        <f aca="false">I224/$I$3 -1</f>
        <v>0.118786499931908</v>
      </c>
      <c r="K224" s="0" t="n">
        <f aca="false">IF(ISBLANK(A225),MONTH(A224),IF(MONTH(A225)-MONTH(A224)=1,MONTH(A224),0))</f>
        <v>0</v>
      </c>
    </row>
    <row r="225" customFormat="false" ht="13.8" hidden="false" customHeight="false" outlineLevel="0" collapsed="false">
      <c r="A225" s="6" t="n">
        <v>39037</v>
      </c>
      <c r="B225" s="0" t="n">
        <v>1396.53</v>
      </c>
      <c r="C225" s="0" t="n">
        <v>1403.76</v>
      </c>
      <c r="D225" s="0" t="n">
        <v>1396.53</v>
      </c>
      <c r="E225" s="0" t="n">
        <v>1399.76</v>
      </c>
      <c r="F225" s="0" t="n">
        <v>2835730000</v>
      </c>
      <c r="G225" s="0" t="n">
        <v>1399.76</v>
      </c>
      <c r="H225" s="34" t="n">
        <f aca="false">G225/G224-1</f>
        <v>0.00228416763928774</v>
      </c>
      <c r="I225" s="91" t="n">
        <f aca="false">(1+H225)*I224</f>
        <v>1121341.99585032</v>
      </c>
      <c r="J225" s="34" t="n">
        <f aca="false">I225/$I$3 -1</f>
        <v>0.121341995850325</v>
      </c>
      <c r="K225" s="0" t="n">
        <f aca="false">IF(ISBLANK(A226),MONTH(A225),IF(MONTH(A226)-MONTH(A225)=1,MONTH(A225),0))</f>
        <v>0</v>
      </c>
    </row>
    <row r="226" customFormat="false" ht="13.8" hidden="false" customHeight="false" outlineLevel="0" collapsed="false">
      <c r="A226" s="6" t="n">
        <v>39038</v>
      </c>
      <c r="B226" s="0" t="n">
        <v>1399.76</v>
      </c>
      <c r="C226" s="0" t="n">
        <v>1401.21</v>
      </c>
      <c r="D226" s="0" t="n">
        <v>1394.55</v>
      </c>
      <c r="E226" s="0" t="n">
        <v>1401.2</v>
      </c>
      <c r="F226" s="0" t="n">
        <v>2726100000</v>
      </c>
      <c r="G226" s="0" t="n">
        <v>1401.2</v>
      </c>
      <c r="H226" s="34" t="n">
        <f aca="false">G226/G225-1</f>
        <v>0.00102874778533457</v>
      </c>
      <c r="I226" s="91" t="n">
        <f aca="false">(1+H226)*I225</f>
        <v>1122495.57394516</v>
      </c>
      <c r="J226" s="34" t="n">
        <f aca="false">I226/$I$3 -1</f>
        <v>0.122495573945158</v>
      </c>
      <c r="K226" s="0" t="n">
        <f aca="false">IF(ISBLANK(A227),MONTH(A226),IF(MONTH(A227)-MONTH(A226)=1,MONTH(A226),0))</f>
        <v>0</v>
      </c>
    </row>
    <row r="227" customFormat="false" ht="13.8" hidden="false" customHeight="false" outlineLevel="0" collapsed="false">
      <c r="A227" s="6" t="n">
        <v>39041</v>
      </c>
      <c r="B227" s="0" t="n">
        <v>1401.17</v>
      </c>
      <c r="C227" s="0" t="n">
        <v>1404.37</v>
      </c>
      <c r="D227" s="0" t="n">
        <v>1397.85</v>
      </c>
      <c r="E227" s="0" t="n">
        <v>1400.5</v>
      </c>
      <c r="F227" s="0" t="n">
        <v>2546710000</v>
      </c>
      <c r="G227" s="0" t="n">
        <v>1400.5</v>
      </c>
      <c r="H227" s="34" t="n">
        <f aca="false">G227/G226-1</f>
        <v>-0.000499571795603782</v>
      </c>
      <c r="I227" s="91" t="n">
        <f aca="false">(1+H227)*I226</f>
        <v>1121934.80681573</v>
      </c>
      <c r="J227" s="34" t="n">
        <f aca="false">I227/$I$3 -1</f>
        <v>0.121934806815725</v>
      </c>
      <c r="K227" s="0" t="n">
        <f aca="false">IF(ISBLANK(A228),MONTH(A227),IF(MONTH(A228)-MONTH(A227)=1,MONTH(A227),0))</f>
        <v>0</v>
      </c>
    </row>
    <row r="228" customFormat="false" ht="13.8" hidden="false" customHeight="false" outlineLevel="0" collapsed="false">
      <c r="A228" s="6" t="n">
        <v>39042</v>
      </c>
      <c r="B228" s="0" t="n">
        <v>1400.43</v>
      </c>
      <c r="C228" s="0" t="n">
        <v>1403.49</v>
      </c>
      <c r="D228" s="0" t="n">
        <v>1399.99</v>
      </c>
      <c r="E228" s="0" t="n">
        <v>1402.81</v>
      </c>
      <c r="F228" s="0" t="n">
        <v>2597940000</v>
      </c>
      <c r="G228" s="0" t="n">
        <v>1402.81</v>
      </c>
      <c r="H228" s="34" t="n">
        <f aca="false">G228/G227-1</f>
        <v>0.00164941092466964</v>
      </c>
      <c r="I228" s="91" t="n">
        <f aca="false">(1+H228)*I227</f>
        <v>1123785.33834285</v>
      </c>
      <c r="J228" s="34" t="n">
        <f aca="false">I228/$I$3 -1</f>
        <v>0.123785338342854</v>
      </c>
      <c r="K228" s="0" t="n">
        <f aca="false">IF(ISBLANK(A229),MONTH(A228),IF(MONTH(A229)-MONTH(A228)=1,MONTH(A228),0))</f>
        <v>0</v>
      </c>
    </row>
    <row r="229" customFormat="false" ht="13.8" hidden="false" customHeight="false" outlineLevel="0" collapsed="false">
      <c r="A229" s="6" t="n">
        <v>39043</v>
      </c>
      <c r="B229" s="0" t="n">
        <v>1402.69</v>
      </c>
      <c r="C229" s="0" t="n">
        <v>1407.89</v>
      </c>
      <c r="D229" s="0" t="n">
        <v>1402.26</v>
      </c>
      <c r="E229" s="0" t="n">
        <v>1406.09</v>
      </c>
      <c r="F229" s="0" t="n">
        <v>2237710000</v>
      </c>
      <c r="G229" s="0" t="n">
        <v>1406.09</v>
      </c>
      <c r="H229" s="34" t="n">
        <f aca="false">G229/G228-1</f>
        <v>0.00233816411345789</v>
      </c>
      <c r="I229" s="91" t="n">
        <f aca="false">(1+H229)*I228</f>
        <v>1126412.9328922</v>
      </c>
      <c r="J229" s="34" t="n">
        <f aca="false">I229/$I$3 -1</f>
        <v>0.126412932892198</v>
      </c>
      <c r="K229" s="0" t="n">
        <f aca="false">IF(ISBLANK(A230),MONTH(A229),IF(MONTH(A230)-MONTH(A229)=1,MONTH(A229),0))</f>
        <v>0</v>
      </c>
    </row>
    <row r="230" customFormat="false" ht="13.8" hidden="false" customHeight="false" outlineLevel="0" collapsed="false">
      <c r="A230" s="6" t="n">
        <v>39045</v>
      </c>
      <c r="B230" s="0" t="n">
        <v>1405.94</v>
      </c>
      <c r="C230" s="0" t="n">
        <v>1405.94</v>
      </c>
      <c r="D230" s="0" t="n">
        <v>1399.25</v>
      </c>
      <c r="E230" s="0" t="n">
        <v>1400.95</v>
      </c>
      <c r="F230" s="0" t="n">
        <v>832550000</v>
      </c>
      <c r="G230" s="0" t="n">
        <v>1400.95</v>
      </c>
      <c r="H230" s="34" t="n">
        <f aca="false">G230/G229-1</f>
        <v>-0.00365552702885297</v>
      </c>
      <c r="I230" s="91" t="n">
        <f aca="false">(1+H230)*I229</f>
        <v>1122295.29997036</v>
      </c>
      <c r="J230" s="34" t="n">
        <f aca="false">I230/$I$3 -1</f>
        <v>0.122295299970361</v>
      </c>
      <c r="K230" s="0" t="n">
        <f aca="false">IF(ISBLANK(A231),MONTH(A230),IF(MONTH(A231)-MONTH(A230)=1,MONTH(A230),0))</f>
        <v>0</v>
      </c>
    </row>
    <row r="231" customFormat="false" ht="13.8" hidden="false" customHeight="false" outlineLevel="0" collapsed="false">
      <c r="A231" s="6" t="n">
        <v>39048</v>
      </c>
      <c r="B231" s="0" t="n">
        <v>1400.95</v>
      </c>
      <c r="C231" s="0" t="n">
        <v>1400.95</v>
      </c>
      <c r="D231" s="0" t="n">
        <v>1381.44</v>
      </c>
      <c r="E231" s="0" t="n">
        <v>1381.96</v>
      </c>
      <c r="F231" s="0" t="n">
        <v>2711210000</v>
      </c>
      <c r="G231" s="0" t="n">
        <v>1381.96</v>
      </c>
      <c r="H231" s="34" t="n">
        <f aca="false">G231/G230-1</f>
        <v>-0.0135550876191156</v>
      </c>
      <c r="I231" s="91" t="n">
        <f aca="false">(1+H231)*I230</f>
        <v>1107082.48884474</v>
      </c>
      <c r="J231" s="34" t="n">
        <f aca="false">I231/$I$3 -1</f>
        <v>0.107082488844741</v>
      </c>
      <c r="K231" s="0" t="n">
        <f aca="false">IF(ISBLANK(A232),MONTH(A231),IF(MONTH(A232)-MONTH(A231)=1,MONTH(A231),0))</f>
        <v>0</v>
      </c>
    </row>
    <row r="232" customFormat="false" ht="13.8" hidden="false" customHeight="false" outlineLevel="0" collapsed="false">
      <c r="A232" s="6" t="n">
        <v>39049</v>
      </c>
      <c r="B232" s="0" t="n">
        <v>1381.61</v>
      </c>
      <c r="C232" s="0" t="n">
        <v>1387.91</v>
      </c>
      <c r="D232" s="0" t="n">
        <v>1377.83</v>
      </c>
      <c r="E232" s="0" t="n">
        <v>1386.72</v>
      </c>
      <c r="F232" s="0" t="n">
        <v>2639750000</v>
      </c>
      <c r="G232" s="0" t="n">
        <v>1386.72</v>
      </c>
      <c r="H232" s="34" t="n">
        <f aca="false">G232/G231-1</f>
        <v>0.00344438333960451</v>
      </c>
      <c r="I232" s="91" t="n">
        <f aca="false">(1+H232)*I231</f>
        <v>1110895.70532489</v>
      </c>
      <c r="J232" s="34" t="n">
        <f aca="false">I232/$I$3 -1</f>
        <v>0.110895705324886</v>
      </c>
      <c r="K232" s="0" t="n">
        <f aca="false">IF(ISBLANK(A233),MONTH(A232),IF(MONTH(A233)-MONTH(A232)=1,MONTH(A232),0))</f>
        <v>0</v>
      </c>
    </row>
    <row r="233" customFormat="false" ht="13.8" hidden="false" customHeight="false" outlineLevel="0" collapsed="false">
      <c r="A233" s="6" t="n">
        <v>39050</v>
      </c>
      <c r="B233" s="0" t="n">
        <v>1386.11</v>
      </c>
      <c r="C233" s="0" t="n">
        <v>1401.14</v>
      </c>
      <c r="D233" s="0" t="n">
        <v>1386.11</v>
      </c>
      <c r="E233" s="0" t="n">
        <v>1399.48</v>
      </c>
      <c r="F233" s="0" t="n">
        <v>2790970000</v>
      </c>
      <c r="G233" s="0" t="n">
        <v>1399.48</v>
      </c>
      <c r="H233" s="34" t="n">
        <f aca="false">G233/G232-1</f>
        <v>0.00920156917041659</v>
      </c>
      <c r="I233" s="91" t="n">
        <f aca="false">(1+H233)*I232</f>
        <v>1121117.68899855</v>
      </c>
      <c r="J233" s="34" t="n">
        <f aca="false">I233/$I$3 -1</f>
        <v>0.121117688998551</v>
      </c>
      <c r="K233" s="0" t="n">
        <f aca="false">IF(ISBLANK(A234),MONTH(A233),IF(MONTH(A234)-MONTH(A233)=1,MONTH(A233),0))</f>
        <v>0</v>
      </c>
    </row>
    <row r="234" customFormat="false" ht="13.8" hidden="false" customHeight="false" outlineLevel="0" collapsed="false">
      <c r="A234" s="6" t="n">
        <v>39051</v>
      </c>
      <c r="B234" s="0" t="n">
        <v>1399.47</v>
      </c>
      <c r="C234" s="0" t="n">
        <v>1406.3</v>
      </c>
      <c r="D234" s="0" t="n">
        <v>1393.83</v>
      </c>
      <c r="E234" s="0" t="n">
        <v>1400.63</v>
      </c>
      <c r="F234" s="0" t="n">
        <v>4006230000</v>
      </c>
      <c r="G234" s="0" t="n">
        <v>1400.63</v>
      </c>
      <c r="H234" s="34" t="n">
        <f aca="false">G234/G233-1</f>
        <v>0.000821733786835255</v>
      </c>
      <c r="I234" s="91" t="n">
        <f aca="false">(1+H234)*I233</f>
        <v>1122038.94928262</v>
      </c>
      <c r="J234" s="34" t="n">
        <f aca="false">I234/$I$3 -1</f>
        <v>0.12203894928262</v>
      </c>
      <c r="K234" s="0" t="n">
        <f aca="false">IF(ISBLANK(A235),MONTH(A234),IF(MONTH(A235)-MONTH(A234)=1,MONTH(A234),0))</f>
        <v>11</v>
      </c>
    </row>
    <row r="235" customFormat="false" ht="13.8" hidden="false" customHeight="false" outlineLevel="0" collapsed="false">
      <c r="A235" s="6" t="n">
        <v>39052</v>
      </c>
      <c r="B235" s="0" t="n">
        <v>1400.63</v>
      </c>
      <c r="C235" s="0" t="n">
        <v>1402.46</v>
      </c>
      <c r="D235" s="0" t="n">
        <v>1385.93</v>
      </c>
      <c r="E235" s="0" t="n">
        <v>1396.71</v>
      </c>
      <c r="F235" s="0" t="n">
        <v>2800980000</v>
      </c>
      <c r="G235" s="0" t="n">
        <v>1396.71</v>
      </c>
      <c r="H235" s="34" t="n">
        <f aca="false">G235/G234-1</f>
        <v>-0.00279874056674501</v>
      </c>
      <c r="I235" s="91" t="n">
        <f aca="false">(1+H235)*I234</f>
        <v>1118898.6533578</v>
      </c>
      <c r="J235" s="34" t="n">
        <f aca="false">I235/$I$3 -1</f>
        <v>0.118898653357795</v>
      </c>
      <c r="K235" s="0" t="n">
        <f aca="false">IF(ISBLANK(A236),MONTH(A235),IF(MONTH(A236)-MONTH(A235)=1,MONTH(A235),0))</f>
        <v>0</v>
      </c>
    </row>
    <row r="236" customFormat="false" ht="13.8" hidden="false" customHeight="false" outlineLevel="0" collapsed="false">
      <c r="A236" s="6" t="n">
        <v>39055</v>
      </c>
      <c r="B236" s="0" t="n">
        <v>1396.67</v>
      </c>
      <c r="C236" s="0" t="n">
        <v>1411.23</v>
      </c>
      <c r="D236" s="0" t="n">
        <v>1396.67</v>
      </c>
      <c r="E236" s="0" t="n">
        <v>1409.12</v>
      </c>
      <c r="F236" s="0" t="n">
        <v>2766320000</v>
      </c>
      <c r="G236" s="0" t="n">
        <v>1409.12</v>
      </c>
      <c r="H236" s="34" t="n">
        <f aca="false">G236/G235-1</f>
        <v>0.00888516585404253</v>
      </c>
      <c r="I236" s="91" t="n">
        <f aca="false">(1+H236)*I235</f>
        <v>1128840.25346674</v>
      </c>
      <c r="J236" s="34" t="n">
        <f aca="false">I236/$I$3 -1</f>
        <v>0.128840253466744</v>
      </c>
      <c r="K236" s="0" t="n">
        <f aca="false">IF(ISBLANK(A237),MONTH(A236),IF(MONTH(A237)-MONTH(A236)=1,MONTH(A236),0))</f>
        <v>0</v>
      </c>
    </row>
    <row r="237" customFormat="false" ht="13.8" hidden="false" customHeight="false" outlineLevel="0" collapsed="false">
      <c r="A237" s="6" t="n">
        <v>39056</v>
      </c>
      <c r="B237" s="0" t="n">
        <v>1409.1</v>
      </c>
      <c r="C237" s="0" t="n">
        <v>1415.27</v>
      </c>
      <c r="D237" s="0" t="n">
        <v>1408.78</v>
      </c>
      <c r="E237" s="0" t="n">
        <v>1414.76</v>
      </c>
      <c r="F237" s="0" t="n">
        <v>2755700000</v>
      </c>
      <c r="G237" s="0" t="n">
        <v>1414.76</v>
      </c>
      <c r="H237" s="34" t="n">
        <f aca="false">G237/G236-1</f>
        <v>0.00400249801294428</v>
      </c>
      <c r="I237" s="91" t="n">
        <f aca="false">(1+H237)*I236</f>
        <v>1133358.43433818</v>
      </c>
      <c r="J237" s="34" t="n">
        <f aca="false">I237/$I$3 -1</f>
        <v>0.133358434338176</v>
      </c>
      <c r="K237" s="0" t="n">
        <f aca="false">IF(ISBLANK(A238),MONTH(A237),IF(MONTH(A238)-MONTH(A237)=1,MONTH(A237),0))</f>
        <v>0</v>
      </c>
    </row>
    <row r="238" customFormat="false" ht="13.8" hidden="false" customHeight="false" outlineLevel="0" collapsed="false">
      <c r="A238" s="6" t="n">
        <v>39057</v>
      </c>
      <c r="B238" s="0" t="n">
        <v>1414.4</v>
      </c>
      <c r="C238" s="0" t="n">
        <v>1415.93</v>
      </c>
      <c r="D238" s="0" t="n">
        <v>1411.05</v>
      </c>
      <c r="E238" s="0" t="n">
        <v>1412.9</v>
      </c>
      <c r="F238" s="0" t="n">
        <v>2725280000</v>
      </c>
      <c r="G238" s="0" t="n">
        <v>1412.9</v>
      </c>
      <c r="H238" s="34" t="n">
        <f aca="false">G238/G237-1</f>
        <v>-0.00131471062229627</v>
      </c>
      <c r="I238" s="91" t="n">
        <f aca="false">(1+H238)*I237</f>
        <v>1131868.39596568</v>
      </c>
      <c r="J238" s="34" t="n">
        <f aca="false">I238/$I$3 -1</f>
        <v>0.131868395965682</v>
      </c>
      <c r="K238" s="0" t="n">
        <f aca="false">IF(ISBLANK(A239),MONTH(A238),IF(MONTH(A239)-MONTH(A238)=1,MONTH(A238),0))</f>
        <v>0</v>
      </c>
    </row>
    <row r="239" customFormat="false" ht="13.8" hidden="false" customHeight="false" outlineLevel="0" collapsed="false">
      <c r="A239" s="6" t="n">
        <v>39058</v>
      </c>
      <c r="B239" s="0" t="n">
        <v>1412.86</v>
      </c>
      <c r="C239" s="0" t="n">
        <v>1418.27</v>
      </c>
      <c r="D239" s="0" t="n">
        <v>1406.8</v>
      </c>
      <c r="E239" s="0" t="n">
        <v>1407.29</v>
      </c>
      <c r="F239" s="0" t="n">
        <v>2743150000</v>
      </c>
      <c r="G239" s="0" t="n">
        <v>1407.29</v>
      </c>
      <c r="H239" s="34" t="n">
        <f aca="false">G239/G238-1</f>
        <v>-0.00397055701040427</v>
      </c>
      <c r="I239" s="91" t="n">
        <f aca="false">(1+H239)*I238</f>
        <v>1127374.24797123</v>
      </c>
      <c r="J239" s="34" t="n">
        <f aca="false">I239/$I$3 -1</f>
        <v>0.127374247971226</v>
      </c>
      <c r="K239" s="0" t="n">
        <f aca="false">IF(ISBLANK(A240),MONTH(A239),IF(MONTH(A240)-MONTH(A239)=1,MONTH(A239),0))</f>
        <v>0</v>
      </c>
    </row>
    <row r="240" customFormat="false" ht="13.8" hidden="false" customHeight="false" outlineLevel="0" collapsed="false">
      <c r="A240" s="6" t="n">
        <v>39059</v>
      </c>
      <c r="B240" s="0" t="n">
        <v>1407.27</v>
      </c>
      <c r="C240" s="0" t="n">
        <v>1414.09</v>
      </c>
      <c r="D240" s="0" t="n">
        <v>1403.67</v>
      </c>
      <c r="E240" s="0" t="n">
        <v>1409.84</v>
      </c>
      <c r="F240" s="0" t="n">
        <v>2440460000</v>
      </c>
      <c r="G240" s="0" t="n">
        <v>1409.84</v>
      </c>
      <c r="H240" s="34" t="n">
        <f aca="false">G240/G239-1</f>
        <v>0.00181199326364845</v>
      </c>
      <c r="I240" s="91" t="n">
        <f aca="false">(1+H240)*I239</f>
        <v>1129417.04251416</v>
      </c>
      <c r="J240" s="34" t="n">
        <f aca="false">I240/$I$3 -1</f>
        <v>0.12941704251416</v>
      </c>
      <c r="K240" s="0" t="n">
        <f aca="false">IF(ISBLANK(A241),MONTH(A240),IF(MONTH(A241)-MONTH(A240)=1,MONTH(A240),0))</f>
        <v>0</v>
      </c>
    </row>
    <row r="241" customFormat="false" ht="13.8" hidden="false" customHeight="false" outlineLevel="0" collapsed="false">
      <c r="A241" s="6" t="n">
        <v>39062</v>
      </c>
      <c r="B241" s="0" t="n">
        <v>1409.81</v>
      </c>
      <c r="C241" s="0" t="n">
        <v>1415.6</v>
      </c>
      <c r="D241" s="0" t="n">
        <v>1408.56</v>
      </c>
      <c r="E241" s="0" t="n">
        <v>1413.04</v>
      </c>
      <c r="F241" s="0" t="n">
        <v>2289900000</v>
      </c>
      <c r="G241" s="0" t="n">
        <v>1413.04</v>
      </c>
      <c r="H241" s="34" t="n">
        <f aca="false">G241/G240-1</f>
        <v>0.00226976110764343</v>
      </c>
      <c r="I241" s="91" t="n">
        <f aca="false">(1+H241)*I240</f>
        <v>1131980.54939157</v>
      </c>
      <c r="J241" s="34" t="n">
        <f aca="false">I241/$I$3 -1</f>
        <v>0.131980549391569</v>
      </c>
      <c r="K241" s="0" t="n">
        <f aca="false">IF(ISBLANK(A242),MONTH(A241),IF(MONTH(A242)-MONTH(A241)=1,MONTH(A241),0))</f>
        <v>0</v>
      </c>
    </row>
    <row r="242" customFormat="false" ht="13.8" hidden="false" customHeight="false" outlineLevel="0" collapsed="false">
      <c r="A242" s="6" t="n">
        <v>39063</v>
      </c>
      <c r="B242" s="0" t="n">
        <v>1413</v>
      </c>
      <c r="C242" s="0" t="n">
        <v>1413.78</v>
      </c>
      <c r="D242" s="0" t="n">
        <v>1404.75</v>
      </c>
      <c r="E242" s="0" t="n">
        <v>1411.56</v>
      </c>
      <c r="F242" s="0" t="n">
        <v>2738170000</v>
      </c>
      <c r="G242" s="0" t="n">
        <v>1411.56</v>
      </c>
      <c r="H242" s="34" t="n">
        <f aca="false">G242/G241-1</f>
        <v>-0.00104738719356845</v>
      </c>
      <c r="I242" s="91" t="n">
        <f aca="false">(1+H242)*I241</f>
        <v>1130794.92746077</v>
      </c>
      <c r="J242" s="34" t="n">
        <f aca="false">I242/$I$3 -1</f>
        <v>0.130794927460767</v>
      </c>
      <c r="K242" s="0" t="n">
        <f aca="false">IF(ISBLANK(A243),MONTH(A242),IF(MONTH(A243)-MONTH(A242)=1,MONTH(A242),0))</f>
        <v>0</v>
      </c>
    </row>
    <row r="243" customFormat="false" ht="13.8" hidden="false" customHeight="false" outlineLevel="0" collapsed="false">
      <c r="A243" s="6" t="n">
        <v>39064</v>
      </c>
      <c r="B243" s="0" t="n">
        <v>1411.32</v>
      </c>
      <c r="C243" s="0" t="n">
        <v>1416.64</v>
      </c>
      <c r="D243" s="0" t="n">
        <v>1411.05</v>
      </c>
      <c r="E243" s="0" t="n">
        <v>1413.21</v>
      </c>
      <c r="F243" s="0" t="n">
        <v>2552260000</v>
      </c>
      <c r="G243" s="0" t="n">
        <v>1413.21</v>
      </c>
      <c r="H243" s="34" t="n">
        <f aca="false">G243/G242-1</f>
        <v>0.00116891949332665</v>
      </c>
      <c r="I243" s="91" t="n">
        <f aca="false">(1+H243)*I242</f>
        <v>1132116.73569443</v>
      </c>
      <c r="J243" s="34" t="n">
        <f aca="false">I243/$I$3 -1</f>
        <v>0.132116735694431</v>
      </c>
      <c r="K243" s="0" t="n">
        <f aca="false">IF(ISBLANK(A244),MONTH(A243),IF(MONTH(A244)-MONTH(A243)=1,MONTH(A243),0))</f>
        <v>0</v>
      </c>
    </row>
    <row r="244" customFormat="false" ht="13.8" hidden="false" customHeight="false" outlineLevel="0" collapsed="false">
      <c r="A244" s="6" t="n">
        <v>39065</v>
      </c>
      <c r="B244" s="0" t="n">
        <v>1413.16</v>
      </c>
      <c r="C244" s="0" t="n">
        <v>1427.23</v>
      </c>
      <c r="D244" s="0" t="n">
        <v>1413.16</v>
      </c>
      <c r="E244" s="0" t="n">
        <v>1425.49</v>
      </c>
      <c r="F244" s="0" t="n">
        <v>2729700000</v>
      </c>
      <c r="G244" s="0" t="n">
        <v>1425.49</v>
      </c>
      <c r="H244" s="34" t="n">
        <f aca="false">G244/G243-1</f>
        <v>0.0086894375216704</v>
      </c>
      <c r="I244" s="91" t="n">
        <f aca="false">(1+H244)*I243</f>
        <v>1141954.19333649</v>
      </c>
      <c r="J244" s="34" t="n">
        <f aca="false">I244/$I$3 -1</f>
        <v>0.141954193336485</v>
      </c>
      <c r="K244" s="0" t="n">
        <f aca="false">IF(ISBLANK(A245),MONTH(A244),IF(MONTH(A245)-MONTH(A244)=1,MONTH(A244),0))</f>
        <v>0</v>
      </c>
    </row>
    <row r="245" customFormat="false" ht="13.8" hidden="false" customHeight="false" outlineLevel="0" collapsed="false">
      <c r="A245" s="6" t="n">
        <v>39066</v>
      </c>
      <c r="B245" s="0" t="n">
        <v>1425.48</v>
      </c>
      <c r="C245" s="0" t="n">
        <v>1431.63</v>
      </c>
      <c r="D245" s="0" t="n">
        <v>1425.48</v>
      </c>
      <c r="E245" s="0" t="n">
        <v>1427.09</v>
      </c>
      <c r="F245" s="0" t="n">
        <v>3229580000</v>
      </c>
      <c r="G245" s="0" t="n">
        <v>1427.09</v>
      </c>
      <c r="H245" s="34" t="n">
        <f aca="false">G245/G244-1</f>
        <v>0.00112242106223115</v>
      </c>
      <c r="I245" s="91" t="n">
        <f aca="false">(1+H245)*I244</f>
        <v>1143235.94677519</v>
      </c>
      <c r="J245" s="34" t="n">
        <f aca="false">I245/$I$3 -1</f>
        <v>0.143235946775189</v>
      </c>
      <c r="K245" s="0" t="n">
        <f aca="false">IF(ISBLANK(A246),MONTH(A245),IF(MONTH(A246)-MONTH(A245)=1,MONTH(A245),0))</f>
        <v>0</v>
      </c>
    </row>
    <row r="246" customFormat="false" ht="13.8" hidden="false" customHeight="false" outlineLevel="0" collapsed="false">
      <c r="A246" s="6" t="n">
        <v>39069</v>
      </c>
      <c r="B246" s="0" t="n">
        <v>1427.08</v>
      </c>
      <c r="C246" s="0" t="n">
        <v>1431.81</v>
      </c>
      <c r="D246" s="0" t="n">
        <v>1420.65</v>
      </c>
      <c r="E246" s="0" t="n">
        <v>1422.48</v>
      </c>
      <c r="F246" s="0" t="n">
        <v>2568140000</v>
      </c>
      <c r="G246" s="0" t="n">
        <v>1422.48</v>
      </c>
      <c r="H246" s="34" t="n">
        <f aca="false">G246/G245-1</f>
        <v>-0.00323034987281801</v>
      </c>
      <c r="I246" s="91" t="n">
        <f aca="false">(1+H246)*I245</f>
        <v>1139542.89467992</v>
      </c>
      <c r="J246" s="34" t="n">
        <f aca="false">I246/$I$3 -1</f>
        <v>0.139542894679923</v>
      </c>
      <c r="K246" s="0" t="n">
        <f aca="false">IF(ISBLANK(A247),MONTH(A246),IF(MONTH(A247)-MONTH(A246)=1,MONTH(A246),0))</f>
        <v>0</v>
      </c>
    </row>
    <row r="247" customFormat="false" ht="13.8" hidden="false" customHeight="false" outlineLevel="0" collapsed="false">
      <c r="A247" s="6" t="n">
        <v>39070</v>
      </c>
      <c r="B247" s="0" t="n">
        <v>1422.42</v>
      </c>
      <c r="C247" s="0" t="n">
        <v>1428.3</v>
      </c>
      <c r="D247" s="0" t="n">
        <v>1414.88</v>
      </c>
      <c r="E247" s="0" t="n">
        <v>1425.55</v>
      </c>
      <c r="F247" s="0" t="n">
        <v>2717060000</v>
      </c>
      <c r="G247" s="0" t="n">
        <v>1425.55</v>
      </c>
      <c r="H247" s="34" t="n">
        <f aca="false">G247/G246-1</f>
        <v>0.00215820257578314</v>
      </c>
      <c r="I247" s="91" t="n">
        <f aca="false">(1+H247)*I246</f>
        <v>1142002.25909044</v>
      </c>
      <c r="J247" s="34" t="n">
        <f aca="false">I247/$I$3 -1</f>
        <v>0.142002259090436</v>
      </c>
      <c r="K247" s="0" t="n">
        <f aca="false">IF(ISBLANK(A248),MONTH(A247),IF(MONTH(A248)-MONTH(A247)=1,MONTH(A247),0))</f>
        <v>0</v>
      </c>
    </row>
    <row r="248" customFormat="false" ht="13.8" hidden="false" customHeight="false" outlineLevel="0" collapsed="false">
      <c r="A248" s="6" t="n">
        <v>39071</v>
      </c>
      <c r="B248" s="0" t="n">
        <v>1425.51</v>
      </c>
      <c r="C248" s="0" t="n">
        <v>1429.05</v>
      </c>
      <c r="D248" s="0" t="n">
        <v>1423.51</v>
      </c>
      <c r="E248" s="0" t="n">
        <v>1423.53</v>
      </c>
      <c r="F248" s="0" t="n">
        <v>2387630000</v>
      </c>
      <c r="G248" s="0" t="n">
        <v>1423.53</v>
      </c>
      <c r="H248" s="34" t="n">
        <f aca="false">G248/G247-1</f>
        <v>-0.00141699694854613</v>
      </c>
      <c r="I248" s="91" t="n">
        <f aca="false">(1+H248)*I247</f>
        <v>1140384.04537407</v>
      </c>
      <c r="J248" s="34" t="n">
        <f aca="false">I248/$I$3 -1</f>
        <v>0.140384045374072</v>
      </c>
      <c r="K248" s="0" t="n">
        <f aca="false">IF(ISBLANK(A249),MONTH(A248),IF(MONTH(A249)-MONTH(A248)=1,MONTH(A248),0))</f>
        <v>0</v>
      </c>
    </row>
    <row r="249" customFormat="false" ht="13.8" hidden="false" customHeight="false" outlineLevel="0" collapsed="false">
      <c r="A249" s="6" t="n">
        <v>39072</v>
      </c>
      <c r="B249" s="0" t="n">
        <v>1423.2</v>
      </c>
      <c r="C249" s="0" t="n">
        <v>1426.4</v>
      </c>
      <c r="D249" s="0" t="n">
        <v>1415.9</v>
      </c>
      <c r="E249" s="0" t="n">
        <v>1418.3</v>
      </c>
      <c r="F249" s="0" t="n">
        <v>2322410000</v>
      </c>
      <c r="G249" s="0" t="n">
        <v>1418.3</v>
      </c>
      <c r="H249" s="34" t="n">
        <f aca="false">G249/G248-1</f>
        <v>-0.00367396542398124</v>
      </c>
      <c r="I249" s="91" t="n">
        <f aca="false">(1+H249)*I248</f>
        <v>1136194.31382131</v>
      </c>
      <c r="J249" s="34" t="n">
        <f aca="false">I249/$I$3 -1</f>
        <v>0.136194313821308</v>
      </c>
      <c r="K249" s="0" t="n">
        <f aca="false">IF(ISBLANK(A250),MONTH(A249),IF(MONTH(A250)-MONTH(A249)=1,MONTH(A249),0))</f>
        <v>0</v>
      </c>
    </row>
    <row r="250" customFormat="false" ht="13.8" hidden="false" customHeight="false" outlineLevel="0" collapsed="false">
      <c r="A250" s="6" t="n">
        <v>39073</v>
      </c>
      <c r="B250" s="0" t="n">
        <v>1418.1</v>
      </c>
      <c r="C250" s="0" t="n">
        <v>1418.82</v>
      </c>
      <c r="D250" s="0" t="n">
        <v>1410.28</v>
      </c>
      <c r="E250" s="0" t="n">
        <v>1410.76</v>
      </c>
      <c r="F250" s="0" t="n">
        <v>1647590000</v>
      </c>
      <c r="G250" s="0" t="n">
        <v>1410.76</v>
      </c>
      <c r="H250" s="34" t="n">
        <f aca="false">G250/G249-1</f>
        <v>-0.00531622364802931</v>
      </c>
      <c r="I250" s="91" t="n">
        <f aca="false">(1+H250)*I249</f>
        <v>1130154.05074141</v>
      </c>
      <c r="J250" s="34" t="n">
        <f aca="false">I250/$I$3 -1</f>
        <v>0.130154050741415</v>
      </c>
      <c r="K250" s="0" t="n">
        <f aca="false">IF(ISBLANK(A251),MONTH(A250),IF(MONTH(A251)-MONTH(A250)=1,MONTH(A250),0))</f>
        <v>0</v>
      </c>
    </row>
    <row r="251" customFormat="false" ht="13.8" hidden="false" customHeight="false" outlineLevel="0" collapsed="false">
      <c r="A251" s="6" t="n">
        <v>39077</v>
      </c>
      <c r="B251" s="0" t="n">
        <v>1410.75</v>
      </c>
      <c r="C251" s="0" t="n">
        <v>1417.91</v>
      </c>
      <c r="D251" s="0" t="n">
        <v>1410.45</v>
      </c>
      <c r="E251" s="0" t="n">
        <v>1416.9</v>
      </c>
      <c r="F251" s="0" t="n">
        <v>1310310000</v>
      </c>
      <c r="G251" s="0" t="n">
        <v>1416.9</v>
      </c>
      <c r="H251" s="34" t="n">
        <f aca="false">G251/G250-1</f>
        <v>0.0043522640278999</v>
      </c>
      <c r="I251" s="91" t="n">
        <f aca="false">(1+H251)*I250</f>
        <v>1135072.77956244</v>
      </c>
      <c r="J251" s="34" t="n">
        <f aca="false">I251/$I$3 -1</f>
        <v>0.135072779562442</v>
      </c>
      <c r="K251" s="0" t="n">
        <f aca="false">IF(ISBLANK(A252),MONTH(A251),IF(MONTH(A252)-MONTH(A251)=1,MONTH(A251),0))</f>
        <v>0</v>
      </c>
    </row>
    <row r="252" customFormat="false" ht="13.8" hidden="false" customHeight="false" outlineLevel="0" collapsed="false">
      <c r="A252" s="6" t="n">
        <v>39078</v>
      </c>
      <c r="B252" s="0" t="n">
        <v>1416.63</v>
      </c>
      <c r="C252" s="0" t="n">
        <v>1427.72</v>
      </c>
      <c r="D252" s="0" t="n">
        <v>1416.63</v>
      </c>
      <c r="E252" s="0" t="n">
        <v>1426.84</v>
      </c>
      <c r="F252" s="0" t="n">
        <v>1667370000</v>
      </c>
      <c r="G252" s="0" t="n">
        <v>1426.84</v>
      </c>
      <c r="H252" s="34" t="n">
        <f aca="false">G252/G251-1</f>
        <v>0.00701531512456755</v>
      </c>
      <c r="I252" s="91" t="n">
        <f aca="false">(1+H252)*I251</f>
        <v>1143035.67280039</v>
      </c>
      <c r="J252" s="34" t="n">
        <f aca="false">I252/$I$3 -1</f>
        <v>0.143035672800391</v>
      </c>
      <c r="K252" s="0" t="n">
        <f aca="false">IF(ISBLANK(A253),MONTH(A252),IF(MONTH(A253)-MONTH(A252)=1,MONTH(A252),0))</f>
        <v>0</v>
      </c>
    </row>
    <row r="253" customFormat="false" ht="13.8" hidden="false" customHeight="false" outlineLevel="0" collapsed="false">
      <c r="A253" s="6" t="n">
        <v>39079</v>
      </c>
      <c r="B253" s="0" t="n">
        <v>1426.77</v>
      </c>
      <c r="C253" s="0" t="n">
        <v>1427.26</v>
      </c>
      <c r="D253" s="0" t="n">
        <v>1422.05</v>
      </c>
      <c r="E253" s="0" t="n">
        <v>1424.73</v>
      </c>
      <c r="F253" s="0" t="n">
        <v>1508570000</v>
      </c>
      <c r="G253" s="0" t="n">
        <v>1424.73</v>
      </c>
      <c r="H253" s="34" t="n">
        <f aca="false">G253/G252-1</f>
        <v>-0.00147879229626302</v>
      </c>
      <c r="I253" s="91" t="n">
        <f aca="false">(1+H253)*I252</f>
        <v>1141345.3604531</v>
      </c>
      <c r="J253" s="34" t="n">
        <f aca="false">I253/$I$3 -1</f>
        <v>0.1413453604531</v>
      </c>
      <c r="K253" s="0" t="n">
        <f aca="false">IF(ISBLANK(A254),MONTH(A253),IF(MONTH(A254)-MONTH(A253)=1,MONTH(A253),0))</f>
        <v>0</v>
      </c>
    </row>
    <row r="254" customFormat="false" ht="13.8" hidden="false" customHeight="false" outlineLevel="0" collapsed="false">
      <c r="A254" s="6" t="n">
        <v>39080</v>
      </c>
      <c r="B254" s="0" t="n">
        <v>1424.71</v>
      </c>
      <c r="C254" s="0" t="n">
        <v>1427</v>
      </c>
      <c r="D254" s="0" t="n">
        <v>1416.84</v>
      </c>
      <c r="E254" s="0" t="n">
        <v>1418.3</v>
      </c>
      <c r="F254" s="0" t="n">
        <v>1678200000</v>
      </c>
      <c r="G254" s="0" t="n">
        <v>1418.3</v>
      </c>
      <c r="H254" s="34" t="n">
        <f aca="false">G254/G253-1</f>
        <v>-0.00451313582222601</v>
      </c>
      <c r="I254" s="91" t="n">
        <f aca="false">(1+H254)*I253</f>
        <v>1136194.31382131</v>
      </c>
      <c r="J254" s="34" t="n">
        <f aca="false">I254/$I$3 -1</f>
        <v>0.136194313821308</v>
      </c>
      <c r="K254" s="0" t="n">
        <f aca="false">IF(ISBLANK(A255),MONTH(A254),IF(MONTH(A255)-MONTH(A254)=1,MONTH(A254),0))</f>
        <v>12</v>
      </c>
      <c r="L254" s="0" t="n">
        <f aca="false">(I254-I3)/I3</f>
        <v>0.13619431382131</v>
      </c>
    </row>
  </sheetData>
  <mergeCells count="3">
    <mergeCell ref="R5:U5"/>
    <mergeCell ref="V5:Y5"/>
    <mergeCell ref="Z5:AC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0"/>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7" activeCellId="0" sqref="F7"/>
    </sheetView>
  </sheetViews>
  <sheetFormatPr defaultRowHeight="14.1"/>
  <cols>
    <col collapsed="false" hidden="false" max="1" min="1" style="93" width="23.4336734693878"/>
    <col collapsed="false" hidden="false" max="4" min="2" style="93" width="10.2040816326531"/>
    <col collapsed="false" hidden="false" max="1025" min="5" style="93" width="8.82142857142857"/>
  </cols>
  <sheetData>
    <row r="1" customFormat="false" ht="14.1" hidden="false" customHeight="false" outlineLevel="0" collapsed="false">
      <c r="A1" s="0"/>
      <c r="B1" s="93" t="n">
        <v>2006</v>
      </c>
      <c r="C1" s="0"/>
      <c r="D1" s="93" t="n">
        <v>2008</v>
      </c>
    </row>
    <row r="2" customFormat="false" ht="15" hidden="false" customHeight="false" outlineLevel="0" collapsed="false">
      <c r="A2" s="94" t="s">
        <v>458</v>
      </c>
      <c r="B2" s="95" t="n">
        <v>38719</v>
      </c>
      <c r="C2" s="95"/>
      <c r="D2" s="95" t="s">
        <v>459</v>
      </c>
    </row>
    <row r="3" customFormat="false" ht="15" hidden="false" customHeight="false" outlineLevel="0" collapsed="false">
      <c r="A3" s="96" t="s">
        <v>460</v>
      </c>
      <c r="B3" s="97" t="n">
        <v>38733</v>
      </c>
      <c r="C3" s="97"/>
      <c r="D3" s="97" t="s">
        <v>461</v>
      </c>
    </row>
    <row r="4" customFormat="false" ht="15" hidden="false" customHeight="false" outlineLevel="0" collapsed="false">
      <c r="A4" s="96" t="s">
        <v>462</v>
      </c>
      <c r="B4" s="97" t="n">
        <v>38768</v>
      </c>
      <c r="C4" s="97"/>
      <c r="D4" s="97" t="s">
        <v>463</v>
      </c>
    </row>
    <row r="5" customFormat="false" ht="15" hidden="false" customHeight="false" outlineLevel="0" collapsed="false">
      <c r="A5" s="96" t="s">
        <v>464</v>
      </c>
      <c r="B5" s="97" t="n">
        <v>38821</v>
      </c>
      <c r="C5" s="97"/>
      <c r="D5" s="97" t="s">
        <v>465</v>
      </c>
    </row>
    <row r="6" customFormat="false" ht="15" hidden="false" customHeight="false" outlineLevel="0" collapsed="false">
      <c r="A6" s="96" t="s">
        <v>466</v>
      </c>
      <c r="B6" s="97" t="n">
        <v>38866</v>
      </c>
      <c r="C6" s="97"/>
      <c r="D6" s="97" t="s">
        <v>467</v>
      </c>
    </row>
    <row r="7" customFormat="false" ht="15" hidden="false" customHeight="false" outlineLevel="0" collapsed="false">
      <c r="A7" s="96" t="s">
        <v>468</v>
      </c>
      <c r="B7" s="97" t="n">
        <v>38902</v>
      </c>
      <c r="C7" s="97"/>
      <c r="D7" s="97" t="s">
        <v>469</v>
      </c>
    </row>
    <row r="8" customFormat="false" ht="15" hidden="false" customHeight="false" outlineLevel="0" collapsed="false">
      <c r="A8" s="96" t="s">
        <v>470</v>
      </c>
      <c r="B8" s="97" t="n">
        <v>38964</v>
      </c>
      <c r="C8" s="97"/>
      <c r="D8" s="97" t="s">
        <v>471</v>
      </c>
    </row>
    <row r="9" customFormat="false" ht="15" hidden="false" customHeight="false" outlineLevel="0" collapsed="false">
      <c r="A9" s="96" t="s">
        <v>472</v>
      </c>
      <c r="B9" s="97" t="n">
        <v>39044</v>
      </c>
      <c r="C9" s="97"/>
      <c r="D9" s="97" t="s">
        <v>473</v>
      </c>
    </row>
    <row r="10" customFormat="false" ht="14.1" hidden="false" customHeight="false" outlineLevel="0" collapsed="false">
      <c r="A10" s="98" t="s">
        <v>474</v>
      </c>
      <c r="B10" s="99" t="n">
        <v>39076</v>
      </c>
      <c r="C10" s="99"/>
      <c r="D10" s="99" t="s">
        <v>475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20" activeCellId="0" sqref="G20"/>
    </sheetView>
  </sheetViews>
  <sheetFormatPr defaultRowHeight="14.1"/>
  <cols>
    <col collapsed="false" hidden="false" max="1" min="1" style="0" width="13.7857142857143"/>
    <col collapsed="false" hidden="false" max="1025" min="2" style="0" width="8.82142857142857"/>
  </cols>
  <sheetData>
    <row r="1" customFormat="false" ht="14.1" hidden="false" customHeight="false" outlineLevel="0" collapsed="false">
      <c r="A1" s="0" t="s">
        <v>476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6"/>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4.1"/>
  <cols>
    <col collapsed="false" hidden="false" max="1025" min="1" style="0" width="8.82142857142857"/>
  </cols>
  <sheetData>
    <row r="1" customFormat="false" ht="14.1" hidden="false" customHeight="false" outlineLevel="0" collapsed="false">
      <c r="A1" s="0" t="n">
        <v>1</v>
      </c>
      <c r="B1" s="0" t="s">
        <v>477</v>
      </c>
    </row>
    <row r="2" customFormat="false" ht="14.1" hidden="false" customHeight="false" outlineLevel="0" collapsed="false">
      <c r="A2" s="0" t="n">
        <v>2</v>
      </c>
      <c r="B2" s="0" t="s">
        <v>478</v>
      </c>
    </row>
    <row r="3" customFormat="false" ht="14.1" hidden="false" customHeight="false" outlineLevel="0" collapsed="false">
      <c r="A3" s="0" t="n">
        <v>3</v>
      </c>
      <c r="B3" s="0" t="s">
        <v>479</v>
      </c>
    </row>
    <row r="4" customFormat="false" ht="14.1" hidden="false" customHeight="false" outlineLevel="0" collapsed="false">
      <c r="A4" s="0" t="n">
        <v>4</v>
      </c>
      <c r="B4" s="0" t="s">
        <v>480</v>
      </c>
    </row>
    <row r="5" customFormat="false" ht="14.1" hidden="false" customHeight="false" outlineLevel="0" collapsed="false">
      <c r="A5" s="0" t="n">
        <v>5</v>
      </c>
      <c r="B5" s="0" t="s">
        <v>481</v>
      </c>
    </row>
    <row r="6" customFormat="false" ht="14.1" hidden="false" customHeight="false" outlineLevel="0" collapsed="false">
      <c r="A6" s="0" t="n">
        <v>6</v>
      </c>
      <c r="B6" s="0" t="s">
        <v>410</v>
      </c>
    </row>
    <row r="7" customFormat="false" ht="14.1" hidden="false" customHeight="false" outlineLevel="0" collapsed="false">
      <c r="A7" s="0" t="n">
        <v>7</v>
      </c>
      <c r="B7" s="0" t="s">
        <v>411</v>
      </c>
    </row>
    <row r="8" customFormat="false" ht="14.1" hidden="false" customHeight="false" outlineLevel="0" collapsed="false">
      <c r="A8" s="0" t="n">
        <v>8</v>
      </c>
      <c r="B8" s="0" t="s">
        <v>412</v>
      </c>
    </row>
    <row r="9" customFormat="false" ht="14.1" hidden="false" customHeight="false" outlineLevel="0" collapsed="false">
      <c r="A9" s="0" t="n">
        <v>9</v>
      </c>
      <c r="B9" s="0" t="s">
        <v>413</v>
      </c>
    </row>
    <row r="10" customFormat="false" ht="14.1" hidden="false" customHeight="false" outlineLevel="0" collapsed="false">
      <c r="A10" s="0" t="n">
        <v>10</v>
      </c>
      <c r="B10" s="0" t="s">
        <v>482</v>
      </c>
    </row>
    <row r="11" customFormat="false" ht="14.1" hidden="false" customHeight="false" outlineLevel="0" collapsed="false">
      <c r="A11" s="0" t="n">
        <v>11</v>
      </c>
      <c r="B11" s="0" t="s">
        <v>483</v>
      </c>
    </row>
    <row r="12" customFormat="false" ht="14.1" hidden="false" customHeight="false" outlineLevel="0" collapsed="false">
      <c r="A12" s="0" t="n">
        <v>12</v>
      </c>
      <c r="B12" s="0" t="s">
        <v>484</v>
      </c>
    </row>
    <row r="13" customFormat="false" ht="14.1" hidden="false" customHeight="false" outlineLevel="0" collapsed="false">
      <c r="A13" s="0" t="n">
        <v>13</v>
      </c>
      <c r="B13" s="0" t="s">
        <v>485</v>
      </c>
    </row>
    <row r="14" customFormat="false" ht="14.1" hidden="false" customHeight="false" outlineLevel="0" collapsed="false">
      <c r="A14" s="0" t="n">
        <v>14</v>
      </c>
      <c r="B14" s="0" t="s">
        <v>486</v>
      </c>
    </row>
    <row r="15" customFormat="false" ht="14.1" hidden="false" customHeight="false" outlineLevel="0" collapsed="false">
      <c r="A15" s="0" t="n">
        <v>15</v>
      </c>
      <c r="B15" s="0" t="s">
        <v>487</v>
      </c>
    </row>
    <row r="16" customFormat="false" ht="14.1" hidden="false" customHeight="false" outlineLevel="0" collapsed="false">
      <c r="A16" s="0" t="n">
        <v>16</v>
      </c>
      <c r="B16" s="0" t="s">
        <v>488</v>
      </c>
    </row>
    <row r="17" customFormat="false" ht="14.1" hidden="false" customHeight="false" outlineLevel="0" collapsed="false">
      <c r="A17" s="0" t="n">
        <v>17</v>
      </c>
      <c r="B17" s="0" t="s">
        <v>414</v>
      </c>
    </row>
    <row r="18" customFormat="false" ht="14.1" hidden="false" customHeight="false" outlineLevel="0" collapsed="false">
      <c r="A18" s="0" t="n">
        <v>18</v>
      </c>
      <c r="B18" s="0" t="s">
        <v>489</v>
      </c>
    </row>
    <row r="19" customFormat="false" ht="14.1" hidden="false" customHeight="false" outlineLevel="0" collapsed="false">
      <c r="A19" s="0" t="n">
        <v>19</v>
      </c>
      <c r="B19" s="0" t="s">
        <v>490</v>
      </c>
    </row>
    <row r="20" customFormat="false" ht="14.1" hidden="false" customHeight="false" outlineLevel="0" collapsed="false">
      <c r="A20" s="0" t="n">
        <v>20</v>
      </c>
      <c r="B20" s="0" t="s">
        <v>491</v>
      </c>
    </row>
    <row r="21" customFormat="false" ht="14.1" hidden="false" customHeight="false" outlineLevel="0" collapsed="false">
      <c r="A21" s="0" t="n">
        <v>21</v>
      </c>
      <c r="B21" s="0" t="s">
        <v>492</v>
      </c>
    </row>
    <row r="22" customFormat="false" ht="14.1" hidden="false" customHeight="false" outlineLevel="0" collapsed="false">
      <c r="A22" s="0" t="n">
        <v>22</v>
      </c>
      <c r="B22" s="0" t="s">
        <v>493</v>
      </c>
    </row>
    <row r="23" customFormat="false" ht="14.1" hidden="false" customHeight="false" outlineLevel="0" collapsed="false">
      <c r="A23" s="0" t="n">
        <v>23</v>
      </c>
      <c r="B23" s="0" t="s">
        <v>494</v>
      </c>
    </row>
    <row r="24" customFormat="false" ht="14.1" hidden="false" customHeight="false" outlineLevel="0" collapsed="false">
      <c r="A24" s="0" t="n">
        <v>24</v>
      </c>
      <c r="B24" s="0" t="s">
        <v>495</v>
      </c>
    </row>
    <row r="25" customFormat="false" ht="14.1" hidden="false" customHeight="false" outlineLevel="0" collapsed="false">
      <c r="A25" s="0" t="n">
        <v>25</v>
      </c>
      <c r="B25" s="0" t="s">
        <v>496</v>
      </c>
    </row>
    <row r="26" customFormat="false" ht="14.1" hidden="false" customHeight="false" outlineLevel="0" collapsed="false">
      <c r="A26" s="0" t="n">
        <v>26</v>
      </c>
      <c r="B26" s="0" t="s">
        <v>497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Y25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4.1"/>
  <cols>
    <col collapsed="false" hidden="false" max="1" min="1" style="0" width="10.4744897959184"/>
    <col collapsed="false" hidden="false" max="7" min="2" style="0" width="8.82142857142857"/>
    <col collapsed="false" hidden="false" max="10" min="8" style="30" width="8.82142857142857"/>
    <col collapsed="false" hidden="false" max="13" min="11" style="0" width="8.82142857142857"/>
    <col collapsed="false" hidden="false" max="14" min="14" style="0" width="15.8469387755102"/>
    <col collapsed="false" hidden="false" max="15" min="15" style="0" width="6.47959183673469"/>
    <col collapsed="false" hidden="false" max="1025" min="16" style="0" width="8.82142857142857"/>
  </cols>
  <sheetData>
    <row r="1" customFormat="false" ht="14.1" hidden="false" customHeight="false" outlineLevel="0" collapsed="false">
      <c r="A1" s="23" t="str">
        <f aca="false">INDEX(map!$B$1:$B$26,MATCH(COLUMN(),map!$A$1:$A$26,0))</f>
        <v>A</v>
      </c>
      <c r="B1" s="23" t="str">
        <f aca="false">INDEX(map!$B$1:$B$26,MATCH(COLUMN(),map!$A$1:$A$26,0))</f>
        <v>B</v>
      </c>
      <c r="C1" s="23" t="str">
        <f aca="false">INDEX(map!$B$1:$B$26,MATCH(COLUMN(),map!$A$1:$A$26,0))</f>
        <v>C</v>
      </c>
      <c r="D1" s="23" t="str">
        <f aca="false">INDEX(map!$B$1:$B$26,MATCH(COLUMN(),map!$A$1:$A$26,0))</f>
        <v>D</v>
      </c>
      <c r="E1" s="23" t="str">
        <f aca="false">INDEX(map!$B$1:$B$26,MATCH(COLUMN(),map!$A$1:$A$26,0))</f>
        <v>E</v>
      </c>
      <c r="F1" s="23" t="str">
        <f aca="false">INDEX(map!$B$1:$B$26,MATCH(COLUMN(),map!$A$1:$A$26,0))</f>
        <v>F</v>
      </c>
      <c r="G1" s="23" t="str">
        <f aca="false">INDEX(map!$B$1:$B$26,MATCH(COLUMN(),map!$A$1:$A$26,0))</f>
        <v>G</v>
      </c>
      <c r="H1" s="100" t="str">
        <f aca="false">INDEX(map!$B$1:$B$26,MATCH(COLUMN(),map!$A$1:$A$26,0))</f>
        <v>H</v>
      </c>
      <c r="I1" s="100" t="str">
        <f aca="false">INDEX(map!$B$1:$B$26,MATCH(COLUMN(),map!$A$1:$A$26,0))</f>
        <v>I</v>
      </c>
      <c r="J1" s="100" t="str">
        <f aca="false">INDEX(map!$B$1:$B$26,MATCH(COLUMN(),map!$A$1:$A$26,0))</f>
        <v>J</v>
      </c>
      <c r="K1" s="23" t="str">
        <f aca="false">INDEX(map!$B$1:$B$26,MATCH(COLUMN(),map!$A$1:$A$26,0))</f>
        <v>K</v>
      </c>
    </row>
    <row r="2" customFormat="false" ht="14.1" hidden="false" customHeight="false" outlineLevel="0" collapsed="false">
      <c r="H2" s="0"/>
      <c r="I2" s="0"/>
      <c r="J2" s="0"/>
    </row>
    <row r="3" customFormat="false" ht="14.1" hidden="false" customHeight="false" outlineLevel="0" collapsed="false">
      <c r="A3" s="0" t="s">
        <v>0</v>
      </c>
      <c r="B3" s="0" t="s">
        <v>450</v>
      </c>
      <c r="C3" s="0" t="s">
        <v>451</v>
      </c>
      <c r="D3" s="0" t="s">
        <v>452</v>
      </c>
      <c r="E3" s="0" t="s">
        <v>453</v>
      </c>
      <c r="F3" s="0" t="s">
        <v>454</v>
      </c>
      <c r="G3" s="0" t="s">
        <v>455</v>
      </c>
      <c r="H3" s="0"/>
      <c r="I3" s="0"/>
      <c r="J3" s="0"/>
      <c r="K3" s="0" t="s">
        <v>385</v>
      </c>
      <c r="N3" s="0" t="s">
        <v>456</v>
      </c>
      <c r="P3" s="5" t="n">
        <f aca="false">STDEV(H5:H255)</f>
        <v>0.02584184316801</v>
      </c>
    </row>
    <row r="4" customFormat="false" ht="14.1" hidden="false" customHeight="false" outlineLevel="0" collapsed="false">
      <c r="A4" s="6" t="n">
        <v>39447</v>
      </c>
      <c r="G4" s="0" t="n">
        <v>1468.36</v>
      </c>
      <c r="H4" s="0"/>
      <c r="I4" s="0"/>
      <c r="J4" s="0"/>
    </row>
    <row r="5" customFormat="false" ht="14.1" hidden="false" customHeight="false" outlineLevel="0" collapsed="false">
      <c r="A5" s="6" t="n">
        <v>39449</v>
      </c>
      <c r="B5" s="0" t="n">
        <v>1467.97</v>
      </c>
      <c r="C5" s="0" t="n">
        <v>1471.77</v>
      </c>
      <c r="D5" s="0" t="n">
        <v>1442.07</v>
      </c>
      <c r="E5" s="0" t="n">
        <v>1447.16</v>
      </c>
      <c r="F5" s="0" t="n">
        <v>3452650000</v>
      </c>
      <c r="G5" s="0" t="n">
        <v>1447.16</v>
      </c>
      <c r="H5" s="34" t="n">
        <f aca="false">G5/G4-1</f>
        <v>-0.0144378762701244</v>
      </c>
      <c r="I5" s="34" t="n">
        <f aca="false">LN(1+H5)</f>
        <v>-0.0145431165985078</v>
      </c>
      <c r="J5" s="34" t="n">
        <f aca="false">SUM(I$5:I5)</f>
        <v>-0.0145431165985078</v>
      </c>
      <c r="K5" s="0" t="n">
        <f aca="false">IF(ISBLANK(A6),MONTH(A5),IF(MONTH(A6)-MONTH(A5)=1,MONTH(A5),0))</f>
        <v>0</v>
      </c>
      <c r="R5" s="68" t="s">
        <v>435</v>
      </c>
      <c r="S5" s="68"/>
      <c r="T5" s="68"/>
      <c r="U5" s="68"/>
      <c r="V5" s="69" t="s">
        <v>437</v>
      </c>
      <c r="W5" s="69"/>
      <c r="X5" s="69"/>
      <c r="Y5" s="69"/>
    </row>
    <row r="6" customFormat="false" ht="14.1" hidden="false" customHeight="false" outlineLevel="0" collapsed="false">
      <c r="A6" s="6" t="n">
        <v>39450</v>
      </c>
      <c r="B6" s="0" t="n">
        <v>1447.55</v>
      </c>
      <c r="C6" s="0" t="n">
        <v>1456.8</v>
      </c>
      <c r="D6" s="0" t="n">
        <v>1443.73</v>
      </c>
      <c r="E6" s="0" t="n">
        <v>1447.16</v>
      </c>
      <c r="F6" s="0" t="n">
        <v>3429500000</v>
      </c>
      <c r="G6" s="0" t="n">
        <v>1447.16</v>
      </c>
      <c r="H6" s="34" t="n">
        <f aca="false">G6/G5-1</f>
        <v>0</v>
      </c>
      <c r="I6" s="34" t="n">
        <f aca="false">LN(1+H6)</f>
        <v>0</v>
      </c>
      <c r="J6" s="34" t="n">
        <f aca="false">SUM(I$5:I6)</f>
        <v>-0.0145431165985078</v>
      </c>
      <c r="K6" s="0" t="n">
        <f aca="false">IF(ISBLANK(A7),MONTH(A6),IF(MONTH(A7)-MONTH(A6)=1,MONTH(A6),0))</f>
        <v>0</v>
      </c>
      <c r="N6" s="62"/>
      <c r="O6" s="62"/>
      <c r="P6" s="70" t="s">
        <v>1</v>
      </c>
      <c r="Q6" s="70" t="s">
        <v>457</v>
      </c>
      <c r="R6" s="70" t="s">
        <v>442</v>
      </c>
      <c r="S6" s="70" t="s">
        <v>443</v>
      </c>
      <c r="T6" s="70" t="s">
        <v>444</v>
      </c>
      <c r="U6" s="71" t="s">
        <v>445</v>
      </c>
      <c r="V6" s="70" t="s">
        <v>442</v>
      </c>
      <c r="W6" s="70" t="s">
        <v>443</v>
      </c>
      <c r="X6" s="70" t="s">
        <v>444</v>
      </c>
      <c r="Y6" s="70" t="s">
        <v>445</v>
      </c>
    </row>
    <row r="7" customFormat="false" ht="14.1" hidden="false" customHeight="false" outlineLevel="0" collapsed="false">
      <c r="A7" s="6" t="n">
        <v>39451</v>
      </c>
      <c r="B7" s="0" t="n">
        <v>1444.01</v>
      </c>
      <c r="C7" s="0" t="n">
        <v>1444.01</v>
      </c>
      <c r="D7" s="0" t="n">
        <v>1411.19</v>
      </c>
      <c r="E7" s="0" t="n">
        <v>1411.63</v>
      </c>
      <c r="F7" s="0" t="n">
        <v>4166000000</v>
      </c>
      <c r="G7" s="0" t="n">
        <v>1411.63</v>
      </c>
      <c r="H7" s="34" t="n">
        <f aca="false">G7/G6-1</f>
        <v>-0.0245515354211007</v>
      </c>
      <c r="I7" s="34" t="n">
        <f aca="false">LN(1+H7)</f>
        <v>-0.0248579500644866</v>
      </c>
      <c r="J7" s="34" t="n">
        <f aca="false">SUM(I$5:I7)</f>
        <v>-0.0394010666629944</v>
      </c>
      <c r="K7" s="0" t="n">
        <f aca="false">IF(ISBLANK(A8),MONTH(A7),IF(MONTH(A8)-MONTH(A7)=1,MONTH(A7),0))</f>
        <v>0</v>
      </c>
      <c r="N7" s="6" t="n">
        <f aca="false">EOMONTH(A5,-1)</f>
        <v>39447</v>
      </c>
      <c r="O7" s="6"/>
      <c r="P7" s="24" t="n">
        <f aca="false">G4</f>
        <v>1468.36</v>
      </c>
      <c r="U7" s="67"/>
    </row>
    <row r="8" customFormat="false" ht="14.1" hidden="false" customHeight="false" outlineLevel="0" collapsed="false">
      <c r="A8" s="6" t="n">
        <v>39454</v>
      </c>
      <c r="B8" s="0" t="n">
        <v>1414.07</v>
      </c>
      <c r="C8" s="0" t="n">
        <v>1423.87</v>
      </c>
      <c r="D8" s="0" t="n">
        <v>1403.45</v>
      </c>
      <c r="E8" s="0" t="n">
        <v>1416.18</v>
      </c>
      <c r="F8" s="0" t="n">
        <v>4221260000</v>
      </c>
      <c r="G8" s="0" t="n">
        <v>1416.18</v>
      </c>
      <c r="H8" s="34" t="n">
        <f aca="false">G8/G7-1</f>
        <v>0.00322322421597732</v>
      </c>
      <c r="I8" s="34" t="n">
        <f aca="false">LN(1+H8)</f>
        <v>0.00321804076410252</v>
      </c>
      <c r="J8" s="34" t="n">
        <f aca="false">SUM(I$5:I8)</f>
        <v>-0.0361830258988919</v>
      </c>
      <c r="K8" s="0" t="n">
        <f aca="false">IF(ISBLANK(A9),MONTH(A8),IF(MONTH(A9)-MONTH(A8)=1,MONTH(A8),0))</f>
        <v>0</v>
      </c>
      <c r="M8" s="24" t="n">
        <f aca="false">IF(ISERROR(MATCH(WORKDAY(N7,1,holiday!$D$2:$D$10),A:A,0)),MATCH(MAX(A:A),A:A,0)+1,MATCH(WORKDAY(N7,1,holiday!$D$2:$D$10),A:A,0))</f>
        <v>5</v>
      </c>
      <c r="N8" s="92" t="n">
        <f aca="false">EOMONTH(N7,1)</f>
        <v>39478</v>
      </c>
      <c r="O8" s="24" t="n">
        <f aca="true">COUNT(INDIRECT($H$1&amp;$M8):INDIRECT($H$1&amp;$M9-1))</f>
        <v>21</v>
      </c>
      <c r="P8" s="24" t="n">
        <f aca="false">INDEX($G$5:$G$257,MATCH(MONTH(N8),$K$5:$K$257,0))</f>
        <v>1378.55</v>
      </c>
      <c r="Q8" s="24" t="n">
        <f aca="false">P8-P7</f>
        <v>-89.8099999999999</v>
      </c>
      <c r="R8" s="5" t="n">
        <f aca="false">Q8/P7</f>
        <v>-0.0611634748971642</v>
      </c>
      <c r="U8" s="67"/>
      <c r="V8" s="5" t="n">
        <f aca="true">STDEV(INDIRECT($H$1&amp;$M8):INDIRECT($H$1&amp;$M9-1))*SQRT(COUNT(INDIRECT($H$1&amp;$M8):INDIRECT($H$1&amp;$M9-1)))</f>
        <v>0.0699219471591153</v>
      </c>
    </row>
    <row r="9" customFormat="false" ht="14.1" hidden="false" customHeight="false" outlineLevel="0" collapsed="false">
      <c r="A9" s="6" t="n">
        <v>39455</v>
      </c>
      <c r="B9" s="0" t="n">
        <v>1415.71</v>
      </c>
      <c r="C9" s="0" t="n">
        <v>1430.28</v>
      </c>
      <c r="D9" s="0" t="n">
        <v>1388.3</v>
      </c>
      <c r="E9" s="0" t="n">
        <v>1390.19</v>
      </c>
      <c r="F9" s="0" t="n">
        <v>4705390000</v>
      </c>
      <c r="G9" s="0" t="n">
        <v>1390.19</v>
      </c>
      <c r="H9" s="34" t="n">
        <f aca="false">G9/G8-1</f>
        <v>-0.0183521868689008</v>
      </c>
      <c r="I9" s="34" t="n">
        <f aca="false">LN(1+H9)</f>
        <v>-0.0185226773879385</v>
      </c>
      <c r="J9" s="34" t="n">
        <f aca="false">SUM(I$5:I9)</f>
        <v>-0.0547057032868304</v>
      </c>
      <c r="K9" s="0" t="n">
        <f aca="false">IF(ISBLANK(A10),MONTH(A9),IF(MONTH(A10)-MONTH(A9)=1,MONTH(A9),0))</f>
        <v>0</v>
      </c>
      <c r="M9" s="24" t="n">
        <f aca="false">IF(ISERROR(MATCH(WORKDAY(N8,1,holiday!$D$2:$D$10),A:A,0)),MATCH(MAX(A:A),A:A,0)+1,MATCH(WORKDAY(N8,1,holiday!$D$2:$D$10),A:A,0))</f>
        <v>26</v>
      </c>
      <c r="N9" s="92" t="n">
        <f aca="false">EOMONTH(N8,1)</f>
        <v>39507</v>
      </c>
      <c r="O9" s="24" t="n">
        <f aca="true">COUNT(INDIRECT($H$1&amp;$M9):INDIRECT($H$1&amp;$M10-1))</f>
        <v>20</v>
      </c>
      <c r="P9" s="24" t="n">
        <f aca="false">INDEX($G$5:$G$257,MATCH(MONTH(N9),$K$5:$K$257,0))</f>
        <v>1330.63</v>
      </c>
      <c r="Q9" s="24" t="n">
        <f aca="false">P9-P8</f>
        <v>-47.9199999999999</v>
      </c>
      <c r="R9" s="5" t="n">
        <f aca="false">Q9/P8</f>
        <v>-0.0347611620906023</v>
      </c>
      <c r="U9" s="67"/>
      <c r="V9" s="5" t="n">
        <f aca="true">STDEV(INDIRECT($H$1&amp;$M9):INDIRECT($H$1&amp;$M10-1))*SQRT(COUNT(INDIRECT($H$1&amp;$M9):INDIRECT($H$1&amp;$M10-1)))</f>
        <v>0.0577534663063351</v>
      </c>
    </row>
    <row r="10" customFormat="false" ht="14.1" hidden="false" customHeight="false" outlineLevel="0" collapsed="false">
      <c r="A10" s="6" t="n">
        <v>39456</v>
      </c>
      <c r="B10" s="0" t="n">
        <v>1390.25</v>
      </c>
      <c r="C10" s="0" t="n">
        <v>1409.19</v>
      </c>
      <c r="D10" s="0" t="n">
        <v>1378.7</v>
      </c>
      <c r="E10" s="0" t="n">
        <v>1409.13</v>
      </c>
      <c r="F10" s="0" t="n">
        <v>5351030000</v>
      </c>
      <c r="G10" s="0" t="n">
        <v>1409.13</v>
      </c>
      <c r="H10" s="34" t="n">
        <f aca="false">G10/G9-1</f>
        <v>0.0136240370021365</v>
      </c>
      <c r="I10" s="34" t="n">
        <f aca="false">LN(1+H10)</f>
        <v>0.0135320642287469</v>
      </c>
      <c r="J10" s="34" t="n">
        <f aca="false">SUM(I$5:I10)</f>
        <v>-0.0411736390580835</v>
      </c>
      <c r="K10" s="0" t="n">
        <f aca="false">IF(ISBLANK(A11),MONTH(A10),IF(MONTH(A11)-MONTH(A10)=1,MONTH(A10),0))</f>
        <v>0</v>
      </c>
      <c r="M10" s="24" t="n">
        <f aca="false">IF(ISERROR(MATCH(WORKDAY(N9,1,holiday!$D$2:$D$10),A:A,0)),MATCH(MAX(A:A),A:A,0)+1,MATCH(WORKDAY(N9,1,holiday!$D$2:$D$10),A:A,0))</f>
        <v>46</v>
      </c>
      <c r="N10" s="92" t="n">
        <f aca="false">EOMONTH(N9,1)</f>
        <v>39538</v>
      </c>
      <c r="O10" s="24" t="n">
        <f aca="true">COUNT(INDIRECT($H$1&amp;$M10):INDIRECT($H$1&amp;$M11-1))</f>
        <v>20</v>
      </c>
      <c r="P10" s="24" t="n">
        <f aca="false">INDEX($G$5:$G$257,MATCH(MONTH(N10),$K$5:$K$257,0))</f>
        <v>1322.7</v>
      </c>
      <c r="Q10" s="24" t="n">
        <f aca="false">P10-P9</f>
        <v>-7.93000000000006</v>
      </c>
      <c r="R10" s="5" t="n">
        <f aca="false">Q10/P9</f>
        <v>-0.00595958305464334</v>
      </c>
      <c r="S10" s="5" t="n">
        <f aca="false" t="array" ref="S10:S10">PRODUCT(1+R8:R10)-1</f>
        <v>-0.0991991064861478</v>
      </c>
      <c r="U10" s="67"/>
      <c r="V10" s="5" t="n">
        <f aca="true">STDEV(INDIRECT($H$1&amp;$M10):INDIRECT($H$1&amp;$M11-1))*SQRT(COUNT(INDIRECT($H$1&amp;$M10):INDIRECT($H$1&amp;$M11-1)))</f>
        <v>0.0816750262693713</v>
      </c>
      <c r="W10" s="5" t="n">
        <f aca="true">STDEV(INDIRECT($H$1&amp;$M8):INDIRECT($H$1&amp;$M11-1))*SQRT(COUNT(INDIRECT($H$1&amp;$M8):INDIRECT($H$1&amp;$M11-1)))</f>
        <v>0.12032099927972</v>
      </c>
    </row>
    <row r="11" customFormat="false" ht="14.1" hidden="false" customHeight="false" outlineLevel="0" collapsed="false">
      <c r="A11" s="6" t="n">
        <v>39457</v>
      </c>
      <c r="B11" s="0" t="n">
        <v>1406.78</v>
      </c>
      <c r="C11" s="0" t="n">
        <v>1429.09</v>
      </c>
      <c r="D11" s="0" t="n">
        <v>1395.31</v>
      </c>
      <c r="E11" s="0" t="n">
        <v>1420.33</v>
      </c>
      <c r="F11" s="0" t="n">
        <v>5170490000</v>
      </c>
      <c r="G11" s="0" t="n">
        <v>1420.33</v>
      </c>
      <c r="H11" s="34" t="n">
        <f aca="false">G11/G10-1</f>
        <v>0.00794816659924913</v>
      </c>
      <c r="I11" s="34" t="n">
        <f aca="false">LN(1+H11)</f>
        <v>0.00791674630246481</v>
      </c>
      <c r="J11" s="34" t="n">
        <f aca="false">SUM(I$5:I11)</f>
        <v>-0.0332568927556187</v>
      </c>
      <c r="K11" s="0" t="n">
        <f aca="false">IF(ISBLANK(A12),MONTH(A11),IF(MONTH(A12)-MONTH(A11)=1,MONTH(A11),0))</f>
        <v>0</v>
      </c>
      <c r="M11" s="24" t="n">
        <f aca="false">IF(ISERROR(MATCH(WORKDAY(N10,1,holiday!$D$2:$D$10),A:A,0)),MATCH(MAX(A:A),A:A,0)+1,MATCH(WORKDAY(N10,1,holiday!$D$2:$D$10),A:A,0))</f>
        <v>66</v>
      </c>
      <c r="N11" s="92" t="n">
        <f aca="false">EOMONTH(N10,1)</f>
        <v>39568</v>
      </c>
      <c r="O11" s="24" t="n">
        <f aca="true">COUNT(INDIRECT($H$1&amp;$M11):INDIRECT($H$1&amp;$M12-1))</f>
        <v>22</v>
      </c>
      <c r="P11" s="24" t="n">
        <f aca="false">INDEX($G$5:$G$257,MATCH(MONTH(N11),$K$5:$K$257,0))</f>
        <v>1385.59</v>
      </c>
      <c r="Q11" s="24" t="n">
        <f aca="false">P11-P10</f>
        <v>62.8899999999999</v>
      </c>
      <c r="R11" s="5" t="n">
        <f aca="false">Q11/P10</f>
        <v>0.0475466848113706</v>
      </c>
      <c r="S11" s="5" t="n">
        <f aca="false" t="array" ref="S11:S11">PRODUCT(1+R9:R11)-1</f>
        <v>0.00510681513184141</v>
      </c>
      <c r="U11" s="67"/>
      <c r="V11" s="5" t="n">
        <f aca="true">STDEV(INDIRECT($H$1&amp;$M11):INDIRECT($H$1&amp;$M12-1))*SQRT(COUNT(INDIRECT($H$1&amp;$M11):INDIRECT($H$1&amp;$M12-1)))</f>
        <v>0.0541554496909035</v>
      </c>
      <c r="W11" s="5" t="n">
        <f aca="true">STDEV(INDIRECT($H$1&amp;$M9):INDIRECT($H$1&amp;$M12-1))*SQRT(COUNT(INDIRECT($H$1&amp;$M9):INDIRECT($H$1&amp;$M12-1)))</f>
        <v>0.112558124240316</v>
      </c>
    </row>
    <row r="12" customFormat="false" ht="14.1" hidden="false" customHeight="false" outlineLevel="0" collapsed="false">
      <c r="A12" s="6" t="n">
        <v>39458</v>
      </c>
      <c r="B12" s="0" t="n">
        <v>1419.91</v>
      </c>
      <c r="C12" s="0" t="n">
        <v>1419.91</v>
      </c>
      <c r="D12" s="0" t="n">
        <v>1394.83</v>
      </c>
      <c r="E12" s="0" t="n">
        <v>1401.02</v>
      </c>
      <c r="F12" s="0" t="n">
        <v>4495840000</v>
      </c>
      <c r="G12" s="0" t="n">
        <v>1401.02</v>
      </c>
      <c r="H12" s="34" t="n">
        <f aca="false">G12/G11-1</f>
        <v>-0.0135954320474819</v>
      </c>
      <c r="I12" s="34" t="n">
        <f aca="false">LN(1+H12)</f>
        <v>-0.0136886962095155</v>
      </c>
      <c r="J12" s="34" t="n">
        <f aca="false">SUM(I$5:I12)</f>
        <v>-0.0469455889651342</v>
      </c>
      <c r="K12" s="0" t="n">
        <f aca="false">IF(ISBLANK(A13),MONTH(A12),IF(MONTH(A13)-MONTH(A12)=1,MONTH(A12),0))</f>
        <v>0</v>
      </c>
      <c r="M12" s="24" t="n">
        <f aca="false">IF(ISERROR(MATCH(WORKDAY(N11,1,holiday!$D$2:$D$10),A:A,0)),MATCH(MAX(A:A),A:A,0)+1,MATCH(WORKDAY(N11,1,holiday!$D$2:$D$10),A:A,0))</f>
        <v>88</v>
      </c>
      <c r="N12" s="92" t="n">
        <f aca="false">EOMONTH(N11,1)</f>
        <v>39599</v>
      </c>
      <c r="O12" s="24" t="n">
        <f aca="true">COUNT(INDIRECT($H$1&amp;$M12):INDIRECT($H$1&amp;$M13-1))</f>
        <v>21</v>
      </c>
      <c r="P12" s="24" t="n">
        <f aca="false">INDEX($G$5:$G$257,MATCH(MONTH(N12),$K$5:$K$257,0))</f>
        <v>1400.38</v>
      </c>
      <c r="Q12" s="24" t="n">
        <f aca="false">P12-P11</f>
        <v>14.7900000000002</v>
      </c>
      <c r="R12" s="5" t="n">
        <f aca="false">Q12/P11</f>
        <v>0.0106741532487967</v>
      </c>
      <c r="S12" s="5" t="n">
        <f aca="false" t="array" ref="S12:S12">PRODUCT(1+R10:R12)-1</f>
        <v>0.0524187790745736</v>
      </c>
      <c r="U12" s="67"/>
      <c r="V12" s="5" t="n">
        <f aca="true">STDEV(INDIRECT($H$1&amp;$M12):INDIRECT($H$1&amp;$M13-1))*SQRT(COUNT(INDIRECT($H$1&amp;$M12):INDIRECT($H$1&amp;$M13-1)))</f>
        <v>0.0414263458382262</v>
      </c>
      <c r="W12" s="5" t="n">
        <f aca="true">STDEV(INDIRECT($H$1&amp;$M10):INDIRECT($H$1&amp;$M13-1))*SQRT(COUNT(INDIRECT($H$1&amp;$M10):INDIRECT($H$1&amp;$M13-1)))</f>
        <v>0.104910031544239</v>
      </c>
    </row>
    <row r="13" customFormat="false" ht="14.1" hidden="false" customHeight="false" outlineLevel="0" collapsed="false">
      <c r="A13" s="6" t="n">
        <v>39461</v>
      </c>
      <c r="B13" s="0" t="n">
        <v>1402.91</v>
      </c>
      <c r="C13" s="0" t="n">
        <v>1417.89</v>
      </c>
      <c r="D13" s="0" t="n">
        <v>1402.91</v>
      </c>
      <c r="E13" s="0" t="n">
        <v>1416.25</v>
      </c>
      <c r="F13" s="0" t="n">
        <v>3682090000</v>
      </c>
      <c r="G13" s="0" t="n">
        <v>1416.25</v>
      </c>
      <c r="H13" s="34" t="n">
        <f aca="false">G13/G12-1</f>
        <v>0.010870651382564</v>
      </c>
      <c r="I13" s="34" t="n">
        <f aca="false">LN(1+H13)</f>
        <v>0.0108119905896157</v>
      </c>
      <c r="J13" s="34" t="n">
        <f aca="false">SUM(I$5:I13)</f>
        <v>-0.0361335983755185</v>
      </c>
      <c r="K13" s="0" t="n">
        <f aca="false">IF(ISBLANK(A14),MONTH(A13),IF(MONTH(A14)-MONTH(A13)=1,MONTH(A13),0))</f>
        <v>0</v>
      </c>
      <c r="M13" s="24" t="n">
        <f aca="false">IF(ISERROR(MATCH(WORKDAY(N12,1,holiday!$D$2:$D$10),A:A,0)),MATCH(MAX(A:A),A:A,0)+1,MATCH(WORKDAY(N12,1,holiday!$D$2:$D$10),A:A,0))</f>
        <v>109</v>
      </c>
      <c r="N13" s="92" t="n">
        <f aca="false">EOMONTH(N12,1)</f>
        <v>39629</v>
      </c>
      <c r="O13" s="24" t="n">
        <f aca="true">COUNT(INDIRECT($H$1&amp;$M13):INDIRECT($H$1&amp;$M14-1))</f>
        <v>21</v>
      </c>
      <c r="P13" s="24" t="n">
        <f aca="false">INDEX($G$5:$G$257,MATCH(MONTH(N13),$K$5:$K$257,0))</f>
        <v>1280</v>
      </c>
      <c r="Q13" s="24" t="n">
        <f aca="false">P13-P12</f>
        <v>-120.38</v>
      </c>
      <c r="R13" s="5" t="n">
        <f aca="false">Q13/P12</f>
        <v>-0.0859623816392694</v>
      </c>
      <c r="S13" s="5" t="n">
        <f aca="false" t="array" ref="S13:S13">PRODUCT(1+R11:R13)-1</f>
        <v>-0.0322824525591593</v>
      </c>
      <c r="T13" s="5" t="n">
        <f aca="false" t="array" ref="T13:T13">PRODUCT(1+R8:R13)-1</f>
        <v>-0.128279168596257</v>
      </c>
      <c r="U13" s="67"/>
      <c r="V13" s="5" t="n">
        <f aca="true">STDEV(INDIRECT($H$1&amp;$M13):INDIRECT($H$1&amp;$M14-1))*SQRT(COUNT(INDIRECT($H$1&amp;$M13):INDIRECT($H$1&amp;$M14-1)))</f>
        <v>0.0566389472617724</v>
      </c>
      <c r="W13" s="5" t="n">
        <f aca="true">STDEV(INDIRECT($H$1&amp;$M11):INDIRECT($H$1&amp;$M14-1))*SQRT(COUNT(INDIRECT($H$1&amp;$M11):INDIRECT($H$1&amp;$M14-1)))</f>
        <v>0.0899051419809692</v>
      </c>
      <c r="X13" s="5" t="n">
        <f aca="true">STDEV(INDIRECT($H$1&amp;$M8):INDIRECT($H$1&amp;$M14-1))*SQRT(COUNT(INDIRECT($H$1&amp;$M8):INDIRECT($H$1&amp;$M14-1)))</f>
        <v>0.149721993231802</v>
      </c>
    </row>
    <row r="14" customFormat="false" ht="14.1" hidden="false" customHeight="false" outlineLevel="0" collapsed="false">
      <c r="A14" s="6" t="n">
        <v>39462</v>
      </c>
      <c r="B14" s="0" t="n">
        <v>1411.88</v>
      </c>
      <c r="C14" s="0" t="n">
        <v>1411.88</v>
      </c>
      <c r="D14" s="0" t="n">
        <v>1380.6</v>
      </c>
      <c r="E14" s="0" t="n">
        <v>1380.95</v>
      </c>
      <c r="F14" s="0" t="n">
        <v>4601640000</v>
      </c>
      <c r="G14" s="0" t="n">
        <v>1380.95</v>
      </c>
      <c r="H14" s="34" t="n">
        <f aca="false">G14/G13-1</f>
        <v>-0.0249249779346866</v>
      </c>
      <c r="I14" s="34" t="n">
        <f aca="false">LN(1+H14)</f>
        <v>-0.0252408652364453</v>
      </c>
      <c r="J14" s="34" t="n">
        <f aca="false">SUM(I$5:I14)</f>
        <v>-0.0613744636119638</v>
      </c>
      <c r="K14" s="0" t="n">
        <f aca="false">IF(ISBLANK(A15),MONTH(A14),IF(MONTH(A15)-MONTH(A14)=1,MONTH(A14),0))</f>
        <v>0</v>
      </c>
      <c r="M14" s="24" t="n">
        <f aca="false">IF(ISERROR(MATCH(WORKDAY(N13,1,holiday!$D$2:$D$10),A:A,0)),MATCH(MAX(A:A),A:A,0)+1,MATCH(WORKDAY(N13,1,holiday!$D$2:$D$10),A:A,0))</f>
        <v>130</v>
      </c>
      <c r="N14" s="92" t="n">
        <f aca="false">EOMONTH(N13,1)</f>
        <v>39660</v>
      </c>
      <c r="O14" s="24" t="n">
        <f aca="true">COUNT(INDIRECT($H$1&amp;$M14):INDIRECT($H$1&amp;$M15-1))</f>
        <v>22</v>
      </c>
      <c r="P14" s="24" t="n">
        <f aca="false">INDEX($G$5:$G$257,MATCH(MONTH(N14),$K$5:$K$257,0))</f>
        <v>1267.38</v>
      </c>
      <c r="Q14" s="24" t="n">
        <f aca="false">P14-P13</f>
        <v>-12.6199999999999</v>
      </c>
      <c r="R14" s="5" t="n">
        <f aca="false">Q14/P13</f>
        <v>-0.00985937499999992</v>
      </c>
      <c r="S14" s="5" t="n">
        <f aca="false" t="array" ref="S14:S14">PRODUCT(1+R12:R14)-1</f>
        <v>-0.0853138374266557</v>
      </c>
      <c r="T14" s="5" t="n">
        <f aca="false" t="array" ref="T14:T14">PRODUCT(1+R9:R14)-1</f>
        <v>-0.0806427042907403</v>
      </c>
      <c r="U14" s="67"/>
      <c r="V14" s="5" t="n">
        <f aca="true">STDEV(INDIRECT($H$1&amp;$M14):INDIRECT($H$1&amp;$M15-1))*SQRT(COUNT(INDIRECT($H$1&amp;$M14):INDIRECT($H$1&amp;$M15-1)))</f>
        <v>0.0683791001701247</v>
      </c>
      <c r="W14" s="5" t="n">
        <f aca="true">STDEV(INDIRECT($H$1&amp;$M12):INDIRECT($H$1&amp;$M15-1))*SQRT(COUNT(INDIRECT($H$1&amp;$M12):INDIRECT($H$1&amp;$M15-1)))</f>
        <v>0.0978263985124939</v>
      </c>
      <c r="X14" s="5" t="n">
        <f aca="true">STDEV(INDIRECT($H$1&amp;$M9):INDIRECT($H$1&amp;$M15-1))*SQRT(COUNT(INDIRECT($H$1&amp;$M9):INDIRECT($H$1&amp;$M15-1)))</f>
        <v>0.148768392999026</v>
      </c>
    </row>
    <row r="15" customFormat="false" ht="14.1" hidden="false" customHeight="false" outlineLevel="0" collapsed="false">
      <c r="A15" s="6" t="n">
        <v>39463</v>
      </c>
      <c r="B15" s="0" t="n">
        <v>1377.41</v>
      </c>
      <c r="C15" s="0" t="n">
        <v>1391.99</v>
      </c>
      <c r="D15" s="0" t="n">
        <v>1364.27</v>
      </c>
      <c r="E15" s="0" t="n">
        <v>1373.2</v>
      </c>
      <c r="F15" s="0" t="n">
        <v>5440620000</v>
      </c>
      <c r="G15" s="0" t="n">
        <v>1373.2</v>
      </c>
      <c r="H15" s="34" t="n">
        <f aca="false">G15/G14-1</f>
        <v>-0.00561207864151492</v>
      </c>
      <c r="I15" s="34" t="n">
        <f aca="false">LN(1+H15)</f>
        <v>-0.00562788552223375</v>
      </c>
      <c r="J15" s="34" t="n">
        <f aca="false">SUM(I$5:I15)</f>
        <v>-0.0670023491341975</v>
      </c>
      <c r="K15" s="0" t="n">
        <f aca="false">IF(ISBLANK(A16),MONTH(A15),IF(MONTH(A16)-MONTH(A15)=1,MONTH(A15),0))</f>
        <v>0</v>
      </c>
      <c r="M15" s="24" t="n">
        <f aca="false">IF(ISERROR(MATCH(WORKDAY(N14,1,holiday!$D$2:$D$10),A:A,0)),MATCH(MAX(A:A),A:A,0)+1,MATCH(WORKDAY(N14,1,holiday!$D$2:$D$10),A:A,0))</f>
        <v>152</v>
      </c>
      <c r="N15" s="92" t="n">
        <f aca="false">EOMONTH(N14,1)</f>
        <v>39691</v>
      </c>
      <c r="O15" s="24" t="n">
        <f aca="true">COUNT(INDIRECT($H$1&amp;$M15):INDIRECT($H$1&amp;$M16-1))</f>
        <v>21</v>
      </c>
      <c r="P15" s="24" t="n">
        <f aca="false">INDEX($G$5:$G$257,MATCH(MONTH(N15),$K$5:$K$257,0))</f>
        <v>1282.83</v>
      </c>
      <c r="Q15" s="24" t="n">
        <f aca="false">P15-P14</f>
        <v>15.4499999999998</v>
      </c>
      <c r="R15" s="5" t="n">
        <f aca="false">Q15/P14</f>
        <v>0.0121905032429104</v>
      </c>
      <c r="S15" s="5" t="n">
        <f aca="false" t="array" ref="S15:S15">PRODUCT(1+R13:R15)-1</f>
        <v>-0.0839415015924251</v>
      </c>
      <c r="T15" s="5" t="n">
        <f aca="false" t="array" ref="T15:T15">PRODUCT(1+R10:R15)-1</f>
        <v>-0.0359228335450128</v>
      </c>
      <c r="U15" s="67"/>
      <c r="V15" s="5" t="n">
        <f aca="true">STDEV(INDIRECT($H$1&amp;$M15):INDIRECT($H$1&amp;$M16-1))*SQRT(COUNT(INDIRECT($H$1&amp;$M15):INDIRECT($H$1&amp;$M16-1)))</f>
        <v>0.0600888512424201</v>
      </c>
      <c r="W15" s="5" t="n">
        <f aca="true">STDEV(INDIRECT($H$1&amp;$M13):INDIRECT($H$1&amp;$M16-1))*SQRT(COUNT(INDIRECT($H$1&amp;$M13):INDIRECT($H$1&amp;$M16-1)))</f>
        <v>0.106827936417259</v>
      </c>
      <c r="X15" s="5" t="n">
        <f aca="true">STDEV(INDIRECT($H$1&amp;$M10):INDIRECT($H$1&amp;$M16-1))*SQRT(COUNT(INDIRECT($H$1&amp;$M10):INDIRECT($H$1&amp;$M16-1)))</f>
        <v>0.149640176435532</v>
      </c>
    </row>
    <row r="16" customFormat="false" ht="14.1" hidden="false" customHeight="false" outlineLevel="0" collapsed="false">
      <c r="A16" s="6" t="n">
        <v>39464</v>
      </c>
      <c r="B16" s="0" t="n">
        <v>1374.79</v>
      </c>
      <c r="C16" s="0" t="n">
        <v>1377.72</v>
      </c>
      <c r="D16" s="0" t="n">
        <v>1330.67</v>
      </c>
      <c r="E16" s="0" t="n">
        <v>1333.25</v>
      </c>
      <c r="F16" s="0" t="n">
        <v>5303130000</v>
      </c>
      <c r="G16" s="0" t="n">
        <v>1333.25</v>
      </c>
      <c r="H16" s="34" t="n">
        <f aca="false">G16/G15-1</f>
        <v>-0.0290926303524615</v>
      </c>
      <c r="I16" s="34" t="n">
        <f aca="false">LN(1+H16)</f>
        <v>-0.0295242121028254</v>
      </c>
      <c r="J16" s="34" t="n">
        <f aca="false">SUM(I$5:I16)</f>
        <v>-0.096526561237023</v>
      </c>
      <c r="K16" s="0" t="n">
        <f aca="false">IF(ISBLANK(A17),MONTH(A16),IF(MONTH(A17)-MONTH(A16)=1,MONTH(A16),0))</f>
        <v>0</v>
      </c>
      <c r="M16" s="24" t="n">
        <f aca="false">IF(ISERROR(MATCH(WORKDAY(N15,1,holiday!$D$2:$D$10),A:A,0)),MATCH(MAX(A:A),A:A,0)+1,MATCH(WORKDAY(N15,1,holiday!$D$2:$D$10),A:A,0))</f>
        <v>173</v>
      </c>
      <c r="N16" s="92" t="n">
        <f aca="false">EOMONTH(N15,1)</f>
        <v>39721</v>
      </c>
      <c r="O16" s="24" t="n">
        <f aca="true">COUNT(INDIRECT($H$1&amp;$M16):INDIRECT($H$1&amp;$M17-1))</f>
        <v>21</v>
      </c>
      <c r="P16" s="24" t="n">
        <f aca="false">INDEX($G$5:$G$257,MATCH(MONTH(N16),$K$5:$K$257,0))</f>
        <v>1166.36</v>
      </c>
      <c r="Q16" s="24" t="n">
        <f aca="false">P16-P15</f>
        <v>-116.47</v>
      </c>
      <c r="R16" s="5" t="n">
        <f aca="false">Q16/P15</f>
        <v>-0.090791453271283</v>
      </c>
      <c r="S16" s="5" t="n">
        <f aca="false" t="array" ref="S16:S16">PRODUCT(1+R14:R16)-1</f>
        <v>-0.08878125</v>
      </c>
      <c r="T16" s="5" t="n">
        <f aca="false" t="array" ref="T16:T16">PRODUCT(1+R11:R16)-1</f>
        <v>-0.118197626067892</v>
      </c>
      <c r="U16" s="67"/>
      <c r="V16" s="5" t="n">
        <f aca="true">STDEV(INDIRECT($H$1&amp;$M16):INDIRECT($H$1&amp;$M17-1))*SQRT(COUNT(INDIRECT($H$1&amp;$M16):INDIRECT($H$1&amp;$M17-1)))</f>
        <v>0.157001893030304</v>
      </c>
      <c r="W16" s="5" t="n">
        <f aca="true">STDEV(INDIRECT($H$1&amp;$M14):INDIRECT($H$1&amp;$M17-1))*SQRT(COUNT(INDIRECT($H$1&amp;$M14):INDIRECT($H$1&amp;$M17-1)))</f>
        <v>0.179241234700345</v>
      </c>
      <c r="X16" s="5" t="n">
        <f aca="true">STDEV(INDIRECT($H$1&amp;$M11):INDIRECT($H$1&amp;$M17-1))*SQRT(COUNT(INDIRECT($H$1&amp;$M11):INDIRECT($H$1&amp;$M17-1)))</f>
        <v>0.199779652898186</v>
      </c>
    </row>
    <row r="17" customFormat="false" ht="14.1" hidden="false" customHeight="false" outlineLevel="0" collapsed="false">
      <c r="A17" s="6" t="n">
        <v>39465</v>
      </c>
      <c r="B17" s="0" t="n">
        <v>1333.9</v>
      </c>
      <c r="C17" s="0" t="n">
        <v>1350.28</v>
      </c>
      <c r="D17" s="0" t="n">
        <v>1312.51</v>
      </c>
      <c r="E17" s="0" t="n">
        <v>1325.19</v>
      </c>
      <c r="F17" s="0" t="n">
        <v>6004840000</v>
      </c>
      <c r="G17" s="0" t="n">
        <v>1325.19</v>
      </c>
      <c r="H17" s="34" t="n">
        <f aca="false">G17/G16-1</f>
        <v>-0.0060453778361147</v>
      </c>
      <c r="I17" s="34" t="n">
        <f aca="false">LN(1+H17)</f>
        <v>-0.00606372511422998</v>
      </c>
      <c r="J17" s="34" t="n">
        <f aca="false">SUM(I$5:I17)</f>
        <v>-0.102590286351253</v>
      </c>
      <c r="K17" s="0" t="n">
        <f aca="false">IF(ISBLANK(A18),MONTH(A17),IF(MONTH(A18)-MONTH(A17)=1,MONTH(A17),0))</f>
        <v>0</v>
      </c>
      <c r="M17" s="24" t="n">
        <f aca="false">IF(ISERROR(MATCH(WORKDAY(N16,1,holiday!$D$2:$D$10),A:A,0)),MATCH(MAX(A:A),A:A,0)+1,MATCH(WORKDAY(N16,1,holiday!$D$2:$D$10),A:A,0))</f>
        <v>194</v>
      </c>
      <c r="N17" s="92" t="n">
        <f aca="false">EOMONTH(N16,1)</f>
        <v>39752</v>
      </c>
      <c r="O17" s="24" t="n">
        <f aca="true">COUNT(INDIRECT($H$1&amp;$M17):INDIRECT($H$1&amp;$M18-1))</f>
        <v>23</v>
      </c>
      <c r="P17" s="24" t="n">
        <f aca="false">INDEX($G$5:$G$257,MATCH(MONTH(N17),$K$5:$K$257,0))</f>
        <v>968.75</v>
      </c>
      <c r="Q17" s="24" t="n">
        <f aca="false">P17-P16</f>
        <v>-197.61</v>
      </c>
      <c r="R17" s="5" t="n">
        <f aca="false">Q17/P16</f>
        <v>-0.169424534449055</v>
      </c>
      <c r="S17" s="5" t="n">
        <f aca="false" t="array" ref="S17:S17">PRODUCT(1+R15:R17)-1</f>
        <v>-0.235627830642743</v>
      </c>
      <c r="T17" s="5" t="n">
        <f aca="false" t="array" ref="T17:T17">PRODUCT(1+R12:R17)-1</f>
        <v>-0.300839353632748</v>
      </c>
      <c r="U17" s="67"/>
      <c r="V17" s="5" t="n">
        <f aca="true">STDEV(INDIRECT($H$1&amp;$M17):INDIRECT($H$1&amp;$M18-1))*SQRT(COUNT(INDIRECT($H$1&amp;$M17):INDIRECT($H$1&amp;$M18-1)))</f>
        <v>0.244152067690858</v>
      </c>
      <c r="W17" s="5" t="n">
        <f aca="true">STDEV(INDIRECT($H$1&amp;$M15):INDIRECT($H$1&amp;$M18-1))*SQRT(COUNT(INDIRECT($H$1&amp;$M15):INDIRECT($H$1&amp;$M18-1)))</f>
        <v>0.293044893086462</v>
      </c>
      <c r="X17" s="5" t="n">
        <f aca="true">STDEV(INDIRECT($H$1&amp;$M12):INDIRECT($H$1&amp;$M18-1))*SQRT(COUNT(INDIRECT($H$1&amp;$M12):INDIRECT($H$1&amp;$M18-1)))</f>
        <v>0.307994085348975</v>
      </c>
    </row>
    <row r="18" customFormat="false" ht="14.1" hidden="false" customHeight="false" outlineLevel="0" collapsed="false">
      <c r="A18" s="6" t="n">
        <v>39469</v>
      </c>
      <c r="B18" s="0" t="n">
        <v>1312.94</v>
      </c>
      <c r="C18" s="0" t="n">
        <v>1322.09</v>
      </c>
      <c r="D18" s="0" t="n">
        <v>1274.29</v>
      </c>
      <c r="E18" s="0" t="n">
        <v>1310.5</v>
      </c>
      <c r="F18" s="0" t="n">
        <v>6544690000</v>
      </c>
      <c r="G18" s="0" t="n">
        <v>1310.5</v>
      </c>
      <c r="H18" s="34" t="n">
        <f aca="false">G18/G17-1</f>
        <v>-0.0110852028765687</v>
      </c>
      <c r="I18" s="34" t="n">
        <f aca="false">LN(1+H18)</f>
        <v>-0.0111471016030206</v>
      </c>
      <c r="J18" s="34" t="n">
        <f aca="false">SUM(I$5:I18)</f>
        <v>-0.113737387954274</v>
      </c>
      <c r="K18" s="0" t="n">
        <f aca="false">IF(ISBLANK(A19),MONTH(A18),IF(MONTH(A19)-MONTH(A18)=1,MONTH(A18),0))</f>
        <v>0</v>
      </c>
      <c r="M18" s="24" t="n">
        <f aca="false">IF(ISERROR(MATCH(WORKDAY(N17,1,holiday!$D$2:$D$10),A:A,0)),MATCH(MAX(A:A),A:A,0)+1,MATCH(WORKDAY(N17,1,holiday!$D$2:$D$10),A:A,0))</f>
        <v>217</v>
      </c>
      <c r="N18" s="92" t="n">
        <f aca="false">EOMONTH(N17,1)</f>
        <v>39782</v>
      </c>
      <c r="O18" s="24" t="n">
        <f aca="true">COUNT(INDIRECT($H$1&amp;$M18):INDIRECT($H$1&amp;$M19-1))</f>
        <v>19</v>
      </c>
      <c r="P18" s="24" t="n">
        <f aca="false">INDEX($G$5:$G$257,MATCH(MONTH(N18),$K$5:$K$257,0))</f>
        <v>896.24</v>
      </c>
      <c r="Q18" s="24" t="n">
        <f aca="false">P18-P17</f>
        <v>-72.51</v>
      </c>
      <c r="R18" s="5" t="n">
        <f aca="false">Q18/P17</f>
        <v>-0.0748490322580645</v>
      </c>
      <c r="S18" s="5" t="n">
        <f aca="false" t="array" ref="S18:S18">PRODUCT(1+R16:R18)-1</f>
        <v>-0.30135715566365</v>
      </c>
      <c r="T18" s="5" t="n">
        <f aca="false" t="array" ref="T18:T18">PRODUCT(1+R13:R18)-1</f>
        <v>-0.360002285094046</v>
      </c>
      <c r="U18" s="67"/>
      <c r="V18" s="5" t="n">
        <f aca="true">STDEV(INDIRECT($H$1&amp;$M18):INDIRECT($H$1&amp;$M19-1))*SQRT(COUNT(INDIRECT($H$1&amp;$M18):INDIRECT($H$1&amp;$M19-1)))</f>
        <v>0.195124728990431</v>
      </c>
      <c r="W18" s="5" t="n">
        <f aca="true">STDEV(INDIRECT($H$1&amp;$M16):INDIRECT($H$1&amp;$M19-1))*SQRT(COUNT(INDIRECT($H$1&amp;$M16):INDIRECT($H$1&amp;$M19-1)))</f>
        <v>0.344395204116529</v>
      </c>
      <c r="X18" s="5" t="n">
        <f aca="true">STDEV(INDIRECT($H$1&amp;$M13):INDIRECT($H$1&amp;$M19-1))*SQRT(COUNT(INDIRECT($H$1&amp;$M13):INDIRECT($H$1&amp;$M19-1)))</f>
        <v>0.359667714412362</v>
      </c>
    </row>
    <row r="19" customFormat="false" ht="14.1" hidden="false" customHeight="false" outlineLevel="0" collapsed="false">
      <c r="A19" s="6" t="n">
        <v>39470</v>
      </c>
      <c r="B19" s="0" t="n">
        <v>1310.41</v>
      </c>
      <c r="C19" s="0" t="n">
        <v>1339.09</v>
      </c>
      <c r="D19" s="0" t="n">
        <v>1270.05</v>
      </c>
      <c r="E19" s="0" t="n">
        <v>1338.6</v>
      </c>
      <c r="F19" s="0" t="n">
        <v>3241680000</v>
      </c>
      <c r="G19" s="0" t="n">
        <v>1338.6</v>
      </c>
      <c r="H19" s="34" t="n">
        <f aca="false">G19/G18-1</f>
        <v>0.0214421976344905</v>
      </c>
      <c r="I19" s="34" t="n">
        <f aca="false">LN(1+H19)</f>
        <v>0.0212155479030807</v>
      </c>
      <c r="J19" s="34" t="n">
        <f aca="false">SUM(I$5:I19)</f>
        <v>-0.0925218400511928</v>
      </c>
      <c r="K19" s="0" t="n">
        <f aca="false">IF(ISBLANK(A20),MONTH(A19),IF(MONTH(A20)-MONTH(A19)=1,MONTH(A19),0))</f>
        <v>0</v>
      </c>
      <c r="M19" s="24" t="n">
        <f aca="false">IF(ISERROR(MATCH(WORKDAY(N18,1,holiday!$D$2:$D$10),A:A,0)),MATCH(MAX(A:A),A:A,0)+1,MATCH(WORKDAY(N18,1,holiday!$D$2:$D$10),A:A,0))</f>
        <v>236</v>
      </c>
      <c r="N19" s="92" t="n">
        <f aca="false">EOMONTH(N18,1)</f>
        <v>39813</v>
      </c>
      <c r="O19" s="24" t="n">
        <f aca="true">COUNT(INDIRECT($H$1&amp;$M19):INDIRECT($H$1&amp;$M20-1))</f>
        <v>22</v>
      </c>
      <c r="P19" s="24" t="n">
        <f aca="false">INDEX($G$5:$G$257,MATCH(MONTH(N19),$K$5:$K$257,0))</f>
        <v>903.25</v>
      </c>
      <c r="Q19" s="24" t="n">
        <f aca="false">P19-P18</f>
        <v>7.00999999999999</v>
      </c>
      <c r="R19" s="5" t="n">
        <f aca="false">Q19/P18</f>
        <v>0.00782156565205747</v>
      </c>
      <c r="S19" s="5" t="n">
        <f aca="false" t="array" ref="S19:S19">PRODUCT(1+R17:R19)-1</f>
        <v>-0.22558215302308</v>
      </c>
      <c r="T19" s="5" t="n">
        <f aca="false" t="array" ref="T19:T19">PRODUCT(1+R14:R19)-1</f>
        <v>-0.2943359375</v>
      </c>
      <c r="U19" s="85" t="n">
        <f aca="false" t="array" ref="U19:U19">PRODUCT(1+R8:R19)-1</f>
        <v>-0.384857936745757</v>
      </c>
      <c r="V19" s="5" t="n">
        <f aca="true">STDEV(INDIRECT($H$1&amp;$M19):INDIRECT($H$1&amp;$M20-1))*SQRT(COUNT(INDIRECT($H$1&amp;$M19):INDIRECT($H$1&amp;$M20-1)))</f>
        <v>0.145021760470162</v>
      </c>
      <c r="W19" s="5" t="n">
        <f aca="true">STDEV(INDIRECT($H$1&amp;$M17):INDIRECT($H$1&amp;$M20-1))*SQRT(COUNT(INDIRECT($H$1&amp;$M17):INDIRECT($H$1&amp;$M20-1)))</f>
        <v>0.340039008373503</v>
      </c>
      <c r="X19" s="5" t="n">
        <f aca="true">STDEV(INDIRECT($H$1&amp;$M14):INDIRECT($H$1&amp;$M20-1))*SQRT(COUNT(INDIRECT($H$1&amp;$M14):INDIRECT($H$1&amp;$M20-1)))</f>
        <v>0.383023512722558</v>
      </c>
      <c r="Y19" s="5" t="n">
        <f aca="true">STDEV(INDIRECT($H$1&amp;$M8):INDIRECT($H$1&amp;$M20-1))*SQRT(COUNT(INDIRECT($H$1&amp;$M8):INDIRECT($H$1&amp;$M20-1)))</f>
        <v>0.41054468689475</v>
      </c>
    </row>
    <row r="20" customFormat="false" ht="14.1" hidden="false" customHeight="false" outlineLevel="0" collapsed="false">
      <c r="A20" s="6" t="n">
        <v>39471</v>
      </c>
      <c r="B20" s="0" t="n">
        <v>1340.13</v>
      </c>
      <c r="C20" s="0" t="n">
        <v>1355.15</v>
      </c>
      <c r="D20" s="0" t="n">
        <v>1334.31</v>
      </c>
      <c r="E20" s="0" t="n">
        <v>1352.07</v>
      </c>
      <c r="F20" s="0" t="n">
        <v>5735300000</v>
      </c>
      <c r="G20" s="0" t="n">
        <v>1352.07</v>
      </c>
      <c r="H20" s="34" t="n">
        <f aca="false">G20/G19-1</f>
        <v>0.0100627521290901</v>
      </c>
      <c r="I20" s="34" t="n">
        <f aca="false">LN(1+H20)</f>
        <v>0.0100124597440099</v>
      </c>
      <c r="J20" s="34" t="n">
        <f aca="false">SUM(I$5:I20)</f>
        <v>-0.082509380307183</v>
      </c>
      <c r="K20" s="0" t="n">
        <f aca="false">IF(ISBLANK(A21),MONTH(A20),IF(MONTH(A21)-MONTH(A20)=1,MONTH(A20),0))</f>
        <v>0</v>
      </c>
      <c r="M20" s="24" t="n">
        <f aca="false">IF(ISERROR(MATCH(WORKDAY(N19,1,holiday!$D$2:$D$10),A:A,0)),MATCH(MAX(A:A),A:A,0)+1,MATCH(WORKDAY(N19,1,holiday!$D$2:$D$10),A:A,0))</f>
        <v>258</v>
      </c>
    </row>
    <row r="21" customFormat="false" ht="14.1" hidden="false" customHeight="false" outlineLevel="0" collapsed="false">
      <c r="A21" s="6" t="n">
        <v>39472</v>
      </c>
      <c r="B21" s="0" t="n">
        <v>1357.32</v>
      </c>
      <c r="C21" s="0" t="n">
        <v>1368.56</v>
      </c>
      <c r="D21" s="0" t="n">
        <v>1327.5</v>
      </c>
      <c r="E21" s="0" t="n">
        <v>1330.61</v>
      </c>
      <c r="F21" s="0" t="n">
        <v>4882250000</v>
      </c>
      <c r="G21" s="0" t="n">
        <v>1330.61</v>
      </c>
      <c r="H21" s="34" t="n">
        <f aca="false">G21/G20-1</f>
        <v>-0.0158719592920485</v>
      </c>
      <c r="I21" s="34" t="n">
        <f aca="false">LN(1+H21)</f>
        <v>-0.0159992677244216</v>
      </c>
      <c r="J21" s="34" t="n">
        <f aca="false">SUM(I$5:I21)</f>
        <v>-0.0985086480316046</v>
      </c>
      <c r="K21" s="0" t="n">
        <f aca="false">IF(ISBLANK(A22),MONTH(A21),IF(MONTH(A22)-MONTH(A21)=1,MONTH(A21),0))</f>
        <v>0</v>
      </c>
    </row>
    <row r="22" customFormat="false" ht="14.1" hidden="false" customHeight="false" outlineLevel="0" collapsed="false">
      <c r="A22" s="6" t="n">
        <v>39475</v>
      </c>
      <c r="B22" s="0" t="n">
        <v>1330.7</v>
      </c>
      <c r="C22" s="0" t="n">
        <v>1353.97</v>
      </c>
      <c r="D22" s="0" t="n">
        <v>1322.26</v>
      </c>
      <c r="E22" s="0" t="n">
        <v>1353.96</v>
      </c>
      <c r="F22" s="0" t="n">
        <v>4100930000</v>
      </c>
      <c r="G22" s="0" t="n">
        <v>1353.96</v>
      </c>
      <c r="H22" s="34" t="n">
        <f aca="false">G22/G21-1</f>
        <v>0.0175483424895351</v>
      </c>
      <c r="I22" s="34" t="n">
        <f aca="false">LN(1+H22)</f>
        <v>0.0173961482522251</v>
      </c>
      <c r="J22" s="34" t="n">
        <f aca="false">SUM(I$5:I22)</f>
        <v>-0.0811124997793795</v>
      </c>
      <c r="K22" s="0" t="n">
        <f aca="false">IF(ISBLANK(A23),MONTH(A22),IF(MONTH(A23)-MONTH(A22)=1,MONTH(A22),0))</f>
        <v>0</v>
      </c>
    </row>
    <row r="23" customFormat="false" ht="14.1" hidden="false" customHeight="false" outlineLevel="0" collapsed="false">
      <c r="A23" s="6" t="n">
        <v>39476</v>
      </c>
      <c r="B23" s="0" t="n">
        <v>1355.94</v>
      </c>
      <c r="C23" s="0" t="n">
        <v>1364.93</v>
      </c>
      <c r="D23" s="0" t="n">
        <v>1350.19</v>
      </c>
      <c r="E23" s="0" t="n">
        <v>1362.3</v>
      </c>
      <c r="F23" s="0" t="n">
        <v>4232960000</v>
      </c>
      <c r="G23" s="0" t="n">
        <v>1362.3</v>
      </c>
      <c r="H23" s="34" t="n">
        <f aca="false">G23/G22-1</f>
        <v>0.00615970929717258</v>
      </c>
      <c r="I23" s="34" t="n">
        <f aca="false">LN(1+H23)</f>
        <v>0.00614081583365995</v>
      </c>
      <c r="J23" s="34" t="n">
        <f aca="false">SUM(I$5:I23)</f>
        <v>-0.0749716839457195</v>
      </c>
      <c r="K23" s="0" t="n">
        <f aca="false">IF(ISBLANK(A24),MONTH(A23),IF(MONTH(A24)-MONTH(A23)=1,MONTH(A23),0))</f>
        <v>0</v>
      </c>
    </row>
    <row r="24" customFormat="false" ht="14.1" hidden="false" customHeight="false" outlineLevel="0" collapsed="false">
      <c r="A24" s="6" t="n">
        <v>39477</v>
      </c>
      <c r="B24" s="0" t="n">
        <v>1362.22</v>
      </c>
      <c r="C24" s="0" t="n">
        <v>1385.86</v>
      </c>
      <c r="D24" s="0" t="n">
        <v>1352.95</v>
      </c>
      <c r="E24" s="0" t="n">
        <v>1355.81</v>
      </c>
      <c r="F24" s="0" t="n">
        <v>4742760000</v>
      </c>
      <c r="G24" s="0" t="n">
        <v>1355.81</v>
      </c>
      <c r="H24" s="34" t="n">
        <f aca="false">G24/G23-1</f>
        <v>-0.00476400205534755</v>
      </c>
      <c r="I24" s="34" t="n">
        <f aca="false">LN(1+H24)</f>
        <v>-0.00477538608321774</v>
      </c>
      <c r="J24" s="34" t="n">
        <f aca="false">SUM(I$5:I24)</f>
        <v>-0.0797470700289373</v>
      </c>
      <c r="K24" s="0" t="n">
        <f aca="false">IF(ISBLANK(A25),MONTH(A24),IF(MONTH(A25)-MONTH(A24)=1,MONTH(A24),0))</f>
        <v>0</v>
      </c>
      <c r="N24" s="101"/>
      <c r="O24" s="101"/>
    </row>
    <row r="25" customFormat="false" ht="14.1" hidden="false" customHeight="false" outlineLevel="0" collapsed="false">
      <c r="A25" s="6" t="n">
        <v>39478</v>
      </c>
      <c r="B25" s="0" t="n">
        <v>1351.98</v>
      </c>
      <c r="C25" s="0" t="n">
        <v>1385.62</v>
      </c>
      <c r="D25" s="0" t="n">
        <v>1334.08</v>
      </c>
      <c r="E25" s="0" t="n">
        <v>1378.55</v>
      </c>
      <c r="F25" s="0" t="n">
        <v>4970290000</v>
      </c>
      <c r="G25" s="0" t="n">
        <v>1378.55</v>
      </c>
      <c r="H25" s="34" t="n">
        <f aca="false">G25/G24-1</f>
        <v>0.0167722616000767</v>
      </c>
      <c r="I25" s="34" t="n">
        <f aca="false">LN(1+H25)</f>
        <v>0.0166331604266603</v>
      </c>
      <c r="J25" s="34" t="n">
        <f aca="false">SUM(I$5:I25)</f>
        <v>-0.063113909602277</v>
      </c>
      <c r="K25" s="0" t="n">
        <f aca="false">IF(ISBLANK(A26),MONTH(A25),IF(MONTH(A26)-MONTH(A25)=1,MONTH(A25),0))</f>
        <v>1</v>
      </c>
      <c r="N25" s="102"/>
      <c r="O25" s="102"/>
    </row>
    <row r="26" customFormat="false" ht="14.1" hidden="false" customHeight="false" outlineLevel="0" collapsed="false">
      <c r="A26" s="6" t="n">
        <v>39479</v>
      </c>
      <c r="B26" s="0" t="n">
        <v>1378.6</v>
      </c>
      <c r="C26" s="0" t="n">
        <v>1396.02</v>
      </c>
      <c r="D26" s="0" t="n">
        <v>1375.93</v>
      </c>
      <c r="E26" s="0" t="n">
        <v>1395.42</v>
      </c>
      <c r="F26" s="0" t="n">
        <v>4650770000</v>
      </c>
      <c r="G26" s="0" t="n">
        <v>1395.42</v>
      </c>
      <c r="H26" s="34" t="n">
        <f aca="false">G26/G25-1</f>
        <v>0.0122374959196259</v>
      </c>
      <c r="I26" s="34" t="n">
        <f aca="false">LN(1+H26)</f>
        <v>0.012163223094762</v>
      </c>
      <c r="J26" s="34"/>
      <c r="K26" s="0" t="n">
        <f aca="false">IF(ISBLANK(A27),MONTH(A26),IF(MONTH(A27)-MONTH(A26)=1,MONTH(A26),0))</f>
        <v>0</v>
      </c>
    </row>
    <row r="27" customFormat="false" ht="14.1" hidden="false" customHeight="false" outlineLevel="0" collapsed="false">
      <c r="A27" s="6" t="n">
        <v>39482</v>
      </c>
      <c r="B27" s="0" t="n">
        <v>1395.38</v>
      </c>
      <c r="C27" s="0" t="n">
        <v>1395.38</v>
      </c>
      <c r="D27" s="0" t="n">
        <v>1379.69</v>
      </c>
      <c r="E27" s="0" t="n">
        <v>1380.82</v>
      </c>
      <c r="F27" s="0" t="n">
        <v>3495780000</v>
      </c>
      <c r="G27" s="0" t="n">
        <v>1380.82</v>
      </c>
      <c r="H27" s="34" t="n">
        <f aca="false">G27/G26-1</f>
        <v>-0.0104627997305472</v>
      </c>
      <c r="I27" s="34" t="n">
        <f aca="false">LN(1+H27)</f>
        <v>-0.0105179196290589</v>
      </c>
      <c r="J27" s="34"/>
      <c r="K27" s="0" t="n">
        <f aca="false">IF(ISBLANK(A28),MONTH(A27),IF(MONTH(A28)-MONTH(A27)=1,MONTH(A27),0))</f>
        <v>0</v>
      </c>
    </row>
    <row r="28" customFormat="false" ht="14.1" hidden="false" customHeight="false" outlineLevel="0" collapsed="false">
      <c r="A28" s="6" t="n">
        <v>39483</v>
      </c>
      <c r="B28" s="0" t="n">
        <v>1380.28</v>
      </c>
      <c r="C28" s="0" t="n">
        <v>1380.28</v>
      </c>
      <c r="D28" s="0" t="n">
        <v>1336.64</v>
      </c>
      <c r="E28" s="0" t="n">
        <v>1336.64</v>
      </c>
      <c r="F28" s="0" t="n">
        <v>4315740000</v>
      </c>
      <c r="G28" s="0" t="n">
        <v>1336.64</v>
      </c>
      <c r="H28" s="34" t="n">
        <f aca="false">G28/G27-1</f>
        <v>-0.0319954809461044</v>
      </c>
      <c r="I28" s="34" t="n">
        <f aca="false">LN(1+H28)</f>
        <v>-0.0325185232723501</v>
      </c>
      <c r="J28" s="34"/>
      <c r="K28" s="0" t="n">
        <f aca="false">IF(ISBLANK(A29),MONTH(A28),IF(MONTH(A29)-MONTH(A28)=1,MONTH(A28),0))</f>
        <v>0</v>
      </c>
      <c r="N28" s="101"/>
      <c r="O28" s="101"/>
    </row>
    <row r="29" customFormat="false" ht="14.1" hidden="false" customHeight="false" outlineLevel="0" collapsed="false">
      <c r="A29" s="6" t="n">
        <v>39484</v>
      </c>
      <c r="B29" s="0" t="n">
        <v>1339.48</v>
      </c>
      <c r="C29" s="0" t="n">
        <v>1351.96</v>
      </c>
      <c r="D29" s="0" t="n">
        <v>1324.34</v>
      </c>
      <c r="E29" s="0" t="n">
        <v>1326.45</v>
      </c>
      <c r="F29" s="0" t="n">
        <v>4008120000</v>
      </c>
      <c r="G29" s="0" t="n">
        <v>1326.45</v>
      </c>
      <c r="H29" s="34" t="n">
        <f aca="false">G29/G28-1</f>
        <v>-0.00762359348814945</v>
      </c>
      <c r="I29" s="34" t="n">
        <f aca="false">LN(1+H29)</f>
        <v>-0.00765280161895677</v>
      </c>
      <c r="J29" s="34"/>
      <c r="K29" s="0" t="n">
        <f aca="false">IF(ISBLANK(A30),MONTH(A29),IF(MONTH(A30)-MONTH(A29)=1,MONTH(A29),0))</f>
        <v>0</v>
      </c>
    </row>
    <row r="30" customFormat="false" ht="14.1" hidden="false" customHeight="false" outlineLevel="0" collapsed="false">
      <c r="A30" s="6" t="n">
        <v>39485</v>
      </c>
      <c r="B30" s="0" t="n">
        <v>1324.01</v>
      </c>
      <c r="C30" s="0" t="n">
        <v>1347.16</v>
      </c>
      <c r="D30" s="0" t="n">
        <v>1316.75</v>
      </c>
      <c r="E30" s="0" t="n">
        <v>1336.91</v>
      </c>
      <c r="F30" s="0" t="n">
        <v>4589160000</v>
      </c>
      <c r="G30" s="0" t="n">
        <v>1336.91</v>
      </c>
      <c r="H30" s="34" t="n">
        <f aca="false">G30/G29-1</f>
        <v>0.00788570997776028</v>
      </c>
      <c r="I30" s="34" t="n">
        <f aca="false">LN(1+H30)</f>
        <v>0.00785478026227216</v>
      </c>
      <c r="J30" s="34"/>
      <c r="K30" s="0" t="n">
        <f aca="false">IF(ISBLANK(A31),MONTH(A30),IF(MONTH(A31)-MONTH(A30)=1,MONTH(A30),0))</f>
        <v>0</v>
      </c>
    </row>
    <row r="31" customFormat="false" ht="14.1" hidden="false" customHeight="false" outlineLevel="0" collapsed="false">
      <c r="A31" s="6" t="n">
        <v>39486</v>
      </c>
      <c r="B31" s="0" t="n">
        <v>1336.88</v>
      </c>
      <c r="C31" s="0" t="n">
        <v>1341.22</v>
      </c>
      <c r="D31" s="0" t="n">
        <v>1321.06</v>
      </c>
      <c r="E31" s="0" t="n">
        <v>1331.29</v>
      </c>
      <c r="F31" s="0" t="n">
        <v>3768490000</v>
      </c>
      <c r="G31" s="0" t="n">
        <v>1331.29</v>
      </c>
      <c r="H31" s="34" t="n">
        <f aca="false">G31/G30-1</f>
        <v>-0.00420372351167997</v>
      </c>
      <c r="I31" s="34" t="n">
        <f aca="false">LN(1+H31)</f>
        <v>-0.00421258399743439</v>
      </c>
      <c r="J31" s="34"/>
      <c r="K31" s="0" t="n">
        <f aca="false">IF(ISBLANK(A32),MONTH(A31),IF(MONTH(A32)-MONTH(A31)=1,MONTH(A31),0))</f>
        <v>0</v>
      </c>
    </row>
    <row r="32" customFormat="false" ht="14.1" hidden="false" customHeight="false" outlineLevel="0" collapsed="false">
      <c r="A32" s="6" t="n">
        <v>39489</v>
      </c>
      <c r="B32" s="0" t="n">
        <v>1331.92</v>
      </c>
      <c r="C32" s="0" t="n">
        <v>1341.4</v>
      </c>
      <c r="D32" s="0" t="n">
        <v>1320.32</v>
      </c>
      <c r="E32" s="0" t="n">
        <v>1339.13</v>
      </c>
      <c r="F32" s="0" t="n">
        <v>3593140000</v>
      </c>
      <c r="G32" s="0" t="n">
        <v>1339.13</v>
      </c>
      <c r="H32" s="34" t="n">
        <f aca="false">G32/G31-1</f>
        <v>0.00588902493070642</v>
      </c>
      <c r="I32" s="34" t="n">
        <f aca="false">LN(1+H32)</f>
        <v>0.00587175240244734</v>
      </c>
      <c r="J32" s="34"/>
      <c r="K32" s="0" t="n">
        <f aca="false">IF(ISBLANK(A33),MONTH(A32),IF(MONTH(A33)-MONTH(A32)=1,MONTH(A32),0))</f>
        <v>0</v>
      </c>
    </row>
    <row r="33" customFormat="false" ht="14.1" hidden="false" customHeight="false" outlineLevel="0" collapsed="false">
      <c r="A33" s="6" t="n">
        <v>39490</v>
      </c>
      <c r="B33" s="0" t="n">
        <v>1340.55</v>
      </c>
      <c r="C33" s="0" t="n">
        <v>1362.1</v>
      </c>
      <c r="D33" s="0" t="n">
        <v>1339.36</v>
      </c>
      <c r="E33" s="0" t="n">
        <v>1348.86</v>
      </c>
      <c r="F33" s="0" t="n">
        <v>4044640000</v>
      </c>
      <c r="G33" s="0" t="n">
        <v>1348.86</v>
      </c>
      <c r="H33" s="34" t="n">
        <f aca="false">G33/G32-1</f>
        <v>0.00726591144997113</v>
      </c>
      <c r="I33" s="34" t="n">
        <f aca="false">LN(1+H33)</f>
        <v>0.0072396418868341</v>
      </c>
      <c r="J33" s="34"/>
      <c r="K33" s="0" t="n">
        <f aca="false">IF(ISBLANK(A34),MONTH(A33),IF(MONTH(A34)-MONTH(A33)=1,MONTH(A33),0))</f>
        <v>0</v>
      </c>
    </row>
    <row r="34" customFormat="false" ht="14.1" hidden="false" customHeight="false" outlineLevel="0" collapsed="false">
      <c r="A34" s="6" t="n">
        <v>39491</v>
      </c>
      <c r="B34" s="0" t="n">
        <v>1353.12</v>
      </c>
      <c r="C34" s="0" t="n">
        <v>1369.23</v>
      </c>
      <c r="D34" s="0" t="n">
        <v>1350.78</v>
      </c>
      <c r="E34" s="0" t="n">
        <v>1367.21</v>
      </c>
      <c r="F34" s="0" t="n">
        <v>3856420000</v>
      </c>
      <c r="G34" s="0" t="n">
        <v>1367.21</v>
      </c>
      <c r="H34" s="34" t="n">
        <f aca="false">G34/G33-1</f>
        <v>0.0136040804827782</v>
      </c>
      <c r="I34" s="34" t="n">
        <f aca="false">LN(1+H34)</f>
        <v>0.0135123757495009</v>
      </c>
      <c r="J34" s="34"/>
      <c r="K34" s="0" t="n">
        <f aca="false">IF(ISBLANK(A35),MONTH(A34),IF(MONTH(A35)-MONTH(A34)=1,MONTH(A34),0))</f>
        <v>0</v>
      </c>
    </row>
    <row r="35" customFormat="false" ht="14.1" hidden="false" customHeight="false" outlineLevel="0" collapsed="false">
      <c r="A35" s="6" t="n">
        <v>39492</v>
      </c>
      <c r="B35" s="0" t="n">
        <v>1367.33</v>
      </c>
      <c r="C35" s="0" t="n">
        <v>1368.16</v>
      </c>
      <c r="D35" s="0" t="n">
        <v>1347.31</v>
      </c>
      <c r="E35" s="0" t="n">
        <v>1348.86</v>
      </c>
      <c r="F35" s="0" t="n">
        <v>3644760000</v>
      </c>
      <c r="G35" s="0" t="n">
        <v>1348.86</v>
      </c>
      <c r="H35" s="34" t="n">
        <f aca="false">G35/G34-1</f>
        <v>-0.0134214934062801</v>
      </c>
      <c r="I35" s="34" t="n">
        <f aca="false">LN(1+H35)</f>
        <v>-0.0135123757495009</v>
      </c>
      <c r="J35" s="34"/>
      <c r="K35" s="0" t="n">
        <f aca="false">IF(ISBLANK(A36),MONTH(A35),IF(MONTH(A36)-MONTH(A35)=1,MONTH(A35),0))</f>
        <v>0</v>
      </c>
    </row>
    <row r="36" customFormat="false" ht="14.1" hidden="false" customHeight="false" outlineLevel="0" collapsed="false">
      <c r="A36" s="6" t="n">
        <v>39493</v>
      </c>
      <c r="B36" s="0" t="n">
        <v>1347.52</v>
      </c>
      <c r="C36" s="0" t="n">
        <v>1350</v>
      </c>
      <c r="D36" s="0" t="n">
        <v>1338.13</v>
      </c>
      <c r="E36" s="0" t="n">
        <v>1349.99</v>
      </c>
      <c r="F36" s="0" t="n">
        <v>3583300000</v>
      </c>
      <c r="G36" s="0" t="n">
        <v>1349.99</v>
      </c>
      <c r="H36" s="34" t="n">
        <f aca="false">G36/G35-1</f>
        <v>0.000837744465697066</v>
      </c>
      <c r="I36" s="34" t="n">
        <f aca="false">LN(1+H36)</f>
        <v>0.000837393753659873</v>
      </c>
      <c r="J36" s="34"/>
      <c r="K36" s="0" t="n">
        <f aca="false">IF(ISBLANK(A37),MONTH(A36),IF(MONTH(A37)-MONTH(A36)=1,MONTH(A36),0))</f>
        <v>0</v>
      </c>
    </row>
    <row r="37" customFormat="false" ht="14.1" hidden="false" customHeight="false" outlineLevel="0" collapsed="false">
      <c r="A37" s="6" t="n">
        <v>39497</v>
      </c>
      <c r="B37" s="0" t="n">
        <v>1355.86</v>
      </c>
      <c r="C37" s="0" t="n">
        <v>1367.28</v>
      </c>
      <c r="D37" s="0" t="n">
        <v>1345.05</v>
      </c>
      <c r="E37" s="0" t="n">
        <v>1348.78</v>
      </c>
      <c r="F37" s="0" t="n">
        <v>3613550000</v>
      </c>
      <c r="G37" s="0" t="n">
        <v>1348.78</v>
      </c>
      <c r="H37" s="34" t="n">
        <f aca="false">G37/G36-1</f>
        <v>-0.000896302935577298</v>
      </c>
      <c r="I37" s="34" t="n">
        <f aca="false">LN(1+H37)</f>
        <v>-0.000896704855232585</v>
      </c>
      <c r="J37" s="34"/>
      <c r="K37" s="0" t="n">
        <f aca="false">IF(ISBLANK(A38),MONTH(A37),IF(MONTH(A38)-MONTH(A37)=1,MONTH(A37),0))</f>
        <v>0</v>
      </c>
    </row>
    <row r="38" customFormat="false" ht="14.1" hidden="false" customHeight="false" outlineLevel="0" collapsed="false">
      <c r="A38" s="6" t="n">
        <v>39498</v>
      </c>
      <c r="B38" s="0" t="n">
        <v>1348.39</v>
      </c>
      <c r="C38" s="0" t="n">
        <v>1363.71</v>
      </c>
      <c r="D38" s="0" t="n">
        <v>1336.55</v>
      </c>
      <c r="E38" s="0" t="n">
        <v>1360.03</v>
      </c>
      <c r="F38" s="0" t="n">
        <v>3870520000</v>
      </c>
      <c r="G38" s="0" t="n">
        <v>1360.03</v>
      </c>
      <c r="H38" s="34" t="n">
        <f aca="false">G38/G37-1</f>
        <v>0.00834087100935665</v>
      </c>
      <c r="I38" s="34" t="n">
        <f aca="false">LN(1+H38)</f>
        <v>0.00830627816793472</v>
      </c>
      <c r="J38" s="34"/>
      <c r="K38" s="0" t="n">
        <f aca="false">IF(ISBLANK(A39),MONTH(A38),IF(MONTH(A39)-MONTH(A38)=1,MONTH(A38),0))</f>
        <v>0</v>
      </c>
    </row>
    <row r="39" customFormat="false" ht="14.1" hidden="false" customHeight="false" outlineLevel="0" collapsed="false">
      <c r="A39" s="6" t="n">
        <v>39499</v>
      </c>
      <c r="B39" s="0" t="n">
        <v>1362.21</v>
      </c>
      <c r="C39" s="0" t="n">
        <v>1367.94</v>
      </c>
      <c r="D39" s="0" t="n">
        <v>1339.34</v>
      </c>
      <c r="E39" s="0" t="n">
        <v>1342.53</v>
      </c>
      <c r="F39" s="0" t="n">
        <v>3696660000</v>
      </c>
      <c r="G39" s="0" t="n">
        <v>1342.53</v>
      </c>
      <c r="H39" s="34" t="n">
        <f aca="false">G39/G38-1</f>
        <v>-0.012867363219929</v>
      </c>
      <c r="I39" s="34" t="n">
        <f aca="false">LN(1+H39)</f>
        <v>-0.0129508648082764</v>
      </c>
      <c r="J39" s="34"/>
      <c r="K39" s="0" t="n">
        <f aca="false">IF(ISBLANK(A40),MONTH(A39),IF(MONTH(A40)-MONTH(A39)=1,MONTH(A39),0))</f>
        <v>0</v>
      </c>
    </row>
    <row r="40" customFormat="false" ht="14.1" hidden="false" customHeight="false" outlineLevel="0" collapsed="false">
      <c r="A40" s="6" t="n">
        <v>39500</v>
      </c>
      <c r="B40" s="0" t="n">
        <v>1344.22</v>
      </c>
      <c r="C40" s="0" t="n">
        <v>1354.3</v>
      </c>
      <c r="D40" s="0" t="n">
        <v>1327.04</v>
      </c>
      <c r="E40" s="0" t="n">
        <v>1353.11</v>
      </c>
      <c r="F40" s="0" t="n">
        <v>3572660000</v>
      </c>
      <c r="G40" s="0" t="n">
        <v>1353.11</v>
      </c>
      <c r="H40" s="34" t="n">
        <f aca="false">G40/G39-1</f>
        <v>0.00788064326309268</v>
      </c>
      <c r="I40" s="34" t="n">
        <f aca="false">LN(1+H40)</f>
        <v>0.00784975317700559</v>
      </c>
      <c r="J40" s="34"/>
      <c r="K40" s="0" t="n">
        <f aca="false">IF(ISBLANK(A41),MONTH(A40),IF(MONTH(A41)-MONTH(A40)=1,MONTH(A40),0))</f>
        <v>0</v>
      </c>
    </row>
    <row r="41" customFormat="false" ht="14.1" hidden="false" customHeight="false" outlineLevel="0" collapsed="false">
      <c r="A41" s="6" t="n">
        <v>39503</v>
      </c>
      <c r="B41" s="0" t="n">
        <v>1352.75</v>
      </c>
      <c r="C41" s="0" t="n">
        <v>1374.36</v>
      </c>
      <c r="D41" s="0" t="n">
        <v>1346.03</v>
      </c>
      <c r="E41" s="0" t="n">
        <v>1371.8</v>
      </c>
      <c r="F41" s="0" t="n">
        <v>3866350000</v>
      </c>
      <c r="G41" s="0" t="n">
        <v>1371.8</v>
      </c>
      <c r="H41" s="34" t="n">
        <f aca="false">G41/G40-1</f>
        <v>0.0138126242508001</v>
      </c>
      <c r="I41" s="34" t="n">
        <f aca="false">LN(1+H41)</f>
        <v>0.0137180993861569</v>
      </c>
      <c r="J41" s="34"/>
      <c r="K41" s="0" t="n">
        <f aca="false">IF(ISBLANK(A42),MONTH(A41),IF(MONTH(A42)-MONTH(A41)=1,MONTH(A41),0))</f>
        <v>0</v>
      </c>
    </row>
    <row r="42" customFormat="false" ht="14.1" hidden="false" customHeight="false" outlineLevel="0" collapsed="false">
      <c r="A42" s="6" t="n">
        <v>39504</v>
      </c>
      <c r="B42" s="0" t="n">
        <v>1371.76</v>
      </c>
      <c r="C42" s="0" t="n">
        <v>1387.34</v>
      </c>
      <c r="D42" s="0" t="n">
        <v>1363.29</v>
      </c>
      <c r="E42" s="0" t="n">
        <v>1381.29</v>
      </c>
      <c r="F42" s="0" t="n">
        <v>4096060000</v>
      </c>
      <c r="G42" s="0" t="n">
        <v>1381.29</v>
      </c>
      <c r="H42" s="34" t="n">
        <f aca="false">G42/G41-1</f>
        <v>0.00691791806385766</v>
      </c>
      <c r="I42" s="34" t="n">
        <f aca="false">LN(1+H42)</f>
        <v>0.00689409905754826</v>
      </c>
      <c r="J42" s="34"/>
      <c r="K42" s="0" t="n">
        <f aca="false">IF(ISBLANK(A43),MONTH(A42),IF(MONTH(A43)-MONTH(A42)=1,MONTH(A42),0))</f>
        <v>0</v>
      </c>
    </row>
    <row r="43" customFormat="false" ht="14.1" hidden="false" customHeight="false" outlineLevel="0" collapsed="false">
      <c r="A43" s="6" t="n">
        <v>39505</v>
      </c>
      <c r="B43" s="0" t="n">
        <v>1378.95</v>
      </c>
      <c r="C43" s="0" t="n">
        <v>1388.34</v>
      </c>
      <c r="D43" s="0" t="n">
        <v>1372</v>
      </c>
      <c r="E43" s="0" t="n">
        <v>1380.02</v>
      </c>
      <c r="F43" s="0" t="n">
        <v>3904700000</v>
      </c>
      <c r="G43" s="0" t="n">
        <v>1380.02</v>
      </c>
      <c r="H43" s="34" t="n">
        <f aca="false">G43/G42-1</f>
        <v>-0.00091943038753628</v>
      </c>
      <c r="I43" s="34" t="n">
        <f aca="false">LN(1+H43)</f>
        <v>-0.000919853322914674</v>
      </c>
      <c r="J43" s="34"/>
      <c r="K43" s="0" t="n">
        <f aca="false">IF(ISBLANK(A44),MONTH(A43),IF(MONTH(A44)-MONTH(A43)=1,MONTH(A43),0))</f>
        <v>0</v>
      </c>
    </row>
    <row r="44" customFormat="false" ht="14.1" hidden="false" customHeight="false" outlineLevel="0" collapsed="false">
      <c r="A44" s="6" t="n">
        <v>39506</v>
      </c>
      <c r="B44" s="0" t="n">
        <v>1378.16</v>
      </c>
      <c r="C44" s="0" t="n">
        <v>1378.16</v>
      </c>
      <c r="D44" s="0" t="n">
        <v>1363.16</v>
      </c>
      <c r="E44" s="0" t="n">
        <v>1367.68</v>
      </c>
      <c r="F44" s="0" t="n">
        <v>3938580000</v>
      </c>
      <c r="G44" s="0" t="n">
        <v>1367.68</v>
      </c>
      <c r="H44" s="34" t="n">
        <f aca="false">G44/G43-1</f>
        <v>-0.00894189939276235</v>
      </c>
      <c r="I44" s="34" t="n">
        <f aca="false">LN(1+H44)</f>
        <v>-0.00898211810912644</v>
      </c>
      <c r="J44" s="34"/>
      <c r="K44" s="0" t="n">
        <f aca="false">IF(ISBLANK(A45),MONTH(A44),IF(MONTH(A45)-MONTH(A44)=1,MONTH(A44),0))</f>
        <v>0</v>
      </c>
    </row>
    <row r="45" customFormat="false" ht="14.1" hidden="false" customHeight="false" outlineLevel="0" collapsed="false">
      <c r="A45" s="6" t="n">
        <v>39507</v>
      </c>
      <c r="B45" s="0" t="n">
        <v>1364.07</v>
      </c>
      <c r="C45" s="0" t="n">
        <v>1364.07</v>
      </c>
      <c r="D45" s="0" t="n">
        <v>1325.42</v>
      </c>
      <c r="E45" s="0" t="n">
        <v>1330.63</v>
      </c>
      <c r="F45" s="0" t="n">
        <v>4426730000</v>
      </c>
      <c r="G45" s="0" t="n">
        <v>1330.63</v>
      </c>
      <c r="H45" s="34" t="n">
        <f aca="false">G45/G44-1</f>
        <v>-0.0270896700982686</v>
      </c>
      <c r="I45" s="34" t="n">
        <f aca="false">LN(1+H45)</f>
        <v>-0.0274633594173526</v>
      </c>
      <c r="J45" s="34"/>
      <c r="K45" s="0" t="n">
        <f aca="false">IF(ISBLANK(A46),MONTH(A45),IF(MONTH(A46)-MONTH(A45)=1,MONTH(A45),0))</f>
        <v>2</v>
      </c>
    </row>
    <row r="46" customFormat="false" ht="14.1" hidden="false" customHeight="false" outlineLevel="0" collapsed="false">
      <c r="A46" s="6" t="n">
        <v>39510</v>
      </c>
      <c r="B46" s="0" t="n">
        <v>1330.45</v>
      </c>
      <c r="C46" s="0" t="n">
        <v>1335.13</v>
      </c>
      <c r="D46" s="0" t="n">
        <v>1320.04</v>
      </c>
      <c r="E46" s="0" t="n">
        <v>1331.34</v>
      </c>
      <c r="F46" s="0" t="n">
        <v>4117570000</v>
      </c>
      <c r="G46" s="0" t="n">
        <v>1331.34</v>
      </c>
      <c r="H46" s="34" t="n">
        <f aca="false">G46/G45-1</f>
        <v>0.000533581837174779</v>
      </c>
      <c r="I46" s="34" t="n">
        <f aca="false">LN(1+H46)</f>
        <v>0.000533439533004661</v>
      </c>
      <c r="J46" s="34"/>
      <c r="K46" s="0" t="n">
        <f aca="false">IF(ISBLANK(A47),MONTH(A46),IF(MONTH(A47)-MONTH(A46)=1,MONTH(A46),0))</f>
        <v>0</v>
      </c>
    </row>
    <row r="47" customFormat="false" ht="14.1" hidden="false" customHeight="false" outlineLevel="0" collapsed="false">
      <c r="A47" s="6" t="n">
        <v>39511</v>
      </c>
      <c r="B47" s="0" t="n">
        <v>1329.58</v>
      </c>
      <c r="C47" s="0" t="n">
        <v>1331.03</v>
      </c>
      <c r="D47" s="0" t="n">
        <v>1307.39</v>
      </c>
      <c r="E47" s="0" t="n">
        <v>1326.75</v>
      </c>
      <c r="F47" s="0" t="n">
        <v>4757180000</v>
      </c>
      <c r="G47" s="0" t="n">
        <v>1326.75</v>
      </c>
      <c r="H47" s="34" t="n">
        <f aca="false">G47/G46-1</f>
        <v>-0.00344765424309335</v>
      </c>
      <c r="I47" s="34" t="n">
        <f aca="false">LN(1+H47)</f>
        <v>-0.00345361109837576</v>
      </c>
      <c r="J47" s="34"/>
      <c r="K47" s="0" t="n">
        <f aca="false">IF(ISBLANK(A48),MONTH(A47),IF(MONTH(A48)-MONTH(A47)=1,MONTH(A47),0))</f>
        <v>0</v>
      </c>
    </row>
    <row r="48" customFormat="false" ht="14.1" hidden="false" customHeight="false" outlineLevel="0" collapsed="false">
      <c r="A48" s="6" t="n">
        <v>39512</v>
      </c>
      <c r="B48" s="0" t="n">
        <v>1327.69</v>
      </c>
      <c r="C48" s="0" t="n">
        <v>1344.19</v>
      </c>
      <c r="D48" s="0" t="n">
        <v>1320.22</v>
      </c>
      <c r="E48" s="0" t="n">
        <v>1333.7</v>
      </c>
      <c r="F48" s="0" t="n">
        <v>4277710000</v>
      </c>
      <c r="G48" s="0" t="n">
        <v>1333.7</v>
      </c>
      <c r="H48" s="34" t="n">
        <f aca="false">G48/G47-1</f>
        <v>0.00523836442434522</v>
      </c>
      <c r="I48" s="34" t="n">
        <f aca="false">LN(1+H48)</f>
        <v>0.00522469192034451</v>
      </c>
      <c r="J48" s="34"/>
      <c r="K48" s="0" t="n">
        <f aca="false">IF(ISBLANK(A49),MONTH(A48),IF(MONTH(A49)-MONTH(A48)=1,MONTH(A48),0))</f>
        <v>0</v>
      </c>
    </row>
    <row r="49" customFormat="false" ht="14.1" hidden="false" customHeight="false" outlineLevel="0" collapsed="false">
      <c r="A49" s="6" t="n">
        <v>39513</v>
      </c>
      <c r="B49" s="0" t="n">
        <v>1332.2</v>
      </c>
      <c r="C49" s="0" t="n">
        <v>1332.2</v>
      </c>
      <c r="D49" s="0" t="n">
        <v>1303.42</v>
      </c>
      <c r="E49" s="0" t="n">
        <v>1304.34</v>
      </c>
      <c r="F49" s="0" t="n">
        <v>4323460000</v>
      </c>
      <c r="G49" s="0" t="n">
        <v>1304.34</v>
      </c>
      <c r="H49" s="34" t="n">
        <f aca="false">G49/G48-1</f>
        <v>-0.0220139461648048</v>
      </c>
      <c r="I49" s="34" t="n">
        <f aca="false">LN(1+H49)</f>
        <v>-0.0222598689312063</v>
      </c>
      <c r="J49" s="34"/>
      <c r="K49" s="0" t="n">
        <f aca="false">IF(ISBLANK(A50),MONTH(A49),IF(MONTH(A50)-MONTH(A49)=1,MONTH(A49),0))</f>
        <v>0</v>
      </c>
    </row>
    <row r="50" customFormat="false" ht="14.1" hidden="false" customHeight="false" outlineLevel="0" collapsed="false">
      <c r="A50" s="6" t="n">
        <v>39514</v>
      </c>
      <c r="B50" s="0" t="n">
        <v>1301.53</v>
      </c>
      <c r="C50" s="0" t="n">
        <v>1313.24</v>
      </c>
      <c r="D50" s="0" t="n">
        <v>1282.43</v>
      </c>
      <c r="E50" s="0" t="n">
        <v>1293.37</v>
      </c>
      <c r="F50" s="0" t="n">
        <v>4565410000</v>
      </c>
      <c r="G50" s="0" t="n">
        <v>1293.37</v>
      </c>
      <c r="H50" s="34" t="n">
        <f aca="false">G50/G49-1</f>
        <v>-0.00841038379563608</v>
      </c>
      <c r="I50" s="34" t="n">
        <f aca="false">LN(1+H50)</f>
        <v>-0.00844595063433755</v>
      </c>
      <c r="J50" s="34"/>
      <c r="K50" s="0" t="n">
        <f aca="false">IF(ISBLANK(A51),MONTH(A50),IF(MONTH(A51)-MONTH(A50)=1,MONTH(A50),0))</f>
        <v>0</v>
      </c>
    </row>
    <row r="51" customFormat="false" ht="14.1" hidden="false" customHeight="false" outlineLevel="0" collapsed="false">
      <c r="A51" s="6" t="n">
        <v>39517</v>
      </c>
      <c r="B51" s="0" t="n">
        <v>1293.16</v>
      </c>
      <c r="C51" s="0" t="n">
        <v>1295.01</v>
      </c>
      <c r="D51" s="0" t="n">
        <v>1272.66</v>
      </c>
      <c r="E51" s="0" t="n">
        <v>1273.37</v>
      </c>
      <c r="F51" s="0" t="n">
        <v>4261240000</v>
      </c>
      <c r="G51" s="0" t="n">
        <v>1273.37</v>
      </c>
      <c r="H51" s="34" t="n">
        <f aca="false">G51/G50-1</f>
        <v>-0.015463479128169</v>
      </c>
      <c r="I51" s="34" t="n">
        <f aca="false">LN(1+H51)</f>
        <v>-0.015584285733367</v>
      </c>
      <c r="J51" s="34"/>
      <c r="K51" s="0" t="n">
        <f aca="false">IF(ISBLANK(A52),MONTH(A51),IF(MONTH(A52)-MONTH(A51)=1,MONTH(A51),0))</f>
        <v>0</v>
      </c>
    </row>
    <row r="52" customFormat="false" ht="14.1" hidden="false" customHeight="false" outlineLevel="0" collapsed="false">
      <c r="A52" s="6" t="n">
        <v>39518</v>
      </c>
      <c r="B52" s="0" t="n">
        <v>1274.4</v>
      </c>
      <c r="C52" s="0" t="n">
        <v>1320.65</v>
      </c>
      <c r="D52" s="0" t="n">
        <v>1274.4</v>
      </c>
      <c r="E52" s="0" t="n">
        <v>1320.65</v>
      </c>
      <c r="F52" s="0" t="n">
        <v>5109080000</v>
      </c>
      <c r="G52" s="0" t="n">
        <v>1320.65</v>
      </c>
      <c r="H52" s="34" t="n">
        <f aca="false">G52/G51-1</f>
        <v>0.0371298208690327</v>
      </c>
      <c r="I52" s="34" t="n">
        <f aca="false">LN(1+H52)</f>
        <v>0.0364571102923722</v>
      </c>
      <c r="J52" s="34"/>
      <c r="K52" s="0" t="n">
        <f aca="false">IF(ISBLANK(A53),MONTH(A52),IF(MONTH(A53)-MONTH(A52)=1,MONTH(A52),0))</f>
        <v>0</v>
      </c>
    </row>
    <row r="53" customFormat="false" ht="14.1" hidden="false" customHeight="false" outlineLevel="0" collapsed="false">
      <c r="A53" s="6" t="n">
        <v>39519</v>
      </c>
      <c r="B53" s="0" t="n">
        <v>1321.13</v>
      </c>
      <c r="C53" s="0" t="n">
        <v>1333.26</v>
      </c>
      <c r="D53" s="0" t="n">
        <v>1307.86</v>
      </c>
      <c r="E53" s="0" t="n">
        <v>1308.77</v>
      </c>
      <c r="F53" s="0" t="n">
        <v>4414280000</v>
      </c>
      <c r="G53" s="0" t="n">
        <v>1308.77</v>
      </c>
      <c r="H53" s="34" t="n">
        <f aca="false">G53/G52-1</f>
        <v>-0.00899557036307885</v>
      </c>
      <c r="I53" s="34" t="n">
        <f aca="false">LN(1+H53)</f>
        <v>-0.00903627479642632</v>
      </c>
      <c r="J53" s="34"/>
      <c r="K53" s="0" t="n">
        <f aca="false">IF(ISBLANK(A54),MONTH(A53),IF(MONTH(A54)-MONTH(A53)=1,MONTH(A53),0))</f>
        <v>0</v>
      </c>
    </row>
    <row r="54" customFormat="false" ht="14.1" hidden="false" customHeight="false" outlineLevel="0" collapsed="false">
      <c r="A54" s="6" t="n">
        <v>39520</v>
      </c>
      <c r="B54" s="0" t="n">
        <v>1305.26</v>
      </c>
      <c r="C54" s="0" t="n">
        <v>1321.68</v>
      </c>
      <c r="D54" s="0" t="n">
        <v>1282.11</v>
      </c>
      <c r="E54" s="0" t="n">
        <v>1315.48</v>
      </c>
      <c r="F54" s="0" t="n">
        <v>5073360000</v>
      </c>
      <c r="G54" s="0" t="n">
        <v>1315.48</v>
      </c>
      <c r="H54" s="34" t="n">
        <f aca="false">G54/G53-1</f>
        <v>0.00512695125957974</v>
      </c>
      <c r="I54" s="34" t="n">
        <f aca="false">LN(1+H54)</f>
        <v>0.00511385319465585</v>
      </c>
      <c r="J54" s="34"/>
      <c r="K54" s="0" t="n">
        <f aca="false">IF(ISBLANK(A55),MONTH(A54),IF(MONTH(A55)-MONTH(A54)=1,MONTH(A54),0))</f>
        <v>0</v>
      </c>
    </row>
    <row r="55" customFormat="false" ht="14.1" hidden="false" customHeight="false" outlineLevel="0" collapsed="false">
      <c r="A55" s="6" t="n">
        <v>39521</v>
      </c>
      <c r="B55" s="0" t="n">
        <v>1316.05</v>
      </c>
      <c r="C55" s="0" t="n">
        <v>1321.47</v>
      </c>
      <c r="D55" s="0" t="n">
        <v>1274.86</v>
      </c>
      <c r="E55" s="0" t="n">
        <v>1288.14</v>
      </c>
      <c r="F55" s="0" t="n">
        <v>5153780000</v>
      </c>
      <c r="G55" s="0" t="n">
        <v>1288.14</v>
      </c>
      <c r="H55" s="34" t="n">
        <f aca="false">G55/G54-1</f>
        <v>-0.0207832882293915</v>
      </c>
      <c r="I55" s="34" t="n">
        <f aca="false">LN(1+H55)</f>
        <v>-0.021002300610511</v>
      </c>
      <c r="J55" s="34"/>
      <c r="K55" s="0" t="n">
        <f aca="false">IF(ISBLANK(A56),MONTH(A55),IF(MONTH(A56)-MONTH(A55)=1,MONTH(A55),0))</f>
        <v>0</v>
      </c>
    </row>
    <row r="56" customFormat="false" ht="14.1" hidden="false" customHeight="false" outlineLevel="0" collapsed="false">
      <c r="A56" s="6" t="n">
        <v>39524</v>
      </c>
      <c r="B56" s="0" t="n">
        <v>1283.21</v>
      </c>
      <c r="C56" s="0" t="n">
        <v>1287.5</v>
      </c>
      <c r="D56" s="0" t="n">
        <v>1256.98</v>
      </c>
      <c r="E56" s="0" t="n">
        <v>1276.6</v>
      </c>
      <c r="F56" s="0" t="n">
        <v>5683010000</v>
      </c>
      <c r="G56" s="0" t="n">
        <v>1276.6</v>
      </c>
      <c r="H56" s="34" t="n">
        <f aca="false">G56/G55-1</f>
        <v>-0.00895865356250114</v>
      </c>
      <c r="I56" s="34" t="n">
        <f aca="false">LN(1+H56)</f>
        <v>-0.0089990235875717</v>
      </c>
      <c r="J56" s="34"/>
      <c r="K56" s="0" t="n">
        <f aca="false">IF(ISBLANK(A57),MONTH(A56),IF(MONTH(A57)-MONTH(A56)=1,MONTH(A56),0))</f>
        <v>0</v>
      </c>
    </row>
    <row r="57" customFormat="false" ht="14.1" hidden="false" customHeight="false" outlineLevel="0" collapsed="false">
      <c r="A57" s="6" t="n">
        <v>39525</v>
      </c>
      <c r="B57" s="0" t="n">
        <v>1277.16</v>
      </c>
      <c r="C57" s="0" t="n">
        <v>1330.74</v>
      </c>
      <c r="D57" s="0" t="n">
        <v>1277.16</v>
      </c>
      <c r="E57" s="0" t="n">
        <v>1330.74</v>
      </c>
      <c r="F57" s="0" t="n">
        <v>5335630000</v>
      </c>
      <c r="G57" s="0" t="n">
        <v>1330.74</v>
      </c>
      <c r="H57" s="34" t="n">
        <f aca="false">G57/G56-1</f>
        <v>0.0424095253015824</v>
      </c>
      <c r="I57" s="34" t="n">
        <f aca="false">LN(1+H57)</f>
        <v>0.0415348846432165</v>
      </c>
      <c r="J57" s="34"/>
      <c r="K57" s="0" t="n">
        <f aca="false">IF(ISBLANK(A58),MONTH(A57),IF(MONTH(A58)-MONTH(A57)=1,MONTH(A57),0))</f>
        <v>0</v>
      </c>
    </row>
    <row r="58" customFormat="false" ht="14.1" hidden="false" customHeight="false" outlineLevel="0" collapsed="false">
      <c r="A58" s="6" t="n">
        <v>39526</v>
      </c>
      <c r="B58" s="0" t="n">
        <v>1330.97</v>
      </c>
      <c r="C58" s="0" t="n">
        <v>1341.51</v>
      </c>
      <c r="D58" s="0" t="n">
        <v>1298.42</v>
      </c>
      <c r="E58" s="0" t="n">
        <v>1298.42</v>
      </c>
      <c r="F58" s="0" t="n">
        <v>1203830000</v>
      </c>
      <c r="G58" s="0" t="n">
        <v>1298.42</v>
      </c>
      <c r="H58" s="34" t="n">
        <f aca="false">G58/G57-1</f>
        <v>-0.0242872386792311</v>
      </c>
      <c r="I58" s="34" t="n">
        <f aca="false">LN(1+H58)</f>
        <v>-0.0245870378097967</v>
      </c>
      <c r="J58" s="34"/>
      <c r="K58" s="0" t="n">
        <f aca="false">IF(ISBLANK(A59),MONTH(A58),IF(MONTH(A59)-MONTH(A58)=1,MONTH(A58),0))</f>
        <v>0</v>
      </c>
    </row>
    <row r="59" customFormat="false" ht="14.1" hidden="false" customHeight="false" outlineLevel="0" collapsed="false">
      <c r="A59" s="6" t="n">
        <v>39527</v>
      </c>
      <c r="B59" s="0" t="n">
        <v>1299.67</v>
      </c>
      <c r="C59" s="0" t="n">
        <v>1330.67</v>
      </c>
      <c r="D59" s="0" t="n">
        <v>1295.22</v>
      </c>
      <c r="E59" s="0" t="n">
        <v>1329.51</v>
      </c>
      <c r="F59" s="0" t="n">
        <v>6145220000</v>
      </c>
      <c r="G59" s="0" t="n">
        <v>1329.51</v>
      </c>
      <c r="H59" s="34" t="n">
        <f aca="false">G59/G58-1</f>
        <v>0.023944486375749</v>
      </c>
      <c r="I59" s="34" t="n">
        <f aca="false">LN(1+H59)</f>
        <v>0.0236623126240814</v>
      </c>
      <c r="J59" s="34"/>
      <c r="K59" s="0" t="n">
        <f aca="false">IF(ISBLANK(A60),MONTH(A59),IF(MONTH(A60)-MONTH(A59)=1,MONTH(A59),0))</f>
        <v>0</v>
      </c>
    </row>
    <row r="60" customFormat="false" ht="14.1" hidden="false" customHeight="false" outlineLevel="0" collapsed="false">
      <c r="A60" s="6" t="n">
        <v>39531</v>
      </c>
      <c r="B60" s="0" t="n">
        <v>1330.29</v>
      </c>
      <c r="C60" s="0" t="n">
        <v>1359.68</v>
      </c>
      <c r="D60" s="0" t="n">
        <v>1330.29</v>
      </c>
      <c r="E60" s="0" t="n">
        <v>1349.88</v>
      </c>
      <c r="F60" s="0" t="n">
        <v>4499000000</v>
      </c>
      <c r="G60" s="0" t="n">
        <v>1349.88</v>
      </c>
      <c r="H60" s="34" t="n">
        <f aca="false">G60/G59-1</f>
        <v>0.0153214342126047</v>
      </c>
      <c r="I60" s="34" t="n">
        <f aca="false">LN(1+H60)</f>
        <v>0.0152052463132767</v>
      </c>
      <c r="J60" s="34"/>
      <c r="K60" s="0" t="n">
        <f aca="false">IF(ISBLANK(A61),MONTH(A60),IF(MONTH(A61)-MONTH(A60)=1,MONTH(A60),0))</f>
        <v>0</v>
      </c>
    </row>
    <row r="61" customFormat="false" ht="14.1" hidden="false" customHeight="false" outlineLevel="0" collapsed="false">
      <c r="A61" s="6" t="n">
        <v>39532</v>
      </c>
      <c r="B61" s="0" t="n">
        <v>1349.07</v>
      </c>
      <c r="C61" s="0" t="n">
        <v>1357.47</v>
      </c>
      <c r="D61" s="0" t="n">
        <v>1341.21</v>
      </c>
      <c r="E61" s="0" t="n">
        <v>1352.99</v>
      </c>
      <c r="F61" s="0" t="n">
        <v>4145120000</v>
      </c>
      <c r="G61" s="0" t="n">
        <v>1352.99</v>
      </c>
      <c r="H61" s="34" t="n">
        <f aca="false">G61/G60-1</f>
        <v>0.00230390849556983</v>
      </c>
      <c r="I61" s="34" t="n">
        <f aca="false">LN(1+H61)</f>
        <v>0.00230125856773887</v>
      </c>
      <c r="J61" s="34"/>
      <c r="K61" s="0" t="n">
        <f aca="false">IF(ISBLANK(A62),MONTH(A61),IF(MONTH(A62)-MONTH(A61)=1,MONTH(A61),0))</f>
        <v>0</v>
      </c>
    </row>
    <row r="62" customFormat="false" ht="14.1" hidden="false" customHeight="false" outlineLevel="0" collapsed="false">
      <c r="A62" s="6" t="n">
        <v>39533</v>
      </c>
      <c r="B62" s="0" t="n">
        <v>1352.45</v>
      </c>
      <c r="C62" s="0" t="n">
        <v>1352.45</v>
      </c>
      <c r="D62" s="0" t="n">
        <v>1336.41</v>
      </c>
      <c r="E62" s="0" t="n">
        <v>1341.13</v>
      </c>
      <c r="F62" s="0" t="n">
        <v>4055670000</v>
      </c>
      <c r="G62" s="0" t="n">
        <v>1341.13</v>
      </c>
      <c r="H62" s="34" t="n">
        <f aca="false">G62/G61-1</f>
        <v>-0.00876577062653816</v>
      </c>
      <c r="I62" s="34" t="n">
        <f aca="false">LN(1+H62)</f>
        <v>-0.00880441599725943</v>
      </c>
      <c r="J62" s="34"/>
      <c r="K62" s="0" t="n">
        <f aca="false">IF(ISBLANK(A63),MONTH(A62),IF(MONTH(A63)-MONTH(A62)=1,MONTH(A62),0))</f>
        <v>0</v>
      </c>
    </row>
    <row r="63" customFormat="false" ht="14.1" hidden="false" customHeight="false" outlineLevel="0" collapsed="false">
      <c r="A63" s="6" t="n">
        <v>39534</v>
      </c>
      <c r="B63" s="0" t="n">
        <v>1340.34</v>
      </c>
      <c r="C63" s="0" t="n">
        <v>1345.62</v>
      </c>
      <c r="D63" s="0" t="n">
        <v>1325.66</v>
      </c>
      <c r="E63" s="0" t="n">
        <v>1325.76</v>
      </c>
      <c r="F63" s="0" t="n">
        <v>4037930000</v>
      </c>
      <c r="G63" s="0" t="n">
        <v>1325.76</v>
      </c>
      <c r="H63" s="34" t="n">
        <f aca="false">G63/G62-1</f>
        <v>-0.0114604848150441</v>
      </c>
      <c r="I63" s="34" t="n">
        <f aca="false">LN(1+H63)</f>
        <v>-0.0115266622741774</v>
      </c>
      <c r="J63" s="34"/>
      <c r="K63" s="0" t="n">
        <f aca="false">IF(ISBLANK(A64),MONTH(A63),IF(MONTH(A64)-MONTH(A63)=1,MONTH(A63),0))</f>
        <v>0</v>
      </c>
    </row>
    <row r="64" customFormat="false" ht="14.1" hidden="false" customHeight="false" outlineLevel="0" collapsed="false">
      <c r="A64" s="6" t="n">
        <v>39535</v>
      </c>
      <c r="B64" s="0" t="n">
        <v>1327.02</v>
      </c>
      <c r="C64" s="0" t="n">
        <v>1334.87</v>
      </c>
      <c r="D64" s="0" t="n">
        <v>1312.95</v>
      </c>
      <c r="E64" s="0" t="n">
        <v>1315.22</v>
      </c>
      <c r="F64" s="0" t="n">
        <v>3686980000</v>
      </c>
      <c r="G64" s="0" t="n">
        <v>1315.22</v>
      </c>
      <c r="H64" s="34" t="n">
        <f aca="false">G64/G63-1</f>
        <v>-0.00795015689114165</v>
      </c>
      <c r="I64" s="34" t="n">
        <f aca="false">LN(1+H64)</f>
        <v>-0.00798192789009182</v>
      </c>
      <c r="J64" s="34"/>
      <c r="K64" s="0" t="n">
        <f aca="false">IF(ISBLANK(A65),MONTH(A64),IF(MONTH(A65)-MONTH(A64)=1,MONTH(A64),0))</f>
        <v>0</v>
      </c>
    </row>
    <row r="65" customFormat="false" ht="14.1" hidden="false" customHeight="false" outlineLevel="0" collapsed="false">
      <c r="A65" s="6" t="n">
        <v>39538</v>
      </c>
      <c r="B65" s="0" t="n">
        <v>1315.92</v>
      </c>
      <c r="C65" s="0" t="n">
        <v>1328.52</v>
      </c>
      <c r="D65" s="0" t="n">
        <v>1312.81</v>
      </c>
      <c r="E65" s="0" t="n">
        <v>1322.7</v>
      </c>
      <c r="F65" s="0" t="n">
        <v>4188990000</v>
      </c>
      <c r="G65" s="0" t="n">
        <v>1322.7</v>
      </c>
      <c r="H65" s="34" t="n">
        <f aca="false">G65/G64-1</f>
        <v>0.00568726144675424</v>
      </c>
      <c r="I65" s="34" t="n">
        <f aca="false">LN(1+H65)</f>
        <v>0.00567115003305659</v>
      </c>
      <c r="J65" s="34"/>
      <c r="K65" s="0" t="n">
        <f aca="false">IF(ISBLANK(A66),MONTH(A65),IF(MONTH(A66)-MONTH(A65)=1,MONTH(A65),0))</f>
        <v>3</v>
      </c>
    </row>
    <row r="66" customFormat="false" ht="14.1" hidden="false" customHeight="false" outlineLevel="0" collapsed="false">
      <c r="A66" s="6" t="n">
        <v>39539</v>
      </c>
      <c r="B66" s="0" t="n">
        <v>1326.41</v>
      </c>
      <c r="C66" s="0" t="n">
        <v>1370.18</v>
      </c>
      <c r="D66" s="0" t="n">
        <v>1326.41</v>
      </c>
      <c r="E66" s="0" t="n">
        <v>1370.18</v>
      </c>
      <c r="F66" s="0" t="n">
        <v>4745120000</v>
      </c>
      <c r="G66" s="0" t="n">
        <v>1370.18</v>
      </c>
      <c r="H66" s="34" t="n">
        <f aca="false">G66/G65-1</f>
        <v>0.0358962727753838</v>
      </c>
      <c r="I66" s="34" t="n">
        <f aca="false">LN(1+H66)</f>
        <v>0.0352670160209852</v>
      </c>
      <c r="J66" s="34"/>
      <c r="K66" s="0" t="n">
        <f aca="false">IF(ISBLANK(A67),MONTH(A66),IF(MONTH(A67)-MONTH(A66)=1,MONTH(A66),0))</f>
        <v>0</v>
      </c>
    </row>
    <row r="67" customFormat="false" ht="14.1" hidden="false" customHeight="false" outlineLevel="0" collapsed="false">
      <c r="A67" s="6" t="n">
        <v>39540</v>
      </c>
      <c r="B67" s="0" t="n">
        <v>1369.96</v>
      </c>
      <c r="C67" s="0" t="n">
        <v>1377.95</v>
      </c>
      <c r="D67" s="0" t="n">
        <v>1361.55</v>
      </c>
      <c r="E67" s="0" t="n">
        <v>1367.53</v>
      </c>
      <c r="F67" s="0" t="n">
        <v>4320440000</v>
      </c>
      <c r="G67" s="0" t="n">
        <v>1367.53</v>
      </c>
      <c r="H67" s="34" t="n">
        <f aca="false">G67/G66-1</f>
        <v>-0.00193405246026079</v>
      </c>
      <c r="I67" s="34" t="n">
        <f aca="false">LN(1+H67)</f>
        <v>-0.00193592515470274</v>
      </c>
      <c r="J67" s="34"/>
      <c r="K67" s="0" t="n">
        <f aca="false">IF(ISBLANK(A68),MONTH(A67),IF(MONTH(A68)-MONTH(A67)=1,MONTH(A67),0))</f>
        <v>0</v>
      </c>
    </row>
    <row r="68" customFormat="false" ht="14.1" hidden="false" customHeight="false" outlineLevel="0" collapsed="false">
      <c r="A68" s="6" t="n">
        <v>39541</v>
      </c>
      <c r="B68" s="0" t="n">
        <v>1365.69</v>
      </c>
      <c r="C68" s="0" t="n">
        <v>1375.66</v>
      </c>
      <c r="D68" s="0" t="n">
        <v>1358.68</v>
      </c>
      <c r="E68" s="0" t="n">
        <v>1369.31</v>
      </c>
      <c r="F68" s="0" t="n">
        <v>3920100000</v>
      </c>
      <c r="G68" s="0" t="n">
        <v>1369.31</v>
      </c>
      <c r="H68" s="34" t="n">
        <f aca="false">G68/G67-1</f>
        <v>0.00130161678354401</v>
      </c>
      <c r="I68" s="34" t="n">
        <f aca="false">LN(1+H68)</f>
        <v>0.00130077041477067</v>
      </c>
      <c r="J68" s="34"/>
      <c r="K68" s="0" t="n">
        <f aca="false">IF(ISBLANK(A69),MONTH(A68),IF(MONTH(A69)-MONTH(A68)=1,MONTH(A68),0))</f>
        <v>0</v>
      </c>
    </row>
    <row r="69" customFormat="false" ht="14.1" hidden="false" customHeight="false" outlineLevel="0" collapsed="false">
      <c r="A69" s="6" t="n">
        <v>39542</v>
      </c>
      <c r="B69" s="0" t="n">
        <v>1369.85</v>
      </c>
      <c r="C69" s="0" t="n">
        <v>1380.91</v>
      </c>
      <c r="D69" s="0" t="n">
        <v>1362.83</v>
      </c>
      <c r="E69" s="0" t="n">
        <v>1370.4</v>
      </c>
      <c r="F69" s="0" t="n">
        <v>3703100000</v>
      </c>
      <c r="G69" s="0" t="n">
        <v>1370.4</v>
      </c>
      <c r="H69" s="34" t="n">
        <f aca="false">G69/G68-1</f>
        <v>0.000796021353820731</v>
      </c>
      <c r="I69" s="34" t="n">
        <f aca="false">LN(1+H69)</f>
        <v>0.000795704696855523</v>
      </c>
      <c r="J69" s="34"/>
      <c r="K69" s="0" t="n">
        <f aca="false">IF(ISBLANK(A70),MONTH(A69),IF(MONTH(A70)-MONTH(A69)=1,MONTH(A69),0))</f>
        <v>0</v>
      </c>
    </row>
    <row r="70" customFormat="false" ht="14.1" hidden="false" customHeight="false" outlineLevel="0" collapsed="false">
      <c r="A70" s="6" t="n">
        <v>39545</v>
      </c>
      <c r="B70" s="0" t="n">
        <v>1373.69</v>
      </c>
      <c r="C70" s="0" t="n">
        <v>1386.74</v>
      </c>
      <c r="D70" s="0" t="n">
        <v>1369.02</v>
      </c>
      <c r="E70" s="0" t="n">
        <v>1372.54</v>
      </c>
      <c r="F70" s="0" t="n">
        <v>3747780000</v>
      </c>
      <c r="G70" s="0" t="n">
        <v>1372.54</v>
      </c>
      <c r="H70" s="34" t="n">
        <f aca="false">G70/G69-1</f>
        <v>0.00156158785755967</v>
      </c>
      <c r="I70" s="34" t="n">
        <f aca="false">LN(1+H70)</f>
        <v>0.00156036984709659</v>
      </c>
      <c r="J70" s="34"/>
      <c r="K70" s="0" t="n">
        <f aca="false">IF(ISBLANK(A71),MONTH(A70),IF(MONTH(A71)-MONTH(A70)=1,MONTH(A70),0))</f>
        <v>0</v>
      </c>
    </row>
    <row r="71" customFormat="false" ht="14.1" hidden="false" customHeight="false" outlineLevel="0" collapsed="false">
      <c r="A71" s="6" t="n">
        <v>39546</v>
      </c>
      <c r="B71" s="0" t="n">
        <v>1370.16</v>
      </c>
      <c r="C71" s="0" t="n">
        <v>1370.16</v>
      </c>
      <c r="D71" s="0" t="n">
        <v>1360.62</v>
      </c>
      <c r="E71" s="0" t="n">
        <v>1365.54</v>
      </c>
      <c r="F71" s="0" t="n">
        <v>3602500000</v>
      </c>
      <c r="G71" s="0" t="n">
        <v>1365.54</v>
      </c>
      <c r="H71" s="34" t="n">
        <f aca="false">G71/G70-1</f>
        <v>-0.00510003351450594</v>
      </c>
      <c r="I71" s="34" t="n">
        <f aca="false">LN(1+H71)</f>
        <v>-0.00511308307312969</v>
      </c>
      <c r="J71" s="34"/>
      <c r="K71" s="0" t="n">
        <f aca="false">IF(ISBLANK(A72),MONTH(A71),IF(MONTH(A72)-MONTH(A71)=1,MONTH(A71),0))</f>
        <v>0</v>
      </c>
    </row>
    <row r="72" customFormat="false" ht="14.1" hidden="false" customHeight="false" outlineLevel="0" collapsed="false">
      <c r="A72" s="6" t="n">
        <v>39547</v>
      </c>
      <c r="B72" s="0" t="n">
        <v>1365.5</v>
      </c>
      <c r="C72" s="0" t="n">
        <v>1368.39</v>
      </c>
      <c r="D72" s="0" t="n">
        <v>1349.97</v>
      </c>
      <c r="E72" s="0" t="n">
        <v>1354.49</v>
      </c>
      <c r="F72" s="0" t="n">
        <v>3556670000</v>
      </c>
      <c r="G72" s="0" t="n">
        <v>1354.49</v>
      </c>
      <c r="H72" s="34" t="n">
        <f aca="false">G72/G71-1</f>
        <v>-0.0080920368498909</v>
      </c>
      <c r="I72" s="34" t="n">
        <f aca="false">LN(1+H72)</f>
        <v>-0.00812495508406089</v>
      </c>
      <c r="J72" s="34"/>
      <c r="K72" s="0" t="n">
        <f aca="false">IF(ISBLANK(A73),MONTH(A72),IF(MONTH(A73)-MONTH(A72)=1,MONTH(A72),0))</f>
        <v>0</v>
      </c>
    </row>
    <row r="73" customFormat="false" ht="14.1" hidden="false" customHeight="false" outlineLevel="0" collapsed="false">
      <c r="A73" s="6" t="n">
        <v>39548</v>
      </c>
      <c r="B73" s="0" t="n">
        <v>1355.37</v>
      </c>
      <c r="C73" s="0" t="n">
        <v>1367.24</v>
      </c>
      <c r="D73" s="0" t="n">
        <v>1350.11</v>
      </c>
      <c r="E73" s="0" t="n">
        <v>1360.55</v>
      </c>
      <c r="F73" s="0" t="n">
        <v>3686150000</v>
      </c>
      <c r="G73" s="0" t="n">
        <v>1360.55</v>
      </c>
      <c r="H73" s="34" t="n">
        <f aca="false">G73/G72-1</f>
        <v>0.00447400866746883</v>
      </c>
      <c r="I73" s="34" t="n">
        <f aca="false">LN(1+H73)</f>
        <v>0.00446403004258976</v>
      </c>
      <c r="J73" s="34"/>
      <c r="K73" s="0" t="n">
        <f aca="false">IF(ISBLANK(A74),MONTH(A73),IF(MONTH(A74)-MONTH(A73)=1,MONTH(A73),0))</f>
        <v>0</v>
      </c>
    </row>
    <row r="74" customFormat="false" ht="14.1" hidden="false" customHeight="false" outlineLevel="0" collapsed="false">
      <c r="A74" s="6" t="n">
        <v>39549</v>
      </c>
      <c r="B74" s="0" t="n">
        <v>1357.98</v>
      </c>
      <c r="C74" s="0" t="n">
        <v>1357.98</v>
      </c>
      <c r="D74" s="0" t="n">
        <v>1331.21</v>
      </c>
      <c r="E74" s="0" t="n">
        <v>1332.83</v>
      </c>
      <c r="F74" s="0" t="n">
        <v>3723790000</v>
      </c>
      <c r="G74" s="0" t="n">
        <v>1332.83</v>
      </c>
      <c r="H74" s="34" t="n">
        <f aca="false">G74/G73-1</f>
        <v>-0.020374113410018</v>
      </c>
      <c r="I74" s="34" t="n">
        <f aca="false">LN(1+H74)</f>
        <v>-0.0205845285795504</v>
      </c>
      <c r="J74" s="34"/>
      <c r="K74" s="0" t="n">
        <f aca="false">IF(ISBLANK(A75),MONTH(A74),IF(MONTH(A75)-MONTH(A74)=1,MONTH(A74),0))</f>
        <v>0</v>
      </c>
    </row>
    <row r="75" customFormat="false" ht="14.1" hidden="false" customHeight="false" outlineLevel="0" collapsed="false">
      <c r="A75" s="6" t="n">
        <v>39552</v>
      </c>
      <c r="B75" s="0" t="n">
        <v>1332.2</v>
      </c>
      <c r="C75" s="0" t="n">
        <v>1335.64</v>
      </c>
      <c r="D75" s="0" t="n">
        <v>1326.16</v>
      </c>
      <c r="E75" s="0" t="n">
        <v>1328.32</v>
      </c>
      <c r="F75" s="0" t="n">
        <v>3565020000</v>
      </c>
      <c r="G75" s="0" t="n">
        <v>1328.32</v>
      </c>
      <c r="H75" s="34" t="n">
        <f aca="false">G75/G74-1</f>
        <v>-0.00338377737595941</v>
      </c>
      <c r="I75" s="34" t="n">
        <f aca="false">LN(1+H75)</f>
        <v>-0.00338951529818191</v>
      </c>
      <c r="J75" s="34"/>
      <c r="K75" s="0" t="n">
        <f aca="false">IF(ISBLANK(A76),MONTH(A75),IF(MONTH(A76)-MONTH(A75)=1,MONTH(A75),0))</f>
        <v>0</v>
      </c>
    </row>
    <row r="76" customFormat="false" ht="14.1" hidden="false" customHeight="false" outlineLevel="0" collapsed="false">
      <c r="A76" s="6" t="n">
        <v>39553</v>
      </c>
      <c r="B76" s="0" t="n">
        <v>1331.72</v>
      </c>
      <c r="C76" s="0" t="n">
        <v>1337.72</v>
      </c>
      <c r="D76" s="0" t="n">
        <v>1324.35</v>
      </c>
      <c r="E76" s="0" t="n">
        <v>1334.43</v>
      </c>
      <c r="F76" s="0" t="n">
        <v>3581230000</v>
      </c>
      <c r="G76" s="0" t="n">
        <v>1334.43</v>
      </c>
      <c r="H76" s="34" t="n">
        <f aca="false">G76/G75-1</f>
        <v>0.00459979523006515</v>
      </c>
      <c r="I76" s="34" t="n">
        <f aca="false">LN(1+H76)</f>
        <v>0.00458924850148027</v>
      </c>
      <c r="J76" s="34"/>
      <c r="K76" s="0" t="n">
        <f aca="false">IF(ISBLANK(A77),MONTH(A76),IF(MONTH(A77)-MONTH(A76)=1,MONTH(A76),0))</f>
        <v>0</v>
      </c>
    </row>
    <row r="77" customFormat="false" ht="14.1" hidden="false" customHeight="false" outlineLevel="0" collapsed="false">
      <c r="A77" s="6" t="n">
        <v>39554</v>
      </c>
      <c r="B77" s="0" t="n">
        <v>1337.02</v>
      </c>
      <c r="C77" s="0" t="n">
        <v>1365.49</v>
      </c>
      <c r="D77" s="0" t="n">
        <v>1337.02</v>
      </c>
      <c r="E77" s="0" t="n">
        <v>1364.71</v>
      </c>
      <c r="F77" s="0" t="n">
        <v>4260370000</v>
      </c>
      <c r="G77" s="0" t="n">
        <v>1364.71</v>
      </c>
      <c r="H77" s="34" t="n">
        <f aca="false">G77/G76-1</f>
        <v>0.0226913363758308</v>
      </c>
      <c r="I77" s="34" t="n">
        <f aca="false">LN(1+H77)</f>
        <v>0.0224377174688585</v>
      </c>
      <c r="J77" s="34"/>
      <c r="K77" s="0" t="n">
        <f aca="false">IF(ISBLANK(A78),MONTH(A77),IF(MONTH(A78)-MONTH(A77)=1,MONTH(A77),0))</f>
        <v>0</v>
      </c>
    </row>
    <row r="78" customFormat="false" ht="14.1" hidden="false" customHeight="false" outlineLevel="0" collapsed="false">
      <c r="A78" s="6" t="n">
        <v>39555</v>
      </c>
      <c r="B78" s="0" t="n">
        <v>1363.37</v>
      </c>
      <c r="C78" s="0" t="n">
        <v>1368.6</v>
      </c>
      <c r="D78" s="0" t="n">
        <v>1357.25</v>
      </c>
      <c r="E78" s="0" t="n">
        <v>1365.56</v>
      </c>
      <c r="F78" s="0" t="n">
        <v>3713880000</v>
      </c>
      <c r="G78" s="0" t="n">
        <v>1365.56</v>
      </c>
      <c r="H78" s="34" t="n">
        <f aca="false">G78/G77-1</f>
        <v>0.000622842948318603</v>
      </c>
      <c r="I78" s="34" t="n">
        <f aca="false">LN(1+H78)</f>
        <v>0.000622649062152378</v>
      </c>
      <c r="J78" s="34"/>
      <c r="K78" s="0" t="n">
        <f aca="false">IF(ISBLANK(A79),MONTH(A78),IF(MONTH(A79)-MONTH(A78)=1,MONTH(A78),0))</f>
        <v>0</v>
      </c>
    </row>
    <row r="79" customFormat="false" ht="14.1" hidden="false" customHeight="false" outlineLevel="0" collapsed="false">
      <c r="A79" s="6" t="n">
        <v>39556</v>
      </c>
      <c r="B79" s="0" t="n">
        <v>1369</v>
      </c>
      <c r="C79" s="0" t="n">
        <v>1395.9</v>
      </c>
      <c r="D79" s="0" t="n">
        <v>1369</v>
      </c>
      <c r="E79" s="0" t="n">
        <v>1390.33</v>
      </c>
      <c r="F79" s="0" t="n">
        <v>4222380000</v>
      </c>
      <c r="G79" s="0" t="n">
        <v>1390.33</v>
      </c>
      <c r="H79" s="34" t="n">
        <f aca="false">G79/G78-1</f>
        <v>0.0181390784733002</v>
      </c>
      <c r="I79" s="34" t="n">
        <f aca="false">LN(1+H79)</f>
        <v>0.0179765281222031</v>
      </c>
      <c r="J79" s="34"/>
      <c r="K79" s="0" t="n">
        <f aca="false">IF(ISBLANK(A80),MONTH(A79),IF(MONTH(A80)-MONTH(A79)=1,MONTH(A79),0))</f>
        <v>0</v>
      </c>
    </row>
    <row r="80" customFormat="false" ht="14.1" hidden="false" customHeight="false" outlineLevel="0" collapsed="false">
      <c r="A80" s="6" t="n">
        <v>39559</v>
      </c>
      <c r="B80" s="0" t="n">
        <v>1387.72</v>
      </c>
      <c r="C80" s="0" t="n">
        <v>1390.23</v>
      </c>
      <c r="D80" s="0" t="n">
        <v>1379.25</v>
      </c>
      <c r="E80" s="0" t="n">
        <v>1388.17</v>
      </c>
      <c r="F80" s="0" t="n">
        <v>3420570000</v>
      </c>
      <c r="G80" s="0" t="n">
        <v>1388.17</v>
      </c>
      <c r="H80" s="34" t="n">
        <f aca="false">G80/G79-1</f>
        <v>-0.00155358799709415</v>
      </c>
      <c r="I80" s="34" t="n">
        <f aca="false">LN(1+H80)</f>
        <v>-0.00155479606631653</v>
      </c>
      <c r="J80" s="34"/>
      <c r="K80" s="0" t="n">
        <f aca="false">IF(ISBLANK(A81),MONTH(A80),IF(MONTH(A81)-MONTH(A80)=1,MONTH(A80),0))</f>
        <v>0</v>
      </c>
    </row>
    <row r="81" customFormat="false" ht="14.1" hidden="false" customHeight="false" outlineLevel="0" collapsed="false">
      <c r="A81" s="6" t="n">
        <v>39560</v>
      </c>
      <c r="B81" s="0" t="n">
        <v>1386.43</v>
      </c>
      <c r="C81" s="0" t="n">
        <v>1386.43</v>
      </c>
      <c r="D81" s="0" t="n">
        <v>1369.84</v>
      </c>
      <c r="E81" s="0" t="n">
        <v>1375.94</v>
      </c>
      <c r="F81" s="0" t="n">
        <v>3821900000</v>
      </c>
      <c r="G81" s="0" t="n">
        <v>1375.94</v>
      </c>
      <c r="H81" s="34" t="n">
        <f aca="false">G81/G80-1</f>
        <v>-0.00881016013888791</v>
      </c>
      <c r="I81" s="34" t="n">
        <f aca="false">LN(1+H81)</f>
        <v>-0.00884919906163608</v>
      </c>
      <c r="J81" s="34"/>
      <c r="K81" s="0" t="n">
        <f aca="false">IF(ISBLANK(A82),MONTH(A81),IF(MONTH(A82)-MONTH(A81)=1,MONTH(A81),0))</f>
        <v>0</v>
      </c>
    </row>
    <row r="82" customFormat="false" ht="14.1" hidden="false" customHeight="false" outlineLevel="0" collapsed="false">
      <c r="A82" s="6" t="n">
        <v>39561</v>
      </c>
      <c r="B82" s="0" t="n">
        <v>1378.4</v>
      </c>
      <c r="C82" s="0" t="n">
        <v>1387.87</v>
      </c>
      <c r="D82" s="0" t="n">
        <v>1372.24</v>
      </c>
      <c r="E82" s="0" t="n">
        <v>1379.93</v>
      </c>
      <c r="F82" s="0" t="n">
        <v>4103610000</v>
      </c>
      <c r="G82" s="0" t="n">
        <v>1379.93</v>
      </c>
      <c r="H82" s="34" t="n">
        <f aca="false">G82/G81-1</f>
        <v>0.00289983574865182</v>
      </c>
      <c r="I82" s="34" t="n">
        <f aca="false">LN(1+H82)</f>
        <v>0.00289563933561553</v>
      </c>
      <c r="J82" s="34"/>
      <c r="K82" s="0" t="n">
        <f aca="false">IF(ISBLANK(A83),MONTH(A82),IF(MONTH(A83)-MONTH(A82)=1,MONTH(A82),0))</f>
        <v>0</v>
      </c>
    </row>
    <row r="83" customFormat="false" ht="14.1" hidden="false" customHeight="false" outlineLevel="0" collapsed="false">
      <c r="A83" s="6" t="n">
        <v>39562</v>
      </c>
      <c r="B83" s="0" t="n">
        <v>1380.52</v>
      </c>
      <c r="C83" s="0" t="n">
        <v>1397.72</v>
      </c>
      <c r="D83" s="0" t="n">
        <v>1371.09</v>
      </c>
      <c r="E83" s="0" t="n">
        <v>1388.82</v>
      </c>
      <c r="F83" s="0" t="n">
        <v>4461660000</v>
      </c>
      <c r="G83" s="0" t="n">
        <v>1388.82</v>
      </c>
      <c r="H83" s="34" t="n">
        <f aca="false">G83/G82-1</f>
        <v>0.00644235577166952</v>
      </c>
      <c r="I83" s="34" t="n">
        <f aca="false">LN(1+H83)</f>
        <v>0.0064216924970211</v>
      </c>
      <c r="J83" s="34"/>
      <c r="K83" s="0" t="n">
        <f aca="false">IF(ISBLANK(A84),MONTH(A83),IF(MONTH(A84)-MONTH(A83)=1,MONTH(A83),0))</f>
        <v>0</v>
      </c>
    </row>
    <row r="84" customFormat="false" ht="14.1" hidden="false" customHeight="false" outlineLevel="0" collapsed="false">
      <c r="A84" s="6" t="n">
        <v>39563</v>
      </c>
      <c r="B84" s="0" t="n">
        <v>1387.88</v>
      </c>
      <c r="C84" s="0" t="n">
        <v>1399.11</v>
      </c>
      <c r="D84" s="0" t="n">
        <v>1379.98</v>
      </c>
      <c r="E84" s="0" t="n">
        <v>1397.84</v>
      </c>
      <c r="F84" s="0" t="n">
        <v>3891150000</v>
      </c>
      <c r="G84" s="0" t="n">
        <v>1397.84</v>
      </c>
      <c r="H84" s="34" t="n">
        <f aca="false">G84/G83-1</f>
        <v>0.00649472213821811</v>
      </c>
      <c r="I84" s="34" t="n">
        <f aca="false">LN(1+H84)</f>
        <v>0.00647372230673058</v>
      </c>
      <c r="J84" s="34"/>
      <c r="K84" s="0" t="n">
        <f aca="false">IF(ISBLANK(A85),MONTH(A84),IF(MONTH(A85)-MONTH(A84)=1,MONTH(A84),0))</f>
        <v>0</v>
      </c>
    </row>
    <row r="85" customFormat="false" ht="14.1" hidden="false" customHeight="false" outlineLevel="0" collapsed="false">
      <c r="A85" s="6" t="n">
        <v>39566</v>
      </c>
      <c r="B85" s="0" t="n">
        <v>1397.96</v>
      </c>
      <c r="C85" s="0" t="n">
        <v>1402.9</v>
      </c>
      <c r="D85" s="0" t="n">
        <v>1394.4</v>
      </c>
      <c r="E85" s="0" t="n">
        <v>1396.37</v>
      </c>
      <c r="F85" s="0" t="n">
        <v>3607000000</v>
      </c>
      <c r="G85" s="0" t="n">
        <v>1396.37</v>
      </c>
      <c r="H85" s="34" t="n">
        <f aca="false">G85/G84-1</f>
        <v>-0.00105162250329083</v>
      </c>
      <c r="I85" s="34" t="n">
        <f aca="false">LN(1+H85)</f>
        <v>-0.00105217584620813</v>
      </c>
      <c r="J85" s="34"/>
      <c r="K85" s="0" t="n">
        <f aca="false">IF(ISBLANK(A86),MONTH(A85),IF(MONTH(A86)-MONTH(A85)=1,MONTH(A85),0))</f>
        <v>0</v>
      </c>
    </row>
    <row r="86" customFormat="false" ht="14.1" hidden="false" customHeight="false" outlineLevel="0" collapsed="false">
      <c r="A86" s="6" t="n">
        <v>39567</v>
      </c>
      <c r="B86" s="0" t="n">
        <v>1395.61</v>
      </c>
      <c r="C86" s="0" t="n">
        <v>1397</v>
      </c>
      <c r="D86" s="0" t="n">
        <v>1386.7</v>
      </c>
      <c r="E86" s="0" t="n">
        <v>1390.94</v>
      </c>
      <c r="F86" s="0" t="n">
        <v>3815320000</v>
      </c>
      <c r="G86" s="0" t="n">
        <v>1390.94</v>
      </c>
      <c r="H86" s="34" t="n">
        <f aca="false">G86/G85-1</f>
        <v>-0.00388865415326867</v>
      </c>
      <c r="I86" s="34" t="n">
        <f aca="false">LN(1+H86)</f>
        <v>-0.00389623462710611</v>
      </c>
      <c r="J86" s="34"/>
      <c r="K86" s="0" t="n">
        <f aca="false">IF(ISBLANK(A87),MONTH(A86),IF(MONTH(A87)-MONTH(A86)=1,MONTH(A86),0))</f>
        <v>0</v>
      </c>
    </row>
    <row r="87" customFormat="false" ht="14.1" hidden="false" customHeight="false" outlineLevel="0" collapsed="false">
      <c r="A87" s="6" t="n">
        <v>39568</v>
      </c>
      <c r="B87" s="0" t="n">
        <v>1391.22</v>
      </c>
      <c r="C87" s="0" t="n">
        <v>1404.57</v>
      </c>
      <c r="D87" s="0" t="n">
        <v>1384.25</v>
      </c>
      <c r="E87" s="0" t="n">
        <v>1385.59</v>
      </c>
      <c r="F87" s="0" t="n">
        <v>4508890000</v>
      </c>
      <c r="G87" s="0" t="n">
        <v>1385.59</v>
      </c>
      <c r="H87" s="34" t="n">
        <f aca="false">G87/G86-1</f>
        <v>-0.00384631975498595</v>
      </c>
      <c r="I87" s="34" t="n">
        <f aca="false">LN(1+H87)</f>
        <v>-0.00385373586541059</v>
      </c>
      <c r="J87" s="34"/>
      <c r="K87" s="0" t="n">
        <f aca="false">IF(ISBLANK(A88),MONTH(A87),IF(MONTH(A88)-MONTH(A87)=1,MONTH(A87),0))</f>
        <v>4</v>
      </c>
    </row>
    <row r="88" customFormat="false" ht="14.1" hidden="false" customHeight="false" outlineLevel="0" collapsed="false">
      <c r="A88" s="6" t="n">
        <v>39569</v>
      </c>
      <c r="B88" s="0" t="n">
        <v>1385.97</v>
      </c>
      <c r="C88" s="0" t="n">
        <v>1410.07</v>
      </c>
      <c r="D88" s="0" t="n">
        <v>1383.07</v>
      </c>
      <c r="E88" s="0" t="n">
        <v>1409.34</v>
      </c>
      <c r="F88" s="0" t="n">
        <v>4448780000</v>
      </c>
      <c r="G88" s="0" t="n">
        <v>1409.34</v>
      </c>
      <c r="H88" s="34" t="n">
        <f aca="false">G88/G87-1</f>
        <v>0.0171407126206165</v>
      </c>
      <c r="I88" s="34" t="n">
        <f aca="false">LN(1+H88)</f>
        <v>0.016995467987741</v>
      </c>
      <c r="J88" s="34"/>
      <c r="K88" s="0" t="n">
        <f aca="false">IF(ISBLANK(A89),MONTH(A88),IF(MONTH(A89)-MONTH(A88)=1,MONTH(A88),0))</f>
        <v>0</v>
      </c>
    </row>
    <row r="89" customFormat="false" ht="14.1" hidden="false" customHeight="false" outlineLevel="0" collapsed="false">
      <c r="A89" s="6" t="n">
        <v>39570</v>
      </c>
      <c r="B89" s="0" t="n">
        <v>1409.16</v>
      </c>
      <c r="C89" s="0" t="n">
        <v>1422.72</v>
      </c>
      <c r="D89" s="0" t="n">
        <v>1406.25</v>
      </c>
      <c r="E89" s="0" t="n">
        <v>1413.9</v>
      </c>
      <c r="F89" s="0" t="n">
        <v>3953030000</v>
      </c>
      <c r="G89" s="0" t="n">
        <v>1413.9</v>
      </c>
      <c r="H89" s="34" t="n">
        <f aca="false">G89/G88-1</f>
        <v>0.00323555706926659</v>
      </c>
      <c r="I89" s="34" t="n">
        <f aca="false">LN(1+H89)</f>
        <v>0.0032303339179958</v>
      </c>
      <c r="J89" s="34"/>
      <c r="K89" s="0" t="n">
        <f aca="false">IF(ISBLANK(A90),MONTH(A89),IF(MONTH(A90)-MONTH(A89)=1,MONTH(A89),0))</f>
        <v>0</v>
      </c>
    </row>
    <row r="90" customFormat="false" ht="14.1" hidden="false" customHeight="false" outlineLevel="0" collapsed="false">
      <c r="A90" s="6" t="n">
        <v>39573</v>
      </c>
      <c r="B90" s="0" t="n">
        <v>1415.34</v>
      </c>
      <c r="C90" s="0" t="n">
        <v>1415.34</v>
      </c>
      <c r="D90" s="0" t="n">
        <v>1404.37</v>
      </c>
      <c r="E90" s="0" t="n">
        <v>1407.49</v>
      </c>
      <c r="F90" s="0" t="n">
        <v>3410090000</v>
      </c>
      <c r="G90" s="0" t="n">
        <v>1407.49</v>
      </c>
      <c r="H90" s="34" t="n">
        <f aca="false">G90/G89-1</f>
        <v>-0.00453355965768443</v>
      </c>
      <c r="I90" s="34" t="n">
        <f aca="false">LN(1+H90)</f>
        <v>-0.00454386740492572</v>
      </c>
      <c r="J90" s="34"/>
      <c r="K90" s="0" t="n">
        <f aca="false">IF(ISBLANK(A91),MONTH(A90),IF(MONTH(A91)-MONTH(A90)=1,MONTH(A90),0))</f>
        <v>0</v>
      </c>
    </row>
    <row r="91" customFormat="false" ht="14.1" hidden="false" customHeight="false" outlineLevel="0" collapsed="false">
      <c r="A91" s="6" t="n">
        <v>39574</v>
      </c>
      <c r="B91" s="0" t="n">
        <v>1405.6</v>
      </c>
      <c r="C91" s="0" t="n">
        <v>1421.57</v>
      </c>
      <c r="D91" s="0" t="n">
        <v>1397.1</v>
      </c>
      <c r="E91" s="0" t="n">
        <v>1418.26</v>
      </c>
      <c r="F91" s="0" t="n">
        <v>3924100000</v>
      </c>
      <c r="G91" s="0" t="n">
        <v>1418.26</v>
      </c>
      <c r="H91" s="34" t="n">
        <f aca="false">G91/G90-1</f>
        <v>0.00765191937420506</v>
      </c>
      <c r="I91" s="34" t="n">
        <f aca="false">LN(1+H91)</f>
        <v>0.00762279193201319</v>
      </c>
      <c r="J91" s="34"/>
      <c r="K91" s="0" t="n">
        <f aca="false">IF(ISBLANK(A92),MONTH(A91),IF(MONTH(A92)-MONTH(A91)=1,MONTH(A91),0))</f>
        <v>0</v>
      </c>
    </row>
    <row r="92" customFormat="false" ht="14.1" hidden="false" customHeight="false" outlineLevel="0" collapsed="false">
      <c r="A92" s="6" t="n">
        <v>39575</v>
      </c>
      <c r="B92" s="0" t="n">
        <v>1417.49</v>
      </c>
      <c r="C92" s="0" t="n">
        <v>1419.54</v>
      </c>
      <c r="D92" s="0" t="n">
        <v>1391.16</v>
      </c>
      <c r="E92" s="0" t="n">
        <v>1392.57</v>
      </c>
      <c r="F92" s="0" t="n">
        <v>4075860000</v>
      </c>
      <c r="G92" s="0" t="n">
        <v>1392.57</v>
      </c>
      <c r="H92" s="34" t="n">
        <f aca="false">G92/G91-1</f>
        <v>-0.018113745011493</v>
      </c>
      <c r="I92" s="34" t="n">
        <f aca="false">LN(1+H92)</f>
        <v>-0.0182798072870818</v>
      </c>
      <c r="J92" s="34"/>
      <c r="K92" s="0" t="n">
        <f aca="false">IF(ISBLANK(A93),MONTH(A92),IF(MONTH(A93)-MONTH(A92)=1,MONTH(A92),0))</f>
        <v>0</v>
      </c>
    </row>
    <row r="93" customFormat="false" ht="14.1" hidden="false" customHeight="false" outlineLevel="0" collapsed="false">
      <c r="A93" s="6" t="n">
        <v>39576</v>
      </c>
      <c r="B93" s="0" t="n">
        <v>1394.29</v>
      </c>
      <c r="C93" s="0" t="n">
        <v>1402.35</v>
      </c>
      <c r="D93" s="0" t="n">
        <v>1389.39</v>
      </c>
      <c r="E93" s="0" t="n">
        <v>1397.68</v>
      </c>
      <c r="F93" s="0" t="n">
        <v>3827550000</v>
      </c>
      <c r="G93" s="0" t="n">
        <v>1397.68</v>
      </c>
      <c r="H93" s="34" t="n">
        <f aca="false">G93/G92-1</f>
        <v>0.00366947442498411</v>
      </c>
      <c r="I93" s="34" t="n">
        <f aca="false">LN(1+H93)</f>
        <v>0.00366275832838854</v>
      </c>
      <c r="J93" s="34"/>
      <c r="K93" s="0" t="n">
        <f aca="false">IF(ISBLANK(A94),MONTH(A93),IF(MONTH(A94)-MONTH(A93)=1,MONTH(A93),0))</f>
        <v>0</v>
      </c>
    </row>
    <row r="94" customFormat="false" ht="14.1" hidden="false" customHeight="false" outlineLevel="0" collapsed="false">
      <c r="A94" s="6" t="n">
        <v>39577</v>
      </c>
      <c r="B94" s="0" t="n">
        <v>1394.9</v>
      </c>
      <c r="C94" s="0" t="n">
        <v>1394.9</v>
      </c>
      <c r="D94" s="0" t="n">
        <v>1384.11</v>
      </c>
      <c r="E94" s="0" t="n">
        <v>1388.28</v>
      </c>
      <c r="F94" s="0" t="n">
        <v>3518620000</v>
      </c>
      <c r="G94" s="0" t="n">
        <v>1388.28</v>
      </c>
      <c r="H94" s="34" t="n">
        <f aca="false">G94/G93-1</f>
        <v>-0.00672543071375431</v>
      </c>
      <c r="I94" s="34" t="n">
        <f aca="false">LN(1+H94)</f>
        <v>-0.00674814833739135</v>
      </c>
      <c r="J94" s="34"/>
      <c r="K94" s="0" t="n">
        <f aca="false">IF(ISBLANK(A95),MONTH(A94),IF(MONTH(A95)-MONTH(A94)=1,MONTH(A94),0))</f>
        <v>0</v>
      </c>
    </row>
    <row r="95" customFormat="false" ht="14.1" hidden="false" customHeight="false" outlineLevel="0" collapsed="false">
      <c r="A95" s="6" t="n">
        <v>39580</v>
      </c>
      <c r="B95" s="0" t="n">
        <v>1389.4</v>
      </c>
      <c r="C95" s="0" t="n">
        <v>1404.06</v>
      </c>
      <c r="D95" s="0" t="n">
        <v>1386.2</v>
      </c>
      <c r="E95" s="0" t="n">
        <v>1403.58</v>
      </c>
      <c r="F95" s="0" t="n">
        <v>3370630000</v>
      </c>
      <c r="G95" s="0" t="n">
        <v>1403.58</v>
      </c>
      <c r="H95" s="34" t="n">
        <f aca="false">G95/G94-1</f>
        <v>0.0110208315325437</v>
      </c>
      <c r="I95" s="34" t="n">
        <f aca="false">LN(1+H95)</f>
        <v>0.0109605447049329</v>
      </c>
      <c r="J95" s="34"/>
      <c r="K95" s="0" t="n">
        <f aca="false">IF(ISBLANK(A96),MONTH(A95),IF(MONTH(A96)-MONTH(A95)=1,MONTH(A95),0))</f>
        <v>0</v>
      </c>
    </row>
    <row r="96" customFormat="false" ht="14.1" hidden="false" customHeight="false" outlineLevel="0" collapsed="false">
      <c r="A96" s="6" t="n">
        <v>39581</v>
      </c>
      <c r="B96" s="0" t="n">
        <v>1404.4</v>
      </c>
      <c r="C96" s="0" t="n">
        <v>1406.3</v>
      </c>
      <c r="D96" s="0" t="n">
        <v>1396.26</v>
      </c>
      <c r="E96" s="0" t="n">
        <v>1403.04</v>
      </c>
      <c r="F96" s="0" t="n">
        <v>4018590000</v>
      </c>
      <c r="G96" s="0" t="n">
        <v>1403.04</v>
      </c>
      <c r="H96" s="34" t="n">
        <f aca="false">G96/G95-1</f>
        <v>-0.000384730474928374</v>
      </c>
      <c r="I96" s="34" t="n">
        <f aca="false">LN(1+H96)</f>
        <v>-0.000384804502685308</v>
      </c>
      <c r="J96" s="34"/>
      <c r="K96" s="0" t="n">
        <f aca="false">IF(ISBLANK(A97),MONTH(A96),IF(MONTH(A97)-MONTH(A96)=1,MONTH(A96),0))</f>
        <v>0</v>
      </c>
    </row>
    <row r="97" customFormat="false" ht="14.1" hidden="false" customHeight="false" outlineLevel="0" collapsed="false">
      <c r="A97" s="6" t="n">
        <v>39582</v>
      </c>
      <c r="B97" s="0" t="n">
        <v>1405.65</v>
      </c>
      <c r="C97" s="0" t="n">
        <v>1420.19</v>
      </c>
      <c r="D97" s="0" t="n">
        <v>1405.65</v>
      </c>
      <c r="E97" s="0" t="n">
        <v>1408.66</v>
      </c>
      <c r="F97" s="0" t="n">
        <v>3979370000</v>
      </c>
      <c r="G97" s="0" t="n">
        <v>1408.66</v>
      </c>
      <c r="H97" s="34" t="n">
        <f aca="false">G97/G96-1</f>
        <v>0.00400558786634742</v>
      </c>
      <c r="I97" s="34" t="n">
        <f aca="false">LN(1+H97)</f>
        <v>0.00399758685798123</v>
      </c>
      <c r="J97" s="34"/>
      <c r="K97" s="0" t="n">
        <f aca="false">IF(ISBLANK(A98),MONTH(A97),IF(MONTH(A98)-MONTH(A97)=1,MONTH(A97),0))</f>
        <v>0</v>
      </c>
    </row>
    <row r="98" customFormat="false" ht="14.1" hidden="false" customHeight="false" outlineLevel="0" collapsed="false">
      <c r="A98" s="6" t="n">
        <v>39583</v>
      </c>
      <c r="B98" s="0" t="n">
        <v>1408.36</v>
      </c>
      <c r="C98" s="0" t="n">
        <v>1424.4</v>
      </c>
      <c r="D98" s="0" t="n">
        <v>1406.87</v>
      </c>
      <c r="E98" s="0" t="n">
        <v>1423.57</v>
      </c>
      <c r="F98" s="0" t="n">
        <v>3836480000</v>
      </c>
      <c r="G98" s="0" t="n">
        <v>1423.57</v>
      </c>
      <c r="H98" s="34" t="n">
        <f aca="false">G98/G97-1</f>
        <v>0.0105845271392671</v>
      </c>
      <c r="I98" s="34" t="n">
        <f aca="false">LN(1+H98)</f>
        <v>0.0105289031897585</v>
      </c>
      <c r="J98" s="34"/>
      <c r="K98" s="0" t="n">
        <f aca="false">IF(ISBLANK(A99),MONTH(A98),IF(MONTH(A99)-MONTH(A98)=1,MONTH(A98),0))</f>
        <v>0</v>
      </c>
    </row>
    <row r="99" customFormat="false" ht="14.1" hidden="false" customHeight="false" outlineLevel="0" collapsed="false">
      <c r="A99" s="6" t="n">
        <v>39584</v>
      </c>
      <c r="B99" s="0" t="n">
        <v>1423.89</v>
      </c>
      <c r="C99" s="0" t="n">
        <v>1425.82</v>
      </c>
      <c r="D99" s="0" t="n">
        <v>1414.35</v>
      </c>
      <c r="E99" s="0" t="n">
        <v>1425.35</v>
      </c>
      <c r="F99" s="0" t="n">
        <v>3842590000</v>
      </c>
      <c r="G99" s="0" t="n">
        <v>1425.35</v>
      </c>
      <c r="H99" s="34" t="n">
        <f aca="false">G99/G98-1</f>
        <v>0.00125037757187907</v>
      </c>
      <c r="I99" s="34" t="n">
        <f aca="false">LN(1+H99)</f>
        <v>0.00124959650086426</v>
      </c>
      <c r="J99" s="34"/>
      <c r="K99" s="0" t="n">
        <f aca="false">IF(ISBLANK(A100),MONTH(A99),IF(MONTH(A100)-MONTH(A99)=1,MONTH(A99),0))</f>
        <v>0</v>
      </c>
    </row>
    <row r="100" customFormat="false" ht="14.1" hidden="false" customHeight="false" outlineLevel="0" collapsed="false">
      <c r="A100" s="6" t="n">
        <v>39587</v>
      </c>
      <c r="B100" s="0" t="n">
        <v>1425.28</v>
      </c>
      <c r="C100" s="0" t="n">
        <v>1440.24</v>
      </c>
      <c r="D100" s="0" t="n">
        <v>1421.63</v>
      </c>
      <c r="E100" s="0" t="n">
        <v>1426.63</v>
      </c>
      <c r="F100" s="0" t="n">
        <v>3683970000</v>
      </c>
      <c r="G100" s="0" t="n">
        <v>1426.63</v>
      </c>
      <c r="H100" s="34" t="n">
        <f aca="false">G100/G99-1</f>
        <v>0.000898025046479845</v>
      </c>
      <c r="I100" s="34" t="n">
        <f aca="false">LN(1+H100)</f>
        <v>0.000897622063229114</v>
      </c>
      <c r="J100" s="34"/>
      <c r="K100" s="0" t="n">
        <f aca="false">IF(ISBLANK(A101),MONTH(A100),IF(MONTH(A101)-MONTH(A100)=1,MONTH(A100),0))</f>
        <v>0</v>
      </c>
    </row>
    <row r="101" customFormat="false" ht="14.1" hidden="false" customHeight="false" outlineLevel="0" collapsed="false">
      <c r="A101" s="6" t="n">
        <v>39588</v>
      </c>
      <c r="B101" s="0" t="n">
        <v>1424.49</v>
      </c>
      <c r="C101" s="0" t="n">
        <v>1424.49</v>
      </c>
      <c r="D101" s="0" t="n">
        <v>1409.09</v>
      </c>
      <c r="E101" s="0" t="n">
        <v>1413.4</v>
      </c>
      <c r="F101" s="0" t="n">
        <v>3854320000</v>
      </c>
      <c r="G101" s="0" t="n">
        <v>1413.4</v>
      </c>
      <c r="H101" s="34" t="n">
        <f aca="false">G101/G100-1</f>
        <v>-0.0092736028262409</v>
      </c>
      <c r="I101" s="34" t="n">
        <f aca="false">LN(1+H101)</f>
        <v>-0.00931687038612476</v>
      </c>
      <c r="J101" s="34"/>
      <c r="K101" s="0" t="n">
        <f aca="false">IF(ISBLANK(A102),MONTH(A101),IF(MONTH(A102)-MONTH(A101)=1,MONTH(A101),0))</f>
        <v>0</v>
      </c>
    </row>
    <row r="102" customFormat="false" ht="14.1" hidden="false" customHeight="false" outlineLevel="0" collapsed="false">
      <c r="A102" s="6" t="n">
        <v>39589</v>
      </c>
      <c r="B102" s="0" t="n">
        <v>1414.06</v>
      </c>
      <c r="C102" s="0" t="n">
        <v>1419.12</v>
      </c>
      <c r="D102" s="0" t="n">
        <v>1388.81</v>
      </c>
      <c r="E102" s="0" t="n">
        <v>1390.71</v>
      </c>
      <c r="F102" s="0" t="n">
        <v>4517990000</v>
      </c>
      <c r="G102" s="0" t="n">
        <v>1390.71</v>
      </c>
      <c r="H102" s="34" t="n">
        <f aca="false">G102/G101-1</f>
        <v>-0.0160534880430169</v>
      </c>
      <c r="I102" s="34" t="n">
        <f aca="false">LN(1+H102)</f>
        <v>-0.0161837411746142</v>
      </c>
      <c r="J102" s="34"/>
      <c r="K102" s="0" t="n">
        <f aca="false">IF(ISBLANK(A103),MONTH(A102),IF(MONTH(A103)-MONTH(A102)=1,MONTH(A102),0))</f>
        <v>0</v>
      </c>
    </row>
    <row r="103" customFormat="false" ht="14.1" hidden="false" customHeight="false" outlineLevel="0" collapsed="false">
      <c r="A103" s="6" t="n">
        <v>39590</v>
      </c>
      <c r="B103" s="0" t="n">
        <v>1390.83</v>
      </c>
      <c r="C103" s="0" t="n">
        <v>1399.07</v>
      </c>
      <c r="D103" s="0" t="n">
        <v>1390.23</v>
      </c>
      <c r="E103" s="0" t="n">
        <v>1394.35</v>
      </c>
      <c r="F103" s="0" t="n">
        <v>3955960000</v>
      </c>
      <c r="G103" s="0" t="n">
        <v>1394.35</v>
      </c>
      <c r="H103" s="34" t="n">
        <f aca="false">G103/G102-1</f>
        <v>0.00261736810693813</v>
      </c>
      <c r="I103" s="34" t="n">
        <f aca="false">LN(1+H103)</f>
        <v>0.00261394876418741</v>
      </c>
      <c r="J103" s="34"/>
      <c r="K103" s="0" t="n">
        <f aca="false">IF(ISBLANK(A104),MONTH(A103),IF(MONTH(A104)-MONTH(A103)=1,MONTH(A103),0))</f>
        <v>0</v>
      </c>
    </row>
    <row r="104" customFormat="false" ht="14.1" hidden="false" customHeight="false" outlineLevel="0" collapsed="false">
      <c r="A104" s="6" t="n">
        <v>39591</v>
      </c>
      <c r="B104" s="0" t="n">
        <v>1392.2</v>
      </c>
      <c r="C104" s="0" t="n">
        <v>1392.2</v>
      </c>
      <c r="D104" s="0" t="n">
        <v>1373.72</v>
      </c>
      <c r="E104" s="0" t="n">
        <v>1375.93</v>
      </c>
      <c r="F104" s="0" t="n">
        <v>3516380000</v>
      </c>
      <c r="G104" s="0" t="n">
        <v>1375.93</v>
      </c>
      <c r="H104" s="34" t="n">
        <f aca="false">G104/G103-1</f>
        <v>-0.0132104564851004</v>
      </c>
      <c r="I104" s="34" t="n">
        <f aca="false">LN(1+H104)</f>
        <v>-0.0132984907400902</v>
      </c>
      <c r="J104" s="34"/>
      <c r="K104" s="0" t="n">
        <f aca="false">IF(ISBLANK(A105),MONTH(A104),IF(MONTH(A105)-MONTH(A104)=1,MONTH(A104),0))</f>
        <v>0</v>
      </c>
    </row>
    <row r="105" customFormat="false" ht="14.1" hidden="false" customHeight="false" outlineLevel="0" collapsed="false">
      <c r="A105" s="6" t="n">
        <v>39595</v>
      </c>
      <c r="B105" s="0" t="n">
        <v>1375.97</v>
      </c>
      <c r="C105" s="0" t="n">
        <v>1387.4</v>
      </c>
      <c r="D105" s="0" t="n">
        <v>1373.07</v>
      </c>
      <c r="E105" s="0" t="n">
        <v>1385.35</v>
      </c>
      <c r="F105" s="0" t="n">
        <v>3588860000</v>
      </c>
      <c r="G105" s="0" t="n">
        <v>1385.35</v>
      </c>
      <c r="H105" s="34" t="n">
        <f aca="false">G105/G104-1</f>
        <v>0.00684627851707553</v>
      </c>
      <c r="I105" s="34" t="n">
        <f aca="false">LN(1+H105)</f>
        <v>0.00682294917124679</v>
      </c>
      <c r="J105" s="34"/>
      <c r="K105" s="0" t="n">
        <f aca="false">IF(ISBLANK(A106),MONTH(A105),IF(MONTH(A106)-MONTH(A105)=1,MONTH(A105),0))</f>
        <v>0</v>
      </c>
    </row>
    <row r="106" customFormat="false" ht="14.1" hidden="false" customHeight="false" outlineLevel="0" collapsed="false">
      <c r="A106" s="6" t="n">
        <v>39596</v>
      </c>
      <c r="B106" s="0" t="n">
        <v>1386.54</v>
      </c>
      <c r="C106" s="0" t="n">
        <v>1391.25</v>
      </c>
      <c r="D106" s="0" t="n">
        <v>1378.16</v>
      </c>
      <c r="E106" s="0" t="n">
        <v>1390.84</v>
      </c>
      <c r="F106" s="0" t="n">
        <v>3927240000</v>
      </c>
      <c r="G106" s="0" t="n">
        <v>1390.84</v>
      </c>
      <c r="H106" s="34" t="n">
        <f aca="false">G106/G105-1</f>
        <v>0.00396289746273504</v>
      </c>
      <c r="I106" s="34" t="n">
        <f aca="false">LN(1+H106)</f>
        <v>0.00395506586830363</v>
      </c>
      <c r="J106" s="34"/>
      <c r="K106" s="0" t="n">
        <f aca="false">IF(ISBLANK(A107),MONTH(A106),IF(MONTH(A107)-MONTH(A106)=1,MONTH(A106),0))</f>
        <v>0</v>
      </c>
    </row>
    <row r="107" customFormat="false" ht="14.1" hidden="false" customHeight="false" outlineLevel="0" collapsed="false">
      <c r="A107" s="6" t="n">
        <v>39597</v>
      </c>
      <c r="B107" s="0" t="n">
        <v>1390.5</v>
      </c>
      <c r="C107" s="0" t="n">
        <v>1406.32</v>
      </c>
      <c r="D107" s="0" t="n">
        <v>1388.59</v>
      </c>
      <c r="E107" s="0" t="n">
        <v>1398.26</v>
      </c>
      <c r="F107" s="0" t="n">
        <v>3894440000</v>
      </c>
      <c r="G107" s="0" t="n">
        <v>1398.26</v>
      </c>
      <c r="H107" s="34" t="n">
        <f aca="false">G107/G106-1</f>
        <v>0.00533490552471894</v>
      </c>
      <c r="I107" s="34" t="n">
        <f aca="false">LN(1+H107)</f>
        <v>0.00532072532722488</v>
      </c>
      <c r="J107" s="34"/>
      <c r="K107" s="0" t="n">
        <f aca="false">IF(ISBLANK(A108),MONTH(A107),IF(MONTH(A108)-MONTH(A107)=1,MONTH(A107),0))</f>
        <v>0</v>
      </c>
    </row>
    <row r="108" customFormat="false" ht="14.1" hidden="false" customHeight="false" outlineLevel="0" collapsed="false">
      <c r="A108" s="6" t="n">
        <v>39598</v>
      </c>
      <c r="B108" s="0" t="n">
        <v>1398.36</v>
      </c>
      <c r="C108" s="0" t="n">
        <v>1404.46</v>
      </c>
      <c r="D108" s="0" t="n">
        <v>1398.08</v>
      </c>
      <c r="E108" s="0" t="n">
        <v>1400.38</v>
      </c>
      <c r="F108" s="0" t="n">
        <v>3845630000</v>
      </c>
      <c r="G108" s="0" t="n">
        <v>1400.38</v>
      </c>
      <c r="H108" s="34" t="n">
        <f aca="false">G108/G107-1</f>
        <v>0.00151617009712068</v>
      </c>
      <c r="I108" s="34" t="n">
        <f aca="false">LN(1+H108)</f>
        <v>0.00151502187169583</v>
      </c>
      <c r="J108" s="34"/>
      <c r="K108" s="0" t="n">
        <f aca="false">IF(ISBLANK(A109),MONTH(A108),IF(MONTH(A109)-MONTH(A108)=1,MONTH(A108),0))</f>
        <v>5</v>
      </c>
    </row>
    <row r="109" customFormat="false" ht="14.1" hidden="false" customHeight="false" outlineLevel="0" collapsed="false">
      <c r="A109" s="6" t="n">
        <v>39601</v>
      </c>
      <c r="B109" s="0" t="n">
        <v>1399.62</v>
      </c>
      <c r="C109" s="0" t="n">
        <v>1399.62</v>
      </c>
      <c r="D109" s="0" t="n">
        <v>1377.79</v>
      </c>
      <c r="E109" s="0" t="n">
        <v>1385.67</v>
      </c>
      <c r="F109" s="0" t="n">
        <v>3714320000</v>
      </c>
      <c r="G109" s="0" t="n">
        <v>1385.67</v>
      </c>
      <c r="H109" s="34" t="n">
        <f aca="false">G109/G108-1</f>
        <v>-0.010504291692255</v>
      </c>
      <c r="I109" s="34" t="n">
        <f aca="false">LN(1+H109)</f>
        <v>-0.0105598511821261</v>
      </c>
      <c r="J109" s="34"/>
      <c r="K109" s="0" t="n">
        <f aca="false">IF(ISBLANK(A110),MONTH(A109),IF(MONTH(A110)-MONTH(A109)=1,MONTH(A109),0))</f>
        <v>0</v>
      </c>
    </row>
    <row r="110" customFormat="false" ht="14.1" hidden="false" customHeight="false" outlineLevel="0" collapsed="false">
      <c r="A110" s="6" t="n">
        <v>39602</v>
      </c>
      <c r="B110" s="0" t="n">
        <v>1386.42</v>
      </c>
      <c r="C110" s="0" t="n">
        <v>1393.12</v>
      </c>
      <c r="D110" s="0" t="n">
        <v>1370.12</v>
      </c>
      <c r="E110" s="0" t="n">
        <v>1377.65</v>
      </c>
      <c r="F110" s="0" t="n">
        <v>4396380000</v>
      </c>
      <c r="G110" s="0" t="n">
        <v>1377.65</v>
      </c>
      <c r="H110" s="34" t="n">
        <f aca="false">G110/G109-1</f>
        <v>-0.00578781383734939</v>
      </c>
      <c r="I110" s="34" t="n">
        <f aca="false">LN(1+H110)</f>
        <v>-0.00580462814195632</v>
      </c>
      <c r="J110" s="34"/>
      <c r="K110" s="0" t="n">
        <f aca="false">IF(ISBLANK(A111),MONTH(A110),IF(MONTH(A111)-MONTH(A110)=1,MONTH(A110),0))</f>
        <v>0</v>
      </c>
    </row>
    <row r="111" customFormat="false" ht="14.1" hidden="false" customHeight="false" outlineLevel="0" collapsed="false">
      <c r="A111" s="6" t="n">
        <v>39603</v>
      </c>
      <c r="B111" s="0" t="n">
        <v>1376.26</v>
      </c>
      <c r="C111" s="0" t="n">
        <v>1388.18</v>
      </c>
      <c r="D111" s="0" t="n">
        <v>1371.74</v>
      </c>
      <c r="E111" s="0" t="n">
        <v>1377.2</v>
      </c>
      <c r="F111" s="0" t="n">
        <v>4338640000</v>
      </c>
      <c r="G111" s="0" t="n">
        <v>1377.2</v>
      </c>
      <c r="H111" s="34" t="n">
        <f aca="false">G111/G110-1</f>
        <v>-0.000326643196748133</v>
      </c>
      <c r="I111" s="34" t="n">
        <f aca="false">LN(1+H111)</f>
        <v>-0.000326696556257121</v>
      </c>
      <c r="J111" s="34"/>
      <c r="K111" s="0" t="n">
        <f aca="false">IF(ISBLANK(A112),MONTH(A111),IF(MONTH(A112)-MONTH(A111)=1,MONTH(A111),0))</f>
        <v>0</v>
      </c>
    </row>
    <row r="112" customFormat="false" ht="14.1" hidden="false" customHeight="false" outlineLevel="0" collapsed="false">
      <c r="A112" s="6" t="n">
        <v>39604</v>
      </c>
      <c r="B112" s="0" t="n">
        <v>1377.48</v>
      </c>
      <c r="C112" s="0" t="n">
        <v>1404.05</v>
      </c>
      <c r="D112" s="0" t="n">
        <v>1377.48</v>
      </c>
      <c r="E112" s="0" t="n">
        <v>1404.05</v>
      </c>
      <c r="F112" s="0" t="n">
        <v>4350790000</v>
      </c>
      <c r="G112" s="0" t="n">
        <v>1404.05</v>
      </c>
      <c r="H112" s="34" t="n">
        <f aca="false">G112/G111-1</f>
        <v>0.0194960790008714</v>
      </c>
      <c r="I112" s="34" t="n">
        <f aca="false">LN(1+H112)</f>
        <v>0.019308465022889</v>
      </c>
      <c r="J112" s="34"/>
      <c r="K112" s="0" t="n">
        <f aca="false">IF(ISBLANK(A113),MONTH(A112),IF(MONTH(A113)-MONTH(A112)=1,MONTH(A112),0))</f>
        <v>0</v>
      </c>
    </row>
    <row r="113" customFormat="false" ht="14.1" hidden="false" customHeight="false" outlineLevel="0" collapsed="false">
      <c r="A113" s="6" t="n">
        <v>39605</v>
      </c>
      <c r="B113" s="0" t="n">
        <v>1400.06</v>
      </c>
      <c r="C113" s="0" t="n">
        <v>1400.06</v>
      </c>
      <c r="D113" s="0" t="n">
        <v>1359.9</v>
      </c>
      <c r="E113" s="0" t="n">
        <v>1360.68</v>
      </c>
      <c r="F113" s="0" t="n">
        <v>4771660000</v>
      </c>
      <c r="G113" s="0" t="n">
        <v>1360.68</v>
      </c>
      <c r="H113" s="34" t="n">
        <f aca="false">G113/G112-1</f>
        <v>-0.0308892133471029</v>
      </c>
      <c r="I113" s="34" t="n">
        <f aca="false">LN(1+H113)</f>
        <v>-0.0313763427155088</v>
      </c>
      <c r="J113" s="34"/>
      <c r="K113" s="0" t="n">
        <f aca="false">IF(ISBLANK(A114),MONTH(A113),IF(MONTH(A114)-MONTH(A113)=1,MONTH(A113),0))</f>
        <v>0</v>
      </c>
    </row>
    <row r="114" customFormat="false" ht="14.1" hidden="false" customHeight="false" outlineLevel="0" collapsed="false">
      <c r="A114" s="6" t="n">
        <v>39608</v>
      </c>
      <c r="B114" s="0" t="n">
        <v>1360.83</v>
      </c>
      <c r="C114" s="0" t="n">
        <v>1370.63</v>
      </c>
      <c r="D114" s="0" t="n">
        <v>1350.62</v>
      </c>
      <c r="E114" s="0" t="n">
        <v>1361.76</v>
      </c>
      <c r="F114" s="0" t="n">
        <v>4404570000</v>
      </c>
      <c r="G114" s="0" t="n">
        <v>1361.76</v>
      </c>
      <c r="H114" s="34" t="n">
        <f aca="false">G114/G113-1</f>
        <v>0.000793720786665508</v>
      </c>
      <c r="I114" s="34" t="n">
        <f aca="false">LN(1+H114)</f>
        <v>0.000793405956902186</v>
      </c>
      <c r="J114" s="34"/>
      <c r="K114" s="0" t="n">
        <f aca="false">IF(ISBLANK(A115),MONTH(A114),IF(MONTH(A115)-MONTH(A114)=1,MONTH(A114),0))</f>
        <v>0</v>
      </c>
    </row>
    <row r="115" customFormat="false" ht="14.1" hidden="false" customHeight="false" outlineLevel="0" collapsed="false">
      <c r="A115" s="6" t="n">
        <v>39609</v>
      </c>
      <c r="B115" s="0" t="n">
        <v>1358.98</v>
      </c>
      <c r="C115" s="0" t="n">
        <v>1366.84</v>
      </c>
      <c r="D115" s="0" t="n">
        <v>1351.56</v>
      </c>
      <c r="E115" s="0" t="n">
        <v>1358.44</v>
      </c>
      <c r="F115" s="0" t="n">
        <v>4635070000</v>
      </c>
      <c r="G115" s="0" t="n">
        <v>1358.44</v>
      </c>
      <c r="H115" s="34" t="n">
        <f aca="false">G115/G114-1</f>
        <v>-0.0024380213840911</v>
      </c>
      <c r="I115" s="34" t="n">
        <f aca="false">LN(1+H115)</f>
        <v>-0.00244099819756664</v>
      </c>
      <c r="J115" s="34"/>
      <c r="K115" s="0" t="n">
        <f aca="false">IF(ISBLANK(A116),MONTH(A115),IF(MONTH(A116)-MONTH(A115)=1,MONTH(A115),0))</f>
        <v>0</v>
      </c>
    </row>
    <row r="116" customFormat="false" ht="14.1" hidden="false" customHeight="false" outlineLevel="0" collapsed="false">
      <c r="A116" s="6" t="n">
        <v>39610</v>
      </c>
      <c r="B116" s="0" t="n">
        <v>1357.09</v>
      </c>
      <c r="C116" s="0" t="n">
        <v>1357.09</v>
      </c>
      <c r="D116" s="0" t="n">
        <v>1335.47</v>
      </c>
      <c r="E116" s="0" t="n">
        <v>1335.49</v>
      </c>
      <c r="F116" s="0" t="n">
        <v>4779980000</v>
      </c>
      <c r="G116" s="0" t="n">
        <v>1335.49</v>
      </c>
      <c r="H116" s="34" t="n">
        <f aca="false">G116/G115-1</f>
        <v>-0.0168943788463237</v>
      </c>
      <c r="I116" s="34" t="n">
        <f aca="false">LN(1+H116)</f>
        <v>-0.0170387168413752</v>
      </c>
      <c r="J116" s="34"/>
      <c r="K116" s="0" t="n">
        <f aca="false">IF(ISBLANK(A117),MONTH(A116),IF(MONTH(A117)-MONTH(A116)=1,MONTH(A116),0))</f>
        <v>0</v>
      </c>
    </row>
    <row r="117" customFormat="false" ht="14.1" hidden="false" customHeight="false" outlineLevel="0" collapsed="false">
      <c r="A117" s="6" t="n">
        <v>39611</v>
      </c>
      <c r="B117" s="0" t="n">
        <v>1335.78</v>
      </c>
      <c r="C117" s="0" t="n">
        <v>1353.03</v>
      </c>
      <c r="D117" s="0" t="n">
        <v>1331.29</v>
      </c>
      <c r="E117" s="0" t="n">
        <v>1339.87</v>
      </c>
      <c r="F117" s="0" t="n">
        <v>4734240000</v>
      </c>
      <c r="G117" s="0" t="n">
        <v>1339.87</v>
      </c>
      <c r="H117" s="34" t="n">
        <f aca="false">G117/G116-1</f>
        <v>0.0032796950931866</v>
      </c>
      <c r="I117" s="34" t="n">
        <f aca="false">LN(1+H117)</f>
        <v>0.00327432862362244</v>
      </c>
      <c r="J117" s="34"/>
      <c r="K117" s="0" t="n">
        <f aca="false">IF(ISBLANK(A118),MONTH(A117),IF(MONTH(A118)-MONTH(A117)=1,MONTH(A117),0))</f>
        <v>0</v>
      </c>
    </row>
    <row r="118" customFormat="false" ht="14.1" hidden="false" customHeight="false" outlineLevel="0" collapsed="false">
      <c r="A118" s="6" t="n">
        <v>39612</v>
      </c>
      <c r="B118" s="0" t="n">
        <v>1341.81</v>
      </c>
      <c r="C118" s="0" t="n">
        <v>1360.03</v>
      </c>
      <c r="D118" s="0" t="n">
        <v>1341.71</v>
      </c>
      <c r="E118" s="0" t="n">
        <v>1360.03</v>
      </c>
      <c r="F118" s="0" t="n">
        <v>4080420000</v>
      </c>
      <c r="G118" s="0" t="n">
        <v>1360.03</v>
      </c>
      <c r="H118" s="34" t="n">
        <f aca="false">G118/G117-1</f>
        <v>0.0150462358288492</v>
      </c>
      <c r="I118" s="34" t="n">
        <f aca="false">LN(1+H118)</f>
        <v>0.0149341639970033</v>
      </c>
      <c r="J118" s="34"/>
      <c r="K118" s="0" t="n">
        <f aca="false">IF(ISBLANK(A119),MONTH(A118),IF(MONTH(A119)-MONTH(A118)=1,MONTH(A118),0))</f>
        <v>0</v>
      </c>
    </row>
    <row r="119" customFormat="false" ht="14.1" hidden="false" customHeight="false" outlineLevel="0" collapsed="false">
      <c r="A119" s="6" t="n">
        <v>39615</v>
      </c>
      <c r="B119" s="0" t="n">
        <v>1358.85</v>
      </c>
      <c r="C119" s="0" t="n">
        <v>1364.7</v>
      </c>
      <c r="D119" s="0" t="n">
        <v>1352.07</v>
      </c>
      <c r="E119" s="0" t="n">
        <v>1360.14</v>
      </c>
      <c r="F119" s="0" t="n">
        <v>3706940000</v>
      </c>
      <c r="G119" s="0" t="n">
        <v>1360.14</v>
      </c>
      <c r="H119" s="34" t="n">
        <f aca="false">G119/G118-1</f>
        <v>8.08805688110592E-005</v>
      </c>
      <c r="I119" s="34" t="n">
        <f aca="false">LN(1+H119)</f>
        <v>8.08772981542075E-005</v>
      </c>
      <c r="J119" s="34"/>
      <c r="K119" s="0" t="n">
        <f aca="false">IF(ISBLANK(A120),MONTH(A119),IF(MONTH(A120)-MONTH(A119)=1,MONTH(A119),0))</f>
        <v>0</v>
      </c>
    </row>
    <row r="120" customFormat="false" ht="14.1" hidden="false" customHeight="false" outlineLevel="0" collapsed="false">
      <c r="A120" s="6" t="n">
        <v>39616</v>
      </c>
      <c r="B120" s="0" t="n">
        <v>1360.71</v>
      </c>
      <c r="C120" s="0" t="n">
        <v>1366.59</v>
      </c>
      <c r="D120" s="0" t="n">
        <v>1350.54</v>
      </c>
      <c r="E120" s="0" t="n">
        <v>1350.93</v>
      </c>
      <c r="F120" s="0" t="n">
        <v>3801960000</v>
      </c>
      <c r="G120" s="0" t="n">
        <v>1350.93</v>
      </c>
      <c r="H120" s="34" t="n">
        <f aca="false">G120/G119-1</f>
        <v>-0.00677136177158233</v>
      </c>
      <c r="I120" s="34" t="n">
        <f aca="false">LN(1+H120)</f>
        <v>-0.00679439146215697</v>
      </c>
      <c r="J120" s="34"/>
      <c r="K120" s="0" t="n">
        <f aca="false">IF(ISBLANK(A121),MONTH(A120),IF(MONTH(A121)-MONTH(A120)=1,MONTH(A120),0))</f>
        <v>0</v>
      </c>
    </row>
    <row r="121" customFormat="false" ht="14.1" hidden="false" customHeight="false" outlineLevel="0" collapsed="false">
      <c r="A121" s="6" t="n">
        <v>39617</v>
      </c>
      <c r="B121" s="0" t="n">
        <v>1349.59</v>
      </c>
      <c r="C121" s="0" t="n">
        <v>1349.59</v>
      </c>
      <c r="D121" s="0" t="n">
        <v>1333.4</v>
      </c>
      <c r="E121" s="0" t="n">
        <v>1337.81</v>
      </c>
      <c r="F121" s="0" t="n">
        <v>4573570000</v>
      </c>
      <c r="G121" s="0" t="n">
        <v>1337.81</v>
      </c>
      <c r="H121" s="34" t="n">
        <f aca="false">G121/G120-1</f>
        <v>-0.00971182814801663</v>
      </c>
      <c r="I121" s="34" t="n">
        <f aca="false">LN(1+H121)</f>
        <v>-0.00975929553107404</v>
      </c>
      <c r="J121" s="34"/>
      <c r="K121" s="0" t="n">
        <f aca="false">IF(ISBLANK(A122),MONTH(A121),IF(MONTH(A122)-MONTH(A121)=1,MONTH(A121),0))</f>
        <v>0</v>
      </c>
    </row>
    <row r="122" customFormat="false" ht="14.1" hidden="false" customHeight="false" outlineLevel="0" collapsed="false">
      <c r="A122" s="6" t="n">
        <v>39618</v>
      </c>
      <c r="B122" s="0" t="n">
        <v>1336.89</v>
      </c>
      <c r="C122" s="0" t="n">
        <v>1347.66</v>
      </c>
      <c r="D122" s="0" t="n">
        <v>1330.5</v>
      </c>
      <c r="E122" s="0" t="n">
        <v>1342.83</v>
      </c>
      <c r="F122" s="0" t="n">
        <v>4811670000</v>
      </c>
      <c r="G122" s="0" t="n">
        <v>1342.83</v>
      </c>
      <c r="H122" s="34" t="n">
        <f aca="false">G122/G121-1</f>
        <v>0.00375240131259291</v>
      </c>
      <c r="I122" s="34" t="n">
        <f aca="false">LN(1+H122)</f>
        <v>0.00374537861728572</v>
      </c>
      <c r="J122" s="34"/>
      <c r="K122" s="0" t="n">
        <f aca="false">IF(ISBLANK(A123),MONTH(A122),IF(MONTH(A123)-MONTH(A122)=1,MONTH(A122),0))</f>
        <v>0</v>
      </c>
    </row>
    <row r="123" customFormat="false" ht="14.1" hidden="false" customHeight="false" outlineLevel="0" collapsed="false">
      <c r="A123" s="6" t="n">
        <v>39619</v>
      </c>
      <c r="B123" s="0" t="n">
        <v>1341.02</v>
      </c>
      <c r="C123" s="0" t="n">
        <v>1341.02</v>
      </c>
      <c r="D123" s="0" t="n">
        <v>1314.46</v>
      </c>
      <c r="E123" s="0" t="n">
        <v>1317.93</v>
      </c>
      <c r="F123" s="0" t="n">
        <v>5324900000</v>
      </c>
      <c r="G123" s="0" t="n">
        <v>1317.93</v>
      </c>
      <c r="H123" s="34" t="n">
        <f aca="false">G123/G122-1</f>
        <v>-0.018542927995353</v>
      </c>
      <c r="I123" s="34" t="n">
        <f aca="false">LN(1+H123)</f>
        <v>-0.0187170033544181</v>
      </c>
      <c r="J123" s="34"/>
      <c r="K123" s="0" t="n">
        <f aca="false">IF(ISBLANK(A124),MONTH(A123),IF(MONTH(A124)-MONTH(A123)=1,MONTH(A123),0))</f>
        <v>0</v>
      </c>
    </row>
    <row r="124" customFormat="false" ht="14.1" hidden="false" customHeight="false" outlineLevel="0" collapsed="false">
      <c r="A124" s="6" t="n">
        <v>39622</v>
      </c>
      <c r="B124" s="0" t="n">
        <v>1319.77</v>
      </c>
      <c r="C124" s="0" t="n">
        <v>1323.78</v>
      </c>
      <c r="D124" s="0" t="n">
        <v>1315.31</v>
      </c>
      <c r="E124" s="0" t="n">
        <v>1318</v>
      </c>
      <c r="F124" s="0" t="n">
        <v>4186370000</v>
      </c>
      <c r="G124" s="0" t="n">
        <v>1318</v>
      </c>
      <c r="H124" s="34" t="n">
        <f aca="false">G124/G123-1</f>
        <v>5.31135948038664E-005</v>
      </c>
      <c r="I124" s="34" t="n">
        <f aca="false">LN(1+H124)</f>
        <v>5.31121843268333E-005</v>
      </c>
      <c r="J124" s="34"/>
      <c r="K124" s="0" t="n">
        <f aca="false">IF(ISBLANK(A125),MONTH(A124),IF(MONTH(A125)-MONTH(A124)=1,MONTH(A124),0))</f>
        <v>0</v>
      </c>
    </row>
    <row r="125" customFormat="false" ht="14.1" hidden="false" customHeight="false" outlineLevel="0" collapsed="false">
      <c r="A125" s="6" t="n">
        <v>39623</v>
      </c>
      <c r="B125" s="0" t="n">
        <v>1317.23</v>
      </c>
      <c r="C125" s="0" t="n">
        <v>1326.02</v>
      </c>
      <c r="D125" s="0" t="n">
        <v>1304.42</v>
      </c>
      <c r="E125" s="0" t="n">
        <v>1314.29</v>
      </c>
      <c r="F125" s="0" t="n">
        <v>4705050000</v>
      </c>
      <c r="G125" s="0" t="n">
        <v>1314.29</v>
      </c>
      <c r="H125" s="34" t="n">
        <f aca="false">G125/G124-1</f>
        <v>-0.00281487101669198</v>
      </c>
      <c r="I125" s="34" t="n">
        <f aca="false">LN(1+H125)</f>
        <v>-0.00281884021638558</v>
      </c>
      <c r="J125" s="34"/>
      <c r="K125" s="0" t="n">
        <f aca="false">IF(ISBLANK(A126),MONTH(A125),IF(MONTH(A126)-MONTH(A125)=1,MONTH(A125),0))</f>
        <v>0</v>
      </c>
    </row>
    <row r="126" customFormat="false" ht="14.1" hidden="false" customHeight="false" outlineLevel="0" collapsed="false">
      <c r="A126" s="6" t="n">
        <v>39624</v>
      </c>
      <c r="B126" s="0" t="n">
        <v>1314.54</v>
      </c>
      <c r="C126" s="0" t="n">
        <v>1335.63</v>
      </c>
      <c r="D126" s="0" t="n">
        <v>1314.54</v>
      </c>
      <c r="E126" s="0" t="n">
        <v>1321.97</v>
      </c>
      <c r="F126" s="0" t="n">
        <v>4825640000</v>
      </c>
      <c r="G126" s="0" t="n">
        <v>1321.97</v>
      </c>
      <c r="H126" s="34" t="n">
        <f aca="false">G126/G125-1</f>
        <v>0.0058434592061114</v>
      </c>
      <c r="I126" s="34" t="n">
        <f aca="false">LN(1+H126)</f>
        <v>0.00582645241851596</v>
      </c>
      <c r="J126" s="34"/>
      <c r="K126" s="0" t="n">
        <f aca="false">IF(ISBLANK(A127),MONTH(A126),IF(MONTH(A127)-MONTH(A126)=1,MONTH(A126),0))</f>
        <v>0</v>
      </c>
    </row>
    <row r="127" customFormat="false" ht="14.1" hidden="false" customHeight="false" outlineLevel="0" collapsed="false">
      <c r="A127" s="6" t="n">
        <v>39625</v>
      </c>
      <c r="B127" s="0" t="n">
        <v>1316.29</v>
      </c>
      <c r="C127" s="0" t="n">
        <v>1316.29</v>
      </c>
      <c r="D127" s="0" t="n">
        <v>1283.15</v>
      </c>
      <c r="E127" s="0" t="n">
        <v>1283.15</v>
      </c>
      <c r="F127" s="0" t="n">
        <v>5231280000</v>
      </c>
      <c r="G127" s="0" t="n">
        <v>1283.15</v>
      </c>
      <c r="H127" s="34" t="n">
        <f aca="false">G127/G126-1</f>
        <v>-0.0293652654750107</v>
      </c>
      <c r="I127" s="34" t="n">
        <f aca="false">LN(1+H127)</f>
        <v>-0.0298050559987732</v>
      </c>
      <c r="J127" s="34"/>
      <c r="K127" s="0" t="n">
        <f aca="false">IF(ISBLANK(A128),MONTH(A127),IF(MONTH(A128)-MONTH(A127)=1,MONTH(A127),0))</f>
        <v>0</v>
      </c>
    </row>
    <row r="128" customFormat="false" ht="14.1" hidden="false" customHeight="false" outlineLevel="0" collapsed="false">
      <c r="A128" s="6" t="n">
        <v>39626</v>
      </c>
      <c r="B128" s="0" t="n">
        <v>1283.6</v>
      </c>
      <c r="C128" s="0" t="n">
        <v>1289.45</v>
      </c>
      <c r="D128" s="0" t="n">
        <v>1272</v>
      </c>
      <c r="E128" s="0" t="n">
        <v>1278.38</v>
      </c>
      <c r="F128" s="0" t="n">
        <v>6208260000</v>
      </c>
      <c r="G128" s="0" t="n">
        <v>1278.38</v>
      </c>
      <c r="H128" s="34" t="n">
        <f aca="false">G128/G127-1</f>
        <v>-0.00371741417605109</v>
      </c>
      <c r="I128" s="34" t="n">
        <f aca="false">LN(1+H128)</f>
        <v>-0.00372434093187122</v>
      </c>
      <c r="J128" s="34"/>
      <c r="K128" s="0" t="n">
        <f aca="false">IF(ISBLANK(A129),MONTH(A128),IF(MONTH(A129)-MONTH(A128)=1,MONTH(A128),0))</f>
        <v>0</v>
      </c>
    </row>
    <row r="129" customFormat="false" ht="14.1" hidden="false" customHeight="false" outlineLevel="0" collapsed="false">
      <c r="A129" s="6" t="n">
        <v>39629</v>
      </c>
      <c r="B129" s="0" t="n">
        <v>1278.06</v>
      </c>
      <c r="C129" s="0" t="n">
        <v>1290.31</v>
      </c>
      <c r="D129" s="0" t="n">
        <v>1274.86</v>
      </c>
      <c r="E129" s="0" t="n">
        <v>1280</v>
      </c>
      <c r="F129" s="0" t="n">
        <v>5032330000</v>
      </c>
      <c r="G129" s="0" t="n">
        <v>1280</v>
      </c>
      <c r="H129" s="34" t="n">
        <f aca="false">G129/G128-1</f>
        <v>0.0012672288364961</v>
      </c>
      <c r="I129" s="34" t="n">
        <f aca="false">LN(1+H129)</f>
        <v>0.0012664265797245</v>
      </c>
      <c r="J129" s="34"/>
      <c r="K129" s="0" t="n">
        <f aca="false">IF(ISBLANK(A130),MONTH(A129),IF(MONTH(A130)-MONTH(A129)=1,MONTH(A129),0))</f>
        <v>6</v>
      </c>
    </row>
    <row r="130" customFormat="false" ht="14.1" hidden="false" customHeight="false" outlineLevel="0" collapsed="false">
      <c r="A130" s="6" t="n">
        <v>39630</v>
      </c>
      <c r="B130" s="0" t="n">
        <v>1276.69</v>
      </c>
      <c r="C130" s="0" t="n">
        <v>1285.31</v>
      </c>
      <c r="D130" s="0" t="n">
        <v>1260.68</v>
      </c>
      <c r="E130" s="0" t="n">
        <v>1284.91</v>
      </c>
      <c r="F130" s="0" t="n">
        <v>5846290000</v>
      </c>
      <c r="G130" s="0" t="n">
        <v>1284.91</v>
      </c>
      <c r="H130" s="34" t="n">
        <f aca="false">G130/G129-1</f>
        <v>0.00383593750000011</v>
      </c>
      <c r="I130" s="34" t="n">
        <f aca="false">LN(1+H130)</f>
        <v>0.00382859905231257</v>
      </c>
      <c r="J130" s="34"/>
      <c r="K130" s="0" t="n">
        <f aca="false">IF(ISBLANK(A131),MONTH(A130),IF(MONTH(A131)-MONTH(A130)=1,MONTH(A130),0))</f>
        <v>0</v>
      </c>
    </row>
    <row r="131" customFormat="false" ht="14.1" hidden="false" customHeight="false" outlineLevel="0" collapsed="false">
      <c r="A131" s="6" t="n">
        <v>39631</v>
      </c>
      <c r="B131" s="0" t="n">
        <v>1285.82</v>
      </c>
      <c r="C131" s="0" t="n">
        <v>1292.17</v>
      </c>
      <c r="D131" s="0" t="n">
        <v>1261.51</v>
      </c>
      <c r="E131" s="0" t="n">
        <v>1261.52</v>
      </c>
      <c r="F131" s="0" t="n">
        <v>5276090000</v>
      </c>
      <c r="G131" s="0" t="n">
        <v>1261.52</v>
      </c>
      <c r="H131" s="34" t="n">
        <f aca="false">G131/G130-1</f>
        <v>-0.0182036095913333</v>
      </c>
      <c r="I131" s="34" t="n">
        <f aca="false">LN(1+H131)</f>
        <v>-0.0183713338686439</v>
      </c>
      <c r="J131" s="34"/>
      <c r="K131" s="0" t="n">
        <f aca="false">IF(ISBLANK(A132),MONTH(A131),IF(MONTH(A132)-MONTH(A131)=1,MONTH(A131),0))</f>
        <v>0</v>
      </c>
    </row>
    <row r="132" customFormat="false" ht="14.1" hidden="false" customHeight="false" outlineLevel="0" collapsed="false">
      <c r="A132" s="6" t="n">
        <v>39632</v>
      </c>
      <c r="B132" s="0" t="n">
        <v>1262.96</v>
      </c>
      <c r="C132" s="0" t="n">
        <v>1271.48</v>
      </c>
      <c r="D132" s="0" t="n">
        <v>1252.01</v>
      </c>
      <c r="E132" s="0" t="n">
        <v>1262.9</v>
      </c>
      <c r="F132" s="0" t="n">
        <v>3247590000</v>
      </c>
      <c r="G132" s="0" t="n">
        <v>1262.9</v>
      </c>
      <c r="H132" s="34" t="n">
        <f aca="false">G132/G131-1</f>
        <v>0.00109391844758711</v>
      </c>
      <c r="I132" s="34" t="n">
        <f aca="false">LN(1+H132)</f>
        <v>0.00109332055479303</v>
      </c>
      <c r="J132" s="34"/>
      <c r="K132" s="0" t="n">
        <f aca="false">IF(ISBLANK(A133),MONTH(A132),IF(MONTH(A133)-MONTH(A132)=1,MONTH(A132),0))</f>
        <v>0</v>
      </c>
    </row>
    <row r="133" customFormat="false" ht="14.1" hidden="false" customHeight="false" outlineLevel="0" collapsed="false">
      <c r="A133" s="6" t="n">
        <v>39636</v>
      </c>
      <c r="B133" s="0" t="n">
        <v>1262.9</v>
      </c>
      <c r="C133" s="0" t="n">
        <v>1273.95</v>
      </c>
      <c r="D133" s="0" t="n">
        <v>1240.68</v>
      </c>
      <c r="E133" s="0" t="n">
        <v>1252.31</v>
      </c>
      <c r="F133" s="0" t="n">
        <v>5265420000</v>
      </c>
      <c r="G133" s="0" t="n">
        <v>1252.31</v>
      </c>
      <c r="H133" s="34" t="n">
        <f aca="false">G133/G132-1</f>
        <v>-0.00838546203183166</v>
      </c>
      <c r="I133" s="34" t="n">
        <f aca="false">LN(1+H133)</f>
        <v>-0.00842081780698511</v>
      </c>
      <c r="J133" s="34"/>
      <c r="K133" s="0" t="n">
        <f aca="false">IF(ISBLANK(A134),MONTH(A133),IF(MONTH(A134)-MONTH(A133)=1,MONTH(A133),0))</f>
        <v>0</v>
      </c>
    </row>
    <row r="134" customFormat="false" ht="14.1" hidden="false" customHeight="false" outlineLevel="0" collapsed="false">
      <c r="A134" s="6" t="n">
        <v>39637</v>
      </c>
      <c r="B134" s="0" t="n">
        <v>1251.84</v>
      </c>
      <c r="C134" s="0" t="n">
        <v>1274.17</v>
      </c>
      <c r="D134" s="0" t="n">
        <v>1242.84</v>
      </c>
      <c r="E134" s="0" t="n">
        <v>1273.7</v>
      </c>
      <c r="F134" s="0" t="n">
        <v>6034110000</v>
      </c>
      <c r="G134" s="0" t="n">
        <v>1273.7</v>
      </c>
      <c r="H134" s="34" t="n">
        <f aca="false">G134/G133-1</f>
        <v>0.0170804353554632</v>
      </c>
      <c r="I134" s="34" t="n">
        <f aca="false">LN(1+H134)</f>
        <v>0.0169362047505745</v>
      </c>
      <c r="J134" s="34"/>
      <c r="K134" s="0" t="n">
        <f aca="false">IF(ISBLANK(A135),MONTH(A134),IF(MONTH(A135)-MONTH(A134)=1,MONTH(A134),0))</f>
        <v>0</v>
      </c>
    </row>
    <row r="135" customFormat="false" ht="14.1" hidden="false" customHeight="false" outlineLevel="0" collapsed="false">
      <c r="A135" s="6" t="n">
        <v>39638</v>
      </c>
      <c r="B135" s="0" t="n">
        <v>1273.38</v>
      </c>
      <c r="C135" s="0" t="n">
        <v>1277.36</v>
      </c>
      <c r="D135" s="0" t="n">
        <v>1244.57</v>
      </c>
      <c r="E135" s="0" t="n">
        <v>1244.69</v>
      </c>
      <c r="F135" s="0" t="n">
        <v>5181000000</v>
      </c>
      <c r="G135" s="0" t="n">
        <v>1244.69</v>
      </c>
      <c r="H135" s="34" t="n">
        <f aca="false">G135/G134-1</f>
        <v>-0.0227761639318521</v>
      </c>
      <c r="I135" s="34" t="n">
        <f aca="false">LN(1+H135)</f>
        <v>-0.0230395476854884</v>
      </c>
      <c r="J135" s="34"/>
      <c r="K135" s="0" t="n">
        <f aca="false">IF(ISBLANK(A136),MONTH(A135),IF(MONTH(A136)-MONTH(A135)=1,MONTH(A135),0))</f>
        <v>0</v>
      </c>
    </row>
    <row r="136" customFormat="false" ht="14.1" hidden="false" customHeight="false" outlineLevel="0" collapsed="false">
      <c r="A136" s="6" t="n">
        <v>39639</v>
      </c>
      <c r="B136" s="0" t="n">
        <v>1245.25</v>
      </c>
      <c r="C136" s="0" t="n">
        <v>1257.65</v>
      </c>
      <c r="D136" s="0" t="n">
        <v>1236.76</v>
      </c>
      <c r="E136" s="0" t="n">
        <v>1253.39</v>
      </c>
      <c r="F136" s="0" t="n">
        <v>5840430000</v>
      </c>
      <c r="G136" s="0" t="n">
        <v>1253.39</v>
      </c>
      <c r="H136" s="34" t="n">
        <f aca="false">G136/G135-1</f>
        <v>0.00698969221251877</v>
      </c>
      <c r="I136" s="34" t="n">
        <f aca="false">LN(1+H136)</f>
        <v>0.00696537754949621</v>
      </c>
      <c r="J136" s="34"/>
      <c r="K136" s="0" t="n">
        <f aca="false">IF(ISBLANK(A137),MONTH(A136),IF(MONTH(A137)-MONTH(A136)=1,MONTH(A136),0))</f>
        <v>0</v>
      </c>
    </row>
    <row r="137" customFormat="false" ht="14.1" hidden="false" customHeight="false" outlineLevel="0" collapsed="false">
      <c r="A137" s="6" t="n">
        <v>39640</v>
      </c>
      <c r="B137" s="0" t="n">
        <v>1248.66</v>
      </c>
      <c r="C137" s="0" t="n">
        <v>1257.27</v>
      </c>
      <c r="D137" s="0" t="n">
        <v>1225.35</v>
      </c>
      <c r="E137" s="0" t="n">
        <v>1239.49</v>
      </c>
      <c r="F137" s="0" t="n">
        <v>6742200000</v>
      </c>
      <c r="G137" s="0" t="n">
        <v>1239.49</v>
      </c>
      <c r="H137" s="34" t="n">
        <f aca="false">G137/G136-1</f>
        <v>-0.011089924125771</v>
      </c>
      <c r="I137" s="34" t="n">
        <f aca="false">LN(1+H137)</f>
        <v>-0.011151875786283</v>
      </c>
      <c r="J137" s="34"/>
      <c r="K137" s="0" t="n">
        <f aca="false">IF(ISBLANK(A138),MONTH(A137),IF(MONTH(A138)-MONTH(A137)=1,MONTH(A137),0))</f>
        <v>0</v>
      </c>
    </row>
    <row r="138" customFormat="false" ht="14.1" hidden="false" customHeight="false" outlineLevel="0" collapsed="false">
      <c r="A138" s="6" t="n">
        <v>39643</v>
      </c>
      <c r="B138" s="0" t="n">
        <v>1241.61</v>
      </c>
      <c r="C138" s="0" t="n">
        <v>1253.5</v>
      </c>
      <c r="D138" s="0" t="n">
        <v>1225.01</v>
      </c>
      <c r="E138" s="0" t="n">
        <v>1228.3</v>
      </c>
      <c r="F138" s="0" t="n">
        <v>5434860000</v>
      </c>
      <c r="G138" s="0" t="n">
        <v>1228.3</v>
      </c>
      <c r="H138" s="34" t="n">
        <f aca="false">G138/G137-1</f>
        <v>-0.00902790663902098</v>
      </c>
      <c r="I138" s="34" t="n">
        <f aca="false">LN(1+H138)</f>
        <v>-0.00906890512839018</v>
      </c>
      <c r="J138" s="34"/>
      <c r="K138" s="0" t="n">
        <f aca="false">IF(ISBLANK(A139),MONTH(A138),IF(MONTH(A139)-MONTH(A138)=1,MONTH(A138),0))</f>
        <v>0</v>
      </c>
    </row>
    <row r="139" customFormat="false" ht="14.1" hidden="false" customHeight="false" outlineLevel="0" collapsed="false">
      <c r="A139" s="6" t="n">
        <v>39644</v>
      </c>
      <c r="B139" s="0" t="n">
        <v>1226.83</v>
      </c>
      <c r="C139" s="0" t="n">
        <v>1234.35</v>
      </c>
      <c r="D139" s="0" t="n">
        <v>1200.44</v>
      </c>
      <c r="E139" s="0" t="n">
        <v>1214.91</v>
      </c>
      <c r="F139" s="0" t="n">
        <v>7363640000</v>
      </c>
      <c r="G139" s="0" t="n">
        <v>1214.91</v>
      </c>
      <c r="H139" s="34" t="n">
        <f aca="false">G139/G138-1</f>
        <v>-0.0109012456240332</v>
      </c>
      <c r="I139" s="34" t="n">
        <f aca="false">LN(1+H139)</f>
        <v>-0.0109610995880936</v>
      </c>
      <c r="J139" s="34"/>
      <c r="K139" s="0" t="n">
        <f aca="false">IF(ISBLANK(A140),MONTH(A139),IF(MONTH(A140)-MONTH(A139)=1,MONTH(A139),0))</f>
        <v>0</v>
      </c>
    </row>
    <row r="140" customFormat="false" ht="14.1" hidden="false" customHeight="false" outlineLevel="0" collapsed="false">
      <c r="A140" s="6" t="n">
        <v>39645</v>
      </c>
      <c r="B140" s="0" t="n">
        <v>1214.65</v>
      </c>
      <c r="C140" s="0" t="n">
        <v>1245.52</v>
      </c>
      <c r="D140" s="0" t="n">
        <v>1211.39</v>
      </c>
      <c r="E140" s="0" t="n">
        <v>1245.36</v>
      </c>
      <c r="F140" s="0" t="n">
        <v>6738630400</v>
      </c>
      <c r="G140" s="0" t="n">
        <v>1245.36</v>
      </c>
      <c r="H140" s="34" t="n">
        <f aca="false">G140/G139-1</f>
        <v>0.0250635849569103</v>
      </c>
      <c r="I140" s="34" t="n">
        <f aca="false">LN(1+H140)</f>
        <v>0.0247546447706388</v>
      </c>
      <c r="J140" s="34"/>
      <c r="K140" s="0" t="n">
        <f aca="false">IF(ISBLANK(A141),MONTH(A140),IF(MONTH(A141)-MONTH(A140)=1,MONTH(A140),0))</f>
        <v>0</v>
      </c>
    </row>
    <row r="141" customFormat="false" ht="14.1" hidden="false" customHeight="false" outlineLevel="0" collapsed="false">
      <c r="A141" s="6" t="n">
        <v>39646</v>
      </c>
      <c r="B141" s="0" t="n">
        <v>1246.31</v>
      </c>
      <c r="C141" s="0" t="n">
        <v>1262.31</v>
      </c>
      <c r="D141" s="0" t="n">
        <v>1241.49</v>
      </c>
      <c r="E141" s="0" t="n">
        <v>1260.32</v>
      </c>
      <c r="F141" s="0" t="n">
        <v>7365209600</v>
      </c>
      <c r="G141" s="0" t="n">
        <v>1260.32</v>
      </c>
      <c r="H141" s="34" t="n">
        <f aca="false">G141/G140-1</f>
        <v>0.0120125907368152</v>
      </c>
      <c r="I141" s="34" t="n">
        <f aca="false">LN(1+H141)</f>
        <v>0.0119410122274204</v>
      </c>
      <c r="J141" s="34"/>
      <c r="K141" s="0" t="n">
        <f aca="false">IF(ISBLANK(A142),MONTH(A141),IF(MONTH(A142)-MONTH(A141)=1,MONTH(A141),0))</f>
        <v>0</v>
      </c>
    </row>
    <row r="142" customFormat="false" ht="14.1" hidden="false" customHeight="false" outlineLevel="0" collapsed="false">
      <c r="A142" s="6" t="n">
        <v>39647</v>
      </c>
      <c r="B142" s="0" t="n">
        <v>1258.22</v>
      </c>
      <c r="C142" s="0" t="n">
        <v>1262.23</v>
      </c>
      <c r="D142" s="0" t="n">
        <v>1251.81</v>
      </c>
      <c r="E142" s="0" t="n">
        <v>1260.68</v>
      </c>
      <c r="F142" s="0" t="n">
        <v>5653280000</v>
      </c>
      <c r="G142" s="0" t="n">
        <v>1260.68</v>
      </c>
      <c r="H142" s="34" t="n">
        <f aca="false">G142/G141-1</f>
        <v>0.000285641741780029</v>
      </c>
      <c r="I142" s="34" t="n">
        <f aca="false">LN(1+H142)</f>
        <v>0.00028560095394466</v>
      </c>
      <c r="J142" s="34"/>
      <c r="K142" s="0" t="n">
        <f aca="false">IF(ISBLANK(A143),MONTH(A142),IF(MONTH(A143)-MONTH(A142)=1,MONTH(A142),0))</f>
        <v>0</v>
      </c>
    </row>
    <row r="143" customFormat="false" ht="14.1" hidden="false" customHeight="false" outlineLevel="0" collapsed="false">
      <c r="A143" s="6" t="n">
        <v>39650</v>
      </c>
      <c r="B143" s="0" t="n">
        <v>1261.82</v>
      </c>
      <c r="C143" s="0" t="n">
        <v>1267.74</v>
      </c>
      <c r="D143" s="0" t="n">
        <v>1255.7</v>
      </c>
      <c r="E143" s="0" t="n">
        <v>1260</v>
      </c>
      <c r="F143" s="0" t="n">
        <v>4630640000</v>
      </c>
      <c r="G143" s="0" t="n">
        <v>1260</v>
      </c>
      <c r="H143" s="34" t="n">
        <f aca="false">G143/G142-1</f>
        <v>-0.000539391439540626</v>
      </c>
      <c r="I143" s="34" t="n">
        <f aca="false">LN(1+H143)</f>
        <v>-0.000539536963435066</v>
      </c>
      <c r="J143" s="34"/>
      <c r="K143" s="0" t="n">
        <f aca="false">IF(ISBLANK(A144),MONTH(A143),IF(MONTH(A144)-MONTH(A143)=1,MONTH(A143),0))</f>
        <v>0</v>
      </c>
    </row>
    <row r="144" customFormat="false" ht="14.1" hidden="false" customHeight="false" outlineLevel="0" collapsed="false">
      <c r="A144" s="6" t="n">
        <v>39651</v>
      </c>
      <c r="B144" s="0" t="n">
        <v>1257.08</v>
      </c>
      <c r="C144" s="0" t="n">
        <v>1277.42</v>
      </c>
      <c r="D144" s="0" t="n">
        <v>1248.83</v>
      </c>
      <c r="E144" s="0" t="n">
        <v>1277</v>
      </c>
      <c r="F144" s="0" t="n">
        <v>6180230000</v>
      </c>
      <c r="G144" s="0" t="n">
        <v>1277</v>
      </c>
      <c r="H144" s="34" t="n">
        <f aca="false">G144/G143-1</f>
        <v>0.0134920634920634</v>
      </c>
      <c r="I144" s="34" t="n">
        <f aca="false">LN(1+H144)</f>
        <v>0.0134018560870156</v>
      </c>
      <c r="J144" s="34"/>
      <c r="K144" s="0" t="n">
        <f aca="false">IF(ISBLANK(A145),MONTH(A144),IF(MONTH(A145)-MONTH(A144)=1,MONTH(A144),0))</f>
        <v>0</v>
      </c>
    </row>
    <row r="145" customFormat="false" ht="14.1" hidden="false" customHeight="false" outlineLevel="0" collapsed="false">
      <c r="A145" s="6" t="n">
        <v>39652</v>
      </c>
      <c r="B145" s="0" t="n">
        <v>1278.87</v>
      </c>
      <c r="C145" s="0" t="n">
        <v>1291.17</v>
      </c>
      <c r="D145" s="0" t="n">
        <v>1276.06</v>
      </c>
      <c r="E145" s="0" t="n">
        <v>1282.19</v>
      </c>
      <c r="F145" s="0" t="n">
        <v>6705830000</v>
      </c>
      <c r="G145" s="0" t="n">
        <v>1282.19</v>
      </c>
      <c r="H145" s="34" t="n">
        <f aca="false">G145/G144-1</f>
        <v>0.004064212999217</v>
      </c>
      <c r="I145" s="34" t="n">
        <f aca="false">LN(1+H145)</f>
        <v>0.00405597639489968</v>
      </c>
      <c r="J145" s="34"/>
      <c r="K145" s="0" t="n">
        <f aca="false">IF(ISBLANK(A146),MONTH(A145),IF(MONTH(A146)-MONTH(A145)=1,MONTH(A145),0))</f>
        <v>0</v>
      </c>
    </row>
    <row r="146" customFormat="false" ht="14.1" hidden="false" customHeight="false" outlineLevel="0" collapsed="false">
      <c r="A146" s="6" t="n">
        <v>39653</v>
      </c>
      <c r="B146" s="0" t="n">
        <v>1283.22</v>
      </c>
      <c r="C146" s="0" t="n">
        <v>1283.22</v>
      </c>
      <c r="D146" s="0" t="n">
        <v>1251.48</v>
      </c>
      <c r="E146" s="0" t="n">
        <v>1252.54</v>
      </c>
      <c r="F146" s="0" t="n">
        <v>6127980000</v>
      </c>
      <c r="G146" s="0" t="n">
        <v>1252.54</v>
      </c>
      <c r="H146" s="34" t="n">
        <f aca="false">G146/G145-1</f>
        <v>-0.0231244979293241</v>
      </c>
      <c r="I146" s="34" t="n">
        <f aca="false">LN(1+H146)</f>
        <v>-0.0233960638506219</v>
      </c>
      <c r="J146" s="34"/>
      <c r="K146" s="0" t="n">
        <f aca="false">IF(ISBLANK(A147),MONTH(A146),IF(MONTH(A147)-MONTH(A146)=1,MONTH(A146),0))</f>
        <v>0</v>
      </c>
    </row>
    <row r="147" customFormat="false" ht="14.1" hidden="false" customHeight="false" outlineLevel="0" collapsed="false">
      <c r="A147" s="6" t="n">
        <v>39654</v>
      </c>
      <c r="B147" s="0" t="n">
        <v>1253.51</v>
      </c>
      <c r="C147" s="0" t="n">
        <v>1263.23</v>
      </c>
      <c r="D147" s="0" t="n">
        <v>1251.75</v>
      </c>
      <c r="E147" s="0" t="n">
        <v>1257.76</v>
      </c>
      <c r="F147" s="0" t="n">
        <v>4672560000</v>
      </c>
      <c r="G147" s="0" t="n">
        <v>1257.76</v>
      </c>
      <c r="H147" s="34" t="n">
        <f aca="false">G147/G146-1</f>
        <v>0.00416753157583782</v>
      </c>
      <c r="I147" s="34" t="n">
        <f aca="false">LN(1+H147)</f>
        <v>0.00415887146862918</v>
      </c>
      <c r="J147" s="34"/>
      <c r="K147" s="0" t="n">
        <f aca="false">IF(ISBLANK(A148),MONTH(A147),IF(MONTH(A148)-MONTH(A147)=1,MONTH(A147),0))</f>
        <v>0</v>
      </c>
    </row>
    <row r="148" customFormat="false" ht="14.1" hidden="false" customHeight="false" outlineLevel="0" collapsed="false">
      <c r="A148" s="6" t="n">
        <v>39657</v>
      </c>
      <c r="B148" s="0" t="n">
        <v>1257.76</v>
      </c>
      <c r="C148" s="0" t="n">
        <v>1260.09</v>
      </c>
      <c r="D148" s="0" t="n">
        <v>1234.37</v>
      </c>
      <c r="E148" s="0" t="n">
        <v>1234.37</v>
      </c>
      <c r="F148" s="0" t="n">
        <v>4282960000</v>
      </c>
      <c r="G148" s="0" t="n">
        <v>1234.37</v>
      </c>
      <c r="H148" s="34" t="n">
        <f aca="false">G148/G147-1</f>
        <v>-0.0185965526014503</v>
      </c>
      <c r="I148" s="34" t="n">
        <f aca="false">LN(1+H148)</f>
        <v>-0.018771642597075</v>
      </c>
      <c r="J148" s="34"/>
      <c r="K148" s="0" t="n">
        <f aca="false">IF(ISBLANK(A149),MONTH(A148),IF(MONTH(A149)-MONTH(A148)=1,MONTH(A148),0))</f>
        <v>0</v>
      </c>
    </row>
    <row r="149" customFormat="false" ht="14.1" hidden="false" customHeight="false" outlineLevel="0" collapsed="false">
      <c r="A149" s="6" t="n">
        <v>39658</v>
      </c>
      <c r="B149" s="0" t="n">
        <v>1236.38</v>
      </c>
      <c r="C149" s="0" t="n">
        <v>1263.2</v>
      </c>
      <c r="D149" s="0" t="n">
        <v>1236.38</v>
      </c>
      <c r="E149" s="0" t="n">
        <v>1263.2</v>
      </c>
      <c r="F149" s="0" t="n">
        <v>5414240000</v>
      </c>
      <c r="G149" s="0" t="n">
        <v>1263.2</v>
      </c>
      <c r="H149" s="34" t="n">
        <f aca="false">G149/G148-1</f>
        <v>0.0233560439738492</v>
      </c>
      <c r="I149" s="34" t="n">
        <f aca="false">LN(1+H149)</f>
        <v>0.023087465493061</v>
      </c>
      <c r="J149" s="34"/>
      <c r="K149" s="0" t="n">
        <f aca="false">IF(ISBLANK(A150),MONTH(A149),IF(MONTH(A150)-MONTH(A149)=1,MONTH(A149),0))</f>
        <v>0</v>
      </c>
    </row>
    <row r="150" customFormat="false" ht="14.1" hidden="false" customHeight="false" outlineLevel="0" collapsed="false">
      <c r="A150" s="6" t="n">
        <v>39659</v>
      </c>
      <c r="B150" s="0" t="n">
        <v>1264.52</v>
      </c>
      <c r="C150" s="0" t="n">
        <v>1284.33</v>
      </c>
      <c r="D150" s="0" t="n">
        <v>1264.52</v>
      </c>
      <c r="E150" s="0" t="n">
        <v>1284.26</v>
      </c>
      <c r="F150" s="0" t="n">
        <v>5631330000</v>
      </c>
      <c r="G150" s="0" t="n">
        <v>1284.26</v>
      </c>
      <c r="H150" s="34" t="n">
        <f aca="false">G150/G149-1</f>
        <v>0.0166719442685244</v>
      </c>
      <c r="I150" s="34" t="n">
        <f aca="false">LN(1+H150)</f>
        <v>0.0165344930215314</v>
      </c>
      <c r="J150" s="34"/>
      <c r="K150" s="0" t="n">
        <f aca="false">IF(ISBLANK(A151),MONTH(A150),IF(MONTH(A151)-MONTH(A150)=1,MONTH(A150),0))</f>
        <v>0</v>
      </c>
    </row>
    <row r="151" customFormat="false" ht="14.1" hidden="false" customHeight="false" outlineLevel="0" collapsed="false">
      <c r="A151" s="6" t="n">
        <v>39660</v>
      </c>
      <c r="B151" s="0" t="n">
        <v>1281.37</v>
      </c>
      <c r="C151" s="0" t="n">
        <v>1284.93</v>
      </c>
      <c r="D151" s="0" t="n">
        <v>1265.97</v>
      </c>
      <c r="E151" s="0" t="n">
        <v>1267.38</v>
      </c>
      <c r="F151" s="0" t="n">
        <v>5346050000</v>
      </c>
      <c r="G151" s="0" t="n">
        <v>1267.38</v>
      </c>
      <c r="H151" s="34" t="n">
        <f aca="false">G151/G150-1</f>
        <v>-0.0131437559372711</v>
      </c>
      <c r="I151" s="34" t="n">
        <f aca="false">LN(1+H151)</f>
        <v>-0.0132308995357571</v>
      </c>
      <c r="J151" s="34"/>
      <c r="K151" s="0" t="n">
        <f aca="false">IF(ISBLANK(A152),MONTH(A151),IF(MONTH(A152)-MONTH(A151)=1,MONTH(A151),0))</f>
        <v>7</v>
      </c>
    </row>
    <row r="152" customFormat="false" ht="14.1" hidden="false" customHeight="false" outlineLevel="0" collapsed="false">
      <c r="A152" s="6" t="n">
        <v>39661</v>
      </c>
      <c r="B152" s="0" t="n">
        <v>1269.42</v>
      </c>
      <c r="C152" s="0" t="n">
        <v>1270.52</v>
      </c>
      <c r="D152" s="0" t="n">
        <v>1254.54</v>
      </c>
      <c r="E152" s="0" t="n">
        <v>1260.31</v>
      </c>
      <c r="F152" s="0" t="n">
        <v>4684870000</v>
      </c>
      <c r="G152" s="0" t="n">
        <v>1260.31</v>
      </c>
      <c r="H152" s="34" t="n">
        <f aca="false">G152/G151-1</f>
        <v>-0.00557843740630293</v>
      </c>
      <c r="I152" s="34" t="n">
        <f aca="false">LN(1+H152)</f>
        <v>-0.00559405499649797</v>
      </c>
      <c r="J152" s="34"/>
      <c r="K152" s="0" t="n">
        <f aca="false">IF(ISBLANK(A153),MONTH(A152),IF(MONTH(A153)-MONTH(A152)=1,MONTH(A152),0))</f>
        <v>0</v>
      </c>
    </row>
    <row r="153" customFormat="false" ht="14.1" hidden="false" customHeight="false" outlineLevel="0" collapsed="false">
      <c r="A153" s="6" t="n">
        <v>39664</v>
      </c>
      <c r="B153" s="0" t="n">
        <v>1253.27</v>
      </c>
      <c r="C153" s="0" t="n">
        <v>1260.49</v>
      </c>
      <c r="D153" s="0" t="n">
        <v>1247.45</v>
      </c>
      <c r="E153" s="0" t="n">
        <v>1249.01</v>
      </c>
      <c r="F153" s="0" t="n">
        <v>4562280000</v>
      </c>
      <c r="G153" s="0" t="n">
        <v>1249.01</v>
      </c>
      <c r="H153" s="34" t="n">
        <f aca="false">G153/G152-1</f>
        <v>-0.0089660480358007</v>
      </c>
      <c r="I153" s="34" t="n">
        <f aca="false">LN(1+H153)</f>
        <v>-0.00900648493205802</v>
      </c>
      <c r="J153" s="34"/>
      <c r="K153" s="0" t="n">
        <f aca="false">IF(ISBLANK(A154),MONTH(A153),IF(MONTH(A154)-MONTH(A153)=1,MONTH(A153),0))</f>
        <v>0</v>
      </c>
    </row>
    <row r="154" customFormat="false" ht="14.1" hidden="false" customHeight="false" outlineLevel="0" collapsed="false">
      <c r="A154" s="6" t="n">
        <v>39665</v>
      </c>
      <c r="B154" s="0" t="n">
        <v>1254.87</v>
      </c>
      <c r="C154" s="0" t="n">
        <v>1284.88</v>
      </c>
      <c r="D154" s="0" t="n">
        <v>1254.67</v>
      </c>
      <c r="E154" s="0" t="n">
        <v>1284.88</v>
      </c>
      <c r="F154" s="0" t="n">
        <v>1219310000</v>
      </c>
      <c r="G154" s="0" t="n">
        <v>1284.88</v>
      </c>
      <c r="H154" s="34" t="n">
        <f aca="false">G154/G153-1</f>
        <v>0.0287187452462352</v>
      </c>
      <c r="I154" s="34" t="n">
        <f aca="false">LN(1+H154)</f>
        <v>0.0283140912559913</v>
      </c>
      <c r="J154" s="34"/>
      <c r="K154" s="0" t="n">
        <f aca="false">IF(ISBLANK(A155),MONTH(A154),IF(MONTH(A155)-MONTH(A154)=1,MONTH(A154),0))</f>
        <v>0</v>
      </c>
    </row>
    <row r="155" customFormat="false" ht="14.1" hidden="false" customHeight="false" outlineLevel="0" collapsed="false">
      <c r="A155" s="6" t="n">
        <v>39666</v>
      </c>
      <c r="B155" s="0" t="n">
        <v>1283.99</v>
      </c>
      <c r="C155" s="0" t="n">
        <v>1291.67</v>
      </c>
      <c r="D155" s="0" t="n">
        <v>1276</v>
      </c>
      <c r="E155" s="0" t="n">
        <v>1289.19</v>
      </c>
      <c r="F155" s="0" t="n">
        <v>4873420000</v>
      </c>
      <c r="G155" s="0" t="n">
        <v>1289.19</v>
      </c>
      <c r="H155" s="34" t="n">
        <f aca="false">G155/G154-1</f>
        <v>0.00335439885436761</v>
      </c>
      <c r="I155" s="34" t="n">
        <f aca="false">LN(1+H155)</f>
        <v>0.00334878540818605</v>
      </c>
      <c r="J155" s="34"/>
      <c r="K155" s="0" t="n">
        <f aca="false">IF(ISBLANK(A156),MONTH(A155),IF(MONTH(A156)-MONTH(A155)=1,MONTH(A155),0))</f>
        <v>0</v>
      </c>
    </row>
    <row r="156" customFormat="false" ht="14.1" hidden="false" customHeight="false" outlineLevel="0" collapsed="false">
      <c r="A156" s="6" t="n">
        <v>39667</v>
      </c>
      <c r="B156" s="0" t="n">
        <v>1286.51</v>
      </c>
      <c r="C156" s="0" t="n">
        <v>1286.51</v>
      </c>
      <c r="D156" s="0" t="n">
        <v>1264.29</v>
      </c>
      <c r="E156" s="0" t="n">
        <v>1266.07</v>
      </c>
      <c r="F156" s="0" t="n">
        <v>5319380000</v>
      </c>
      <c r="G156" s="0" t="n">
        <v>1266.07</v>
      </c>
      <c r="H156" s="34" t="n">
        <f aca="false">G156/G155-1</f>
        <v>-0.0179337413414625</v>
      </c>
      <c r="I156" s="34" t="n">
        <f aca="false">LN(1+H156)</f>
        <v>-0.0180964997281834</v>
      </c>
      <c r="J156" s="34"/>
      <c r="K156" s="0" t="n">
        <f aca="false">IF(ISBLANK(A157),MONTH(A156),IF(MONTH(A157)-MONTH(A156)=1,MONTH(A156),0))</f>
        <v>0</v>
      </c>
    </row>
    <row r="157" customFormat="false" ht="14.1" hidden="false" customHeight="false" outlineLevel="0" collapsed="false">
      <c r="A157" s="6" t="n">
        <v>39668</v>
      </c>
      <c r="B157" s="0" t="n">
        <v>1266.29</v>
      </c>
      <c r="C157" s="0" t="n">
        <v>1297.85</v>
      </c>
      <c r="D157" s="0" t="n">
        <v>1262.11</v>
      </c>
      <c r="E157" s="0" t="n">
        <v>1296.32</v>
      </c>
      <c r="F157" s="0" t="n">
        <v>4966810000</v>
      </c>
      <c r="G157" s="0" t="n">
        <v>1296.32</v>
      </c>
      <c r="H157" s="34" t="n">
        <f aca="false">G157/G156-1</f>
        <v>0.0238928337295725</v>
      </c>
      <c r="I157" s="34" t="n">
        <f aca="false">LN(1+H157)</f>
        <v>0.023611866579681</v>
      </c>
      <c r="J157" s="34"/>
      <c r="K157" s="0" t="n">
        <f aca="false">IF(ISBLANK(A158),MONTH(A157),IF(MONTH(A158)-MONTH(A157)=1,MONTH(A157),0))</f>
        <v>0</v>
      </c>
    </row>
    <row r="158" customFormat="false" ht="14.1" hidden="false" customHeight="false" outlineLevel="0" collapsed="false">
      <c r="A158" s="6" t="n">
        <v>39671</v>
      </c>
      <c r="B158" s="0" t="n">
        <v>1294.42</v>
      </c>
      <c r="C158" s="0" t="n">
        <v>1313.15</v>
      </c>
      <c r="D158" s="0" t="n">
        <v>1291.41</v>
      </c>
      <c r="E158" s="0" t="n">
        <v>1305.32</v>
      </c>
      <c r="F158" s="0" t="n">
        <v>5067310000</v>
      </c>
      <c r="G158" s="0" t="n">
        <v>1305.32</v>
      </c>
      <c r="H158" s="34" t="n">
        <f aca="false">G158/G157-1</f>
        <v>0.00694273019007663</v>
      </c>
      <c r="I158" s="34" t="n">
        <f aca="false">LN(1+H158)</f>
        <v>0.00691874041120074</v>
      </c>
      <c r="J158" s="34"/>
      <c r="K158" s="0" t="n">
        <f aca="false">IF(ISBLANK(A159),MONTH(A158),IF(MONTH(A159)-MONTH(A158)=1,MONTH(A158),0))</f>
        <v>0</v>
      </c>
    </row>
    <row r="159" customFormat="false" ht="14.1" hidden="false" customHeight="false" outlineLevel="0" collapsed="false">
      <c r="A159" s="6" t="n">
        <v>39672</v>
      </c>
      <c r="B159" s="0" t="n">
        <v>1304.79</v>
      </c>
      <c r="C159" s="0" t="n">
        <v>1304.79</v>
      </c>
      <c r="D159" s="0" t="n">
        <v>1285.64</v>
      </c>
      <c r="E159" s="0" t="n">
        <v>1289.59</v>
      </c>
      <c r="F159" s="0" t="n">
        <v>4711290000</v>
      </c>
      <c r="G159" s="0" t="n">
        <v>1289.59</v>
      </c>
      <c r="H159" s="34" t="n">
        <f aca="false">G159/G158-1</f>
        <v>-0.012050684889529</v>
      </c>
      <c r="I159" s="34" t="n">
        <f aca="false">LN(1+H159)</f>
        <v>-0.0121238830456593</v>
      </c>
      <c r="J159" s="34"/>
      <c r="K159" s="0" t="n">
        <f aca="false">IF(ISBLANK(A160),MONTH(A159),IF(MONTH(A160)-MONTH(A159)=1,MONTH(A159),0))</f>
        <v>0</v>
      </c>
    </row>
    <row r="160" customFormat="false" ht="14.1" hidden="false" customHeight="false" outlineLevel="0" collapsed="false">
      <c r="A160" s="6" t="n">
        <v>39673</v>
      </c>
      <c r="B160" s="0" t="n">
        <v>1288.64</v>
      </c>
      <c r="C160" s="0" t="n">
        <v>1294.03</v>
      </c>
      <c r="D160" s="0" t="n">
        <v>1274.86</v>
      </c>
      <c r="E160" s="0" t="n">
        <v>1285.83</v>
      </c>
      <c r="F160" s="0" t="n">
        <v>4787600000</v>
      </c>
      <c r="G160" s="0" t="n">
        <v>1285.83</v>
      </c>
      <c r="H160" s="34" t="n">
        <f aca="false">G160/G159-1</f>
        <v>-0.00291565536333249</v>
      </c>
      <c r="I160" s="34" t="n">
        <f aca="false">LN(1+H160)</f>
        <v>-0.00291991416658086</v>
      </c>
      <c r="J160" s="34"/>
      <c r="K160" s="0" t="n">
        <f aca="false">IF(ISBLANK(A161),MONTH(A160),IF(MONTH(A161)-MONTH(A160)=1,MONTH(A160),0))</f>
        <v>0</v>
      </c>
    </row>
    <row r="161" customFormat="false" ht="14.1" hidden="false" customHeight="false" outlineLevel="0" collapsed="false">
      <c r="A161" s="6" t="n">
        <v>39674</v>
      </c>
      <c r="B161" s="0" t="n">
        <v>1282.11</v>
      </c>
      <c r="C161" s="0" t="n">
        <v>1300.11</v>
      </c>
      <c r="D161" s="0" t="n">
        <v>1276.84</v>
      </c>
      <c r="E161" s="0" t="n">
        <v>1292.93</v>
      </c>
      <c r="F161" s="0" t="n">
        <v>4064000000</v>
      </c>
      <c r="G161" s="0" t="n">
        <v>1292.93</v>
      </c>
      <c r="H161" s="34" t="n">
        <f aca="false">G161/G160-1</f>
        <v>0.00552172526694839</v>
      </c>
      <c r="I161" s="34" t="n">
        <f aca="false">LN(1+H161)</f>
        <v>0.00550653642872883</v>
      </c>
      <c r="J161" s="34"/>
      <c r="K161" s="0" t="n">
        <f aca="false">IF(ISBLANK(A162),MONTH(A161),IF(MONTH(A162)-MONTH(A161)=1,MONTH(A161),0))</f>
        <v>0</v>
      </c>
    </row>
    <row r="162" customFormat="false" ht="14.1" hidden="false" customHeight="false" outlineLevel="0" collapsed="false">
      <c r="A162" s="6" t="n">
        <v>39675</v>
      </c>
      <c r="B162" s="0" t="n">
        <v>1293.85</v>
      </c>
      <c r="C162" s="0" t="n">
        <v>1302.05</v>
      </c>
      <c r="D162" s="0" t="n">
        <v>1290.74</v>
      </c>
      <c r="E162" s="0" t="n">
        <v>1298.2</v>
      </c>
      <c r="F162" s="0" t="n">
        <v>4041820000</v>
      </c>
      <c r="G162" s="0" t="n">
        <v>1298.2</v>
      </c>
      <c r="H162" s="34" t="n">
        <f aca="false">G162/G161-1</f>
        <v>0.00407601339593011</v>
      </c>
      <c r="I162" s="34" t="n">
        <f aca="false">LN(1+H162)</f>
        <v>0.00406772895735338</v>
      </c>
      <c r="J162" s="34"/>
      <c r="K162" s="0" t="n">
        <f aca="false">IF(ISBLANK(A163),MONTH(A162),IF(MONTH(A163)-MONTH(A162)=1,MONTH(A162),0))</f>
        <v>0</v>
      </c>
    </row>
    <row r="163" customFormat="false" ht="14.1" hidden="false" customHeight="false" outlineLevel="0" collapsed="false">
      <c r="A163" s="6" t="n">
        <v>39678</v>
      </c>
      <c r="B163" s="0" t="n">
        <v>1298.14</v>
      </c>
      <c r="C163" s="0" t="n">
        <v>1300.22</v>
      </c>
      <c r="D163" s="0" t="n">
        <v>1274.51</v>
      </c>
      <c r="E163" s="0" t="n">
        <v>1278.6</v>
      </c>
      <c r="F163" s="0" t="n">
        <v>3829290000</v>
      </c>
      <c r="G163" s="0" t="n">
        <v>1278.6</v>
      </c>
      <c r="H163" s="34" t="n">
        <f aca="false">G163/G162-1</f>
        <v>-0.015097827761516</v>
      </c>
      <c r="I163" s="34" t="n">
        <f aca="false">LN(1+H163)</f>
        <v>-0.0152129602667418</v>
      </c>
      <c r="J163" s="34"/>
      <c r="K163" s="0" t="n">
        <f aca="false">IF(ISBLANK(A164),MONTH(A163),IF(MONTH(A164)-MONTH(A163)=1,MONTH(A163),0))</f>
        <v>0</v>
      </c>
    </row>
    <row r="164" customFormat="false" ht="14.1" hidden="false" customHeight="false" outlineLevel="0" collapsed="false">
      <c r="A164" s="6" t="n">
        <v>39679</v>
      </c>
      <c r="B164" s="0" t="n">
        <v>1276.65</v>
      </c>
      <c r="C164" s="0" t="n">
        <v>1276.65</v>
      </c>
      <c r="D164" s="0" t="n">
        <v>1263.11</v>
      </c>
      <c r="E164" s="0" t="n">
        <v>1266.69</v>
      </c>
      <c r="F164" s="0" t="n">
        <v>4159760000</v>
      </c>
      <c r="G164" s="0" t="n">
        <v>1266.69</v>
      </c>
      <c r="H164" s="34" t="n">
        <f aca="false">G164/G163-1</f>
        <v>-0.00931487564523692</v>
      </c>
      <c r="I164" s="34" t="n">
        <f aca="false">LN(1+H164)</f>
        <v>-0.00935853040329288</v>
      </c>
      <c r="J164" s="34"/>
      <c r="K164" s="0" t="n">
        <f aca="false">IF(ISBLANK(A165),MONTH(A164),IF(MONTH(A165)-MONTH(A164)=1,MONTH(A164),0))</f>
        <v>0</v>
      </c>
    </row>
    <row r="165" customFormat="false" ht="14.1" hidden="false" customHeight="false" outlineLevel="0" collapsed="false">
      <c r="A165" s="6" t="n">
        <v>39680</v>
      </c>
      <c r="B165" s="0" t="n">
        <v>1267.34</v>
      </c>
      <c r="C165" s="0" t="n">
        <v>1276.01</v>
      </c>
      <c r="D165" s="0" t="n">
        <v>1261.16</v>
      </c>
      <c r="E165" s="0" t="n">
        <v>1274.54</v>
      </c>
      <c r="F165" s="0" t="n">
        <v>4555030000</v>
      </c>
      <c r="G165" s="0" t="n">
        <v>1274.54</v>
      </c>
      <c r="H165" s="34" t="n">
        <f aca="false">G165/G164-1</f>
        <v>0.00619725426110573</v>
      </c>
      <c r="I165" s="34" t="n">
        <f aca="false">LN(1+H165)</f>
        <v>0.00617813025114891</v>
      </c>
      <c r="J165" s="34"/>
      <c r="K165" s="0" t="n">
        <f aca="false">IF(ISBLANK(A166),MONTH(A165),IF(MONTH(A166)-MONTH(A165)=1,MONTH(A165),0))</f>
        <v>0</v>
      </c>
    </row>
    <row r="166" customFormat="false" ht="14.1" hidden="false" customHeight="false" outlineLevel="0" collapsed="false">
      <c r="A166" s="6" t="n">
        <v>39681</v>
      </c>
      <c r="B166" s="0" t="n">
        <v>1271.07</v>
      </c>
      <c r="C166" s="0" t="n">
        <v>1281.4</v>
      </c>
      <c r="D166" s="0" t="n">
        <v>1265.22</v>
      </c>
      <c r="E166" s="0" t="n">
        <v>1277.72</v>
      </c>
      <c r="F166" s="0" t="n">
        <v>4032590000</v>
      </c>
      <c r="G166" s="0" t="n">
        <v>1277.72</v>
      </c>
      <c r="H166" s="34" t="n">
        <f aca="false">G166/G165-1</f>
        <v>0.00249501781034733</v>
      </c>
      <c r="I166" s="34" t="n">
        <f aca="false">LN(1+H166)</f>
        <v>0.00249191042099831</v>
      </c>
      <c r="J166" s="34"/>
      <c r="K166" s="0" t="n">
        <f aca="false">IF(ISBLANK(A167),MONTH(A166),IF(MONTH(A167)-MONTH(A166)=1,MONTH(A166),0))</f>
        <v>0</v>
      </c>
    </row>
    <row r="167" customFormat="false" ht="14.1" hidden="false" customHeight="false" outlineLevel="0" collapsed="false">
      <c r="A167" s="6" t="n">
        <v>39682</v>
      </c>
      <c r="B167" s="0" t="n">
        <v>1277.59</v>
      </c>
      <c r="C167" s="0" t="n">
        <v>1293.09</v>
      </c>
      <c r="D167" s="0" t="n">
        <v>1277.59</v>
      </c>
      <c r="E167" s="0" t="n">
        <v>1292.2</v>
      </c>
      <c r="F167" s="0" t="n">
        <v>3741070000</v>
      </c>
      <c r="G167" s="0" t="n">
        <v>1292.2</v>
      </c>
      <c r="H167" s="34" t="n">
        <f aca="false">G167/G166-1</f>
        <v>0.0113326863475567</v>
      </c>
      <c r="I167" s="34" t="n">
        <f aca="false">LN(1+H167)</f>
        <v>0.0112689525225845</v>
      </c>
      <c r="J167" s="34"/>
      <c r="K167" s="0" t="n">
        <f aca="false">IF(ISBLANK(A168),MONTH(A167),IF(MONTH(A168)-MONTH(A167)=1,MONTH(A167),0))</f>
        <v>0</v>
      </c>
    </row>
    <row r="168" customFormat="false" ht="14.1" hidden="false" customHeight="false" outlineLevel="0" collapsed="false">
      <c r="A168" s="6" t="n">
        <v>39685</v>
      </c>
      <c r="B168" s="0" t="n">
        <v>1290.47</v>
      </c>
      <c r="C168" s="0" t="n">
        <v>1290.47</v>
      </c>
      <c r="D168" s="0" t="n">
        <v>1264.87</v>
      </c>
      <c r="E168" s="0" t="n">
        <v>1266.84</v>
      </c>
      <c r="F168" s="0" t="n">
        <v>3420600000</v>
      </c>
      <c r="G168" s="0" t="n">
        <v>1266.84</v>
      </c>
      <c r="H168" s="34" t="n">
        <f aca="false">G168/G167-1</f>
        <v>-0.0196254449775578</v>
      </c>
      <c r="I168" s="34" t="n">
        <f aca="false">LN(1+H168)</f>
        <v>-0.0198205813344615</v>
      </c>
      <c r="J168" s="34"/>
      <c r="K168" s="0" t="n">
        <f aca="false">IF(ISBLANK(A169),MONTH(A168),IF(MONTH(A169)-MONTH(A168)=1,MONTH(A168),0))</f>
        <v>0</v>
      </c>
    </row>
    <row r="169" customFormat="false" ht="14.1" hidden="false" customHeight="false" outlineLevel="0" collapsed="false">
      <c r="A169" s="6" t="n">
        <v>39686</v>
      </c>
      <c r="B169" s="0" t="n">
        <v>1267.03</v>
      </c>
      <c r="C169" s="0" t="n">
        <v>1275.65</v>
      </c>
      <c r="D169" s="0" t="n">
        <v>1263.21</v>
      </c>
      <c r="E169" s="0" t="n">
        <v>1271.51</v>
      </c>
      <c r="F169" s="0" t="n">
        <v>3587570000</v>
      </c>
      <c r="G169" s="0" t="n">
        <v>1271.51</v>
      </c>
      <c r="H169" s="34" t="n">
        <f aca="false">G169/G168-1</f>
        <v>0.00368633765905724</v>
      </c>
      <c r="I169" s="34" t="n">
        <f aca="false">LN(1+H169)</f>
        <v>0.00367955976834454</v>
      </c>
      <c r="J169" s="34"/>
      <c r="K169" s="0" t="n">
        <f aca="false">IF(ISBLANK(A170),MONTH(A169),IF(MONTH(A170)-MONTH(A169)=1,MONTH(A169),0))</f>
        <v>0</v>
      </c>
    </row>
    <row r="170" customFormat="false" ht="14.1" hidden="false" customHeight="false" outlineLevel="0" collapsed="false">
      <c r="A170" s="6" t="n">
        <v>39687</v>
      </c>
      <c r="B170" s="0" t="n">
        <v>1271.29</v>
      </c>
      <c r="C170" s="0" t="n">
        <v>1285.05</v>
      </c>
      <c r="D170" s="0" t="n">
        <v>1270.03</v>
      </c>
      <c r="E170" s="0" t="n">
        <v>1281.66</v>
      </c>
      <c r="F170" s="0" t="n">
        <v>3499610000</v>
      </c>
      <c r="G170" s="0" t="n">
        <v>1281.66</v>
      </c>
      <c r="H170" s="34" t="n">
        <f aca="false">G170/G169-1</f>
        <v>0.00798263482001715</v>
      </c>
      <c r="I170" s="34" t="n">
        <f aca="false">LN(1+H170)</f>
        <v>0.00795094213969009</v>
      </c>
      <c r="J170" s="34"/>
      <c r="K170" s="0" t="n">
        <f aca="false">IF(ISBLANK(A171),MONTH(A170),IF(MONTH(A171)-MONTH(A170)=1,MONTH(A170),0))</f>
        <v>0</v>
      </c>
    </row>
    <row r="171" customFormat="false" ht="14.1" hidden="false" customHeight="false" outlineLevel="0" collapsed="false">
      <c r="A171" s="6" t="n">
        <v>39688</v>
      </c>
      <c r="B171" s="0" t="n">
        <v>1283.79</v>
      </c>
      <c r="C171" s="0" t="n">
        <v>1300.68</v>
      </c>
      <c r="D171" s="0" t="n">
        <v>1283.79</v>
      </c>
      <c r="E171" s="0" t="n">
        <v>1300.68</v>
      </c>
      <c r="F171" s="0" t="n">
        <v>3854280000</v>
      </c>
      <c r="G171" s="0" t="n">
        <v>1300.68</v>
      </c>
      <c r="H171" s="34" t="n">
        <f aca="false">G171/G170-1</f>
        <v>0.0148401292074341</v>
      </c>
      <c r="I171" s="34" t="n">
        <f aca="false">LN(1+H171)</f>
        <v>0.0147310919180204</v>
      </c>
      <c r="J171" s="34"/>
      <c r="K171" s="0" t="n">
        <f aca="false">IF(ISBLANK(A172),MONTH(A171),IF(MONTH(A172)-MONTH(A171)=1,MONTH(A171),0))</f>
        <v>0</v>
      </c>
    </row>
    <row r="172" customFormat="false" ht="14.1" hidden="false" customHeight="false" outlineLevel="0" collapsed="false">
      <c r="A172" s="6" t="n">
        <v>39689</v>
      </c>
      <c r="B172" s="0" t="n">
        <v>1296.49</v>
      </c>
      <c r="C172" s="0" t="n">
        <v>1297.59</v>
      </c>
      <c r="D172" s="0" t="n">
        <v>1282.74</v>
      </c>
      <c r="E172" s="0" t="n">
        <v>1282.83</v>
      </c>
      <c r="F172" s="0" t="n">
        <v>3288120000</v>
      </c>
      <c r="G172" s="0" t="n">
        <v>1282.83</v>
      </c>
      <c r="H172" s="34" t="n">
        <f aca="false">G172/G171-1</f>
        <v>-0.013723590737153</v>
      </c>
      <c r="I172" s="34" t="n">
        <f aca="false">LN(1+H172)</f>
        <v>-0.0138186297277393</v>
      </c>
      <c r="J172" s="34"/>
      <c r="K172" s="0" t="n">
        <f aca="false">IF(ISBLANK(A173),MONTH(A172),IF(MONTH(A173)-MONTH(A172)=1,MONTH(A172),0))</f>
        <v>8</v>
      </c>
    </row>
    <row r="173" customFormat="false" ht="14.1" hidden="false" customHeight="false" outlineLevel="0" collapsed="false">
      <c r="A173" s="6" t="n">
        <v>39693</v>
      </c>
      <c r="B173" s="0" t="n">
        <v>1287.83</v>
      </c>
      <c r="C173" s="0" t="n">
        <v>1303.04</v>
      </c>
      <c r="D173" s="0" t="n">
        <v>1272.2</v>
      </c>
      <c r="E173" s="0" t="n">
        <v>1277.58</v>
      </c>
      <c r="F173" s="0" t="n">
        <v>4783560000</v>
      </c>
      <c r="G173" s="0" t="n">
        <v>1277.58</v>
      </c>
      <c r="H173" s="34" t="n">
        <f aca="false">G173/G172-1</f>
        <v>-0.00409251420687073</v>
      </c>
      <c r="I173" s="34" t="n">
        <f aca="false">LN(1+H173)</f>
        <v>-0.00410091146155745</v>
      </c>
      <c r="J173" s="34"/>
      <c r="K173" s="0" t="n">
        <f aca="false">IF(ISBLANK(A174),MONTH(A173),IF(MONTH(A174)-MONTH(A173)=1,MONTH(A173),0))</f>
        <v>0</v>
      </c>
    </row>
    <row r="174" customFormat="false" ht="14.1" hidden="false" customHeight="false" outlineLevel="0" collapsed="false">
      <c r="A174" s="6" t="n">
        <v>39694</v>
      </c>
      <c r="B174" s="0" t="n">
        <v>1276.61</v>
      </c>
      <c r="C174" s="0" t="n">
        <v>1280.6</v>
      </c>
      <c r="D174" s="0" t="n">
        <v>1265.59</v>
      </c>
      <c r="E174" s="0" t="n">
        <v>1274.98</v>
      </c>
      <c r="F174" s="0" t="n">
        <v>5056980000</v>
      </c>
      <c r="G174" s="0" t="n">
        <v>1274.98</v>
      </c>
      <c r="H174" s="34" t="n">
        <f aca="false">G174/G173-1</f>
        <v>-0.00203509760641207</v>
      </c>
      <c r="I174" s="34" t="n">
        <f aca="false">LN(1+H174)</f>
        <v>-0.00203717123137632</v>
      </c>
      <c r="J174" s="34"/>
      <c r="K174" s="0" t="n">
        <f aca="false">IF(ISBLANK(A175),MONTH(A174),IF(MONTH(A175)-MONTH(A174)=1,MONTH(A174),0))</f>
        <v>0</v>
      </c>
    </row>
    <row r="175" customFormat="false" ht="14.1" hidden="false" customHeight="false" outlineLevel="0" collapsed="false">
      <c r="A175" s="6" t="n">
        <v>39695</v>
      </c>
      <c r="B175" s="0" t="n">
        <v>1271.8</v>
      </c>
      <c r="C175" s="0" t="n">
        <v>1271.8</v>
      </c>
      <c r="D175" s="0" t="n">
        <v>1232.83</v>
      </c>
      <c r="E175" s="0" t="n">
        <v>1236.83</v>
      </c>
      <c r="F175" s="0" t="n">
        <v>5212500000</v>
      </c>
      <c r="G175" s="0" t="n">
        <v>1236.83</v>
      </c>
      <c r="H175" s="34" t="n">
        <f aca="false">G175/G174-1</f>
        <v>-0.0299220379927529</v>
      </c>
      <c r="I175" s="34" t="n">
        <f aca="false">LN(1+H175)</f>
        <v>-0.0303788375111139</v>
      </c>
      <c r="J175" s="34"/>
      <c r="K175" s="0" t="n">
        <f aca="false">IF(ISBLANK(A176),MONTH(A175),IF(MONTH(A176)-MONTH(A175)=1,MONTH(A175),0))</f>
        <v>0</v>
      </c>
    </row>
    <row r="176" customFormat="false" ht="14.1" hidden="false" customHeight="false" outlineLevel="0" collapsed="false">
      <c r="A176" s="6" t="n">
        <v>39696</v>
      </c>
      <c r="B176" s="0" t="n">
        <v>1233.21</v>
      </c>
      <c r="C176" s="0" t="n">
        <v>1244.94</v>
      </c>
      <c r="D176" s="0" t="n">
        <v>1217.23</v>
      </c>
      <c r="E176" s="0" t="n">
        <v>1242.31</v>
      </c>
      <c r="F176" s="0" t="n">
        <v>5017080000</v>
      </c>
      <c r="G176" s="0" t="n">
        <v>1242.31</v>
      </c>
      <c r="H176" s="34" t="n">
        <f aca="false">G176/G175-1</f>
        <v>0.00443068166199079</v>
      </c>
      <c r="I176" s="34" t="n">
        <f aca="false">LN(1+H176)</f>
        <v>0.0044208950888079</v>
      </c>
      <c r="J176" s="34"/>
      <c r="K176" s="0" t="n">
        <f aca="false">IF(ISBLANK(A177),MONTH(A176),IF(MONTH(A177)-MONTH(A176)=1,MONTH(A176),0))</f>
        <v>0</v>
      </c>
    </row>
    <row r="177" customFormat="false" ht="14.1" hidden="false" customHeight="false" outlineLevel="0" collapsed="false">
      <c r="A177" s="6" t="n">
        <v>39699</v>
      </c>
      <c r="B177" s="0" t="n">
        <v>1249.5</v>
      </c>
      <c r="C177" s="0" t="n">
        <v>1274.42</v>
      </c>
      <c r="D177" s="0" t="n">
        <v>1247.12</v>
      </c>
      <c r="E177" s="0" t="n">
        <v>1267.79</v>
      </c>
      <c r="F177" s="0" t="n">
        <v>7351340000</v>
      </c>
      <c r="G177" s="0" t="n">
        <v>1267.79</v>
      </c>
      <c r="H177" s="34" t="n">
        <f aca="false">G177/G176-1</f>
        <v>0.0205101786188633</v>
      </c>
      <c r="I177" s="34" t="n">
        <f aca="false">LN(1+H177)</f>
        <v>0.0203026773668336</v>
      </c>
      <c r="J177" s="34"/>
      <c r="K177" s="0" t="n">
        <f aca="false">IF(ISBLANK(A178),MONTH(A177),IF(MONTH(A178)-MONTH(A177)=1,MONTH(A177),0))</f>
        <v>0</v>
      </c>
    </row>
    <row r="178" customFormat="false" ht="14.1" hidden="false" customHeight="false" outlineLevel="0" collapsed="false">
      <c r="A178" s="6" t="n">
        <v>39700</v>
      </c>
      <c r="B178" s="0" t="n">
        <v>1267.98</v>
      </c>
      <c r="C178" s="0" t="n">
        <v>1268.66</v>
      </c>
      <c r="D178" s="0" t="n">
        <v>1224.51</v>
      </c>
      <c r="E178" s="0" t="n">
        <v>1224.51</v>
      </c>
      <c r="F178" s="0" t="n">
        <v>7380630400</v>
      </c>
      <c r="G178" s="0" t="n">
        <v>1224.51</v>
      </c>
      <c r="H178" s="34" t="n">
        <f aca="false">G178/G177-1</f>
        <v>-0.0341381459074452</v>
      </c>
      <c r="I178" s="34" t="n">
        <f aca="false">LN(1+H178)</f>
        <v>-0.0347344631820258</v>
      </c>
      <c r="J178" s="34"/>
      <c r="K178" s="0" t="n">
        <f aca="false">IF(ISBLANK(A179),MONTH(A178),IF(MONTH(A179)-MONTH(A178)=1,MONTH(A178),0))</f>
        <v>0</v>
      </c>
    </row>
    <row r="179" customFormat="false" ht="14.1" hidden="false" customHeight="false" outlineLevel="0" collapsed="false">
      <c r="A179" s="6" t="n">
        <v>39701</v>
      </c>
      <c r="B179" s="0" t="n">
        <v>1227.5</v>
      </c>
      <c r="C179" s="0" t="n">
        <v>1243.9</v>
      </c>
      <c r="D179" s="0" t="n">
        <v>1221.6</v>
      </c>
      <c r="E179" s="0" t="n">
        <v>1232.04</v>
      </c>
      <c r="F179" s="0" t="n">
        <v>6543440000</v>
      </c>
      <c r="G179" s="0" t="n">
        <v>1232.04</v>
      </c>
      <c r="H179" s="34" t="n">
        <f aca="false">G179/G178-1</f>
        <v>0.00614939853492413</v>
      </c>
      <c r="I179" s="34" t="n">
        <f aca="false">LN(1+H179)</f>
        <v>0.00613056814138603</v>
      </c>
      <c r="J179" s="34"/>
      <c r="K179" s="0" t="n">
        <f aca="false">IF(ISBLANK(A180),MONTH(A179),IF(MONTH(A180)-MONTH(A179)=1,MONTH(A179),0))</f>
        <v>0</v>
      </c>
    </row>
    <row r="180" customFormat="false" ht="14.1" hidden="false" customHeight="false" outlineLevel="0" collapsed="false">
      <c r="A180" s="6" t="n">
        <v>39702</v>
      </c>
      <c r="B180" s="0" t="n">
        <v>1229.04</v>
      </c>
      <c r="C180" s="0" t="n">
        <v>1249.98</v>
      </c>
      <c r="D180" s="0" t="n">
        <v>1211.54</v>
      </c>
      <c r="E180" s="0" t="n">
        <v>1249.05</v>
      </c>
      <c r="F180" s="0" t="n">
        <v>6869249600</v>
      </c>
      <c r="G180" s="0" t="n">
        <v>1249.05</v>
      </c>
      <c r="H180" s="34" t="n">
        <f aca="false">G180/G179-1</f>
        <v>0.0138063699230544</v>
      </c>
      <c r="I180" s="34" t="n">
        <f aca="false">LN(1+H180)</f>
        <v>0.0137119302510643</v>
      </c>
      <c r="J180" s="34"/>
      <c r="K180" s="0" t="n">
        <f aca="false">IF(ISBLANK(A181),MONTH(A180),IF(MONTH(A181)-MONTH(A180)=1,MONTH(A180),0))</f>
        <v>0</v>
      </c>
    </row>
    <row r="181" customFormat="false" ht="14.1" hidden="false" customHeight="false" outlineLevel="0" collapsed="false">
      <c r="A181" s="6" t="n">
        <v>39703</v>
      </c>
      <c r="B181" s="0" t="n">
        <v>1245.88</v>
      </c>
      <c r="C181" s="0" t="n">
        <v>1255.09</v>
      </c>
      <c r="D181" s="0" t="n">
        <v>1233.81</v>
      </c>
      <c r="E181" s="0" t="n">
        <v>1251.7</v>
      </c>
      <c r="F181" s="0" t="n">
        <v>6273260000</v>
      </c>
      <c r="G181" s="0" t="n">
        <v>1251.7</v>
      </c>
      <c r="H181" s="34" t="n">
        <f aca="false">G181/G180-1</f>
        <v>0.00212161242544351</v>
      </c>
      <c r="I181" s="34" t="n">
        <f aca="false">LN(1+H181)</f>
        <v>0.00211936498403997</v>
      </c>
      <c r="J181" s="34"/>
      <c r="K181" s="0" t="n">
        <f aca="false">IF(ISBLANK(A182),MONTH(A181),IF(MONTH(A182)-MONTH(A181)=1,MONTH(A181),0))</f>
        <v>0</v>
      </c>
    </row>
    <row r="182" customFormat="false" ht="14.1" hidden="false" customHeight="false" outlineLevel="0" collapsed="false">
      <c r="A182" s="6" t="n">
        <v>39706</v>
      </c>
      <c r="B182" s="0" t="n">
        <v>1250.92</v>
      </c>
      <c r="C182" s="0" t="n">
        <v>1250.92</v>
      </c>
      <c r="D182" s="0" t="n">
        <v>1192.7</v>
      </c>
      <c r="E182" s="0" t="n">
        <v>1192.7</v>
      </c>
      <c r="F182" s="0" t="n">
        <v>8279510400</v>
      </c>
      <c r="G182" s="0" t="n">
        <v>1192.7</v>
      </c>
      <c r="H182" s="34" t="n">
        <f aca="false">G182/G181-1</f>
        <v>-0.0471358951825517</v>
      </c>
      <c r="I182" s="34" t="n">
        <f aca="false">LN(1+H182)</f>
        <v>-0.0482829827493544</v>
      </c>
      <c r="J182" s="34"/>
      <c r="K182" s="0" t="n">
        <f aca="false">IF(ISBLANK(A183),MONTH(A182),IF(MONTH(A183)-MONTH(A182)=1,MONTH(A182),0))</f>
        <v>0</v>
      </c>
    </row>
    <row r="183" customFormat="false" ht="14.1" hidden="false" customHeight="false" outlineLevel="0" collapsed="false">
      <c r="A183" s="6" t="n">
        <v>39707</v>
      </c>
      <c r="B183" s="0" t="n">
        <v>1188.31</v>
      </c>
      <c r="C183" s="0" t="n">
        <v>1214.84</v>
      </c>
      <c r="D183" s="0" t="n">
        <v>1169.28</v>
      </c>
      <c r="E183" s="0" t="n">
        <v>1213.6</v>
      </c>
      <c r="F183" s="0" t="n">
        <v>9459830400</v>
      </c>
      <c r="G183" s="0" t="n">
        <v>1213.6</v>
      </c>
      <c r="H183" s="34" t="n">
        <f aca="false">G183/G182-1</f>
        <v>0.0175232665381067</v>
      </c>
      <c r="I183" s="34" t="n">
        <f aca="false">LN(1+H183)</f>
        <v>0.017371504449699</v>
      </c>
      <c r="J183" s="34"/>
      <c r="K183" s="0" t="n">
        <f aca="false">IF(ISBLANK(A184),MONTH(A183),IF(MONTH(A184)-MONTH(A183)=1,MONTH(A183),0))</f>
        <v>0</v>
      </c>
    </row>
    <row r="184" customFormat="false" ht="14.1" hidden="false" customHeight="false" outlineLevel="0" collapsed="false">
      <c r="A184" s="6" t="n">
        <v>39708</v>
      </c>
      <c r="B184" s="0" t="n">
        <v>1210.34</v>
      </c>
      <c r="C184" s="0" t="n">
        <v>1210.34</v>
      </c>
      <c r="D184" s="0" t="n">
        <v>1155.88</v>
      </c>
      <c r="E184" s="0" t="n">
        <v>1156.39</v>
      </c>
      <c r="F184" s="0" t="n">
        <v>9431870400</v>
      </c>
      <c r="G184" s="0" t="n">
        <v>1156.39</v>
      </c>
      <c r="H184" s="34" t="n">
        <f aca="false">G184/G183-1</f>
        <v>-0.0471407382992747</v>
      </c>
      <c r="I184" s="34" t="n">
        <f aca="false">LN(1+H184)</f>
        <v>-0.0482880654563287</v>
      </c>
      <c r="J184" s="34"/>
      <c r="K184" s="0" t="n">
        <f aca="false">IF(ISBLANK(A185),MONTH(A184),IF(MONTH(A185)-MONTH(A184)=1,MONTH(A184),0))</f>
        <v>0</v>
      </c>
    </row>
    <row r="185" customFormat="false" ht="14.1" hidden="false" customHeight="false" outlineLevel="0" collapsed="false">
      <c r="A185" s="6" t="n">
        <v>39709</v>
      </c>
      <c r="B185" s="0" t="n">
        <v>1157.08</v>
      </c>
      <c r="C185" s="0" t="n">
        <v>1211.14</v>
      </c>
      <c r="D185" s="0" t="n">
        <v>1133.5</v>
      </c>
      <c r="E185" s="0" t="n">
        <v>1206.51</v>
      </c>
      <c r="F185" s="0" t="n">
        <v>10082689600</v>
      </c>
      <c r="G185" s="0" t="n">
        <v>1206.51</v>
      </c>
      <c r="H185" s="34" t="n">
        <f aca="false">G185/G184-1</f>
        <v>0.0433417791575506</v>
      </c>
      <c r="I185" s="34" t="n">
        <f aca="false">LN(1+H185)</f>
        <v>0.0424288108903733</v>
      </c>
      <c r="J185" s="34"/>
      <c r="K185" s="0" t="n">
        <f aca="false">IF(ISBLANK(A186),MONTH(A185),IF(MONTH(A186)-MONTH(A185)=1,MONTH(A185),0))</f>
        <v>0</v>
      </c>
    </row>
    <row r="186" customFormat="false" ht="14.1" hidden="false" customHeight="false" outlineLevel="0" collapsed="false">
      <c r="A186" s="6" t="n">
        <v>39710</v>
      </c>
      <c r="B186" s="0" t="n">
        <v>1213.11</v>
      </c>
      <c r="C186" s="0" t="n">
        <v>1265.12</v>
      </c>
      <c r="D186" s="0" t="n">
        <v>1213.11</v>
      </c>
      <c r="E186" s="0" t="n">
        <v>1255.08</v>
      </c>
      <c r="F186" s="0" t="n">
        <v>9387169600</v>
      </c>
      <c r="G186" s="0" t="n">
        <v>1255.08</v>
      </c>
      <c r="H186" s="34" t="n">
        <f aca="false">G186/G185-1</f>
        <v>0.0402566079021309</v>
      </c>
      <c r="I186" s="34" t="n">
        <f aca="false">LN(1+H186)</f>
        <v>0.0394674210858101</v>
      </c>
      <c r="J186" s="34"/>
      <c r="K186" s="0" t="n">
        <f aca="false">IF(ISBLANK(A187),MONTH(A186),IF(MONTH(A187)-MONTH(A186)=1,MONTH(A186),0))</f>
        <v>0</v>
      </c>
    </row>
    <row r="187" customFormat="false" ht="14.1" hidden="false" customHeight="false" outlineLevel="0" collapsed="false">
      <c r="A187" s="6" t="n">
        <v>39713</v>
      </c>
      <c r="B187" s="0" t="n">
        <v>1255.37</v>
      </c>
      <c r="C187" s="0" t="n">
        <v>1255.37</v>
      </c>
      <c r="D187" s="0" t="n">
        <v>1205.61</v>
      </c>
      <c r="E187" s="0" t="n">
        <v>1207.09</v>
      </c>
      <c r="F187" s="0" t="n">
        <v>5332130000</v>
      </c>
      <c r="G187" s="0" t="n">
        <v>1207.09</v>
      </c>
      <c r="H187" s="34" t="n">
        <f aca="false">G187/G186-1</f>
        <v>-0.0382366064314625</v>
      </c>
      <c r="I187" s="34" t="n">
        <f aca="false">LN(1+H187)</f>
        <v>-0.0389868111991973</v>
      </c>
      <c r="J187" s="34"/>
      <c r="K187" s="0" t="n">
        <f aca="false">IF(ISBLANK(A188),MONTH(A187),IF(MONTH(A188)-MONTH(A187)=1,MONTH(A187),0))</f>
        <v>0</v>
      </c>
    </row>
    <row r="188" customFormat="false" ht="14.1" hidden="false" customHeight="false" outlineLevel="0" collapsed="false">
      <c r="A188" s="6" t="n">
        <v>39714</v>
      </c>
      <c r="B188" s="0" t="n">
        <v>1207.61</v>
      </c>
      <c r="C188" s="0" t="n">
        <v>1221.15</v>
      </c>
      <c r="D188" s="0" t="n">
        <v>1187.06</v>
      </c>
      <c r="E188" s="0" t="n">
        <v>1188.22</v>
      </c>
      <c r="F188" s="0" t="n">
        <v>5185730000</v>
      </c>
      <c r="G188" s="0" t="n">
        <v>1188.22</v>
      </c>
      <c r="H188" s="34" t="n">
        <f aca="false">G188/G187-1</f>
        <v>-0.015632637168728</v>
      </c>
      <c r="I188" s="34" t="n">
        <f aca="false">LN(1+H188)</f>
        <v>-0.0157561153918641</v>
      </c>
      <c r="J188" s="34"/>
      <c r="K188" s="0" t="n">
        <f aca="false">IF(ISBLANK(A189),MONTH(A188),IF(MONTH(A189)-MONTH(A188)=1,MONTH(A188),0))</f>
        <v>0</v>
      </c>
    </row>
    <row r="189" customFormat="false" ht="14.1" hidden="false" customHeight="false" outlineLevel="0" collapsed="false">
      <c r="A189" s="6" t="n">
        <v>39715</v>
      </c>
      <c r="B189" s="0" t="n">
        <v>1188.79</v>
      </c>
      <c r="C189" s="0" t="n">
        <v>1197.41</v>
      </c>
      <c r="D189" s="0" t="n">
        <v>1179.79</v>
      </c>
      <c r="E189" s="0" t="n">
        <v>1185.87</v>
      </c>
      <c r="F189" s="0" t="n">
        <v>4820360000</v>
      </c>
      <c r="G189" s="0" t="n">
        <v>1185.87</v>
      </c>
      <c r="H189" s="34" t="n">
        <f aca="false">G189/G188-1</f>
        <v>-0.00197774822844266</v>
      </c>
      <c r="I189" s="34" t="n">
        <f aca="false">LN(1+H189)</f>
        <v>-0.0019797065549474</v>
      </c>
      <c r="J189" s="34"/>
      <c r="K189" s="0" t="n">
        <f aca="false">IF(ISBLANK(A190),MONTH(A189),IF(MONTH(A190)-MONTH(A189)=1,MONTH(A189),0))</f>
        <v>0</v>
      </c>
    </row>
    <row r="190" customFormat="false" ht="14.1" hidden="false" customHeight="false" outlineLevel="0" collapsed="false">
      <c r="A190" s="6" t="n">
        <v>39716</v>
      </c>
      <c r="B190" s="0" t="n">
        <v>1187.87</v>
      </c>
      <c r="C190" s="0" t="n">
        <v>1220.03</v>
      </c>
      <c r="D190" s="0" t="n">
        <v>1187.87</v>
      </c>
      <c r="E190" s="0" t="n">
        <v>1209.18</v>
      </c>
      <c r="F190" s="0" t="n">
        <v>5877640000</v>
      </c>
      <c r="G190" s="0" t="n">
        <v>1209.18</v>
      </c>
      <c r="H190" s="34" t="n">
        <f aca="false">G190/G189-1</f>
        <v>0.0196564547547371</v>
      </c>
      <c r="I190" s="34" t="n">
        <f aca="false">LN(1+H190)</f>
        <v>0.0194657614992846</v>
      </c>
      <c r="J190" s="34"/>
      <c r="K190" s="0" t="n">
        <f aca="false">IF(ISBLANK(A191),MONTH(A190),IF(MONTH(A191)-MONTH(A190)=1,MONTH(A190),0))</f>
        <v>0</v>
      </c>
    </row>
    <row r="191" customFormat="false" ht="14.1" hidden="false" customHeight="false" outlineLevel="0" collapsed="false">
      <c r="A191" s="6" t="n">
        <v>39717</v>
      </c>
      <c r="B191" s="0" t="n">
        <v>1204.47</v>
      </c>
      <c r="C191" s="0" t="n">
        <v>1215.77</v>
      </c>
      <c r="D191" s="0" t="n">
        <v>1187.54</v>
      </c>
      <c r="E191" s="0" t="n">
        <v>1213.27</v>
      </c>
      <c r="F191" s="0" t="n">
        <v>5383610000</v>
      </c>
      <c r="G191" s="0" t="n">
        <v>1213.27</v>
      </c>
      <c r="H191" s="34" t="n">
        <f aca="false">G191/G190-1</f>
        <v>0.00338245753320421</v>
      </c>
      <c r="I191" s="34" t="n">
        <f aca="false">LN(1+H191)</f>
        <v>0.00337674989067324</v>
      </c>
      <c r="J191" s="34"/>
      <c r="K191" s="0" t="n">
        <f aca="false">IF(ISBLANK(A192),MONTH(A191),IF(MONTH(A192)-MONTH(A191)=1,MONTH(A191),0))</f>
        <v>0</v>
      </c>
    </row>
    <row r="192" customFormat="false" ht="14.1" hidden="false" customHeight="false" outlineLevel="0" collapsed="false">
      <c r="A192" s="6" t="n">
        <v>39720</v>
      </c>
      <c r="B192" s="0" t="n">
        <v>1209.07</v>
      </c>
      <c r="C192" s="0" t="n">
        <v>1209.07</v>
      </c>
      <c r="D192" s="0" t="n">
        <v>1106.42</v>
      </c>
      <c r="E192" s="0" t="n">
        <v>1106.42</v>
      </c>
      <c r="F192" s="0" t="n">
        <v>7305060000</v>
      </c>
      <c r="G192" s="0" t="n">
        <v>1106.42</v>
      </c>
      <c r="H192" s="34" t="n">
        <f aca="false">G192/G191-1</f>
        <v>-0.0880677837579433</v>
      </c>
      <c r="I192" s="34" t="n">
        <f aca="false">LN(1+H192)</f>
        <v>-0.0921896159659835</v>
      </c>
      <c r="J192" s="34"/>
      <c r="K192" s="0" t="n">
        <f aca="false">IF(ISBLANK(A193),MONTH(A192),IF(MONTH(A193)-MONTH(A192)=1,MONTH(A192),0))</f>
        <v>0</v>
      </c>
    </row>
    <row r="193" customFormat="false" ht="14.1" hidden="false" customHeight="false" outlineLevel="0" collapsed="false">
      <c r="A193" s="6" t="n">
        <v>39721</v>
      </c>
      <c r="B193" s="0" t="n">
        <v>1113.78</v>
      </c>
      <c r="C193" s="0" t="n">
        <v>1168.03</v>
      </c>
      <c r="D193" s="0" t="n">
        <v>1113.78</v>
      </c>
      <c r="E193" s="0" t="n">
        <v>1166.36</v>
      </c>
      <c r="F193" s="0" t="n">
        <v>4937680000</v>
      </c>
      <c r="G193" s="0" t="n">
        <v>1166.36</v>
      </c>
      <c r="H193" s="34" t="n">
        <f aca="false">G193/G192-1</f>
        <v>0.054174725691871</v>
      </c>
      <c r="I193" s="34" t="n">
        <f aca="false">LN(1+H193)</f>
        <v>0.0527582102814016</v>
      </c>
      <c r="J193" s="34"/>
      <c r="K193" s="0" t="n">
        <f aca="false">IF(ISBLANK(A194),MONTH(A193),IF(MONTH(A194)-MONTH(A193)=1,MONTH(A193),0))</f>
        <v>9</v>
      </c>
    </row>
    <row r="194" customFormat="false" ht="14.1" hidden="false" customHeight="false" outlineLevel="0" collapsed="false">
      <c r="A194" s="6" t="n">
        <v>39722</v>
      </c>
      <c r="B194" s="0" t="n">
        <v>1164.17</v>
      </c>
      <c r="C194" s="0" t="n">
        <v>1167.03</v>
      </c>
      <c r="D194" s="0" t="n">
        <v>1140.77</v>
      </c>
      <c r="E194" s="0" t="n">
        <v>1161.06</v>
      </c>
      <c r="F194" s="0" t="n">
        <v>5782130000</v>
      </c>
      <c r="G194" s="0" t="n">
        <v>1161.06</v>
      </c>
      <c r="H194" s="34" t="n">
        <f aca="false">G194/G193-1</f>
        <v>-0.00454405157927218</v>
      </c>
      <c r="I194" s="34" t="n">
        <f aca="false">LN(1+H194)</f>
        <v>-0.00455440716443324</v>
      </c>
      <c r="J194" s="34"/>
      <c r="K194" s="0" t="n">
        <f aca="false">IF(ISBLANK(A195),MONTH(A194),IF(MONTH(A195)-MONTH(A194)=1,MONTH(A194),0))</f>
        <v>0</v>
      </c>
    </row>
    <row r="195" customFormat="false" ht="14.1" hidden="false" customHeight="false" outlineLevel="0" collapsed="false">
      <c r="A195" s="6" t="n">
        <v>39723</v>
      </c>
      <c r="B195" s="0" t="n">
        <v>1160.64</v>
      </c>
      <c r="C195" s="0" t="n">
        <v>1160.64</v>
      </c>
      <c r="D195" s="0" t="n">
        <v>1111.43</v>
      </c>
      <c r="E195" s="0" t="n">
        <v>1114.28</v>
      </c>
      <c r="F195" s="0" t="n">
        <v>6285640000</v>
      </c>
      <c r="G195" s="0" t="n">
        <v>1114.28</v>
      </c>
      <c r="H195" s="34" t="n">
        <f aca="false">G195/G194-1</f>
        <v>-0.0402907687802525</v>
      </c>
      <c r="I195" s="34" t="n">
        <f aca="false">LN(1+H195)</f>
        <v>-0.0411249245450187</v>
      </c>
      <c r="J195" s="34"/>
      <c r="K195" s="0" t="n">
        <f aca="false">IF(ISBLANK(A196),MONTH(A195),IF(MONTH(A196)-MONTH(A195)=1,MONTH(A195),0))</f>
        <v>0</v>
      </c>
    </row>
    <row r="196" customFormat="false" ht="14.1" hidden="false" customHeight="false" outlineLevel="0" collapsed="false">
      <c r="A196" s="6" t="n">
        <v>39724</v>
      </c>
      <c r="B196" s="0" t="n">
        <v>1115.16</v>
      </c>
      <c r="C196" s="0" t="n">
        <v>1153.82</v>
      </c>
      <c r="D196" s="0" t="n">
        <v>1098.14</v>
      </c>
      <c r="E196" s="0" t="n">
        <v>1099.23</v>
      </c>
      <c r="F196" s="0" t="n">
        <v>6716120000</v>
      </c>
      <c r="G196" s="0" t="n">
        <v>1099.23</v>
      </c>
      <c r="H196" s="34" t="n">
        <f aca="false">G196/G195-1</f>
        <v>-0.0135064795204077</v>
      </c>
      <c r="I196" s="34" t="n">
        <f aca="false">LN(1+H196)</f>
        <v>-0.0135985217320237</v>
      </c>
      <c r="J196" s="34"/>
      <c r="K196" s="0" t="n">
        <f aca="false">IF(ISBLANK(A197),MONTH(A196),IF(MONTH(A197)-MONTH(A196)=1,MONTH(A196),0))</f>
        <v>0</v>
      </c>
    </row>
    <row r="197" customFormat="false" ht="14.1" hidden="false" customHeight="false" outlineLevel="0" collapsed="false">
      <c r="A197" s="6" t="n">
        <v>39727</v>
      </c>
      <c r="B197" s="0" t="n">
        <v>1097.56</v>
      </c>
      <c r="C197" s="0" t="n">
        <v>1097.56</v>
      </c>
      <c r="D197" s="0" t="n">
        <v>1007.97</v>
      </c>
      <c r="E197" s="0" t="n">
        <v>1056.89</v>
      </c>
      <c r="F197" s="0" t="n">
        <v>7956020000</v>
      </c>
      <c r="G197" s="0" t="n">
        <v>1056.89</v>
      </c>
      <c r="H197" s="34" t="n">
        <f aca="false">G197/G196-1</f>
        <v>-0.0385178716010297</v>
      </c>
      <c r="I197" s="34" t="n">
        <f aca="false">LN(1+H197)</f>
        <v>-0.0392793013346062</v>
      </c>
      <c r="J197" s="34"/>
      <c r="K197" s="0" t="n">
        <f aca="false">IF(ISBLANK(A198),MONTH(A197),IF(MONTH(A198)-MONTH(A197)=1,MONTH(A197),0))</f>
        <v>0</v>
      </c>
    </row>
    <row r="198" customFormat="false" ht="14.1" hidden="false" customHeight="false" outlineLevel="0" collapsed="false">
      <c r="A198" s="6" t="n">
        <v>39728</v>
      </c>
      <c r="B198" s="0" t="n">
        <v>1057.6</v>
      </c>
      <c r="C198" s="0" t="n">
        <v>1072.91</v>
      </c>
      <c r="D198" s="0" t="n">
        <v>996.23</v>
      </c>
      <c r="E198" s="0" t="n">
        <v>996.23</v>
      </c>
      <c r="F198" s="0" t="n">
        <v>7069209600</v>
      </c>
      <c r="G198" s="0" t="n">
        <v>996.23</v>
      </c>
      <c r="H198" s="34" t="n">
        <f aca="false">G198/G197-1</f>
        <v>-0.057394809298981</v>
      </c>
      <c r="I198" s="34" t="n">
        <f aca="false">LN(1+H198)</f>
        <v>-0.0591077577168573</v>
      </c>
      <c r="J198" s="34"/>
      <c r="K198" s="0" t="n">
        <f aca="false">IF(ISBLANK(A199),MONTH(A198),IF(MONTH(A199)-MONTH(A198)=1,MONTH(A198),0))</f>
        <v>0</v>
      </c>
    </row>
    <row r="199" customFormat="false" ht="14.1" hidden="false" customHeight="false" outlineLevel="0" collapsed="false">
      <c r="A199" s="6" t="n">
        <v>39729</v>
      </c>
      <c r="B199" s="0" t="n">
        <v>988.91</v>
      </c>
      <c r="C199" s="0" t="n">
        <v>1021.06</v>
      </c>
      <c r="D199" s="0" t="n">
        <v>970.97</v>
      </c>
      <c r="E199" s="0" t="n">
        <v>984.94</v>
      </c>
      <c r="F199" s="0" t="n">
        <v>8716329600</v>
      </c>
      <c r="G199" s="0" t="n">
        <v>984.94</v>
      </c>
      <c r="H199" s="34" t="n">
        <f aca="false">G199/G198-1</f>
        <v>-0.0113327243708782</v>
      </c>
      <c r="I199" s="34" t="n">
        <f aca="false">LN(1+H199)</f>
        <v>-0.0113974290094149</v>
      </c>
      <c r="J199" s="34"/>
      <c r="K199" s="0" t="n">
        <f aca="false">IF(ISBLANK(A200),MONTH(A199),IF(MONTH(A200)-MONTH(A199)=1,MONTH(A199),0))</f>
        <v>0</v>
      </c>
    </row>
    <row r="200" customFormat="false" ht="14.1" hidden="false" customHeight="false" outlineLevel="0" collapsed="false">
      <c r="A200" s="6" t="n">
        <v>39730</v>
      </c>
      <c r="B200" s="0" t="n">
        <v>988.42</v>
      </c>
      <c r="C200" s="0" t="n">
        <v>1005.25</v>
      </c>
      <c r="D200" s="0" t="n">
        <v>909.19</v>
      </c>
      <c r="E200" s="0" t="n">
        <v>909.92</v>
      </c>
      <c r="F200" s="0" t="n">
        <v>6819000000</v>
      </c>
      <c r="G200" s="0" t="n">
        <v>909.92</v>
      </c>
      <c r="H200" s="34" t="n">
        <f aca="false">G200/G199-1</f>
        <v>-0.0761670761670763</v>
      </c>
      <c r="I200" s="34" t="n">
        <f aca="false">LN(1+H200)</f>
        <v>-0.0792240420527006</v>
      </c>
      <c r="J200" s="34"/>
      <c r="K200" s="0" t="n">
        <f aca="false">IF(ISBLANK(A201),MONTH(A200),IF(MONTH(A201)-MONTH(A200)=1,MONTH(A200),0))</f>
        <v>0</v>
      </c>
    </row>
    <row r="201" customFormat="false" ht="14.1" hidden="false" customHeight="false" outlineLevel="0" collapsed="false">
      <c r="A201" s="6" t="n">
        <v>39731</v>
      </c>
      <c r="B201" s="0" t="n">
        <v>902.31</v>
      </c>
      <c r="C201" s="0" t="n">
        <v>936.36</v>
      </c>
      <c r="D201" s="0" t="n">
        <v>839.8</v>
      </c>
      <c r="E201" s="0" t="n">
        <v>899.22</v>
      </c>
      <c r="F201" s="0" t="n">
        <v>11456230400</v>
      </c>
      <c r="G201" s="0" t="n">
        <v>899.22</v>
      </c>
      <c r="H201" s="34" t="n">
        <f aca="false">G201/G200-1</f>
        <v>-0.0117592755407068</v>
      </c>
      <c r="I201" s="34" t="n">
        <f aca="false">LN(1+H201)</f>
        <v>-0.0118289626735297</v>
      </c>
      <c r="J201" s="34"/>
      <c r="K201" s="0" t="n">
        <f aca="false">IF(ISBLANK(A202),MONTH(A201),IF(MONTH(A202)-MONTH(A201)=1,MONTH(A201),0))</f>
        <v>0</v>
      </c>
    </row>
    <row r="202" customFormat="false" ht="14.1" hidden="false" customHeight="false" outlineLevel="0" collapsed="false">
      <c r="A202" s="6" t="n">
        <v>39734</v>
      </c>
      <c r="B202" s="0" t="n">
        <v>912.75</v>
      </c>
      <c r="C202" s="0" t="n">
        <v>1006.93</v>
      </c>
      <c r="D202" s="0" t="n">
        <v>912.75</v>
      </c>
      <c r="E202" s="0" t="n">
        <v>1003.35</v>
      </c>
      <c r="F202" s="0" t="n">
        <v>7263369600</v>
      </c>
      <c r="G202" s="0" t="n">
        <v>1003.35</v>
      </c>
      <c r="H202" s="34" t="n">
        <f aca="false">G202/G201-1</f>
        <v>0.115800360312271</v>
      </c>
      <c r="I202" s="34" t="n">
        <f aca="false">LN(1+H202)</f>
        <v>0.109571959347567</v>
      </c>
      <c r="J202" s="34"/>
      <c r="K202" s="0" t="n">
        <f aca="false">IF(ISBLANK(A203),MONTH(A202),IF(MONTH(A203)-MONTH(A202)=1,MONTH(A202),0))</f>
        <v>0</v>
      </c>
    </row>
    <row r="203" customFormat="false" ht="14.1" hidden="false" customHeight="false" outlineLevel="0" collapsed="false">
      <c r="A203" s="6" t="n">
        <v>39735</v>
      </c>
      <c r="B203" s="0" t="n">
        <v>1009.97</v>
      </c>
      <c r="C203" s="0" t="n">
        <v>1044.31</v>
      </c>
      <c r="D203" s="0" t="n">
        <v>972.07</v>
      </c>
      <c r="E203" s="0" t="n">
        <v>998.01</v>
      </c>
      <c r="F203" s="0" t="n">
        <v>8161990400</v>
      </c>
      <c r="G203" s="0" t="n">
        <v>998.01</v>
      </c>
      <c r="H203" s="34" t="n">
        <f aca="false">G203/G202-1</f>
        <v>-0.00532217072806107</v>
      </c>
      <c r="I203" s="34" t="n">
        <f aca="false">LN(1+H203)</f>
        <v>-0.00533638393118295</v>
      </c>
      <c r="J203" s="34"/>
      <c r="K203" s="0" t="n">
        <f aca="false">IF(ISBLANK(A204),MONTH(A203),IF(MONTH(A204)-MONTH(A203)=1,MONTH(A203),0))</f>
        <v>0</v>
      </c>
    </row>
    <row r="204" customFormat="false" ht="14.1" hidden="false" customHeight="false" outlineLevel="0" collapsed="false">
      <c r="A204" s="6" t="n">
        <v>39736</v>
      </c>
      <c r="B204" s="0" t="n">
        <v>994.6</v>
      </c>
      <c r="C204" s="0" t="n">
        <v>994.6</v>
      </c>
      <c r="D204" s="0" t="n">
        <v>903.99</v>
      </c>
      <c r="E204" s="0" t="n">
        <v>907.84</v>
      </c>
      <c r="F204" s="0" t="n">
        <v>6542330000</v>
      </c>
      <c r="G204" s="0" t="n">
        <v>907.84</v>
      </c>
      <c r="H204" s="34" t="n">
        <f aca="false">G204/G203-1</f>
        <v>-0.0903497960942274</v>
      </c>
      <c r="I204" s="34" t="n">
        <f aca="false">LN(1+H204)</f>
        <v>-0.0946951446808573</v>
      </c>
      <c r="J204" s="34"/>
      <c r="K204" s="0" t="n">
        <f aca="false">IF(ISBLANK(A205),MONTH(A204),IF(MONTH(A205)-MONTH(A204)=1,MONTH(A204),0))</f>
        <v>0</v>
      </c>
    </row>
    <row r="205" customFormat="false" ht="14.1" hidden="false" customHeight="false" outlineLevel="0" collapsed="false">
      <c r="A205" s="6" t="n">
        <v>39737</v>
      </c>
      <c r="B205" s="0" t="n">
        <v>909.53</v>
      </c>
      <c r="C205" s="0" t="n">
        <v>947.71</v>
      </c>
      <c r="D205" s="0" t="n">
        <v>865.83</v>
      </c>
      <c r="E205" s="0" t="n">
        <v>946.43</v>
      </c>
      <c r="F205" s="0" t="n">
        <v>7984500000</v>
      </c>
      <c r="G205" s="0" t="n">
        <v>946.43</v>
      </c>
      <c r="H205" s="34" t="n">
        <f aca="false">G205/G204-1</f>
        <v>0.0425074903066618</v>
      </c>
      <c r="I205" s="34" t="n">
        <f aca="false">LN(1+H205)</f>
        <v>0.041628859611446</v>
      </c>
      <c r="J205" s="34"/>
      <c r="K205" s="0" t="n">
        <f aca="false">IF(ISBLANK(A206),MONTH(A205),IF(MONTH(A206)-MONTH(A205)=1,MONTH(A205),0))</f>
        <v>0</v>
      </c>
    </row>
    <row r="206" customFormat="false" ht="14.1" hidden="false" customHeight="false" outlineLevel="0" collapsed="false">
      <c r="A206" s="6" t="n">
        <v>39738</v>
      </c>
      <c r="B206" s="0" t="n">
        <v>942.29</v>
      </c>
      <c r="C206" s="0" t="n">
        <v>984.64</v>
      </c>
      <c r="D206" s="0" t="n">
        <v>918.74</v>
      </c>
      <c r="E206" s="0" t="n">
        <v>940.55</v>
      </c>
      <c r="F206" s="0" t="n">
        <v>6581780000</v>
      </c>
      <c r="G206" s="0" t="n">
        <v>940.55</v>
      </c>
      <c r="H206" s="34" t="n">
        <f aca="false">G206/G205-1</f>
        <v>-0.00621282081083652</v>
      </c>
      <c r="I206" s="34" t="n">
        <f aca="false">LN(1+H206)</f>
        <v>-0.00623220069290312</v>
      </c>
      <c r="J206" s="34"/>
      <c r="K206" s="0" t="n">
        <f aca="false">IF(ISBLANK(A207),MONTH(A206),IF(MONTH(A207)-MONTH(A206)=1,MONTH(A206),0))</f>
        <v>0</v>
      </c>
    </row>
    <row r="207" customFormat="false" ht="14.1" hidden="false" customHeight="false" outlineLevel="0" collapsed="false">
      <c r="A207" s="6" t="n">
        <v>39741</v>
      </c>
      <c r="B207" s="0" t="n">
        <v>943.51</v>
      </c>
      <c r="C207" s="0" t="n">
        <v>985.4</v>
      </c>
      <c r="D207" s="0" t="n">
        <v>943.51</v>
      </c>
      <c r="E207" s="0" t="n">
        <v>985.4</v>
      </c>
      <c r="F207" s="0" t="n">
        <v>5175640000</v>
      </c>
      <c r="G207" s="0" t="n">
        <v>985.4</v>
      </c>
      <c r="H207" s="34" t="n">
        <f aca="false">G207/G206-1</f>
        <v>0.0476848652384243</v>
      </c>
      <c r="I207" s="34" t="n">
        <f aca="false">LN(1+H207)</f>
        <v>0.0465828395708331</v>
      </c>
      <c r="J207" s="34"/>
      <c r="K207" s="0" t="n">
        <f aca="false">IF(ISBLANK(A208),MONTH(A207),IF(MONTH(A208)-MONTH(A207)=1,MONTH(A207),0))</f>
        <v>0</v>
      </c>
    </row>
    <row r="208" customFormat="false" ht="14.1" hidden="false" customHeight="false" outlineLevel="0" collapsed="false">
      <c r="A208" s="6" t="n">
        <v>39742</v>
      </c>
      <c r="B208" s="0" t="n">
        <v>980.4</v>
      </c>
      <c r="C208" s="0" t="n">
        <v>985.44</v>
      </c>
      <c r="D208" s="0" t="n">
        <v>952.47</v>
      </c>
      <c r="E208" s="0" t="n">
        <v>955.05</v>
      </c>
      <c r="F208" s="0" t="n">
        <v>5121830000</v>
      </c>
      <c r="G208" s="0" t="n">
        <v>955.05</v>
      </c>
      <c r="H208" s="34" t="n">
        <f aca="false">G208/G207-1</f>
        <v>-0.0307996752587781</v>
      </c>
      <c r="I208" s="34" t="n">
        <f aca="false">LN(1+H208)</f>
        <v>-0.0312839549787187</v>
      </c>
      <c r="J208" s="34"/>
      <c r="K208" s="0" t="n">
        <f aca="false">IF(ISBLANK(A209),MONTH(A208),IF(MONTH(A209)-MONTH(A208)=1,MONTH(A208),0))</f>
        <v>0</v>
      </c>
    </row>
    <row r="209" customFormat="false" ht="14.1" hidden="false" customHeight="false" outlineLevel="0" collapsed="false">
      <c r="A209" s="6" t="n">
        <v>39743</v>
      </c>
      <c r="B209" s="0" t="n">
        <v>951.67</v>
      </c>
      <c r="C209" s="0" t="n">
        <v>951.67</v>
      </c>
      <c r="D209" s="0" t="n">
        <v>875.81</v>
      </c>
      <c r="E209" s="0" t="n">
        <v>896.78</v>
      </c>
      <c r="F209" s="0" t="n">
        <v>6147980000</v>
      </c>
      <c r="G209" s="0" t="n">
        <v>896.78</v>
      </c>
      <c r="H209" s="34" t="n">
        <f aca="false">G209/G208-1</f>
        <v>-0.0610125124339039</v>
      </c>
      <c r="I209" s="34" t="n">
        <f aca="false">LN(1+H209)</f>
        <v>-0.0629531251383794</v>
      </c>
      <c r="J209" s="34"/>
      <c r="K209" s="0" t="n">
        <f aca="false">IF(ISBLANK(A210),MONTH(A209),IF(MONTH(A210)-MONTH(A209)=1,MONTH(A209),0))</f>
        <v>0</v>
      </c>
    </row>
    <row r="210" customFormat="false" ht="14.1" hidden="false" customHeight="false" outlineLevel="0" collapsed="false">
      <c r="A210" s="6" t="n">
        <v>39744</v>
      </c>
      <c r="B210" s="0" t="n">
        <v>899.08</v>
      </c>
      <c r="C210" s="0" t="n">
        <v>922.83</v>
      </c>
      <c r="D210" s="0" t="n">
        <v>858.44</v>
      </c>
      <c r="E210" s="0" t="n">
        <v>908.11</v>
      </c>
      <c r="F210" s="0" t="n">
        <v>7184180000</v>
      </c>
      <c r="G210" s="0" t="n">
        <v>908.11</v>
      </c>
      <c r="H210" s="34" t="n">
        <f aca="false">G210/G209-1</f>
        <v>0.0126340908584046</v>
      </c>
      <c r="I210" s="34" t="n">
        <f aca="false">LN(1+H210)</f>
        <v>0.0125549466454699</v>
      </c>
      <c r="J210" s="34"/>
      <c r="K210" s="0" t="n">
        <f aca="false">IF(ISBLANK(A211),MONTH(A210),IF(MONTH(A211)-MONTH(A210)=1,MONTH(A210),0))</f>
        <v>0</v>
      </c>
    </row>
    <row r="211" customFormat="false" ht="14.1" hidden="false" customHeight="false" outlineLevel="0" collapsed="false">
      <c r="A211" s="6" t="n">
        <v>39745</v>
      </c>
      <c r="B211" s="0" t="n">
        <v>895.22</v>
      </c>
      <c r="C211" s="0" t="n">
        <v>896.3</v>
      </c>
      <c r="D211" s="0" t="n">
        <v>852.85</v>
      </c>
      <c r="E211" s="0" t="n">
        <v>876.77</v>
      </c>
      <c r="F211" s="0" t="n">
        <v>6550050000</v>
      </c>
      <c r="G211" s="0" t="n">
        <v>876.77</v>
      </c>
      <c r="H211" s="34" t="n">
        <f aca="false">G211/G210-1</f>
        <v>-0.0345112376253979</v>
      </c>
      <c r="I211" s="34" t="n">
        <f aca="false">LN(1+H211)</f>
        <v>-0.0351208163583082</v>
      </c>
      <c r="J211" s="34"/>
      <c r="K211" s="0" t="n">
        <f aca="false">IF(ISBLANK(A212),MONTH(A211),IF(MONTH(A212)-MONTH(A211)=1,MONTH(A211),0))</f>
        <v>0</v>
      </c>
    </row>
    <row r="212" customFormat="false" ht="14.1" hidden="false" customHeight="false" outlineLevel="0" collapsed="false">
      <c r="A212" s="6" t="n">
        <v>39748</v>
      </c>
      <c r="B212" s="0" t="n">
        <v>874.28</v>
      </c>
      <c r="C212" s="0" t="n">
        <v>893.78</v>
      </c>
      <c r="D212" s="0" t="n">
        <v>846.75</v>
      </c>
      <c r="E212" s="0" t="n">
        <v>848.92</v>
      </c>
      <c r="F212" s="0" t="n">
        <v>5558050000</v>
      </c>
      <c r="G212" s="0" t="n">
        <v>848.92</v>
      </c>
      <c r="H212" s="34" t="n">
        <f aca="false">G212/G211-1</f>
        <v>-0.0317643167535386</v>
      </c>
      <c r="I212" s="34" t="n">
        <f aca="false">LN(1+H212)</f>
        <v>-0.0322797469124859</v>
      </c>
      <c r="J212" s="34"/>
      <c r="K212" s="0" t="n">
        <f aca="false">IF(ISBLANK(A213),MONTH(A212),IF(MONTH(A213)-MONTH(A212)=1,MONTH(A212),0))</f>
        <v>0</v>
      </c>
    </row>
    <row r="213" customFormat="false" ht="14.1" hidden="false" customHeight="false" outlineLevel="0" collapsed="false">
      <c r="A213" s="6" t="n">
        <v>39749</v>
      </c>
      <c r="B213" s="0" t="n">
        <v>848.92</v>
      </c>
      <c r="C213" s="0" t="n">
        <v>940.51</v>
      </c>
      <c r="D213" s="0" t="n">
        <v>845.27</v>
      </c>
      <c r="E213" s="0" t="n">
        <v>940.51</v>
      </c>
      <c r="F213" s="0" t="n">
        <v>7096950400</v>
      </c>
      <c r="G213" s="0" t="n">
        <v>940.51</v>
      </c>
      <c r="H213" s="34" t="n">
        <f aca="false">G213/G212-1</f>
        <v>0.107890024972907</v>
      </c>
      <c r="I213" s="34" t="n">
        <f aca="false">LN(1+H213)</f>
        <v>0.10245732795933</v>
      </c>
      <c r="J213" s="34"/>
      <c r="K213" s="0" t="n">
        <f aca="false">IF(ISBLANK(A214),MONTH(A213),IF(MONTH(A214)-MONTH(A213)=1,MONTH(A213),0))</f>
        <v>0</v>
      </c>
    </row>
    <row r="214" customFormat="false" ht="14.1" hidden="false" customHeight="false" outlineLevel="0" collapsed="false">
      <c r="A214" s="6" t="n">
        <v>39750</v>
      </c>
      <c r="B214" s="0" t="n">
        <v>939.51</v>
      </c>
      <c r="C214" s="0" t="n">
        <v>969.97</v>
      </c>
      <c r="D214" s="0" t="n">
        <v>922.26</v>
      </c>
      <c r="E214" s="0" t="n">
        <v>930.09</v>
      </c>
      <c r="F214" s="0" t="n">
        <v>7077800000</v>
      </c>
      <c r="G214" s="0" t="n">
        <v>930.09</v>
      </c>
      <c r="H214" s="34" t="n">
        <f aca="false">G214/G213-1</f>
        <v>-0.0110790953844191</v>
      </c>
      <c r="I214" s="34" t="n">
        <f aca="false">LN(1+H214)</f>
        <v>-0.0111409256682407</v>
      </c>
      <c r="J214" s="34"/>
      <c r="K214" s="0" t="n">
        <f aca="false">IF(ISBLANK(A215),MONTH(A214),IF(MONTH(A215)-MONTH(A214)=1,MONTH(A214),0))</f>
        <v>0</v>
      </c>
    </row>
    <row r="215" customFormat="false" ht="14.1" hidden="false" customHeight="false" outlineLevel="0" collapsed="false">
      <c r="A215" s="6" t="n">
        <v>39751</v>
      </c>
      <c r="B215" s="0" t="n">
        <v>939.38</v>
      </c>
      <c r="C215" s="0" t="n">
        <v>963.23</v>
      </c>
      <c r="D215" s="0" t="n">
        <v>928.5</v>
      </c>
      <c r="E215" s="0" t="n">
        <v>954.09</v>
      </c>
      <c r="F215" s="0" t="n">
        <v>6175830000</v>
      </c>
      <c r="G215" s="0" t="n">
        <v>954.09</v>
      </c>
      <c r="H215" s="34" t="n">
        <f aca="false">G215/G214-1</f>
        <v>0.0258039544560205</v>
      </c>
      <c r="I215" s="34" t="n">
        <f aca="false">LN(1+H215)</f>
        <v>0.0254766509626959</v>
      </c>
      <c r="J215" s="34"/>
      <c r="K215" s="0" t="n">
        <f aca="false">IF(ISBLANK(A216),MONTH(A215),IF(MONTH(A216)-MONTH(A215)=1,MONTH(A215),0))</f>
        <v>0</v>
      </c>
    </row>
    <row r="216" customFormat="false" ht="14.1" hidden="false" customHeight="false" outlineLevel="0" collapsed="false">
      <c r="A216" s="6" t="n">
        <v>39752</v>
      </c>
      <c r="B216" s="0" t="n">
        <v>953.11</v>
      </c>
      <c r="C216" s="0" t="n">
        <v>984.38</v>
      </c>
      <c r="D216" s="0" t="n">
        <v>944.59</v>
      </c>
      <c r="E216" s="0" t="n">
        <v>968.75</v>
      </c>
      <c r="F216" s="0" t="n">
        <v>6394350000</v>
      </c>
      <c r="G216" s="0" t="n">
        <v>968.75</v>
      </c>
      <c r="H216" s="34" t="n">
        <f aca="false">G216/G215-1</f>
        <v>0.015365426741712</v>
      </c>
      <c r="I216" s="34" t="n">
        <f aca="false">LN(1+H216)</f>
        <v>0.0152485740463311</v>
      </c>
      <c r="J216" s="34"/>
      <c r="K216" s="0" t="n">
        <f aca="false">IF(ISBLANK(A217),MONTH(A216),IF(MONTH(A217)-MONTH(A216)=1,MONTH(A216),0))</f>
        <v>10</v>
      </c>
    </row>
    <row r="217" customFormat="false" ht="14.1" hidden="false" customHeight="false" outlineLevel="0" collapsed="false">
      <c r="A217" s="6" t="n">
        <v>39755</v>
      </c>
      <c r="B217" s="0" t="n">
        <v>968.67</v>
      </c>
      <c r="C217" s="0" t="n">
        <v>975.57</v>
      </c>
      <c r="D217" s="0" t="n">
        <v>958.82</v>
      </c>
      <c r="E217" s="0" t="n">
        <v>966.3</v>
      </c>
      <c r="F217" s="0" t="n">
        <v>4492280000</v>
      </c>
      <c r="G217" s="0" t="n">
        <v>966.3</v>
      </c>
      <c r="H217" s="34" t="n">
        <f aca="false">G217/G216-1</f>
        <v>-0.00252903225806456</v>
      </c>
      <c r="I217" s="34" t="n">
        <f aca="false">LN(1+H217)</f>
        <v>-0.00253223566229396</v>
      </c>
      <c r="J217" s="34"/>
      <c r="K217" s="0" t="n">
        <f aca="false">IF(ISBLANK(A218),MONTH(A217),IF(MONTH(A218)-MONTH(A217)=1,MONTH(A217),0))</f>
        <v>0</v>
      </c>
    </row>
    <row r="218" customFormat="false" ht="14.1" hidden="false" customHeight="false" outlineLevel="0" collapsed="false">
      <c r="A218" s="6" t="n">
        <v>39756</v>
      </c>
      <c r="B218" s="0" t="n">
        <v>971.31</v>
      </c>
      <c r="C218" s="0" t="n">
        <v>1007.51</v>
      </c>
      <c r="D218" s="0" t="n">
        <v>971.31</v>
      </c>
      <c r="E218" s="0" t="n">
        <v>1005.75</v>
      </c>
      <c r="F218" s="0" t="n">
        <v>5531290000</v>
      </c>
      <c r="G218" s="0" t="n">
        <v>1005.75</v>
      </c>
      <c r="H218" s="34" t="n">
        <f aca="false">G218/G217-1</f>
        <v>0.0408258304874263</v>
      </c>
      <c r="I218" s="34" t="n">
        <f aca="false">LN(1+H218)</f>
        <v>0.0400144658246348</v>
      </c>
      <c r="J218" s="34"/>
      <c r="K218" s="0" t="n">
        <f aca="false">IF(ISBLANK(A219),MONTH(A218),IF(MONTH(A219)-MONTH(A218)=1,MONTH(A218),0))</f>
        <v>0</v>
      </c>
    </row>
    <row r="219" customFormat="false" ht="14.1" hidden="false" customHeight="false" outlineLevel="0" collapsed="false">
      <c r="A219" s="6" t="n">
        <v>39757</v>
      </c>
      <c r="B219" s="0" t="n">
        <v>1001.84</v>
      </c>
      <c r="C219" s="0" t="n">
        <v>1001.84</v>
      </c>
      <c r="D219" s="0" t="n">
        <v>949.86</v>
      </c>
      <c r="E219" s="0" t="n">
        <v>952.77</v>
      </c>
      <c r="F219" s="0" t="n">
        <v>5426640000</v>
      </c>
      <c r="G219" s="0" t="n">
        <v>952.77</v>
      </c>
      <c r="H219" s="34" t="n">
        <f aca="false">G219/G218-1</f>
        <v>-0.0526771066368382</v>
      </c>
      <c r="I219" s="34" t="n">
        <f aca="false">LN(1+H219)</f>
        <v>-0.0541152794306021</v>
      </c>
      <c r="J219" s="34"/>
      <c r="K219" s="0" t="n">
        <f aca="false">IF(ISBLANK(A220),MONTH(A219),IF(MONTH(A220)-MONTH(A219)=1,MONTH(A219),0))</f>
        <v>0</v>
      </c>
    </row>
    <row r="220" customFormat="false" ht="14.1" hidden="false" customHeight="false" outlineLevel="0" collapsed="false">
      <c r="A220" s="6" t="n">
        <v>39758</v>
      </c>
      <c r="B220" s="0" t="n">
        <v>952.4</v>
      </c>
      <c r="C220" s="0" t="n">
        <v>952.4</v>
      </c>
      <c r="D220" s="0" t="n">
        <v>899.73</v>
      </c>
      <c r="E220" s="0" t="n">
        <v>904.88</v>
      </c>
      <c r="F220" s="0" t="n">
        <v>6102230000</v>
      </c>
      <c r="G220" s="0" t="n">
        <v>904.88</v>
      </c>
      <c r="H220" s="34" t="n">
        <f aca="false">G220/G219-1</f>
        <v>-0.0502639671694113</v>
      </c>
      <c r="I220" s="34" t="n">
        <f aca="false">LN(1+H220)</f>
        <v>-0.0515711931761699</v>
      </c>
      <c r="J220" s="34"/>
      <c r="K220" s="0" t="n">
        <f aca="false">IF(ISBLANK(A221),MONTH(A220),IF(MONTH(A221)-MONTH(A220)=1,MONTH(A220),0))</f>
        <v>0</v>
      </c>
    </row>
    <row r="221" customFormat="false" ht="14.1" hidden="false" customHeight="false" outlineLevel="0" collapsed="false">
      <c r="A221" s="6" t="n">
        <v>39759</v>
      </c>
      <c r="B221" s="0" t="n">
        <v>907.44</v>
      </c>
      <c r="C221" s="0" t="n">
        <v>931.46</v>
      </c>
      <c r="D221" s="0" t="n">
        <v>906.9</v>
      </c>
      <c r="E221" s="0" t="n">
        <v>930.99</v>
      </c>
      <c r="F221" s="0" t="n">
        <v>4931640000</v>
      </c>
      <c r="G221" s="0" t="n">
        <v>930.99</v>
      </c>
      <c r="H221" s="34" t="n">
        <f aca="false">G221/G220-1</f>
        <v>0.0288546547608524</v>
      </c>
      <c r="I221" s="34" t="n">
        <f aca="false">LN(1+H221)</f>
        <v>0.0284461978576944</v>
      </c>
      <c r="J221" s="34"/>
      <c r="K221" s="0" t="n">
        <f aca="false">IF(ISBLANK(A222),MONTH(A221),IF(MONTH(A222)-MONTH(A221)=1,MONTH(A221),0))</f>
        <v>0</v>
      </c>
    </row>
    <row r="222" customFormat="false" ht="14.1" hidden="false" customHeight="false" outlineLevel="0" collapsed="false">
      <c r="A222" s="6" t="n">
        <v>39762</v>
      </c>
      <c r="B222" s="0" t="n">
        <v>936.75</v>
      </c>
      <c r="C222" s="0" t="n">
        <v>951.95</v>
      </c>
      <c r="D222" s="0" t="n">
        <v>907.47</v>
      </c>
      <c r="E222" s="0" t="n">
        <v>919.21</v>
      </c>
      <c r="F222" s="0" t="n">
        <v>4572000000</v>
      </c>
      <c r="G222" s="0" t="n">
        <v>919.21</v>
      </c>
      <c r="H222" s="34" t="n">
        <f aca="false">G222/G221-1</f>
        <v>-0.0126531971342334</v>
      </c>
      <c r="I222" s="34" t="n">
        <f aca="false">LN(1+H222)</f>
        <v>-0.0127339305802108</v>
      </c>
      <c r="J222" s="34"/>
      <c r="K222" s="0" t="n">
        <f aca="false">IF(ISBLANK(A223),MONTH(A222),IF(MONTH(A223)-MONTH(A222)=1,MONTH(A222),0))</f>
        <v>0</v>
      </c>
    </row>
    <row r="223" customFormat="false" ht="14.1" hidden="false" customHeight="false" outlineLevel="0" collapsed="false">
      <c r="A223" s="6" t="n">
        <v>39763</v>
      </c>
      <c r="B223" s="0" t="n">
        <v>917.15</v>
      </c>
      <c r="C223" s="0" t="n">
        <v>917.15</v>
      </c>
      <c r="D223" s="0" t="n">
        <v>884.9</v>
      </c>
      <c r="E223" s="0" t="n">
        <v>898.95</v>
      </c>
      <c r="F223" s="0" t="n">
        <v>4998340000</v>
      </c>
      <c r="G223" s="0" t="n">
        <v>898.95</v>
      </c>
      <c r="H223" s="34" t="n">
        <f aca="false">G223/G222-1</f>
        <v>-0.0220406653539452</v>
      </c>
      <c r="I223" s="34" t="n">
        <f aca="false">LN(1+H223)</f>
        <v>-0.0222871899283051</v>
      </c>
      <c r="J223" s="34"/>
      <c r="K223" s="0" t="n">
        <f aca="false">IF(ISBLANK(A224),MONTH(A223),IF(MONTH(A224)-MONTH(A223)=1,MONTH(A223),0))</f>
        <v>0</v>
      </c>
    </row>
    <row r="224" customFormat="false" ht="14.1" hidden="false" customHeight="false" outlineLevel="0" collapsed="false">
      <c r="A224" s="6" t="n">
        <v>39764</v>
      </c>
      <c r="B224" s="0" t="n">
        <v>893.39</v>
      </c>
      <c r="C224" s="0" t="n">
        <v>893.39</v>
      </c>
      <c r="D224" s="0" t="n">
        <v>850.48</v>
      </c>
      <c r="E224" s="0" t="n">
        <v>852.3</v>
      </c>
      <c r="F224" s="0" t="n">
        <v>5764180000</v>
      </c>
      <c r="G224" s="0" t="n">
        <v>852.3</v>
      </c>
      <c r="H224" s="34" t="n">
        <f aca="false">G224/G223-1</f>
        <v>-0.0518938761888871</v>
      </c>
      <c r="I224" s="34" t="n">
        <f aca="false">LN(1+H224)</f>
        <v>-0.0532888380440521</v>
      </c>
      <c r="J224" s="34"/>
      <c r="K224" s="0" t="n">
        <f aca="false">IF(ISBLANK(A225),MONTH(A224),IF(MONTH(A225)-MONTH(A224)=1,MONTH(A224),0))</f>
        <v>0</v>
      </c>
    </row>
    <row r="225" customFormat="false" ht="14.1" hidden="false" customHeight="false" outlineLevel="0" collapsed="false">
      <c r="A225" s="6" t="n">
        <v>39765</v>
      </c>
      <c r="B225" s="0" t="n">
        <v>853.13</v>
      </c>
      <c r="C225" s="0" t="n">
        <v>913.01</v>
      </c>
      <c r="D225" s="0" t="n">
        <v>818.69</v>
      </c>
      <c r="E225" s="0" t="n">
        <v>911.29</v>
      </c>
      <c r="F225" s="0" t="n">
        <v>7849120000</v>
      </c>
      <c r="G225" s="0" t="n">
        <v>911.29</v>
      </c>
      <c r="H225" s="34" t="n">
        <f aca="false">G225/G224-1</f>
        <v>0.0692127185263405</v>
      </c>
      <c r="I225" s="34" t="n">
        <f aca="false">LN(1+H225)</f>
        <v>0.0669226005788253</v>
      </c>
      <c r="J225" s="34"/>
      <c r="K225" s="0" t="n">
        <f aca="false">IF(ISBLANK(A226),MONTH(A225),IF(MONTH(A226)-MONTH(A225)=1,MONTH(A225),0))</f>
        <v>0</v>
      </c>
    </row>
    <row r="226" customFormat="false" ht="14.1" hidden="false" customHeight="false" outlineLevel="0" collapsed="false">
      <c r="A226" s="6" t="n">
        <v>39766</v>
      </c>
      <c r="B226" s="0" t="n">
        <v>904.36</v>
      </c>
      <c r="C226" s="0" t="n">
        <v>916.88</v>
      </c>
      <c r="D226" s="0" t="n">
        <v>869.88</v>
      </c>
      <c r="E226" s="0" t="n">
        <v>873.29</v>
      </c>
      <c r="F226" s="0" t="n">
        <v>5881030000</v>
      </c>
      <c r="G226" s="0" t="n">
        <v>873.29</v>
      </c>
      <c r="H226" s="34" t="n">
        <f aca="false">G226/G225-1</f>
        <v>-0.0416991298050017</v>
      </c>
      <c r="I226" s="34" t="n">
        <f aca="false">LN(1+H226)</f>
        <v>-0.0425934895716846</v>
      </c>
      <c r="J226" s="34"/>
      <c r="K226" s="0" t="n">
        <f aca="false">IF(ISBLANK(A227),MONTH(A226),IF(MONTH(A227)-MONTH(A226)=1,MONTH(A226),0))</f>
        <v>0</v>
      </c>
    </row>
    <row r="227" customFormat="false" ht="14.1" hidden="false" customHeight="false" outlineLevel="0" collapsed="false">
      <c r="A227" s="6" t="n">
        <v>39769</v>
      </c>
      <c r="B227" s="0" t="n">
        <v>873.23</v>
      </c>
      <c r="C227" s="0" t="n">
        <v>882.29</v>
      </c>
      <c r="D227" s="0" t="n">
        <v>848.98</v>
      </c>
      <c r="E227" s="0" t="n">
        <v>850.75</v>
      </c>
      <c r="F227" s="0" t="n">
        <v>4927490000</v>
      </c>
      <c r="G227" s="0" t="n">
        <v>850.75</v>
      </c>
      <c r="H227" s="34" t="n">
        <f aca="false">G227/G226-1</f>
        <v>-0.0258104409760789</v>
      </c>
      <c r="I227" s="34" t="n">
        <f aca="false">LN(1+H227)</f>
        <v>-0.0261493751543774</v>
      </c>
      <c r="J227" s="34"/>
      <c r="K227" s="0" t="n">
        <f aca="false">IF(ISBLANK(A228),MONTH(A227),IF(MONTH(A228)-MONTH(A227)=1,MONTH(A227),0))</f>
        <v>0</v>
      </c>
    </row>
    <row r="228" customFormat="false" ht="14.1" hidden="false" customHeight="false" outlineLevel="0" collapsed="false">
      <c r="A228" s="6" t="n">
        <v>39770</v>
      </c>
      <c r="B228" s="0" t="n">
        <v>852.34</v>
      </c>
      <c r="C228" s="0" t="n">
        <v>865.9</v>
      </c>
      <c r="D228" s="0" t="n">
        <v>826.84</v>
      </c>
      <c r="E228" s="0" t="n">
        <v>859.12</v>
      </c>
      <c r="F228" s="0" t="n">
        <v>6679470000</v>
      </c>
      <c r="G228" s="0" t="n">
        <v>859.12</v>
      </c>
      <c r="H228" s="34" t="n">
        <f aca="false">G228/G227-1</f>
        <v>0.00983837790185138</v>
      </c>
      <c r="I228" s="34" t="n">
        <f aca="false">LN(1+H228)</f>
        <v>0.00979029616894602</v>
      </c>
      <c r="J228" s="34"/>
      <c r="K228" s="0" t="n">
        <f aca="false">IF(ISBLANK(A229),MONTH(A228),IF(MONTH(A229)-MONTH(A228)=1,MONTH(A228),0))</f>
        <v>0</v>
      </c>
    </row>
    <row r="229" customFormat="false" ht="14.1" hidden="false" customHeight="false" outlineLevel="0" collapsed="false">
      <c r="A229" s="6" t="n">
        <v>39771</v>
      </c>
      <c r="B229" s="0" t="n">
        <v>859.03</v>
      </c>
      <c r="C229" s="0" t="n">
        <v>864.57</v>
      </c>
      <c r="D229" s="0" t="n">
        <v>806.18</v>
      </c>
      <c r="E229" s="0" t="n">
        <v>806.58</v>
      </c>
      <c r="F229" s="0" t="n">
        <v>6548600000</v>
      </c>
      <c r="G229" s="0" t="n">
        <v>806.58</v>
      </c>
      <c r="H229" s="34" t="n">
        <f aca="false">G229/G228-1</f>
        <v>-0.061155601080175</v>
      </c>
      <c r="I229" s="34" t="n">
        <f aca="false">LN(1+H229)</f>
        <v>-0.0631055228557447</v>
      </c>
      <c r="J229" s="34"/>
      <c r="K229" s="0" t="n">
        <f aca="false">IF(ISBLANK(A230),MONTH(A229),IF(MONTH(A230)-MONTH(A229)=1,MONTH(A229),0))</f>
        <v>0</v>
      </c>
    </row>
    <row r="230" customFormat="false" ht="14.1" hidden="false" customHeight="false" outlineLevel="0" collapsed="false">
      <c r="A230" s="6" t="n">
        <v>39772</v>
      </c>
      <c r="B230" s="0" t="n">
        <v>805.87</v>
      </c>
      <c r="C230" s="0" t="n">
        <v>820.52</v>
      </c>
      <c r="D230" s="0" t="n">
        <v>747.78</v>
      </c>
      <c r="E230" s="0" t="n">
        <v>752.44</v>
      </c>
      <c r="F230" s="0" t="n">
        <v>9093740000</v>
      </c>
      <c r="G230" s="0" t="n">
        <v>752.44</v>
      </c>
      <c r="H230" s="34" t="n">
        <f aca="false">G230/G229-1</f>
        <v>-0.067122914032086</v>
      </c>
      <c r="I230" s="34" t="n">
        <f aca="false">LN(1+H230)</f>
        <v>-0.0694818274693964</v>
      </c>
      <c r="J230" s="34"/>
      <c r="K230" s="0" t="n">
        <f aca="false">IF(ISBLANK(A231),MONTH(A230),IF(MONTH(A231)-MONTH(A230)=1,MONTH(A230),0))</f>
        <v>0</v>
      </c>
    </row>
    <row r="231" customFormat="false" ht="14.1" hidden="false" customHeight="false" outlineLevel="0" collapsed="false">
      <c r="A231" s="6" t="n">
        <v>39773</v>
      </c>
      <c r="B231" s="0" t="n">
        <v>755.84</v>
      </c>
      <c r="C231" s="0" t="n">
        <v>801.2</v>
      </c>
      <c r="D231" s="0" t="n">
        <v>741.02</v>
      </c>
      <c r="E231" s="0" t="n">
        <v>800.03</v>
      </c>
      <c r="F231" s="0" t="n">
        <v>9495900000</v>
      </c>
      <c r="G231" s="0" t="n">
        <v>800.03</v>
      </c>
      <c r="H231" s="34" t="n">
        <f aca="false">G231/G230-1</f>
        <v>0.0632475679123916</v>
      </c>
      <c r="I231" s="34" t="n">
        <f aca="false">LN(1+H231)</f>
        <v>0.06132796774</v>
      </c>
      <c r="J231" s="34"/>
      <c r="K231" s="0" t="n">
        <f aca="false">IF(ISBLANK(A232),MONTH(A231),IF(MONTH(A232)-MONTH(A231)=1,MONTH(A231),0))</f>
        <v>0</v>
      </c>
    </row>
    <row r="232" customFormat="false" ht="14.1" hidden="false" customHeight="false" outlineLevel="0" collapsed="false">
      <c r="A232" s="6" t="n">
        <v>39776</v>
      </c>
      <c r="B232" s="0" t="n">
        <v>801.2</v>
      </c>
      <c r="C232" s="0" t="n">
        <v>865.6</v>
      </c>
      <c r="D232" s="0" t="n">
        <v>801.2</v>
      </c>
      <c r="E232" s="0" t="n">
        <v>851.81</v>
      </c>
      <c r="F232" s="0" t="n">
        <v>7879440000</v>
      </c>
      <c r="G232" s="0" t="n">
        <v>851.81</v>
      </c>
      <c r="H232" s="34" t="n">
        <f aca="false">G232/G231-1</f>
        <v>0.0647225729035161</v>
      </c>
      <c r="I232" s="34" t="n">
        <f aca="false">LN(1+H232)</f>
        <v>0.0627142703004158</v>
      </c>
      <c r="J232" s="34"/>
      <c r="K232" s="0" t="n">
        <f aca="false">IF(ISBLANK(A233),MONTH(A232),IF(MONTH(A233)-MONTH(A232)=1,MONTH(A232),0))</f>
        <v>0</v>
      </c>
    </row>
    <row r="233" customFormat="false" ht="14.1" hidden="false" customHeight="false" outlineLevel="0" collapsed="false">
      <c r="A233" s="6" t="n">
        <v>39777</v>
      </c>
      <c r="B233" s="0" t="n">
        <v>853.4</v>
      </c>
      <c r="C233" s="0" t="n">
        <v>868.94</v>
      </c>
      <c r="D233" s="0" t="n">
        <v>834.99</v>
      </c>
      <c r="E233" s="0" t="n">
        <v>857.39</v>
      </c>
      <c r="F233" s="0" t="n">
        <v>6952700000</v>
      </c>
      <c r="G233" s="0" t="n">
        <v>857.39</v>
      </c>
      <c r="H233" s="34" t="n">
        <f aca="false">G233/G232-1</f>
        <v>0.00655075662412985</v>
      </c>
      <c r="I233" s="34" t="n">
        <f aca="false">LN(1+H233)</f>
        <v>0.00652939366290944</v>
      </c>
      <c r="J233" s="34"/>
      <c r="K233" s="0" t="n">
        <f aca="false">IF(ISBLANK(A234),MONTH(A233),IF(MONTH(A234)-MONTH(A233)=1,MONTH(A233),0))</f>
        <v>0</v>
      </c>
    </row>
    <row r="234" customFormat="false" ht="14.1" hidden="false" customHeight="false" outlineLevel="0" collapsed="false">
      <c r="A234" s="6" t="n">
        <v>39778</v>
      </c>
      <c r="B234" s="0" t="n">
        <v>852.9</v>
      </c>
      <c r="C234" s="0" t="n">
        <v>887.68</v>
      </c>
      <c r="D234" s="0" t="n">
        <v>841.37</v>
      </c>
      <c r="E234" s="0" t="n">
        <v>887.68</v>
      </c>
      <c r="F234" s="0" t="n">
        <v>5793260000</v>
      </c>
      <c r="G234" s="0" t="n">
        <v>887.68</v>
      </c>
      <c r="H234" s="34" t="n">
        <f aca="false">G234/G233-1</f>
        <v>0.0353281470509337</v>
      </c>
      <c r="I234" s="34" t="n">
        <f aca="false">LN(1+H234)</f>
        <v>0.034718426758267</v>
      </c>
      <c r="J234" s="34"/>
      <c r="K234" s="0" t="n">
        <f aca="false">IF(ISBLANK(A235),MONTH(A234),IF(MONTH(A235)-MONTH(A234)=1,MONTH(A234),0))</f>
        <v>0</v>
      </c>
    </row>
    <row r="235" customFormat="false" ht="14.1" hidden="false" customHeight="false" outlineLevel="0" collapsed="false">
      <c r="A235" s="6" t="n">
        <v>39780</v>
      </c>
      <c r="B235" s="0" t="n">
        <v>886.89</v>
      </c>
      <c r="C235" s="0" t="n">
        <v>896.25</v>
      </c>
      <c r="D235" s="0" t="n">
        <v>881.21</v>
      </c>
      <c r="E235" s="0" t="n">
        <v>896.24</v>
      </c>
      <c r="F235" s="0" t="n">
        <v>2740860000</v>
      </c>
      <c r="G235" s="0" t="n">
        <v>896.24</v>
      </c>
      <c r="H235" s="34" t="n">
        <f aca="false">G235/G234-1</f>
        <v>0.00964311463590484</v>
      </c>
      <c r="I235" s="34" t="n">
        <f aca="false">LN(1+H235)</f>
        <v>0.00959691656405579</v>
      </c>
      <c r="J235" s="34"/>
      <c r="K235" s="0" t="n">
        <f aca="false">IF(ISBLANK(A236),MONTH(A235),IF(MONTH(A236)-MONTH(A235)=1,MONTH(A235),0))</f>
        <v>11</v>
      </c>
    </row>
    <row r="236" customFormat="false" ht="14.1" hidden="false" customHeight="false" outlineLevel="0" collapsed="false">
      <c r="A236" s="6" t="n">
        <v>39783</v>
      </c>
      <c r="B236" s="0" t="n">
        <v>888.61</v>
      </c>
      <c r="C236" s="0" t="n">
        <v>888.61</v>
      </c>
      <c r="D236" s="0" t="n">
        <v>815.69</v>
      </c>
      <c r="E236" s="0" t="n">
        <v>816.21</v>
      </c>
      <c r="F236" s="0" t="n">
        <v>6052010000</v>
      </c>
      <c r="G236" s="0" t="n">
        <v>816.21</v>
      </c>
      <c r="H236" s="34" t="n">
        <f aca="false">G236/G235-1</f>
        <v>-0.0892952780505222</v>
      </c>
      <c r="I236" s="34" t="n">
        <f aca="false">LN(1+H236)</f>
        <v>-0.0935365594547721</v>
      </c>
      <c r="J236" s="34"/>
      <c r="K236" s="0" t="n">
        <f aca="false">IF(ISBLANK(A237),MONTH(A236),IF(MONTH(A237)-MONTH(A236)=1,MONTH(A236),0))</f>
        <v>0</v>
      </c>
    </row>
    <row r="237" customFormat="false" ht="14.1" hidden="false" customHeight="false" outlineLevel="0" collapsed="false">
      <c r="A237" s="6" t="n">
        <v>39784</v>
      </c>
      <c r="B237" s="0" t="n">
        <v>817.94</v>
      </c>
      <c r="C237" s="0" t="n">
        <v>850.54</v>
      </c>
      <c r="D237" s="0" t="n">
        <v>817.94</v>
      </c>
      <c r="E237" s="0" t="n">
        <v>848.81</v>
      </c>
      <c r="F237" s="0" t="n">
        <v>6170100000</v>
      </c>
      <c r="G237" s="0" t="n">
        <v>848.81</v>
      </c>
      <c r="H237" s="34" t="n">
        <f aca="false">G237/G236-1</f>
        <v>0.0399407015351441</v>
      </c>
      <c r="I237" s="34" t="n">
        <f aca="false">LN(1+H237)</f>
        <v>0.0391636937730382</v>
      </c>
      <c r="J237" s="34"/>
      <c r="K237" s="0" t="n">
        <f aca="false">IF(ISBLANK(A238),MONTH(A237),IF(MONTH(A238)-MONTH(A237)=1,MONTH(A237),0))</f>
        <v>0</v>
      </c>
    </row>
    <row r="238" customFormat="false" ht="14.1" hidden="false" customHeight="false" outlineLevel="0" collapsed="false">
      <c r="A238" s="6" t="n">
        <v>39785</v>
      </c>
      <c r="B238" s="0" t="n">
        <v>843.6</v>
      </c>
      <c r="C238" s="0" t="n">
        <v>873.12</v>
      </c>
      <c r="D238" s="0" t="n">
        <v>827.6</v>
      </c>
      <c r="E238" s="0" t="n">
        <v>870.74</v>
      </c>
      <c r="F238" s="0" t="n">
        <v>6221880000</v>
      </c>
      <c r="G238" s="0" t="n">
        <v>870.74</v>
      </c>
      <c r="H238" s="34" t="n">
        <f aca="false">G238/G237-1</f>
        <v>0.0258361706388945</v>
      </c>
      <c r="I238" s="34" t="n">
        <f aca="false">LN(1+H238)</f>
        <v>0.0255080562588614</v>
      </c>
      <c r="J238" s="34"/>
      <c r="K238" s="0" t="n">
        <f aca="false">IF(ISBLANK(A239),MONTH(A238),IF(MONTH(A239)-MONTH(A238)=1,MONTH(A238),0))</f>
        <v>0</v>
      </c>
    </row>
    <row r="239" customFormat="false" ht="14.1" hidden="false" customHeight="false" outlineLevel="0" collapsed="false">
      <c r="A239" s="6" t="n">
        <v>39786</v>
      </c>
      <c r="B239" s="0" t="n">
        <v>869.75</v>
      </c>
      <c r="C239" s="0" t="n">
        <v>875.6</v>
      </c>
      <c r="D239" s="0" t="n">
        <v>833.6</v>
      </c>
      <c r="E239" s="0" t="n">
        <v>845.22</v>
      </c>
      <c r="F239" s="0" t="n">
        <v>5860390000</v>
      </c>
      <c r="G239" s="0" t="n">
        <v>845.22</v>
      </c>
      <c r="H239" s="34" t="n">
        <f aca="false">G239/G238-1</f>
        <v>-0.0293084043457289</v>
      </c>
      <c r="I239" s="34" t="n">
        <f aca="false">LN(1+H239)</f>
        <v>-0.0297464763273248</v>
      </c>
      <c r="J239" s="34"/>
      <c r="K239" s="0" t="n">
        <f aca="false">IF(ISBLANK(A240),MONTH(A239),IF(MONTH(A240)-MONTH(A239)=1,MONTH(A239),0))</f>
        <v>0</v>
      </c>
    </row>
    <row r="240" customFormat="false" ht="14.1" hidden="false" customHeight="false" outlineLevel="0" collapsed="false">
      <c r="A240" s="6" t="n">
        <v>39787</v>
      </c>
      <c r="B240" s="0" t="n">
        <v>844.43</v>
      </c>
      <c r="C240" s="0" t="n">
        <v>879.42</v>
      </c>
      <c r="D240" s="0" t="n">
        <v>818.41</v>
      </c>
      <c r="E240" s="0" t="n">
        <v>876.07</v>
      </c>
      <c r="F240" s="0" t="n">
        <v>6165370000</v>
      </c>
      <c r="G240" s="0" t="n">
        <v>876.07</v>
      </c>
      <c r="H240" s="34" t="n">
        <f aca="false">G240/G239-1</f>
        <v>0.0364993729443221</v>
      </c>
      <c r="I240" s="34" t="n">
        <f aca="false">LN(1+H240)</f>
        <v>0.0358490479193918</v>
      </c>
      <c r="J240" s="34"/>
      <c r="K240" s="0" t="n">
        <f aca="false">IF(ISBLANK(A241),MONTH(A240),IF(MONTH(A241)-MONTH(A240)=1,MONTH(A240),0))</f>
        <v>0</v>
      </c>
    </row>
    <row r="241" customFormat="false" ht="14.1" hidden="false" customHeight="false" outlineLevel="0" collapsed="false">
      <c r="A241" s="6" t="n">
        <v>39790</v>
      </c>
      <c r="B241" s="0" t="n">
        <v>882.71</v>
      </c>
      <c r="C241" s="0" t="n">
        <v>918.57</v>
      </c>
      <c r="D241" s="0" t="n">
        <v>882.71</v>
      </c>
      <c r="E241" s="0" t="n">
        <v>909.7</v>
      </c>
      <c r="F241" s="0" t="n">
        <v>6553600000</v>
      </c>
      <c r="G241" s="0" t="n">
        <v>909.7</v>
      </c>
      <c r="H241" s="34" t="n">
        <f aca="false">G241/G240-1</f>
        <v>0.0383873434771194</v>
      </c>
      <c r="I241" s="34" t="n">
        <f aca="false">LN(1+H241)</f>
        <v>0.0376688784083538</v>
      </c>
      <c r="J241" s="34"/>
      <c r="K241" s="0" t="n">
        <f aca="false">IF(ISBLANK(A242),MONTH(A241),IF(MONTH(A242)-MONTH(A241)=1,MONTH(A241),0))</f>
        <v>0</v>
      </c>
    </row>
    <row r="242" customFormat="false" ht="14.1" hidden="false" customHeight="false" outlineLevel="0" collapsed="false">
      <c r="A242" s="6" t="n">
        <v>39791</v>
      </c>
      <c r="B242" s="0" t="n">
        <v>906.48</v>
      </c>
      <c r="C242" s="0" t="n">
        <v>916.26</v>
      </c>
      <c r="D242" s="0" t="n">
        <v>885.38</v>
      </c>
      <c r="E242" s="0" t="n">
        <v>888.67</v>
      </c>
      <c r="F242" s="0" t="n">
        <v>5693110000</v>
      </c>
      <c r="G242" s="0" t="n">
        <v>888.67</v>
      </c>
      <c r="H242" s="34" t="n">
        <f aca="false">G242/G241-1</f>
        <v>-0.0231175112674509</v>
      </c>
      <c r="I242" s="34" t="n">
        <f aca="false">LN(1+H242)</f>
        <v>-0.0233889118267723</v>
      </c>
      <c r="J242" s="34"/>
      <c r="K242" s="0" t="n">
        <f aca="false">IF(ISBLANK(A243),MONTH(A242),IF(MONTH(A243)-MONTH(A242)=1,MONTH(A242),0))</f>
        <v>0</v>
      </c>
    </row>
    <row r="243" customFormat="false" ht="14.1" hidden="false" customHeight="false" outlineLevel="0" collapsed="false">
      <c r="A243" s="6" t="n">
        <v>39792</v>
      </c>
      <c r="B243" s="0" t="n">
        <v>892.17</v>
      </c>
      <c r="C243" s="0" t="n">
        <v>908.27</v>
      </c>
      <c r="D243" s="0" t="n">
        <v>885.45</v>
      </c>
      <c r="E243" s="0" t="n">
        <v>899.24</v>
      </c>
      <c r="F243" s="0" t="n">
        <v>5942130000</v>
      </c>
      <c r="G243" s="0" t="n">
        <v>899.24</v>
      </c>
      <c r="H243" s="34" t="n">
        <f aca="false">G243/G242-1</f>
        <v>0.0118941789415645</v>
      </c>
      <c r="I243" s="34" t="n">
        <f aca="false">LN(1+H243)</f>
        <v>0.0118239991345648</v>
      </c>
      <c r="J243" s="34"/>
      <c r="K243" s="0" t="n">
        <f aca="false">IF(ISBLANK(A244),MONTH(A243),IF(MONTH(A244)-MONTH(A243)=1,MONTH(A243),0))</f>
        <v>0</v>
      </c>
    </row>
    <row r="244" customFormat="false" ht="14.1" hidden="false" customHeight="false" outlineLevel="0" collapsed="false">
      <c r="A244" s="6" t="n">
        <v>39793</v>
      </c>
      <c r="B244" s="0" t="n">
        <v>898.35</v>
      </c>
      <c r="C244" s="0" t="n">
        <v>904.63</v>
      </c>
      <c r="D244" s="0" t="n">
        <v>868.73</v>
      </c>
      <c r="E244" s="0" t="n">
        <v>873.59</v>
      </c>
      <c r="F244" s="0" t="n">
        <v>5513840000</v>
      </c>
      <c r="G244" s="0" t="n">
        <v>873.59</v>
      </c>
      <c r="H244" s="34" t="n">
        <f aca="false">G244/G243-1</f>
        <v>-0.0285240870068058</v>
      </c>
      <c r="I244" s="34" t="n">
        <f aca="false">LN(1+H244)</f>
        <v>-0.028938804097131</v>
      </c>
      <c r="J244" s="34"/>
      <c r="K244" s="0" t="n">
        <f aca="false">IF(ISBLANK(A245),MONTH(A244),IF(MONTH(A245)-MONTH(A244)=1,MONTH(A244),0))</f>
        <v>0</v>
      </c>
    </row>
    <row r="245" customFormat="false" ht="14.1" hidden="false" customHeight="false" outlineLevel="0" collapsed="false">
      <c r="A245" s="6" t="n">
        <v>39794</v>
      </c>
      <c r="B245" s="0" t="n">
        <v>871.79</v>
      </c>
      <c r="C245" s="0" t="n">
        <v>883.24</v>
      </c>
      <c r="D245" s="0" t="n">
        <v>851.35</v>
      </c>
      <c r="E245" s="0" t="n">
        <v>879.73</v>
      </c>
      <c r="F245" s="0" t="n">
        <v>5959590000</v>
      </c>
      <c r="G245" s="0" t="n">
        <v>879.73</v>
      </c>
      <c r="H245" s="34" t="n">
        <f aca="false">G245/G244-1</f>
        <v>0.00702846873247176</v>
      </c>
      <c r="I245" s="34" t="n">
        <f aca="false">LN(1+H245)</f>
        <v>0.00700388417342812</v>
      </c>
      <c r="J245" s="34"/>
      <c r="K245" s="0" t="n">
        <f aca="false">IF(ISBLANK(A246),MONTH(A245),IF(MONTH(A246)-MONTH(A245)=1,MONTH(A245),0))</f>
        <v>0</v>
      </c>
    </row>
    <row r="246" customFormat="false" ht="14.1" hidden="false" customHeight="false" outlineLevel="0" collapsed="false">
      <c r="A246" s="6" t="n">
        <v>39797</v>
      </c>
      <c r="B246" s="0" t="n">
        <v>881.07</v>
      </c>
      <c r="C246" s="0" t="n">
        <v>884.63</v>
      </c>
      <c r="D246" s="0" t="n">
        <v>857.72</v>
      </c>
      <c r="E246" s="0" t="n">
        <v>868.57</v>
      </c>
      <c r="F246" s="0" t="n">
        <v>4982390000</v>
      </c>
      <c r="G246" s="0" t="n">
        <v>868.57</v>
      </c>
      <c r="H246" s="34" t="n">
        <f aca="false">G246/G245-1</f>
        <v>-0.0126857103884146</v>
      </c>
      <c r="I246" s="34" t="n">
        <f aca="false">LN(1+H246)</f>
        <v>-0.012766861045401</v>
      </c>
      <c r="J246" s="34"/>
      <c r="K246" s="0" t="n">
        <f aca="false">IF(ISBLANK(A247),MONTH(A246),IF(MONTH(A247)-MONTH(A246)=1,MONTH(A246),0))</f>
        <v>0</v>
      </c>
    </row>
    <row r="247" customFormat="false" ht="14.1" hidden="false" customHeight="false" outlineLevel="0" collapsed="false">
      <c r="A247" s="6" t="n">
        <v>39798</v>
      </c>
      <c r="B247" s="0" t="n">
        <v>871.53</v>
      </c>
      <c r="C247" s="0" t="n">
        <v>914.66</v>
      </c>
      <c r="D247" s="0" t="n">
        <v>871.53</v>
      </c>
      <c r="E247" s="0" t="n">
        <v>913.18</v>
      </c>
      <c r="F247" s="0" t="n">
        <v>6009780000</v>
      </c>
      <c r="G247" s="0" t="n">
        <v>913.18</v>
      </c>
      <c r="H247" s="34" t="n">
        <f aca="false">G247/G246-1</f>
        <v>0.0513602818425687</v>
      </c>
      <c r="I247" s="34" t="n">
        <f aca="false">LN(1+H247)</f>
        <v>0.0500848322416587</v>
      </c>
      <c r="J247" s="34"/>
      <c r="K247" s="0" t="n">
        <f aca="false">IF(ISBLANK(A248),MONTH(A247),IF(MONTH(A248)-MONTH(A247)=1,MONTH(A247),0))</f>
        <v>0</v>
      </c>
    </row>
    <row r="248" customFormat="false" ht="14.1" hidden="false" customHeight="false" outlineLevel="0" collapsed="false">
      <c r="A248" s="6" t="n">
        <v>39799</v>
      </c>
      <c r="B248" s="0" t="n">
        <v>908.16</v>
      </c>
      <c r="C248" s="0" t="n">
        <v>918.85</v>
      </c>
      <c r="D248" s="0" t="n">
        <v>895.94</v>
      </c>
      <c r="E248" s="0" t="n">
        <v>904.42</v>
      </c>
      <c r="F248" s="0" t="n">
        <v>5907380000</v>
      </c>
      <c r="G248" s="0" t="n">
        <v>904.42</v>
      </c>
      <c r="H248" s="34" t="n">
        <f aca="false">G248/G247-1</f>
        <v>-0.00959285135460697</v>
      </c>
      <c r="I248" s="34" t="n">
        <f aca="false">LN(1+H248)</f>
        <v>-0.00963915914026065</v>
      </c>
      <c r="J248" s="34"/>
      <c r="K248" s="0" t="n">
        <f aca="false">IF(ISBLANK(A249),MONTH(A248),IF(MONTH(A249)-MONTH(A248)=1,MONTH(A248),0))</f>
        <v>0</v>
      </c>
    </row>
    <row r="249" customFormat="false" ht="14.1" hidden="false" customHeight="false" outlineLevel="0" collapsed="false">
      <c r="A249" s="6" t="n">
        <v>39800</v>
      </c>
      <c r="B249" s="0" t="n">
        <v>905.98</v>
      </c>
      <c r="C249" s="0" t="n">
        <v>911.02</v>
      </c>
      <c r="D249" s="0" t="n">
        <v>877.44</v>
      </c>
      <c r="E249" s="0" t="n">
        <v>885.28</v>
      </c>
      <c r="F249" s="0" t="n">
        <v>5675000000</v>
      </c>
      <c r="G249" s="0" t="n">
        <v>885.28</v>
      </c>
      <c r="H249" s="34" t="n">
        <f aca="false">G249/G248-1</f>
        <v>-0.0211627341279494</v>
      </c>
      <c r="I249" s="34" t="n">
        <f aca="false">LN(1+H249)</f>
        <v>-0.0213898751183033</v>
      </c>
      <c r="J249" s="34"/>
      <c r="K249" s="0" t="n">
        <f aca="false">IF(ISBLANK(A250),MONTH(A249),IF(MONTH(A250)-MONTH(A249)=1,MONTH(A249),0))</f>
        <v>0</v>
      </c>
    </row>
    <row r="250" customFormat="false" ht="14.1" hidden="false" customHeight="false" outlineLevel="0" collapsed="false">
      <c r="A250" s="6" t="n">
        <v>39801</v>
      </c>
      <c r="B250" s="0" t="n">
        <v>886.96</v>
      </c>
      <c r="C250" s="0" t="n">
        <v>905.47</v>
      </c>
      <c r="D250" s="0" t="n">
        <v>883.02</v>
      </c>
      <c r="E250" s="0" t="n">
        <v>887.88</v>
      </c>
      <c r="F250" s="0" t="n">
        <v>6705310000</v>
      </c>
      <c r="G250" s="0" t="n">
        <v>887.88</v>
      </c>
      <c r="H250" s="34" t="n">
        <f aca="false">G250/G249-1</f>
        <v>0.00293692391107903</v>
      </c>
      <c r="I250" s="34" t="n">
        <f aca="false">LN(1+H250)</f>
        <v>0.00293261957566031</v>
      </c>
      <c r="J250" s="34"/>
      <c r="K250" s="0" t="n">
        <f aca="false">IF(ISBLANK(A251),MONTH(A250),IF(MONTH(A251)-MONTH(A250)=1,MONTH(A250),0))</f>
        <v>0</v>
      </c>
    </row>
    <row r="251" customFormat="false" ht="14.1" hidden="false" customHeight="false" outlineLevel="0" collapsed="false">
      <c r="A251" s="6" t="n">
        <v>39804</v>
      </c>
      <c r="B251" s="0" t="n">
        <v>887.2</v>
      </c>
      <c r="C251" s="0" t="n">
        <v>887.37</v>
      </c>
      <c r="D251" s="0" t="n">
        <v>857.09</v>
      </c>
      <c r="E251" s="0" t="n">
        <v>871.63</v>
      </c>
      <c r="F251" s="0" t="n">
        <v>4869850000</v>
      </c>
      <c r="G251" s="0" t="n">
        <v>871.63</v>
      </c>
      <c r="H251" s="34" t="n">
        <f aca="false">G251/G250-1</f>
        <v>-0.0183020227958733</v>
      </c>
      <c r="I251" s="34" t="n">
        <f aca="false">LN(1+H251)</f>
        <v>-0.0184715767888639</v>
      </c>
      <c r="J251" s="34"/>
      <c r="K251" s="0" t="n">
        <f aca="false">IF(ISBLANK(A252),MONTH(A251),IF(MONTH(A252)-MONTH(A251)=1,MONTH(A251),0))</f>
        <v>0</v>
      </c>
    </row>
    <row r="252" customFormat="false" ht="14.1" hidden="false" customHeight="false" outlineLevel="0" collapsed="false">
      <c r="A252" s="6" t="n">
        <v>39805</v>
      </c>
      <c r="B252" s="0" t="n">
        <v>874.31</v>
      </c>
      <c r="C252" s="0" t="n">
        <v>880.44</v>
      </c>
      <c r="D252" s="0" t="n">
        <v>860.1</v>
      </c>
      <c r="E252" s="0" t="n">
        <v>863.16</v>
      </c>
      <c r="F252" s="0" t="n">
        <v>4051970000</v>
      </c>
      <c r="G252" s="0" t="n">
        <v>863.16</v>
      </c>
      <c r="H252" s="34" t="n">
        <f aca="false">G252/G251-1</f>
        <v>-0.0097174259720294</v>
      </c>
      <c r="I252" s="34" t="n">
        <f aca="false">LN(1+H252)</f>
        <v>-0.00976494826933086</v>
      </c>
      <c r="J252" s="34"/>
      <c r="K252" s="0" t="n">
        <f aca="false">IF(ISBLANK(A253),MONTH(A252),IF(MONTH(A253)-MONTH(A252)=1,MONTH(A252),0))</f>
        <v>0</v>
      </c>
    </row>
    <row r="253" customFormat="false" ht="14.1" hidden="false" customHeight="false" outlineLevel="0" collapsed="false">
      <c r="A253" s="6" t="n">
        <v>39806</v>
      </c>
      <c r="B253" s="0" t="n">
        <v>863.87</v>
      </c>
      <c r="C253" s="0" t="n">
        <v>869.79</v>
      </c>
      <c r="D253" s="0" t="n">
        <v>861.44</v>
      </c>
      <c r="E253" s="0" t="n">
        <v>868.15</v>
      </c>
      <c r="F253" s="0" t="n">
        <v>1546550000</v>
      </c>
      <c r="G253" s="0" t="n">
        <v>868.15</v>
      </c>
      <c r="H253" s="34" t="n">
        <f aca="false">G253/G252-1</f>
        <v>0.00578108346077211</v>
      </c>
      <c r="I253" s="34" t="n">
        <f aca="false">LN(1+H253)</f>
        <v>0.00576443712288173</v>
      </c>
      <c r="J253" s="34"/>
      <c r="K253" s="0" t="n">
        <f aca="false">IF(ISBLANK(A254),MONTH(A253),IF(MONTH(A254)-MONTH(A253)=1,MONTH(A253),0))</f>
        <v>0</v>
      </c>
    </row>
    <row r="254" customFormat="false" ht="14.1" hidden="false" customHeight="false" outlineLevel="0" collapsed="false">
      <c r="A254" s="6" t="n">
        <v>39808</v>
      </c>
      <c r="B254" s="0" t="n">
        <v>869.51</v>
      </c>
      <c r="C254" s="0" t="n">
        <v>873.74</v>
      </c>
      <c r="D254" s="0" t="n">
        <v>866.52</v>
      </c>
      <c r="E254" s="0" t="n">
        <v>872.8</v>
      </c>
      <c r="F254" s="0" t="n">
        <v>1880050000</v>
      </c>
      <c r="G254" s="0" t="n">
        <v>872.8</v>
      </c>
      <c r="H254" s="34" t="n">
        <f aca="false">G254/G253-1</f>
        <v>0.00535621724356394</v>
      </c>
      <c r="I254" s="34" t="n">
        <f aca="false">LN(1+H254)</f>
        <v>0.00534192372871428</v>
      </c>
      <c r="J254" s="34"/>
      <c r="K254" s="0" t="n">
        <f aca="false">IF(ISBLANK(A255),MONTH(A254),IF(MONTH(A255)-MONTH(A254)=1,MONTH(A254),0))</f>
        <v>0</v>
      </c>
    </row>
    <row r="255" customFormat="false" ht="14.1" hidden="false" customHeight="false" outlineLevel="0" collapsed="false">
      <c r="A255" s="6" t="n">
        <v>39811</v>
      </c>
      <c r="B255" s="0" t="n">
        <v>872.37</v>
      </c>
      <c r="C255" s="0" t="n">
        <v>873.7</v>
      </c>
      <c r="D255" s="0" t="n">
        <v>857.07</v>
      </c>
      <c r="E255" s="0" t="n">
        <v>869.42</v>
      </c>
      <c r="F255" s="0" t="n">
        <v>3323430000</v>
      </c>
      <c r="G255" s="0" t="n">
        <v>869.42</v>
      </c>
      <c r="H255" s="34" t="n">
        <f aca="false">G255/G254-1</f>
        <v>-0.0038725939505041</v>
      </c>
      <c r="I255" s="34" t="n">
        <f aca="false">LN(1+H255)</f>
        <v>-0.00388011185793536</v>
      </c>
      <c r="J255" s="34"/>
      <c r="K255" s="0" t="n">
        <f aca="false">IF(ISBLANK(A256),MONTH(A255),IF(MONTH(A256)-MONTH(A255)=1,MONTH(A255),0))</f>
        <v>0</v>
      </c>
    </row>
    <row r="256" customFormat="false" ht="14.1" hidden="false" customHeight="false" outlineLevel="0" collapsed="false">
      <c r="A256" s="6" t="n">
        <v>39812</v>
      </c>
      <c r="B256" s="0" t="n">
        <v>870.58</v>
      </c>
      <c r="C256" s="0" t="n">
        <v>891.12</v>
      </c>
      <c r="D256" s="0" t="n">
        <v>870.58</v>
      </c>
      <c r="E256" s="0" t="n">
        <v>890.64</v>
      </c>
      <c r="F256" s="0" t="n">
        <v>3627800000</v>
      </c>
      <c r="G256" s="0" t="n">
        <v>890.64</v>
      </c>
      <c r="H256" s="34" t="n">
        <f aca="false">G256/G255-1</f>
        <v>0.024407075981689</v>
      </c>
      <c r="I256" s="34" t="n">
        <f aca="false">LN(1+H256)</f>
        <v>0.0241139827595262</v>
      </c>
      <c r="J256" s="34"/>
      <c r="K256" s="0" t="n">
        <f aca="false">IF(ISBLANK(A257),MONTH(A256),IF(MONTH(A257)-MONTH(A256)=1,MONTH(A256),0))</f>
        <v>0</v>
      </c>
    </row>
    <row r="257" customFormat="false" ht="14.1" hidden="false" customHeight="false" outlineLevel="0" collapsed="false">
      <c r="A257" s="6" t="n">
        <v>39813</v>
      </c>
      <c r="B257" s="0" t="n">
        <v>890.59</v>
      </c>
      <c r="C257" s="0" t="n">
        <v>910.32</v>
      </c>
      <c r="D257" s="0" t="n">
        <v>889.67</v>
      </c>
      <c r="E257" s="0" t="n">
        <v>903.25</v>
      </c>
      <c r="F257" s="0" t="n">
        <v>4172940000</v>
      </c>
      <c r="G257" s="0" t="n">
        <v>903.25</v>
      </c>
      <c r="H257" s="34" t="n">
        <f aca="false">G257/G256-1</f>
        <v>0.0141583580346718</v>
      </c>
      <c r="I257" s="34" t="n">
        <f aca="false">LN(1+H257)</f>
        <v>0.0140590646072979</v>
      </c>
      <c r="J257" s="34"/>
      <c r="K257" s="0" t="n">
        <f aca="false">IF(ISBLANK(A258),MONTH(A257),IF(MONTH(A258)-MONTH(A257)=1,MONTH(A257),0))</f>
        <v>12</v>
      </c>
    </row>
  </sheetData>
  <mergeCells count="2">
    <mergeCell ref="R5:U5"/>
    <mergeCell ref="V5:Y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S25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624" topLeftCell="A199" activePane="bottomLeft" state="split"/>
      <selection pane="topLeft" activeCell="A1" activeCellId="0" sqref="A1"/>
      <selection pane="bottomLeft" activeCell="I250" activeCellId="0" sqref="I250"/>
    </sheetView>
  </sheetViews>
  <sheetFormatPr defaultRowHeight="14.1"/>
  <cols>
    <col collapsed="false" hidden="false" max="1" min="1" style="0" width="11.4489795918367"/>
    <col collapsed="false" hidden="false" max="11" min="2" style="0" width="13.9234693877551"/>
    <col collapsed="false" hidden="false" max="12" min="12" style="0" width="13.2397959183673"/>
    <col collapsed="false" hidden="false" max="18" min="13" style="0" width="13.7857142857143"/>
    <col collapsed="false" hidden="false" max="1025" min="19" style="0" width="11.4489795918367"/>
  </cols>
  <sheetData>
    <row r="1" customFormat="false" ht="14.1" hidden="false" customHeight="false" outlineLevel="0" collapsed="false">
      <c r="A1" s="0" t="s">
        <v>484</v>
      </c>
      <c r="B1" s="23" t="s">
        <v>482</v>
      </c>
      <c r="C1" s="23"/>
      <c r="D1" s="23"/>
      <c r="E1" s="23" t="s">
        <v>483</v>
      </c>
    </row>
    <row r="2" customFormat="false" ht="14.1" hidden="false" customHeight="false" outlineLevel="0" collapsed="false">
      <c r="B2" s="23"/>
      <c r="C2" s="23"/>
      <c r="D2" s="23"/>
      <c r="E2" s="23"/>
    </row>
    <row r="3" customFormat="false" ht="27.95" hidden="false" customHeight="false" outlineLevel="0" collapsed="false">
      <c r="A3" s="0" t="s">
        <v>385</v>
      </c>
      <c r="B3" s="103" t="s">
        <v>498</v>
      </c>
      <c r="C3" s="103" t="s">
        <v>499</v>
      </c>
      <c r="D3" s="103" t="s">
        <v>500</v>
      </c>
      <c r="E3" s="103" t="s">
        <v>501</v>
      </c>
      <c r="F3" s="103" t="s">
        <v>502</v>
      </c>
      <c r="G3" s="103" t="s">
        <v>503</v>
      </c>
      <c r="H3" s="103" t="s">
        <v>504</v>
      </c>
      <c r="I3" s="103" t="s">
        <v>505</v>
      </c>
      <c r="J3" s="103" t="s">
        <v>506</v>
      </c>
      <c r="K3" s="103" t="s">
        <v>507</v>
      </c>
      <c r="L3" s="104" t="s">
        <v>508</v>
      </c>
      <c r="M3" s="104" t="s">
        <v>509</v>
      </c>
      <c r="N3" s="104" t="s">
        <v>510</v>
      </c>
      <c r="O3" s="104" t="s">
        <v>511</v>
      </c>
      <c r="P3" s="104" t="s">
        <v>512</v>
      </c>
      <c r="Q3" s="104" t="s">
        <v>513</v>
      </c>
      <c r="R3" s="104" t="s">
        <v>514</v>
      </c>
    </row>
    <row r="4" customFormat="false" ht="14.1" hidden="false" customHeight="false" outlineLevel="0" collapsed="false">
      <c r="A4" s="0" t="n">
        <v>0</v>
      </c>
      <c r="B4" s="103"/>
      <c r="S4" s="0" t="n">
        <v>1</v>
      </c>
    </row>
    <row r="5" customFormat="false" ht="14.1" hidden="false" customHeight="false" outlineLevel="0" collapsed="false">
      <c r="A5" s="0" t="n">
        <v>0</v>
      </c>
      <c r="B5" s="19" t="n">
        <f aca="false">IF('Sim Period'!D5&lt;(AVERAGE('Sim Period'!$D$4:D5)),'Sim Period'!D5-AVERAGE('Sim Period'!$D$4:D5),"")</f>
        <v>-0.0143</v>
      </c>
      <c r="L5" s="19" t="n">
        <f aca="false">IF('Sim Period'!D5&lt;'Sim Period'!F5,'Sim Period'!D5-'Sim Period'!F5,"")</f>
        <v>-0.0142102550000001</v>
      </c>
      <c r="S5" s="0" t="n">
        <v>1</v>
      </c>
    </row>
    <row r="6" customFormat="false" ht="14.1" hidden="false" customHeight="false" outlineLevel="0" collapsed="false">
      <c r="A6" s="0" t="n">
        <v>0</v>
      </c>
      <c r="B6" s="0" t="str">
        <f aca="false">IF('Sim Period'!D6&lt;(AVERAGE('Sim Period'!$D$4:D6)),'Sim Period'!D6-AVERAGE('Sim Period'!$D$4:D6),"")</f>
        <v/>
      </c>
      <c r="L6" s="0" t="str">
        <f aca="false">IF('Sim Period'!D6&lt;'Sim Period'!F6,'Sim Period'!D6-'Sim Period'!F6,"")</f>
        <v/>
      </c>
      <c r="S6" s="0" t="n">
        <v>1</v>
      </c>
    </row>
    <row r="7" customFormat="false" ht="14.1" hidden="false" customHeight="false" outlineLevel="0" collapsed="false">
      <c r="A7" s="0" t="n">
        <v>0</v>
      </c>
      <c r="B7" s="0" t="str">
        <f aca="false">IF('Sim Period'!D7&lt;(AVERAGE('Sim Period'!$D$4:D7)),'Sim Period'!D7-AVERAGE('Sim Period'!$D$4:D7),"")</f>
        <v/>
      </c>
      <c r="L7" s="0" t="str">
        <f aca="false">IF('Sim Period'!D7&lt;'Sim Period'!F7,'Sim Period'!D7-'Sim Period'!F7,"")</f>
        <v/>
      </c>
      <c r="S7" s="0" t="n">
        <v>1</v>
      </c>
    </row>
    <row r="8" customFormat="false" ht="14.1" hidden="false" customHeight="false" outlineLevel="0" collapsed="false">
      <c r="A8" s="0" t="n">
        <v>0</v>
      </c>
      <c r="B8" s="0" t="str">
        <f aca="false">IF('Sim Period'!D8&lt;(AVERAGE('Sim Period'!$D$4:D8)),'Sim Period'!D8-AVERAGE('Sim Period'!$D$4:D8),"")</f>
        <v/>
      </c>
      <c r="L8" s="0" t="str">
        <f aca="false">IF('Sim Period'!D8&lt;'Sim Period'!F8,'Sim Period'!D8-'Sim Period'!F8,"")</f>
        <v/>
      </c>
      <c r="S8" s="0" t="n">
        <v>1</v>
      </c>
    </row>
    <row r="9" customFormat="false" ht="14.1" hidden="false" customHeight="false" outlineLevel="0" collapsed="false">
      <c r="A9" s="0" t="n">
        <v>0</v>
      </c>
      <c r="B9" s="19" t="n">
        <f aca="false">IF('Sim Period'!D9&lt;(AVERAGE('Sim Period'!$D$4:D9)),'Sim Period'!D9-AVERAGE('Sim Period'!$D$4:D9),"")</f>
        <v>-0.0339999999999999</v>
      </c>
      <c r="L9" s="19" t="n">
        <f aca="false">IF('Sim Period'!D9&lt;'Sim Period'!F9,'Sim Period'!D9-'Sim Period'!F9,"")</f>
        <v>-0.0340839175796505</v>
      </c>
      <c r="S9" s="0" t="n">
        <v>1</v>
      </c>
    </row>
    <row r="10" customFormat="false" ht="14.1" hidden="false" customHeight="false" outlineLevel="0" collapsed="false">
      <c r="A10" s="0" t="n">
        <v>0</v>
      </c>
      <c r="B10" s="0" t="str">
        <f aca="false">IF('Sim Period'!D10&lt;(AVERAGE('Sim Period'!$D$4:D10)),'Sim Period'!D10-AVERAGE('Sim Period'!$D$4:D10),"")</f>
        <v/>
      </c>
      <c r="L10" s="0" t="str">
        <f aca="false">IF('Sim Period'!D10&lt;'Sim Period'!F10,'Sim Period'!D10-'Sim Period'!F10,"")</f>
        <v/>
      </c>
      <c r="S10" s="0" t="n">
        <v>1</v>
      </c>
    </row>
    <row r="11" customFormat="false" ht="14.1" hidden="false" customHeight="false" outlineLevel="0" collapsed="false">
      <c r="A11" s="0" t="n">
        <v>0</v>
      </c>
      <c r="B11" s="0" t="str">
        <f aca="false">IF('Sim Period'!D11&lt;(AVERAGE('Sim Period'!$D$4:D11)),'Sim Period'!D11-AVERAGE('Sim Period'!$D$4:D11),"")</f>
        <v/>
      </c>
      <c r="L11" s="0" t="str">
        <f aca="false">IF('Sim Period'!D11&lt;'Sim Period'!F11,'Sim Period'!D11-'Sim Period'!F11,"")</f>
        <v/>
      </c>
      <c r="S11" s="0" t="n">
        <v>1</v>
      </c>
    </row>
    <row r="12" customFormat="false" ht="14.1" hidden="false" customHeight="false" outlineLevel="0" collapsed="false">
      <c r="A12" s="0" t="n">
        <v>0</v>
      </c>
      <c r="B12" s="19" t="n">
        <f aca="false">IF('Sim Period'!D12&lt;(AVERAGE('Sim Period'!$D$4:D12)),'Sim Period'!D12-AVERAGE('Sim Period'!$D$4:D12),"")</f>
        <v>-0.0287222222222223</v>
      </c>
      <c r="L12" s="19" t="n">
        <f aca="false">IF('Sim Period'!D12&lt;'Sim Period'!F12,'Sim Period'!D12-'Sim Period'!F12,"")</f>
        <v>-0.0293109636990242</v>
      </c>
      <c r="S12" s="0" t="n">
        <v>1</v>
      </c>
    </row>
    <row r="13" customFormat="false" ht="14.1" hidden="false" customHeight="false" outlineLevel="0" collapsed="false">
      <c r="A13" s="0" t="n">
        <v>0</v>
      </c>
      <c r="B13" s="19" t="n">
        <f aca="false">IF('Sim Period'!D13&lt;(AVERAGE('Sim Period'!$D$4:D13)),'Sim Period'!D13-AVERAGE('Sim Period'!$D$4:D13),"")</f>
        <v>-0.0505100000000001</v>
      </c>
      <c r="L13" s="19" t="n">
        <f aca="false">IF('Sim Period'!D13&lt;'Sim Period'!F13,'Sim Period'!D13-'Sim Period'!F13,"")</f>
        <v>-0.050462417781895</v>
      </c>
      <c r="S13" s="0" t="n">
        <v>1</v>
      </c>
    </row>
    <row r="14" customFormat="false" ht="14.1" hidden="false" customHeight="false" outlineLevel="0" collapsed="false">
      <c r="A14" s="0" t="n">
        <v>0</v>
      </c>
      <c r="B14" s="19" t="n">
        <f aca="false">IF('Sim Period'!D14&lt;(AVERAGE('Sim Period'!$D$4:D14)),'Sim Period'!D14-AVERAGE('Sim Period'!$D$4:D14),"")</f>
        <v>-0.0114636363636363</v>
      </c>
      <c r="L14" s="19" t="n">
        <f aca="false">IF('Sim Period'!D14&lt;'Sim Period'!F14,'Sim Period'!D14-'Sim Period'!F14,"")</f>
        <v>-0.0113931436772661</v>
      </c>
      <c r="S14" s="0" t="n">
        <v>1</v>
      </c>
    </row>
    <row r="15" customFormat="false" ht="14.1" hidden="false" customHeight="false" outlineLevel="0" collapsed="false">
      <c r="A15" s="0" t="n">
        <v>0</v>
      </c>
      <c r="B15" s="0" t="str">
        <f aca="false">IF('Sim Period'!D15&lt;(AVERAGE('Sim Period'!$D$4:D15)),'Sim Period'!D15-AVERAGE('Sim Period'!$D$4:D15),"")</f>
        <v/>
      </c>
      <c r="L15" s="0" t="str">
        <f aca="false">IF('Sim Period'!D15&lt;'Sim Period'!F15,'Sim Period'!D15-'Sim Period'!F15,"")</f>
        <v/>
      </c>
      <c r="S15" s="0" t="n">
        <v>1</v>
      </c>
    </row>
    <row r="16" customFormat="false" ht="14.1" hidden="false" customHeight="false" outlineLevel="0" collapsed="false">
      <c r="A16" s="0" t="n">
        <v>0</v>
      </c>
      <c r="B16" s="0" t="str">
        <f aca="false">IF('Sim Period'!D16&lt;(AVERAGE('Sim Period'!$D$4:D16)),'Sim Period'!D16-AVERAGE('Sim Period'!$D$4:D16),"")</f>
        <v/>
      </c>
      <c r="L16" s="0" t="str">
        <f aca="false">IF('Sim Period'!D16&lt;'Sim Period'!F16,'Sim Period'!D16-'Sim Period'!F16,"")</f>
        <v/>
      </c>
      <c r="S16" s="0" t="n">
        <v>1</v>
      </c>
    </row>
    <row r="17" customFormat="false" ht="14.1" hidden="false" customHeight="false" outlineLevel="0" collapsed="false">
      <c r="A17" s="0" t="n">
        <v>0</v>
      </c>
      <c r="B17" s="0" t="str">
        <f aca="false">IF('Sim Period'!D17&lt;(AVERAGE('Sim Period'!$D$4:D17)),'Sim Period'!D17-AVERAGE('Sim Period'!$D$4:D17),"")</f>
        <v/>
      </c>
      <c r="L17" s="0" t="str">
        <f aca="false">IF('Sim Period'!D17&lt;'Sim Period'!F17,'Sim Period'!D17-'Sim Period'!F17,"")</f>
        <v/>
      </c>
      <c r="S17" s="0" t="n">
        <v>1</v>
      </c>
    </row>
    <row r="18" customFormat="false" ht="14.1" hidden="false" customHeight="false" outlineLevel="0" collapsed="false">
      <c r="A18" s="0" t="n">
        <v>0</v>
      </c>
      <c r="B18" s="0" t="str">
        <f aca="false">IF('Sim Period'!D18&lt;(AVERAGE('Sim Period'!$D$4:D18)),'Sim Period'!D18-AVERAGE('Sim Period'!$D$4:D18),"")</f>
        <v/>
      </c>
      <c r="L18" s="0" t="str">
        <f aca="false">IF('Sim Period'!D18&lt;'Sim Period'!F18,'Sim Period'!D18-'Sim Period'!F18,"")</f>
        <v/>
      </c>
      <c r="S18" s="0" t="n">
        <v>1</v>
      </c>
    </row>
    <row r="19" customFormat="false" ht="14.1" hidden="false" customHeight="false" outlineLevel="0" collapsed="false">
      <c r="A19" s="0" t="n">
        <v>0</v>
      </c>
      <c r="B19" s="19" t="n">
        <f aca="false">IF('Sim Period'!D19&lt;(AVERAGE('Sim Period'!$D$4:D19)),'Sim Period'!D19-AVERAGE('Sim Period'!$D$4:D19),"")</f>
        <v>-0.0549</v>
      </c>
      <c r="L19" s="19" t="n">
        <f aca="false">IF('Sim Period'!D19&lt;'Sim Period'!F19,'Sim Period'!D19-'Sim Period'!F19,"")</f>
        <v>-0.0551136564521561</v>
      </c>
      <c r="S19" s="0" t="n">
        <v>1</v>
      </c>
    </row>
    <row r="20" customFormat="false" ht="14.1" hidden="false" customHeight="false" outlineLevel="0" collapsed="false">
      <c r="A20" s="0" t="n">
        <v>0</v>
      </c>
      <c r="B20" s="0" t="str">
        <f aca="false">IF('Sim Period'!D20&lt;(AVERAGE('Sim Period'!$D$4:D20)),'Sim Period'!D20-AVERAGE('Sim Period'!$D$4:D20),"")</f>
        <v/>
      </c>
      <c r="L20" s="0" t="str">
        <f aca="false">IF('Sim Period'!D20&lt;'Sim Period'!F20,'Sim Period'!D20-'Sim Period'!F20,"")</f>
        <v/>
      </c>
      <c r="S20" s="0" t="n">
        <v>1</v>
      </c>
    </row>
    <row r="21" customFormat="false" ht="14.1" hidden="false" customHeight="false" outlineLevel="0" collapsed="false">
      <c r="A21" s="0" t="n">
        <v>0</v>
      </c>
      <c r="B21" s="19" t="n">
        <f aca="false">IF('Sim Period'!D21&lt;(AVERAGE('Sim Period'!$D$4:D21)),'Sim Period'!D21-AVERAGE('Sim Period'!$D$4:D21),"")</f>
        <v>-0.0533499999999999</v>
      </c>
      <c r="L21" s="19" t="n">
        <f aca="false">IF('Sim Period'!D21&lt;'Sim Period'!F21,'Sim Period'!D21-'Sim Period'!F21,"")</f>
        <v>-0.0532924394419751</v>
      </c>
      <c r="S21" s="0" t="n">
        <v>1</v>
      </c>
    </row>
    <row r="22" customFormat="false" ht="14.1" hidden="false" customHeight="false" outlineLevel="0" collapsed="false">
      <c r="A22" s="0" t="n">
        <v>0</v>
      </c>
      <c r="B22" s="19" t="n">
        <f aca="false">IF('Sim Period'!D22&lt;(AVERAGE('Sim Period'!$D$4:D22)),'Sim Period'!D22-AVERAGE('Sim Period'!$D$4:D22),"")</f>
        <v>-0.00487894736842107</v>
      </c>
      <c r="L22" s="19" t="n">
        <f aca="false">IF('Sim Period'!D22&lt;'Sim Period'!F22,'Sim Period'!D22-'Sim Period'!F22,"")</f>
        <v>-0.00483872548244529</v>
      </c>
      <c r="S22" s="0" t="n">
        <v>1</v>
      </c>
    </row>
    <row r="23" customFormat="false" ht="14.1" hidden="false" customHeight="false" outlineLevel="0" collapsed="false">
      <c r="A23" s="0" t="n">
        <v>1</v>
      </c>
      <c r="B23" s="19" t="n">
        <f aca="false">IF('Sim Period'!D23&lt;(AVERAGE('Sim Period'!$D$4:D23)),'Sim Period'!D23-AVERAGE('Sim Period'!$D$4:D23),"")</f>
        <v>-0.0325650000000001</v>
      </c>
      <c r="L23" s="19" t="n">
        <f aca="false">IF('Sim Period'!D23&lt;'Sim Period'!F23,'Sim Period'!D23-'Sim Period'!F23,"")</f>
        <v>-0.0323468333629359</v>
      </c>
      <c r="S23" s="0" t="n">
        <v>1</v>
      </c>
    </row>
    <row r="24" customFormat="false" ht="14.1" hidden="false" customHeight="false" outlineLevel="0" collapsed="false">
      <c r="A24" s="0" t="n">
        <v>0</v>
      </c>
      <c r="B24" s="19" t="n">
        <f aca="false">IF('Sim Period'!D24&lt;(AVERAGE('Sim Period'!$D$4:D24)),'Sim Period'!D24-AVERAGE('Sim Period'!$D$4:D24),"")</f>
        <v>-0.0458714285714287</v>
      </c>
      <c r="C24" s="0" t="str">
        <f aca="false">IF('Sim Period'!D24&lt;(AVERAGE('Sim Period'!$D$24:D24)),'Sim Period'!D24-AVERAGE('Sim Period'!$D$24:D24),"")</f>
        <v/>
      </c>
      <c r="L24" s="19" t="n">
        <f aca="false">IF('Sim Period'!D24&lt;'Sim Period'!F24,'Sim Period'!D24-'Sim Period'!F24,"")</f>
        <v>-0.0454574516301581</v>
      </c>
      <c r="M24" s="0" t="str">
        <f aca="false">IF('Sim Period'!D24&lt;(AVERAGE('Sim Period'!$D$24:D24)),'Sim Period'!D24-AVERAGE('Sim Period'!$D$24:D24),"")</f>
        <v/>
      </c>
      <c r="S24" s="0" t="n">
        <v>1</v>
      </c>
    </row>
    <row r="25" customFormat="false" ht="14.1" hidden="false" customHeight="false" outlineLevel="0" collapsed="false">
      <c r="A25" s="0" t="n">
        <v>0</v>
      </c>
      <c r="B25" s="0" t="str">
        <f aca="false">IF('Sim Period'!D25&lt;(AVERAGE('Sim Period'!$D$4:D25)),'Sim Period'!D25-AVERAGE('Sim Period'!$D$4:D25),"")</f>
        <v/>
      </c>
      <c r="C25" s="0" t="str">
        <f aca="false">IF('Sim Period'!D25&lt;(AVERAGE('Sim Period'!$D$24:D25)),'Sim Period'!D25-AVERAGE('Sim Period'!$D$24:D25),"")</f>
        <v/>
      </c>
      <c r="L25" s="0" t="str">
        <f aca="false">IF('Sim Period'!D25&lt;'Sim Period'!F25,'Sim Period'!D25-'Sim Period'!F25,"")</f>
        <v/>
      </c>
      <c r="M25" s="0" t="str">
        <f aca="false">IF('Sim Period'!D25&lt;(AVERAGE('Sim Period'!$D$24:D25)),'Sim Period'!D25-AVERAGE('Sim Period'!$D$24:D25),"")</f>
        <v/>
      </c>
      <c r="S25" s="0" t="n">
        <v>1</v>
      </c>
    </row>
    <row r="26" customFormat="false" ht="14.1" hidden="false" customHeight="false" outlineLevel="0" collapsed="false">
      <c r="A26" s="0" t="n">
        <v>0</v>
      </c>
      <c r="B26" s="19" t="n">
        <f aca="false">IF('Sim Period'!D26&lt;(AVERAGE('Sim Period'!$D$4:D26)),'Sim Period'!D26-AVERAGE('Sim Period'!$D$4:D26),"")</f>
        <v>-0.014517391304348</v>
      </c>
      <c r="C26" s="19" t="n">
        <f aca="false">IF('Sim Period'!D26&lt;(AVERAGE('Sim Period'!$D$24:D26)),'Sim Period'!D26-AVERAGE('Sim Period'!$D$24:D26),"")</f>
        <v>-0.00686666666666673</v>
      </c>
      <c r="L26" s="19" t="n">
        <f aca="false">IF('Sim Period'!D26&lt;'Sim Period'!F26,'Sim Period'!D26-'Sim Period'!F26,"")</f>
        <v>-0.014194490160806</v>
      </c>
      <c r="M26" s="19" t="n">
        <f aca="false">IF('Sim Period'!D26&lt;(AVERAGE('Sim Period'!$D$24:D26)),'Sim Period'!D26-AVERAGE('Sim Period'!$D$24:D26),"")</f>
        <v>-0.00686666666666673</v>
      </c>
      <c r="S26" s="0" t="n">
        <v>1</v>
      </c>
    </row>
    <row r="27" customFormat="false" ht="14.1" hidden="false" customHeight="false" outlineLevel="0" collapsed="false">
      <c r="A27" s="0" t="n">
        <v>0</v>
      </c>
      <c r="B27" s="0" t="str">
        <f aca="false">IF('Sim Period'!D27&lt;(AVERAGE('Sim Period'!$D$4:D27)),'Sim Period'!D27-AVERAGE('Sim Period'!$D$4:D27),"")</f>
        <v/>
      </c>
      <c r="C27" s="0" t="str">
        <f aca="false">IF('Sim Period'!D27&lt;(AVERAGE('Sim Period'!$D$24:D27)),'Sim Period'!D27-AVERAGE('Sim Period'!$D$24:D27),"")</f>
        <v/>
      </c>
      <c r="L27" s="0" t="str">
        <f aca="false">IF('Sim Period'!D27&lt;'Sim Period'!F27,'Sim Period'!D27-'Sim Period'!F27,"")</f>
        <v/>
      </c>
      <c r="M27" s="0" t="str">
        <f aca="false">IF('Sim Period'!D27&lt;(AVERAGE('Sim Period'!$D$24:D27)),'Sim Period'!D27-AVERAGE('Sim Period'!$D$24:D27),"")</f>
        <v/>
      </c>
      <c r="S27" s="0" t="n">
        <v>1</v>
      </c>
    </row>
    <row r="28" customFormat="false" ht="14.1" hidden="false" customHeight="false" outlineLevel="0" collapsed="false">
      <c r="A28" s="0" t="n">
        <v>0</v>
      </c>
      <c r="B28" s="19" t="n">
        <f aca="false">IF('Sim Period'!D28&lt;(AVERAGE('Sim Period'!$D$4:D28)),'Sim Period'!D28-AVERAGE('Sim Period'!$D$4:D28),"")</f>
        <v>-0.035028</v>
      </c>
      <c r="C28" s="19" t="n">
        <f aca="false">IF('Sim Period'!D28&lt;(AVERAGE('Sim Period'!$D$24:D28)),'Sim Period'!D28-AVERAGE('Sim Period'!$D$24:D28),"")</f>
        <v>-0.02968</v>
      </c>
      <c r="L28" s="19" t="n">
        <f aca="false">IF('Sim Period'!D28&lt;'Sim Period'!F28,'Sim Period'!D28-'Sim Period'!F28,"")</f>
        <v>-0.0346963503551034</v>
      </c>
      <c r="M28" s="19" t="n">
        <f aca="false">IF('Sim Period'!D28&lt;(AVERAGE('Sim Period'!$D$24:D28)),'Sim Period'!D28-AVERAGE('Sim Period'!$D$24:D28),"")</f>
        <v>-0.02968</v>
      </c>
      <c r="S28" s="0" t="n">
        <v>1</v>
      </c>
    </row>
    <row r="29" customFormat="false" ht="14.1" hidden="false" customHeight="false" outlineLevel="0" collapsed="false">
      <c r="A29" s="0" t="n">
        <v>0</v>
      </c>
      <c r="B29" s="19" t="n">
        <f aca="false">IF('Sim Period'!D29&lt;(AVERAGE('Sim Period'!$D$4:D29)),'Sim Period'!D29-AVERAGE('Sim Period'!$D$4:D29),"")</f>
        <v>-0.00348846153846155</v>
      </c>
      <c r="C29" s="0" t="str">
        <f aca="false">IF('Sim Period'!D29&lt;(AVERAGE('Sim Period'!$D$24:D29)),'Sim Period'!D29-AVERAGE('Sim Period'!$D$24:D29),"")</f>
        <v/>
      </c>
      <c r="L29" s="19" t="n">
        <f aca="false">IF('Sim Period'!D29&lt;'Sim Period'!F29,'Sim Period'!D29-'Sim Period'!F29,"")</f>
        <v>-0.00317060505789412</v>
      </c>
      <c r="M29" s="0" t="str">
        <f aca="false">IF('Sim Period'!D29&lt;(AVERAGE('Sim Period'!$D$24:D29)),'Sim Period'!D29-AVERAGE('Sim Period'!$D$24:D29),"")</f>
        <v/>
      </c>
      <c r="S29" s="0" t="n">
        <v>1</v>
      </c>
    </row>
    <row r="30" customFormat="false" ht="14.1" hidden="false" customHeight="false" outlineLevel="0" collapsed="false">
      <c r="A30" s="0" t="n">
        <v>0</v>
      </c>
      <c r="B30" s="0" t="str">
        <f aca="false">IF('Sim Period'!D30&lt;(AVERAGE('Sim Period'!$D$4:D30)),'Sim Period'!D30-AVERAGE('Sim Period'!$D$4:D30),"")</f>
        <v/>
      </c>
      <c r="C30" s="0" t="str">
        <f aca="false">IF('Sim Period'!D30&lt;(AVERAGE('Sim Period'!$D$24:D30)),'Sim Period'!D30-AVERAGE('Sim Period'!$D$24:D30),"")</f>
        <v/>
      </c>
      <c r="L30" s="0" t="str">
        <f aca="false">IF('Sim Period'!D30&lt;'Sim Period'!F30,'Sim Period'!D30-'Sim Period'!F30,"")</f>
        <v/>
      </c>
      <c r="M30" s="0" t="str">
        <f aca="false">IF('Sim Period'!D30&lt;(AVERAGE('Sim Period'!$D$24:D30)),'Sim Period'!D30-AVERAGE('Sim Period'!$D$24:D30),"")</f>
        <v/>
      </c>
      <c r="S30" s="0" t="n">
        <v>1</v>
      </c>
    </row>
    <row r="31" customFormat="false" ht="14.1" hidden="false" customHeight="false" outlineLevel="0" collapsed="false">
      <c r="A31" s="0" t="n">
        <v>0</v>
      </c>
      <c r="B31" s="0" t="str">
        <f aca="false">IF('Sim Period'!D31&lt;(AVERAGE('Sim Period'!$D$4:D31)),'Sim Period'!D31-AVERAGE('Sim Period'!$D$4:D31),"")</f>
        <v/>
      </c>
      <c r="C31" s="0" t="str">
        <f aca="false">IF('Sim Period'!D31&lt;(AVERAGE('Sim Period'!$D$24:D31)),'Sim Period'!D31-AVERAGE('Sim Period'!$D$24:D31),"")</f>
        <v/>
      </c>
      <c r="L31" s="0" t="str">
        <f aca="false">IF('Sim Period'!D31&lt;'Sim Period'!F31,'Sim Period'!D31-'Sim Period'!F31,"")</f>
        <v/>
      </c>
      <c r="M31" s="0" t="str">
        <f aca="false">IF('Sim Period'!D31&lt;(AVERAGE('Sim Period'!$D$24:D31)),'Sim Period'!D31-AVERAGE('Sim Period'!$D$24:D31),"")</f>
        <v/>
      </c>
      <c r="S31" s="0" t="n">
        <v>1</v>
      </c>
    </row>
    <row r="32" customFormat="false" ht="14.1" hidden="false" customHeight="false" outlineLevel="0" collapsed="false">
      <c r="A32" s="0" t="n">
        <v>0</v>
      </c>
      <c r="B32" s="19" t="n">
        <f aca="false">IF('Sim Period'!D32&lt;(AVERAGE('Sim Period'!$D$4:D32)),'Sim Period'!D32-AVERAGE('Sim Period'!$D$4:D32),"")</f>
        <v>-0.0257379310344828</v>
      </c>
      <c r="C32" s="19" t="n">
        <f aca="false">IF('Sim Period'!D32&lt;(AVERAGE('Sim Period'!$D$24:D32)),'Sim Period'!D32-AVERAGE('Sim Period'!$D$24:D32),"")</f>
        <v>-0.0234555555555556</v>
      </c>
      <c r="L32" s="19" t="n">
        <f aca="false">IF('Sim Period'!D32&lt;'Sim Period'!F32,'Sim Period'!D32-'Sim Period'!F32,"")</f>
        <v>-0.02551102817438</v>
      </c>
      <c r="M32" s="19" t="n">
        <f aca="false">IF('Sim Period'!D32&lt;(AVERAGE('Sim Period'!$D$24:D32)),'Sim Period'!D32-AVERAGE('Sim Period'!$D$24:D32),"")</f>
        <v>-0.0234555555555556</v>
      </c>
      <c r="S32" s="0" t="n">
        <v>1</v>
      </c>
    </row>
    <row r="33" customFormat="false" ht="14.1" hidden="false" customHeight="false" outlineLevel="0" collapsed="false">
      <c r="A33" s="0" t="n">
        <v>0</v>
      </c>
      <c r="B33" s="19" t="n">
        <f aca="false">IF('Sim Period'!D33&lt;(AVERAGE('Sim Period'!$D$4:D33)),'Sim Period'!D33-AVERAGE('Sim Period'!$D$4:D33),"")</f>
        <v>-0.000230000000000099</v>
      </c>
      <c r="C33" s="0" t="str">
        <f aca="false">IF('Sim Period'!D33&lt;(AVERAGE('Sim Period'!$D$24:D33)),'Sim Period'!D33-AVERAGE('Sim Period'!$D$24:D33),"")</f>
        <v/>
      </c>
      <c r="L33" s="19" t="n">
        <f aca="false">IF('Sim Period'!D33&lt;'Sim Period'!F33,'Sim Period'!D33-'Sim Period'!F33,"")</f>
        <v>-2.61698775083285E-005</v>
      </c>
      <c r="M33" s="0" t="str">
        <f aca="false">IF('Sim Period'!D33&lt;(AVERAGE('Sim Period'!$D$24:D33)),'Sim Period'!D33-AVERAGE('Sim Period'!$D$24:D33),"")</f>
        <v/>
      </c>
      <c r="S33" s="0" t="n">
        <v>1</v>
      </c>
    </row>
    <row r="34" customFormat="false" ht="14.1" hidden="false" customHeight="false" outlineLevel="0" collapsed="false">
      <c r="A34" s="0" t="n">
        <v>0</v>
      </c>
      <c r="B34" s="0" t="str">
        <f aca="false">IF('Sim Period'!D34&lt;(AVERAGE('Sim Period'!$D$4:D34)),'Sim Period'!D34-AVERAGE('Sim Period'!$D$4:D34),"")</f>
        <v/>
      </c>
      <c r="C34" s="0" t="str">
        <f aca="false">IF('Sim Period'!D34&lt;(AVERAGE('Sim Period'!$D$24:D34)),'Sim Period'!D34-AVERAGE('Sim Period'!$D$24:D34),"")</f>
        <v/>
      </c>
      <c r="L34" s="0" t="str">
        <f aca="false">IF('Sim Period'!D34&lt;'Sim Period'!F34,'Sim Period'!D34-'Sim Period'!F34,"")</f>
        <v/>
      </c>
      <c r="M34" s="0" t="str">
        <f aca="false">IF('Sim Period'!D34&lt;(AVERAGE('Sim Period'!$D$24:D34)),'Sim Period'!D34-AVERAGE('Sim Period'!$D$24:D34),"")</f>
        <v/>
      </c>
      <c r="S34" s="0" t="n">
        <v>1</v>
      </c>
    </row>
    <row r="35" customFormat="false" ht="14.1" hidden="false" customHeight="false" outlineLevel="0" collapsed="false">
      <c r="A35" s="0" t="n">
        <v>0</v>
      </c>
      <c r="B35" s="19" t="n">
        <f aca="false">IF('Sim Period'!D35&lt;(AVERAGE('Sim Period'!$D$4:D35)),'Sim Period'!D35-AVERAGE('Sim Period'!$D$4:D35),"")</f>
        <v>-0.0019906250000001</v>
      </c>
      <c r="C35" s="19" t="n">
        <f aca="false">IF('Sim Period'!D35&lt;(AVERAGE('Sim Period'!$D$24:D35)),'Sim Period'!D35-AVERAGE('Sim Period'!$D$24:D35),"")</f>
        <v>-0.00136666666666674</v>
      </c>
      <c r="L35" s="19" t="n">
        <f aca="false">IF('Sim Period'!D35&lt;'Sim Period'!F35,'Sim Period'!D35-'Sim Period'!F35,"")</f>
        <v>-0.00191397242395269</v>
      </c>
      <c r="M35" s="19" t="n">
        <f aca="false">IF('Sim Period'!D35&lt;(AVERAGE('Sim Period'!$D$24:D35)),'Sim Period'!D35-AVERAGE('Sim Period'!$D$24:D35),"")</f>
        <v>-0.00136666666666674</v>
      </c>
      <c r="S35" s="0" t="n">
        <v>1</v>
      </c>
    </row>
    <row r="36" customFormat="false" ht="14.1" hidden="false" customHeight="false" outlineLevel="0" collapsed="false">
      <c r="A36" s="0" t="n">
        <v>0</v>
      </c>
      <c r="B36" s="19" t="n">
        <f aca="false">IF('Sim Period'!D36&lt;(AVERAGE('Sim Period'!$D$4:D36)),'Sim Period'!D36-AVERAGE('Sim Period'!$D$4:D36),"")</f>
        <v>-0.0405242424242424</v>
      </c>
      <c r="C36" s="19" t="n">
        <f aca="false">IF('Sim Period'!D36&lt;(AVERAGE('Sim Period'!$D$24:D36)),'Sim Period'!D36-AVERAGE('Sim Period'!$D$24:D36),"")</f>
        <v>-0.038</v>
      </c>
      <c r="L36" s="19" t="n">
        <f aca="false">IF('Sim Period'!D36&lt;'Sim Period'!F36,'Sim Period'!D36-'Sim Period'!F36,"")</f>
        <v>-0.0402776599675237</v>
      </c>
      <c r="M36" s="19" t="n">
        <f aca="false">IF('Sim Period'!D36&lt;(AVERAGE('Sim Period'!$D$24:D36)),'Sim Period'!D36-AVERAGE('Sim Period'!$D$24:D36),"")</f>
        <v>-0.038</v>
      </c>
      <c r="S36" s="0" t="n">
        <v>1</v>
      </c>
    </row>
    <row r="37" customFormat="false" ht="14.1" hidden="false" customHeight="false" outlineLevel="0" collapsed="false">
      <c r="A37" s="0" t="n">
        <v>0</v>
      </c>
      <c r="B37" s="0" t="str">
        <f aca="false">IF('Sim Period'!D37&lt;(AVERAGE('Sim Period'!$D$4:D37)),'Sim Period'!D37-AVERAGE('Sim Period'!$D$4:D37),"")</f>
        <v/>
      </c>
      <c r="C37" s="0" t="str">
        <f aca="false">IF('Sim Period'!D37&lt;(AVERAGE('Sim Period'!$D$24:D37)),'Sim Period'!D37-AVERAGE('Sim Period'!$D$24:D37),"")</f>
        <v/>
      </c>
      <c r="L37" s="0" t="str">
        <f aca="false">IF('Sim Period'!D37&lt;'Sim Period'!F37,'Sim Period'!D37-'Sim Period'!F37,"")</f>
        <v/>
      </c>
      <c r="M37" s="0" t="str">
        <f aca="false">IF('Sim Period'!D37&lt;(AVERAGE('Sim Period'!$D$24:D37)),'Sim Period'!D37-AVERAGE('Sim Period'!$D$24:D37),"")</f>
        <v/>
      </c>
      <c r="S37" s="0" t="n">
        <v>1</v>
      </c>
    </row>
    <row r="38" customFormat="false" ht="14.1" hidden="false" customHeight="false" outlineLevel="0" collapsed="false">
      <c r="A38" s="0" t="n">
        <v>0</v>
      </c>
      <c r="B38" s="0" t="str">
        <f aca="false">IF('Sim Period'!D38&lt;(AVERAGE('Sim Period'!$D$4:D38)),'Sim Period'!D38-AVERAGE('Sim Period'!$D$4:D38),"")</f>
        <v/>
      </c>
      <c r="C38" s="0" t="str">
        <f aca="false">IF('Sim Period'!D38&lt;(AVERAGE('Sim Period'!$D$24:D38)),'Sim Period'!D38-AVERAGE('Sim Period'!$D$24:D38),"")</f>
        <v/>
      </c>
      <c r="L38" s="0" t="str">
        <f aca="false">IF('Sim Period'!D38&lt;'Sim Period'!F38,'Sim Period'!D38-'Sim Period'!F38,"")</f>
        <v/>
      </c>
      <c r="M38" s="0" t="str">
        <f aca="false">IF('Sim Period'!D38&lt;(AVERAGE('Sim Period'!$D$24:D38)),'Sim Period'!D38-AVERAGE('Sim Period'!$D$24:D38),"")</f>
        <v/>
      </c>
      <c r="S38" s="0" t="n">
        <v>1</v>
      </c>
    </row>
    <row r="39" customFormat="false" ht="14.1" hidden="false" customHeight="false" outlineLevel="0" collapsed="false">
      <c r="A39" s="0" t="n">
        <v>0</v>
      </c>
      <c r="B39" s="19" t="n">
        <f aca="false">IF('Sim Period'!D39&lt;(AVERAGE('Sim Period'!$D$4:D39)),'Sim Period'!D39-AVERAGE('Sim Period'!$D$4:D39),"")</f>
        <v>-0.0217111111111111</v>
      </c>
      <c r="C39" s="19" t="n">
        <f aca="false">IF('Sim Period'!D39&lt;(AVERAGE('Sim Period'!$D$24:D39)),'Sim Period'!D39-AVERAGE('Sim Period'!$D$24:D39),"")</f>
        <v>-0.01989375</v>
      </c>
      <c r="L39" s="19" t="n">
        <f aca="false">IF('Sim Period'!D39&lt;'Sim Period'!F39,'Sim Period'!D39-'Sim Period'!F39,"")</f>
        <v>-0.0215251016246185</v>
      </c>
      <c r="M39" s="19" t="n">
        <f aca="false">IF('Sim Period'!D39&lt;(AVERAGE('Sim Period'!$D$24:D39)),'Sim Period'!D39-AVERAGE('Sim Period'!$D$24:D39),"")</f>
        <v>-0.01989375</v>
      </c>
      <c r="S39" s="0" t="n">
        <v>1</v>
      </c>
    </row>
    <row r="40" customFormat="false" ht="14.1" hidden="false" customHeight="false" outlineLevel="0" collapsed="false">
      <c r="A40" s="0" t="n">
        <v>0</v>
      </c>
      <c r="B40" s="19" t="n">
        <f aca="false">IF('Sim Period'!D40&lt;(AVERAGE('Sim Period'!$D$4:D40)),'Sim Period'!D40-AVERAGE('Sim Period'!$D$4:D40),"")</f>
        <v>-0.0388324324324324</v>
      </c>
      <c r="C40" s="19" t="n">
        <f aca="false">IF('Sim Period'!D40&lt;(AVERAGE('Sim Period'!$D$24:D40)),'Sim Period'!D40-AVERAGE('Sim Period'!$D$24:D40),"")</f>
        <v>-0.0358529411764706</v>
      </c>
      <c r="L40" s="19" t="n">
        <f aca="false">IF('Sim Period'!D40&lt;'Sim Period'!F40,'Sim Period'!D40-'Sim Period'!F40,"")</f>
        <v>-0.0385241209841868</v>
      </c>
      <c r="M40" s="19" t="n">
        <f aca="false">IF('Sim Period'!D40&lt;(AVERAGE('Sim Period'!$D$24:D40)),'Sim Period'!D40-AVERAGE('Sim Period'!$D$24:D40),"")</f>
        <v>-0.0358529411764706</v>
      </c>
      <c r="S40" s="0" t="n">
        <v>1</v>
      </c>
    </row>
    <row r="41" customFormat="false" ht="14.1" hidden="false" customHeight="false" outlineLevel="0" collapsed="false">
      <c r="A41" s="0" t="n">
        <v>0</v>
      </c>
      <c r="B41" s="19" t="n">
        <f aca="false">IF('Sim Period'!D41&lt;(AVERAGE('Sim Period'!$D$4:D41)),'Sim Period'!D41-AVERAGE('Sim Period'!$D$4:D41),"")</f>
        <v>-0.0417052631578947</v>
      </c>
      <c r="C41" s="19" t="n">
        <f aca="false">IF('Sim Period'!D41&lt;(AVERAGE('Sim Period'!$D$24:D41)),'Sim Period'!D41-AVERAGE('Sim Period'!$D$24:D41),"")</f>
        <v>-0.0376388888888888</v>
      </c>
      <c r="L41" s="19" t="n">
        <f aca="false">IF('Sim Period'!D41&lt;'Sim Period'!F41,'Sim Period'!D41-'Sim Period'!F41,"")</f>
        <v>-0.0413104160029124</v>
      </c>
      <c r="M41" s="19" t="n">
        <f aca="false">IF('Sim Period'!D41&lt;(AVERAGE('Sim Period'!$D$24:D41)),'Sim Period'!D41-AVERAGE('Sim Period'!$D$24:D41),"")</f>
        <v>-0.0376388888888888</v>
      </c>
      <c r="S41" s="0" t="n">
        <v>1</v>
      </c>
    </row>
    <row r="42" customFormat="false" ht="14.1" hidden="false" customHeight="false" outlineLevel="0" collapsed="false">
      <c r="A42" s="0" t="n">
        <v>2</v>
      </c>
      <c r="B42" s="19" t="n">
        <f aca="false">IF('Sim Period'!D42&lt;(AVERAGE('Sim Period'!$D$4:D42)),'Sim Period'!D42-AVERAGE('Sim Period'!$D$4:D42),"")</f>
        <v>-0.0135487179487179</v>
      </c>
      <c r="C42" s="19" t="n">
        <f aca="false">IF('Sim Period'!D42&lt;(AVERAGE('Sim Period'!$D$24:D42)),'Sim Period'!D42-AVERAGE('Sim Period'!$D$24:D42),"")</f>
        <v>-0.00932105263157886</v>
      </c>
      <c r="L42" s="19" t="n">
        <f aca="false">IF('Sim Period'!D42&lt;'Sim Period'!F42,'Sim Period'!D42-'Sim Period'!F42,"")</f>
        <v>-0.0131494887095105</v>
      </c>
      <c r="M42" s="19" t="n">
        <f aca="false">IF('Sim Period'!D42&lt;(AVERAGE('Sim Period'!$D$24:D42)),'Sim Period'!D42-AVERAGE('Sim Period'!$D$24:D42),"")</f>
        <v>-0.00932105263157886</v>
      </c>
      <c r="S42" s="0" t="n">
        <v>1</v>
      </c>
    </row>
    <row r="43" customFormat="false" ht="14.1" hidden="false" customHeight="false" outlineLevel="0" collapsed="false">
      <c r="A43" s="0" t="n">
        <v>0</v>
      </c>
      <c r="B43" s="19" t="n">
        <f aca="false">IF('Sim Period'!D43&lt;(AVERAGE('Sim Period'!$D$4:D43)),'Sim Period'!D43-AVERAGE('Sim Period'!$D$4:D43),"")</f>
        <v>-0.00609250000000002</v>
      </c>
      <c r="C43" s="19" t="n">
        <f aca="false">IF('Sim Period'!D43&lt;(AVERAGE('Sim Period'!$D$24:D43)),'Sim Period'!D43-AVERAGE('Sim Period'!$D$24:D43),"")</f>
        <v>-0.00192000000000001</v>
      </c>
      <c r="D43" s="0" t="str">
        <f aca="false">IF('Sim Period'!D43&lt;(AVERAGE('Sim Period'!$D$43:D43)),'Sim Period'!D43-AVERAGE('Sim Period'!$D$43:D43),"")</f>
        <v/>
      </c>
      <c r="L43" s="19" t="n">
        <f aca="false">IF('Sim Period'!D43&lt;'Sim Period'!F43,'Sim Period'!D43-'Sim Period'!F43,"")</f>
        <v>-0.00569911023431396</v>
      </c>
      <c r="M43" s="19" t="n">
        <f aca="false">IF('Sim Period'!D43&lt;(AVERAGE('Sim Period'!$D$24:D43)),'Sim Period'!D43-AVERAGE('Sim Period'!$D$24:D43),"")</f>
        <v>-0.00192000000000001</v>
      </c>
      <c r="N43" s="0" t="str">
        <f aca="false">IF('Sim Period'!D43&lt;(AVERAGE('Sim Period'!$D$43:D43)),'Sim Period'!D43-AVERAGE('Sim Period'!$D$43:D43),"")</f>
        <v/>
      </c>
      <c r="S43" s="0" t="n">
        <v>1</v>
      </c>
    </row>
    <row r="44" customFormat="false" ht="14.1" hidden="false" customHeight="false" outlineLevel="0" collapsed="false">
      <c r="A44" s="0" t="n">
        <v>0</v>
      </c>
      <c r="B44" s="0" t="str">
        <f aca="false">IF('Sim Period'!D44&lt;(AVERAGE('Sim Period'!$D$4:D44)),'Sim Period'!D44-AVERAGE('Sim Period'!$D$4:D44),"")</f>
        <v/>
      </c>
      <c r="C44" s="0" t="str">
        <f aca="false">IF('Sim Period'!D44&lt;(AVERAGE('Sim Period'!$D$24:D44)),'Sim Period'!D44-AVERAGE('Sim Period'!$D$24:D44),"")</f>
        <v/>
      </c>
      <c r="D44" s="0" t="str">
        <f aca="false">IF('Sim Period'!D44&lt;(AVERAGE('Sim Period'!$D$43:D44)),'Sim Period'!D44-AVERAGE('Sim Period'!$D$43:D44),"")</f>
        <v/>
      </c>
      <c r="L44" s="0" t="str">
        <f aca="false">IF('Sim Period'!D44&lt;'Sim Period'!F44,'Sim Period'!D44-'Sim Period'!F44,"")</f>
        <v/>
      </c>
      <c r="M44" s="0" t="str">
        <f aca="false">IF('Sim Period'!D44&lt;(AVERAGE('Sim Period'!$D$24:D44)),'Sim Period'!D44-AVERAGE('Sim Period'!$D$24:D44),"")</f>
        <v/>
      </c>
      <c r="N44" s="0" t="str">
        <f aca="false">IF('Sim Period'!D44&lt;(AVERAGE('Sim Period'!$D$43:D44)),'Sim Period'!D44-AVERAGE('Sim Period'!$D$43:D44),"")</f>
        <v/>
      </c>
      <c r="S44" s="0" t="n">
        <v>1</v>
      </c>
    </row>
    <row r="45" customFormat="false" ht="14.1" hidden="false" customHeight="false" outlineLevel="0" collapsed="false">
      <c r="A45" s="0" t="n">
        <v>0</v>
      </c>
      <c r="B45" s="19" t="n">
        <f aca="false">IF('Sim Period'!D45&lt;(AVERAGE('Sim Period'!$D$4:D45)),'Sim Period'!D45-AVERAGE('Sim Period'!$D$4:D45),"")</f>
        <v>-0.0415476190476191</v>
      </c>
      <c r="C45" s="19" t="n">
        <f aca="false">IF('Sim Period'!D45&lt;(AVERAGE('Sim Period'!$D$24:D45)),'Sim Period'!D45-AVERAGE('Sim Period'!$D$24:D45),"")</f>
        <v>-0.0372590909090909</v>
      </c>
      <c r="D45" s="19" t="n">
        <f aca="false">IF('Sim Period'!D45&lt;(AVERAGE('Sim Period'!$D$43:D45)),'Sim Period'!D45-AVERAGE('Sim Period'!$D$43:D45),"")</f>
        <v>-0.0324333333333333</v>
      </c>
      <c r="L45" s="19" t="n">
        <f aca="false">IF('Sim Period'!D45&lt;'Sim Period'!F45,'Sim Period'!D45-'Sim Period'!F45,"")</f>
        <v>-0.0411388088409673</v>
      </c>
      <c r="M45" s="19" t="n">
        <f aca="false">IF('Sim Period'!D45&lt;(AVERAGE('Sim Period'!$D$24:D45)),'Sim Period'!D45-AVERAGE('Sim Period'!$D$24:D45),"")</f>
        <v>-0.0372590909090909</v>
      </c>
      <c r="N45" s="19" t="n">
        <f aca="false">IF('Sim Period'!D45&lt;(AVERAGE('Sim Period'!$D$43:D45)),'Sim Period'!D45-AVERAGE('Sim Period'!$D$43:D45),"")</f>
        <v>-0.0324333333333333</v>
      </c>
      <c r="S45" s="0" t="n">
        <v>1</v>
      </c>
    </row>
    <row r="46" customFormat="false" ht="14.1" hidden="false" customHeight="false" outlineLevel="0" collapsed="false">
      <c r="A46" s="0" t="n">
        <v>0</v>
      </c>
      <c r="B46" s="0" t="str">
        <f aca="false">IF('Sim Period'!D46&lt;(AVERAGE('Sim Period'!$D$4:D46)),'Sim Period'!D46-AVERAGE('Sim Period'!$D$4:D46),"")</f>
        <v/>
      </c>
      <c r="C46" s="0" t="str">
        <f aca="false">IF('Sim Period'!D46&lt;(AVERAGE('Sim Period'!$D$24:D46)),'Sim Period'!D46-AVERAGE('Sim Period'!$D$24:D46),"")</f>
        <v/>
      </c>
      <c r="D46" s="0" t="str">
        <f aca="false">IF('Sim Period'!D46&lt;(AVERAGE('Sim Period'!$D$43:D46)),'Sim Period'!D46-AVERAGE('Sim Period'!$D$43:D46),"")</f>
        <v/>
      </c>
      <c r="L46" s="0" t="str">
        <f aca="false">IF('Sim Period'!D46&lt;'Sim Period'!F46,'Sim Period'!D46-'Sim Period'!F46,"")</f>
        <v/>
      </c>
      <c r="M46" s="0" t="str">
        <f aca="false">IF('Sim Period'!D46&lt;(AVERAGE('Sim Period'!$D$24:D46)),'Sim Period'!D46-AVERAGE('Sim Period'!$D$24:D46),"")</f>
        <v/>
      </c>
      <c r="N46" s="0" t="str">
        <f aca="false">IF('Sim Period'!D46&lt;(AVERAGE('Sim Period'!$D$43:D46)),'Sim Period'!D46-AVERAGE('Sim Period'!$D$43:D46),"")</f>
        <v/>
      </c>
      <c r="S46" s="0" t="n">
        <v>1</v>
      </c>
    </row>
    <row r="47" customFormat="false" ht="14.1" hidden="false" customHeight="false" outlineLevel="0" collapsed="false">
      <c r="A47" s="0" t="n">
        <v>0</v>
      </c>
      <c r="B47" s="0" t="str">
        <f aca="false">IF('Sim Period'!D47&lt;(AVERAGE('Sim Period'!$D$4:D47)),'Sim Period'!D47-AVERAGE('Sim Period'!$D$4:D47),"")</f>
        <v/>
      </c>
      <c r="C47" s="0" t="str">
        <f aca="false">IF('Sim Period'!D47&lt;(AVERAGE('Sim Period'!$D$24:D47)),'Sim Period'!D47-AVERAGE('Sim Period'!$D$24:D47),"")</f>
        <v/>
      </c>
      <c r="D47" s="0" t="str">
        <f aca="false">IF('Sim Period'!D47&lt;(AVERAGE('Sim Period'!$D$43:D47)),'Sim Period'!D47-AVERAGE('Sim Period'!$D$43:D47),"")</f>
        <v/>
      </c>
      <c r="L47" s="0" t="str">
        <f aca="false">IF('Sim Period'!D47&lt;'Sim Period'!F47,'Sim Period'!D47-'Sim Period'!F47,"")</f>
        <v/>
      </c>
      <c r="M47" s="0" t="str">
        <f aca="false">IF('Sim Period'!D47&lt;(AVERAGE('Sim Period'!$D$24:D47)),'Sim Period'!D47-AVERAGE('Sim Period'!$D$24:D47),"")</f>
        <v/>
      </c>
      <c r="N47" s="0" t="str">
        <f aca="false">IF('Sim Period'!D47&lt;(AVERAGE('Sim Period'!$D$43:D47)),'Sim Period'!D47-AVERAGE('Sim Period'!$D$43:D47),"")</f>
        <v/>
      </c>
      <c r="S47" s="0" t="n">
        <v>1</v>
      </c>
    </row>
    <row r="48" customFormat="false" ht="14.1" hidden="false" customHeight="false" outlineLevel="0" collapsed="false">
      <c r="A48" s="0" t="n">
        <v>0</v>
      </c>
      <c r="B48" s="0" t="str">
        <f aca="false">IF('Sim Period'!D48&lt;(AVERAGE('Sim Period'!$D$4:D48)),'Sim Period'!D48-AVERAGE('Sim Period'!$D$4:D48),"")</f>
        <v/>
      </c>
      <c r="C48" s="0" t="str">
        <f aca="false">IF('Sim Period'!D48&lt;(AVERAGE('Sim Period'!$D$24:D48)),'Sim Period'!D48-AVERAGE('Sim Period'!$D$24:D48),"")</f>
        <v/>
      </c>
      <c r="D48" s="0" t="str">
        <f aca="false">IF('Sim Period'!D48&lt;(AVERAGE('Sim Period'!$D$43:D48)),'Sim Period'!D48-AVERAGE('Sim Period'!$D$43:D48),"")</f>
        <v/>
      </c>
      <c r="L48" s="0" t="str">
        <f aca="false">IF('Sim Period'!D48&lt;'Sim Period'!F48,'Sim Period'!D48-'Sim Period'!F48,"")</f>
        <v/>
      </c>
      <c r="M48" s="0" t="str">
        <f aca="false">IF('Sim Period'!D48&lt;(AVERAGE('Sim Period'!$D$24:D48)),'Sim Period'!D48-AVERAGE('Sim Period'!$D$24:D48),"")</f>
        <v/>
      </c>
      <c r="N48" s="0" t="str">
        <f aca="false">IF('Sim Period'!D48&lt;(AVERAGE('Sim Period'!$D$43:D48)),'Sim Period'!D48-AVERAGE('Sim Period'!$D$43:D48),"")</f>
        <v/>
      </c>
      <c r="S48" s="0" t="n">
        <v>1</v>
      </c>
    </row>
    <row r="49" customFormat="false" ht="14.1" hidden="false" customHeight="false" outlineLevel="0" collapsed="false">
      <c r="A49" s="0" t="n">
        <v>0</v>
      </c>
      <c r="B49" s="19" t="n">
        <f aca="false">IF('Sim Period'!D49&lt;(AVERAGE('Sim Period'!$D$4:D49)),'Sim Period'!D49-AVERAGE('Sim Period'!$D$4:D49),"")</f>
        <v>-0.019004347826087</v>
      </c>
      <c r="C49" s="19" t="n">
        <f aca="false">IF('Sim Period'!D49&lt;(AVERAGE('Sim Period'!$D$24:D49)),'Sim Period'!D49-AVERAGE('Sim Period'!$D$24:D49),"")</f>
        <v>-0.0154192307692308</v>
      </c>
      <c r="D49" s="19" t="n">
        <f aca="false">IF('Sim Period'!D49&lt;(AVERAGE('Sim Period'!$D$43:D49)),'Sim Period'!D49-AVERAGE('Sim Period'!$D$43:D49),"")</f>
        <v>-0.0154142857142857</v>
      </c>
      <c r="L49" s="19" t="n">
        <f aca="false">IF('Sim Period'!D49&lt;'Sim Period'!F49,'Sim Period'!D49-'Sim Period'!F49,"")</f>
        <v>-0.0186254939021674</v>
      </c>
      <c r="M49" s="19" t="n">
        <f aca="false">IF('Sim Period'!D49&lt;(AVERAGE('Sim Period'!$D$24:D49)),'Sim Period'!D49-AVERAGE('Sim Period'!$D$24:D49),"")</f>
        <v>-0.0154192307692308</v>
      </c>
      <c r="N49" s="19" t="n">
        <f aca="false">IF('Sim Period'!D49&lt;(AVERAGE('Sim Period'!$D$43:D49)),'Sim Period'!D49-AVERAGE('Sim Period'!$D$43:D49),"")</f>
        <v>-0.0154142857142857</v>
      </c>
      <c r="S49" s="0" t="n">
        <v>1</v>
      </c>
    </row>
    <row r="50" customFormat="false" ht="14.1" hidden="false" customHeight="false" outlineLevel="0" collapsed="false">
      <c r="A50" s="0" t="n">
        <v>0</v>
      </c>
      <c r="B50" s="19" t="n">
        <f aca="false">IF('Sim Period'!D50&lt;(AVERAGE('Sim Period'!$D$4:D50)),'Sim Period'!D50-AVERAGE('Sim Period'!$D$4:D50),"")</f>
        <v>-0.0433617021276596</v>
      </c>
      <c r="C50" s="19" t="n">
        <f aca="false">IF('Sim Period'!D50&lt;(AVERAGE('Sim Period'!$D$24:D50)),'Sim Period'!D50-AVERAGE('Sim Period'!$D$24:D50),"")</f>
        <v>-0.0392111111111111</v>
      </c>
      <c r="D50" s="19" t="n">
        <f aca="false">IF('Sim Period'!D50&lt;(AVERAGE('Sim Period'!$D$43:D50)),'Sim Period'!D50-AVERAGE('Sim Period'!$D$43:D50),"")</f>
        <v>-0.035625</v>
      </c>
      <c r="L50" s="19" t="n">
        <f aca="false">IF('Sim Period'!D50&lt;'Sim Period'!F50,'Sim Period'!D50-'Sim Period'!F50,"")</f>
        <v>-0.0429812645033524</v>
      </c>
      <c r="M50" s="19" t="n">
        <f aca="false">IF('Sim Period'!D50&lt;(AVERAGE('Sim Period'!$D$24:D50)),'Sim Period'!D50-AVERAGE('Sim Period'!$D$24:D50),"")</f>
        <v>-0.0392111111111111</v>
      </c>
      <c r="N50" s="19" t="n">
        <f aca="false">IF('Sim Period'!D50&lt;(AVERAGE('Sim Period'!$D$43:D50)),'Sim Period'!D50-AVERAGE('Sim Period'!$D$43:D50),"")</f>
        <v>-0.035625</v>
      </c>
      <c r="S50" s="0" t="n">
        <v>1</v>
      </c>
    </row>
    <row r="51" customFormat="false" ht="14.1" hidden="false" customHeight="false" outlineLevel="0" collapsed="false">
      <c r="A51" s="0" t="n">
        <v>0</v>
      </c>
      <c r="B51" s="0" t="str">
        <f aca="false">IF('Sim Period'!D51&lt;(AVERAGE('Sim Period'!$D$4:D51)),'Sim Period'!D51-AVERAGE('Sim Period'!$D$4:D51),"")</f>
        <v/>
      </c>
      <c r="C51" s="0" t="str">
        <f aca="false">IF('Sim Period'!D51&lt;(AVERAGE('Sim Period'!$D$24:D51)),'Sim Period'!D51-AVERAGE('Sim Period'!$D$24:D51),"")</f>
        <v/>
      </c>
      <c r="D51" s="0" t="str">
        <f aca="false">IF('Sim Period'!D51&lt;(AVERAGE('Sim Period'!$D$43:D51)),'Sim Period'!D51-AVERAGE('Sim Period'!$D$43:D51),"")</f>
        <v/>
      </c>
      <c r="L51" s="0" t="str">
        <f aca="false">IF('Sim Period'!D51&lt;'Sim Period'!F51,'Sim Period'!D51-'Sim Period'!F51,"")</f>
        <v/>
      </c>
      <c r="M51" s="0" t="str">
        <f aca="false">IF('Sim Period'!D51&lt;(AVERAGE('Sim Period'!$D$24:D51)),'Sim Period'!D51-AVERAGE('Sim Period'!$D$24:D51),"")</f>
        <v/>
      </c>
      <c r="N51" s="0" t="str">
        <f aca="false">IF('Sim Period'!D51&lt;(AVERAGE('Sim Period'!$D$43:D51)),'Sim Period'!D51-AVERAGE('Sim Period'!$D$43:D51),"")</f>
        <v/>
      </c>
      <c r="S51" s="0" t="n">
        <v>1</v>
      </c>
    </row>
    <row r="52" customFormat="false" ht="14.1" hidden="false" customHeight="false" outlineLevel="0" collapsed="false">
      <c r="A52" s="0" t="n">
        <v>0</v>
      </c>
      <c r="B52" s="19" t="n">
        <f aca="false">IF('Sim Period'!D52&lt;(AVERAGE('Sim Period'!$D$4:D52)),'Sim Period'!D52-AVERAGE('Sim Period'!$D$4:D52),"")</f>
        <v>-0.0242204081632653</v>
      </c>
      <c r="C52" s="19" t="n">
        <f aca="false">IF('Sim Period'!D52&lt;(AVERAGE('Sim Period'!$D$24:D52)),'Sim Period'!D52-AVERAGE('Sim Period'!$D$24:D52),"")</f>
        <v>-0.0206034482758621</v>
      </c>
      <c r="D52" s="19" t="n">
        <f aca="false">IF('Sim Period'!D52&lt;(AVERAGE('Sim Period'!$D$43:D52)),'Sim Period'!D52-AVERAGE('Sim Period'!$D$43:D52),"")</f>
        <v>-0.01943</v>
      </c>
      <c r="L52" s="19" t="n">
        <f aca="false">IF('Sim Period'!D52&lt;'Sim Period'!F52,'Sim Period'!D52-'Sim Period'!F52,"")</f>
        <v>-0.0238242350792135</v>
      </c>
      <c r="M52" s="19" t="n">
        <f aca="false">IF('Sim Period'!D52&lt;(AVERAGE('Sim Period'!$D$24:D52)),'Sim Period'!D52-AVERAGE('Sim Period'!$D$24:D52),"")</f>
        <v>-0.0206034482758621</v>
      </c>
      <c r="N52" s="19" t="n">
        <f aca="false">IF('Sim Period'!D52&lt;(AVERAGE('Sim Period'!$D$43:D52)),'Sim Period'!D52-AVERAGE('Sim Period'!$D$43:D52),"")</f>
        <v>-0.01943</v>
      </c>
      <c r="S52" s="0" t="n">
        <v>1</v>
      </c>
    </row>
    <row r="53" customFormat="false" ht="14.1" hidden="false" customHeight="false" outlineLevel="0" collapsed="false">
      <c r="A53" s="0" t="n">
        <v>0</v>
      </c>
      <c r="B53" s="19" t="n">
        <f aca="false">IF('Sim Period'!D53&lt;(AVERAGE('Sim Period'!$D$4:D53)),'Sim Period'!D53-AVERAGE('Sim Period'!$D$4:D53),"")</f>
        <v>-0.00531200000000006</v>
      </c>
      <c r="C53" s="19" t="n">
        <f aca="false">IF('Sim Period'!D53&lt;(AVERAGE('Sim Period'!$D$24:D53)),'Sim Period'!D53-AVERAGE('Sim Period'!$D$24:D53),"")</f>
        <v>-0.00174333333333338</v>
      </c>
      <c r="D53" s="19" t="n">
        <f aca="false">IF('Sim Period'!D53&lt;(AVERAGE('Sim Period'!$D$43:D53)),'Sim Period'!D53-AVERAGE('Sim Period'!$D$43:D53),"")</f>
        <v>-0.000572727272727298</v>
      </c>
      <c r="L53" s="19" t="n">
        <f aca="false">IF('Sim Period'!D53&lt;'Sim Period'!F53,'Sim Period'!D53-'Sim Period'!F53,"")</f>
        <v>-0.00492573892559007</v>
      </c>
      <c r="M53" s="19" t="n">
        <f aca="false">IF('Sim Period'!D53&lt;(AVERAGE('Sim Period'!$D$24:D53)),'Sim Period'!D53-AVERAGE('Sim Period'!$D$24:D53),"")</f>
        <v>-0.00174333333333338</v>
      </c>
      <c r="N53" s="19" t="n">
        <f aca="false">IF('Sim Period'!D53&lt;(AVERAGE('Sim Period'!$D$43:D53)),'Sim Period'!D53-AVERAGE('Sim Period'!$D$43:D53),"")</f>
        <v>-0.000572727272727298</v>
      </c>
      <c r="S53" s="0" t="n">
        <v>1</v>
      </c>
    </row>
    <row r="54" customFormat="false" ht="14.1" hidden="false" customHeight="false" outlineLevel="0" collapsed="false">
      <c r="A54" s="0" t="n">
        <v>0</v>
      </c>
      <c r="B54" s="19" t="n">
        <f aca="false">IF('Sim Period'!D54&lt;(AVERAGE('Sim Period'!$D$4:D54)),'Sim Period'!D54-AVERAGE('Sim Period'!$D$4:D54),"")</f>
        <v>-0.00373725490196081</v>
      </c>
      <c r="C54" s="19" t="n">
        <f aca="false">IF('Sim Period'!D54&lt;(AVERAGE('Sim Period'!$D$24:D54)),'Sim Period'!D54-AVERAGE('Sim Period'!$D$24:D54),"")</f>
        <v>-0.000235483870967755</v>
      </c>
      <c r="D54" s="0" t="str">
        <f aca="false">IF('Sim Period'!D54&lt;(AVERAGE('Sim Period'!$D$43:D54)),'Sim Period'!D54-AVERAGE('Sim Period'!$D$43:D54),"")</f>
        <v/>
      </c>
      <c r="L54" s="19" t="n">
        <f aca="false">IF('Sim Period'!D54&lt;'Sim Period'!F54,'Sim Period'!D54-'Sim Period'!F54,"")</f>
        <v>-0.00336038092527475</v>
      </c>
      <c r="M54" s="19" t="n">
        <f aca="false">IF('Sim Period'!D54&lt;(AVERAGE('Sim Period'!$D$24:D54)),'Sim Period'!D54-AVERAGE('Sim Period'!$D$24:D54),"")</f>
        <v>-0.000235483870967755</v>
      </c>
      <c r="N54" s="0" t="str">
        <f aca="false">IF('Sim Period'!D54&lt;(AVERAGE('Sim Period'!$D$43:D54)),'Sim Period'!D54-AVERAGE('Sim Period'!$D$43:D54),"")</f>
        <v/>
      </c>
      <c r="S54" s="0" t="n">
        <v>1</v>
      </c>
    </row>
    <row r="55" customFormat="false" ht="14.1" hidden="false" customHeight="false" outlineLevel="0" collapsed="false">
      <c r="A55" s="0" t="n">
        <v>0</v>
      </c>
      <c r="B55" s="19" t="n">
        <f aca="false">IF('Sim Period'!D55&lt;(AVERAGE('Sim Period'!$D$4:D55)),'Sim Period'!D55-AVERAGE('Sim Period'!$D$4:D55),"")</f>
        <v>-0.0266153846153846</v>
      </c>
      <c r="C55" s="19" t="n">
        <f aca="false">IF('Sim Period'!D55&lt;(AVERAGE('Sim Period'!$D$24:D55)),'Sim Period'!D55-AVERAGE('Sim Period'!$D$24:D55),"")</f>
        <v>-0.022896875</v>
      </c>
      <c r="D55" s="19" t="n">
        <f aca="false">IF('Sim Period'!D55&lt;(AVERAGE('Sim Period'!$D$43:D55)),'Sim Period'!D55-AVERAGE('Sim Period'!$D$43:D55),"")</f>
        <v>-0.0208153846153846</v>
      </c>
      <c r="L55" s="19" t="n">
        <f aca="false">IF('Sim Period'!D55&lt;'Sim Period'!F55,'Sim Period'!D55-'Sim Period'!F55,"")</f>
        <v>-0.0262602065158991</v>
      </c>
      <c r="M55" s="19" t="n">
        <f aca="false">IF('Sim Period'!D55&lt;(AVERAGE('Sim Period'!$D$24:D55)),'Sim Period'!D55-AVERAGE('Sim Period'!$D$24:D55),"")</f>
        <v>-0.022896875</v>
      </c>
      <c r="N55" s="19" t="n">
        <f aca="false">IF('Sim Period'!D55&lt;(AVERAGE('Sim Period'!$D$43:D55)),'Sim Period'!D55-AVERAGE('Sim Period'!$D$43:D55),"")</f>
        <v>-0.0208153846153846</v>
      </c>
      <c r="S55" s="0" t="n">
        <v>1</v>
      </c>
    </row>
    <row r="56" customFormat="false" ht="14.1" hidden="false" customHeight="false" outlineLevel="0" collapsed="false">
      <c r="A56" s="0" t="n">
        <v>0</v>
      </c>
      <c r="B56" s="19" t="n">
        <f aca="false">IF('Sim Period'!D56&lt;(AVERAGE('Sim Period'!$D$4:D56)),'Sim Period'!D56-AVERAGE('Sim Period'!$D$4:D56),"")</f>
        <v>-0.00668679245283018</v>
      </c>
      <c r="C56" s="19" t="n">
        <f aca="false">IF('Sim Period'!D56&lt;(AVERAGE('Sim Period'!$D$24:D56)),'Sim Period'!D56-AVERAGE('Sim Period'!$D$24:D56),"")</f>
        <v>-0.00300303030303029</v>
      </c>
      <c r="D56" s="19" t="n">
        <f aca="false">IF('Sim Period'!D56&lt;(AVERAGE('Sim Period'!$D$43:D56)),'Sim Period'!D56-AVERAGE('Sim Period'!$D$43:D56),"")</f>
        <v>-0.000942857142857113</v>
      </c>
      <c r="L56" s="19" t="n">
        <f aca="false">IF('Sim Period'!D56&lt;'Sim Period'!F56,'Sim Period'!D56-'Sim Period'!F56,"")</f>
        <v>-0.00634596713746321</v>
      </c>
      <c r="M56" s="19" t="n">
        <f aca="false">IF('Sim Period'!D56&lt;(AVERAGE('Sim Period'!$D$24:D56)),'Sim Period'!D56-AVERAGE('Sim Period'!$D$24:D56),"")</f>
        <v>-0.00300303030303029</v>
      </c>
      <c r="N56" s="19" t="n">
        <f aca="false">IF('Sim Period'!D56&lt;(AVERAGE('Sim Period'!$D$43:D56)),'Sim Period'!D56-AVERAGE('Sim Period'!$D$43:D56),"")</f>
        <v>-0.000942857142857113</v>
      </c>
      <c r="S56" s="0" t="n">
        <v>1</v>
      </c>
    </row>
    <row r="57" customFormat="false" ht="14.1" hidden="false" customHeight="false" outlineLevel="0" collapsed="false">
      <c r="A57" s="0" t="n">
        <v>0</v>
      </c>
      <c r="B57" s="0" t="str">
        <f aca="false">IF('Sim Period'!D57&lt;(AVERAGE('Sim Period'!$D$4:D57)),'Sim Period'!D57-AVERAGE('Sim Period'!$D$4:D57),"")</f>
        <v/>
      </c>
      <c r="C57" s="0" t="str">
        <f aca="false">IF('Sim Period'!D57&lt;(AVERAGE('Sim Period'!$D$24:D57)),'Sim Period'!D57-AVERAGE('Sim Period'!$D$24:D57),"")</f>
        <v/>
      </c>
      <c r="D57" s="0" t="str">
        <f aca="false">IF('Sim Period'!D57&lt;(AVERAGE('Sim Period'!$D$43:D57)),'Sim Period'!D57-AVERAGE('Sim Period'!$D$43:D57),"")</f>
        <v/>
      </c>
      <c r="L57" s="0" t="str">
        <f aca="false">IF('Sim Period'!D57&lt;'Sim Period'!F57,'Sim Period'!D57-'Sim Period'!F57,"")</f>
        <v/>
      </c>
      <c r="M57" s="0" t="str">
        <f aca="false">IF('Sim Period'!D57&lt;(AVERAGE('Sim Period'!$D$24:D57)),'Sim Period'!D57-AVERAGE('Sim Period'!$D$24:D57),"")</f>
        <v/>
      </c>
      <c r="N57" s="0" t="str">
        <f aca="false">IF('Sim Period'!D57&lt;(AVERAGE('Sim Period'!$D$43:D57)),'Sim Period'!D57-AVERAGE('Sim Period'!$D$43:D57),"")</f>
        <v/>
      </c>
      <c r="S57" s="0" t="n">
        <v>1</v>
      </c>
    </row>
    <row r="58" customFormat="false" ht="14.1" hidden="false" customHeight="false" outlineLevel="0" collapsed="false">
      <c r="A58" s="0" t="n">
        <v>0</v>
      </c>
      <c r="B58" s="19" t="n">
        <f aca="false">IF('Sim Period'!D58&lt;(AVERAGE('Sim Period'!$D$4:D58)),'Sim Period'!D58-AVERAGE('Sim Period'!$D$4:D58),"")</f>
        <v>-0.0362490909090908</v>
      </c>
      <c r="C58" s="19" t="n">
        <f aca="false">IF('Sim Period'!D58&lt;(AVERAGE('Sim Period'!$D$24:D58)),'Sim Period'!D58-AVERAGE('Sim Period'!$D$24:D58),"")</f>
        <v>-0.0324685714285713</v>
      </c>
      <c r="D58" s="19" t="n">
        <f aca="false">IF('Sim Period'!D58&lt;(AVERAGE('Sim Period'!$D$43:D58)),'Sim Period'!D58-AVERAGE('Sim Period'!$D$43:D58),"")</f>
        <v>-0.0299124999999999</v>
      </c>
      <c r="L58" s="19" t="n">
        <f aca="false">IF('Sim Period'!D58&lt;'Sim Period'!F58,'Sim Period'!D58-'Sim Period'!F58,"")</f>
        <v>-0.0359512480994517</v>
      </c>
      <c r="M58" s="19" t="n">
        <f aca="false">IF('Sim Period'!D58&lt;(AVERAGE('Sim Period'!$D$24:D58)),'Sim Period'!D58-AVERAGE('Sim Period'!$D$24:D58),"")</f>
        <v>-0.0324685714285713</v>
      </c>
      <c r="N58" s="19" t="n">
        <f aca="false">IF('Sim Period'!D58&lt;(AVERAGE('Sim Period'!$D$43:D58)),'Sim Period'!D58-AVERAGE('Sim Period'!$D$43:D58),"")</f>
        <v>-0.0299124999999999</v>
      </c>
      <c r="S58" s="0" t="n">
        <v>1</v>
      </c>
    </row>
    <row r="59" customFormat="false" ht="14.1" hidden="false" customHeight="false" outlineLevel="0" collapsed="false">
      <c r="A59" s="0" t="n">
        <v>0</v>
      </c>
      <c r="B59" s="0" t="str">
        <f aca="false">IF('Sim Period'!D59&lt;(AVERAGE('Sim Period'!$D$4:D59)),'Sim Period'!D59-AVERAGE('Sim Period'!$D$4:D59),"")</f>
        <v/>
      </c>
      <c r="C59" s="0" t="str">
        <f aca="false">IF('Sim Period'!D59&lt;(AVERAGE('Sim Period'!$D$24:D59)),'Sim Period'!D59-AVERAGE('Sim Period'!$D$24:D59),"")</f>
        <v/>
      </c>
      <c r="D59" s="0" t="str">
        <f aca="false">IF('Sim Period'!D59&lt;(AVERAGE('Sim Period'!$D$43:D59)),'Sim Period'!D59-AVERAGE('Sim Period'!$D$43:D59),"")</f>
        <v/>
      </c>
      <c r="L59" s="0" t="str">
        <f aca="false">IF('Sim Period'!D59&lt;'Sim Period'!F59,'Sim Period'!D59-'Sim Period'!F59,"")</f>
        <v/>
      </c>
      <c r="M59" s="0" t="str">
        <f aca="false">IF('Sim Period'!D59&lt;(AVERAGE('Sim Period'!$D$24:D59)),'Sim Period'!D59-AVERAGE('Sim Period'!$D$24:D59),"")</f>
        <v/>
      </c>
      <c r="N59" s="0" t="str">
        <f aca="false">IF('Sim Period'!D59&lt;(AVERAGE('Sim Period'!$D$43:D59)),'Sim Period'!D59-AVERAGE('Sim Period'!$D$43:D59),"")</f>
        <v/>
      </c>
      <c r="S59" s="0" t="n">
        <v>1</v>
      </c>
    </row>
    <row r="60" customFormat="false" ht="14.1" hidden="false" customHeight="false" outlineLevel="0" collapsed="false">
      <c r="A60" s="0" t="n">
        <v>0</v>
      </c>
      <c r="B60" s="0" t="str">
        <f aca="false">IF('Sim Period'!D60&lt;(AVERAGE('Sim Period'!$D$4:D60)),'Sim Period'!D60-AVERAGE('Sim Period'!$D$4:D60),"")</f>
        <v/>
      </c>
      <c r="C60" s="0" t="str">
        <f aca="false">IF('Sim Period'!D60&lt;(AVERAGE('Sim Period'!$D$24:D60)),'Sim Period'!D60-AVERAGE('Sim Period'!$D$24:D60),"")</f>
        <v/>
      </c>
      <c r="D60" s="0" t="str">
        <f aca="false">IF('Sim Period'!D60&lt;(AVERAGE('Sim Period'!$D$43:D60)),'Sim Period'!D60-AVERAGE('Sim Period'!$D$43:D60),"")</f>
        <v/>
      </c>
      <c r="L60" s="0" t="str">
        <f aca="false">IF('Sim Period'!D60&lt;'Sim Period'!F60,'Sim Period'!D60-'Sim Period'!F60,"")</f>
        <v/>
      </c>
      <c r="M60" s="0" t="str">
        <f aca="false">IF('Sim Period'!D60&lt;(AVERAGE('Sim Period'!$D$24:D60)),'Sim Period'!D60-AVERAGE('Sim Period'!$D$24:D60),"")</f>
        <v/>
      </c>
      <c r="N60" s="0" t="str">
        <f aca="false">IF('Sim Period'!D60&lt;(AVERAGE('Sim Period'!$D$43:D60)),'Sim Period'!D60-AVERAGE('Sim Period'!$D$43:D60),"")</f>
        <v/>
      </c>
      <c r="S60" s="0" t="n">
        <v>1</v>
      </c>
    </row>
    <row r="61" customFormat="false" ht="14.1" hidden="false" customHeight="false" outlineLevel="0" collapsed="false">
      <c r="A61" s="0" t="n">
        <v>0</v>
      </c>
      <c r="B61" s="0" t="str">
        <f aca="false">IF('Sim Period'!D61&lt;(AVERAGE('Sim Period'!$D$4:D61)),'Sim Period'!D61-AVERAGE('Sim Period'!$D$4:D61),"")</f>
        <v/>
      </c>
      <c r="C61" s="0" t="str">
        <f aca="false">IF('Sim Period'!D61&lt;(AVERAGE('Sim Period'!$D$24:D61)),'Sim Period'!D61-AVERAGE('Sim Period'!$D$24:D61),"")</f>
        <v/>
      </c>
      <c r="D61" s="0" t="str">
        <f aca="false">IF('Sim Period'!D61&lt;(AVERAGE('Sim Period'!$D$43:D61)),'Sim Period'!D61-AVERAGE('Sim Period'!$D$43:D61),"")</f>
        <v/>
      </c>
      <c r="L61" s="0" t="str">
        <f aca="false">IF('Sim Period'!D61&lt;'Sim Period'!F61,'Sim Period'!D61-'Sim Period'!F61,"")</f>
        <v/>
      </c>
      <c r="M61" s="0" t="str">
        <f aca="false">IF('Sim Period'!D61&lt;(AVERAGE('Sim Period'!$D$24:D61)),'Sim Period'!D61-AVERAGE('Sim Period'!$D$24:D61),"")</f>
        <v/>
      </c>
      <c r="N61" s="0" t="str">
        <f aca="false">IF('Sim Period'!D61&lt;(AVERAGE('Sim Period'!$D$43:D61)),'Sim Period'!D61-AVERAGE('Sim Period'!$D$43:D61),"")</f>
        <v/>
      </c>
      <c r="S61" s="0" t="n">
        <v>1</v>
      </c>
    </row>
    <row r="62" customFormat="false" ht="14.1" hidden="false" customHeight="false" outlineLevel="0" collapsed="false">
      <c r="A62" s="0" t="n">
        <v>0</v>
      </c>
      <c r="B62" s="0" t="str">
        <f aca="false">IF('Sim Period'!D62&lt;(AVERAGE('Sim Period'!$D$4:D62)),'Sim Period'!D62-AVERAGE('Sim Period'!$D$4:D62),"")</f>
        <v/>
      </c>
      <c r="C62" s="0" t="str">
        <f aca="false">IF('Sim Period'!D62&lt;(AVERAGE('Sim Period'!$D$24:D62)),'Sim Period'!D62-AVERAGE('Sim Period'!$D$24:D62),"")</f>
        <v/>
      </c>
      <c r="D62" s="0" t="str">
        <f aca="false">IF('Sim Period'!D62&lt;(AVERAGE('Sim Period'!$D$43:D62)),'Sim Period'!D62-AVERAGE('Sim Period'!$D$43:D62),"")</f>
        <v/>
      </c>
      <c r="L62" s="0" t="str">
        <f aca="false">IF('Sim Period'!D62&lt;'Sim Period'!F62,'Sim Period'!D62-'Sim Period'!F62,"")</f>
        <v/>
      </c>
      <c r="M62" s="0" t="str">
        <f aca="false">IF('Sim Period'!D62&lt;(AVERAGE('Sim Period'!$D$24:D62)),'Sim Period'!D62-AVERAGE('Sim Period'!$D$24:D62),"")</f>
        <v/>
      </c>
      <c r="N62" s="0" t="str">
        <f aca="false">IF('Sim Period'!D62&lt;(AVERAGE('Sim Period'!$D$43:D62)),'Sim Period'!D62-AVERAGE('Sim Period'!$D$43:D62),"")</f>
        <v/>
      </c>
      <c r="S62" s="0" t="n">
        <v>1</v>
      </c>
    </row>
    <row r="63" customFormat="false" ht="14.1" hidden="false" customHeight="false" outlineLevel="0" collapsed="false">
      <c r="A63" s="0" t="n">
        <v>0</v>
      </c>
      <c r="B63" s="19" t="n">
        <f aca="false">IF('Sim Period'!D63&lt;(AVERAGE('Sim Period'!$D$4:D63)),'Sim Period'!D63-AVERAGE('Sim Period'!$D$4:D63),"")</f>
        <v>-0.0287699999999999</v>
      </c>
      <c r="C63" s="19" t="n">
        <f aca="false">IF('Sim Period'!D63&lt;(AVERAGE('Sim Period'!$D$24:D63)),'Sim Period'!D63-AVERAGE('Sim Period'!$D$24:D63),"")</f>
        <v>-0.0263224999999999</v>
      </c>
      <c r="D63" s="19" t="n">
        <f aca="false">IF('Sim Period'!D63&lt;(AVERAGE('Sim Period'!$D$43:D63)),'Sim Period'!D63-AVERAGE('Sim Period'!$D$43:D63),"")</f>
        <v>-0.0271380952380951</v>
      </c>
      <c r="L63" s="19" t="n">
        <f aca="false">IF('Sim Period'!D63&lt;'Sim Period'!F63,'Sim Period'!D63-'Sim Period'!F63,"")</f>
        <v>-0.0283821278899357</v>
      </c>
      <c r="M63" s="19" t="n">
        <f aca="false">IF('Sim Period'!D63&lt;(AVERAGE('Sim Period'!$D$24:D63)),'Sim Period'!D63-AVERAGE('Sim Period'!$D$24:D63),"")</f>
        <v>-0.0263224999999999</v>
      </c>
      <c r="N63" s="19" t="n">
        <f aca="false">IF('Sim Period'!D63&lt;(AVERAGE('Sim Period'!$D$43:D63)),'Sim Period'!D63-AVERAGE('Sim Period'!$D$43:D63),"")</f>
        <v>-0.0271380952380951</v>
      </c>
      <c r="S63" s="0" t="n">
        <v>1</v>
      </c>
    </row>
    <row r="64" customFormat="false" ht="14.1" hidden="false" customHeight="false" outlineLevel="0" collapsed="false">
      <c r="A64" s="0" t="n">
        <v>0</v>
      </c>
      <c r="B64" s="19" t="n">
        <f aca="false">IF('Sim Period'!D64&lt;(AVERAGE('Sim Period'!$D$4:D64)),'Sim Period'!D64-AVERAGE('Sim Period'!$D$4:D64),"")</f>
        <v>-0.0339049180327869</v>
      </c>
      <c r="C64" s="19" t="n">
        <f aca="false">IF('Sim Period'!D64&lt;(AVERAGE('Sim Period'!$D$24:D64)),'Sim Period'!D64-AVERAGE('Sim Period'!$D$24:D64),"")</f>
        <v>-0.0312414634146341</v>
      </c>
      <c r="D64" s="19" t="n">
        <f aca="false">IF('Sim Period'!D64&lt;(AVERAGE('Sim Period'!$D$43:D64)),'Sim Period'!D64-AVERAGE('Sim Period'!$D$43:D64),"")</f>
        <v>-0.0313454545454545</v>
      </c>
      <c r="L64" s="19" t="n">
        <f aca="false">IF('Sim Period'!D64&lt;'Sim Period'!F64,'Sim Period'!D64-'Sim Period'!F64,"")</f>
        <v>-0.0335240039300547</v>
      </c>
      <c r="M64" s="19" t="n">
        <f aca="false">IF('Sim Period'!D64&lt;(AVERAGE('Sim Period'!$D$24:D64)),'Sim Period'!D64-AVERAGE('Sim Period'!$D$24:D64),"")</f>
        <v>-0.0312414634146341</v>
      </c>
      <c r="N64" s="19" t="n">
        <f aca="false">IF('Sim Period'!D64&lt;(AVERAGE('Sim Period'!$D$43:D64)),'Sim Period'!D64-AVERAGE('Sim Period'!$D$43:D64),"")</f>
        <v>-0.0313454545454545</v>
      </c>
      <c r="S64" s="0" t="n">
        <v>1</v>
      </c>
    </row>
    <row r="65" customFormat="false" ht="14.1" hidden="false" customHeight="false" outlineLevel="0" collapsed="false">
      <c r="A65" s="0" t="n">
        <v>3</v>
      </c>
      <c r="B65" s="0" t="str">
        <f aca="false">IF('Sim Period'!D65&lt;(AVERAGE('Sim Period'!$D$4:D65)),'Sim Period'!D65-AVERAGE('Sim Period'!$D$4:D65),"")</f>
        <v/>
      </c>
      <c r="C65" s="0" t="str">
        <f aca="false">IF('Sim Period'!D65&lt;(AVERAGE('Sim Period'!$D$24:D65)),'Sim Period'!D65-AVERAGE('Sim Period'!$D$24:D65),"")</f>
        <v/>
      </c>
      <c r="D65" s="0" t="str">
        <f aca="false">IF('Sim Period'!D65&lt;(AVERAGE('Sim Period'!$D$43:D65)),'Sim Period'!D65-AVERAGE('Sim Period'!$D$43:D65),"")</f>
        <v/>
      </c>
      <c r="L65" s="0" t="str">
        <f aca="false">IF('Sim Period'!D65&lt;'Sim Period'!F65,'Sim Period'!D65-'Sim Period'!F65,"")</f>
        <v/>
      </c>
      <c r="M65" s="0" t="str">
        <f aca="false">IF('Sim Period'!D65&lt;(AVERAGE('Sim Period'!$D$24:D65)),'Sim Period'!D65-AVERAGE('Sim Period'!$D$24:D65),"")</f>
        <v/>
      </c>
      <c r="N65" s="0" t="str">
        <f aca="false">IF('Sim Period'!D65&lt;(AVERAGE('Sim Period'!$D$43:D65)),'Sim Period'!D65-AVERAGE('Sim Period'!$D$43:D65),"")</f>
        <v/>
      </c>
      <c r="S65" s="0" t="n">
        <v>1</v>
      </c>
    </row>
    <row r="66" customFormat="false" ht="14.1" hidden="false" customHeight="false" outlineLevel="0" collapsed="false">
      <c r="A66" s="0" t="n">
        <v>0</v>
      </c>
      <c r="C66" s="0" t="str">
        <f aca="false">IF('Sim Period'!D66&lt;(AVERAGE('Sim Period'!$D$24:D66)),'Sim Period'!D66-AVERAGE('Sim Period'!$D$24:D66),"")</f>
        <v/>
      </c>
      <c r="D66" s="0" t="str">
        <f aca="false">IF('Sim Period'!D66&lt;(AVERAGE('Sim Period'!$D$43:D66)),'Sim Period'!D66-AVERAGE('Sim Period'!$D$43:D66),"")</f>
        <v/>
      </c>
      <c r="E66" s="0" t="str">
        <f aca="false">IF('Sim Period'!D66&lt;(AVERAGE('Sim Period'!$D$66:D66)),'Sim Period'!D66-AVERAGE('Sim Period'!$D$66:D66),"")</f>
        <v/>
      </c>
      <c r="L66" s="0" t="str">
        <f aca="false">IF('Sim Period'!D66&lt;'Sim Period'!F66,'Sim Period'!D66-'Sim Period'!F66,"")</f>
        <v/>
      </c>
      <c r="M66" s="0" t="str">
        <f aca="false">IF('Sim Period'!D66&lt;(AVERAGE('Sim Period'!$D$24:D66)),'Sim Period'!D66-AVERAGE('Sim Period'!$D$24:D66),"")</f>
        <v/>
      </c>
      <c r="N66" s="0" t="str">
        <f aca="false">IF('Sim Period'!D66&lt;(AVERAGE('Sim Period'!$D$43:D66)),'Sim Period'!D66-AVERAGE('Sim Period'!$D$43:D66),"")</f>
        <v/>
      </c>
      <c r="O66" s="0" t="str">
        <f aca="false">IF('Sim Period'!D66&lt;(AVERAGE('Sim Period'!$D$66:D66)),'Sim Period'!D66-AVERAGE('Sim Period'!$D$66:D66),"")</f>
        <v/>
      </c>
      <c r="S66" s="0" t="n">
        <v>1</v>
      </c>
    </row>
    <row r="67" customFormat="false" ht="14.1" hidden="false" customHeight="false" outlineLevel="0" collapsed="false">
      <c r="A67" s="0" t="n">
        <v>0</v>
      </c>
      <c r="C67" s="0" t="str">
        <f aca="false">IF('Sim Period'!D67&lt;(AVERAGE('Sim Period'!$D$24:D67)),'Sim Period'!D67-AVERAGE('Sim Period'!$D$24:D67),"")</f>
        <v/>
      </c>
      <c r="D67" s="0" t="str">
        <f aca="false">IF('Sim Period'!D67&lt;(AVERAGE('Sim Period'!$D$43:D67)),'Sim Period'!D67-AVERAGE('Sim Period'!$D$43:D67),"")</f>
        <v/>
      </c>
      <c r="E67" s="19" t="n">
        <f aca="false">IF('Sim Period'!D67&lt;(AVERAGE('Sim Period'!$D$66:D67)),'Sim Period'!D67-AVERAGE('Sim Period'!$D$66:D67),"")</f>
        <v>-0.02155</v>
      </c>
      <c r="L67" s="0" t="str">
        <f aca="false">IF('Sim Period'!D67&lt;'Sim Period'!F67,'Sim Period'!D67-'Sim Period'!F67,"")</f>
        <v/>
      </c>
      <c r="M67" s="0" t="str">
        <f aca="false">IF('Sim Period'!D67&lt;(AVERAGE('Sim Period'!$D$24:D67)),'Sim Period'!D67-AVERAGE('Sim Period'!$D$24:D67),"")</f>
        <v/>
      </c>
      <c r="N67" s="0" t="str">
        <f aca="false">IF('Sim Period'!D67&lt;(AVERAGE('Sim Period'!$D$43:D67)),'Sim Period'!D67-AVERAGE('Sim Period'!$D$43:D67),"")</f>
        <v/>
      </c>
      <c r="O67" s="19" t="n">
        <f aca="false">IF('Sim Period'!D67&lt;(AVERAGE('Sim Period'!$D$66:D67)),'Sim Period'!D67-AVERAGE('Sim Period'!$D$66:D67),"")</f>
        <v>-0.02155</v>
      </c>
      <c r="S67" s="0" t="n">
        <v>1</v>
      </c>
    </row>
    <row r="68" customFormat="false" ht="14.1" hidden="false" customHeight="false" outlineLevel="0" collapsed="false">
      <c r="A68" s="0" t="n">
        <v>0</v>
      </c>
      <c r="C68" s="19" t="n">
        <f aca="false">IF('Sim Period'!D68&lt;(AVERAGE('Sim Period'!$D$24:D68)),'Sim Period'!D68-AVERAGE('Sim Period'!$D$24:D68),"")</f>
        <v>-0.042468888888889</v>
      </c>
      <c r="D68" s="19" t="n">
        <f aca="false">IF('Sim Period'!D68&lt;(AVERAGE('Sim Period'!$D$43:D68)),'Sim Period'!D68-AVERAGE('Sim Period'!$D$43:D68),"")</f>
        <v>-0.0433807692307693</v>
      </c>
      <c r="E68" s="19" t="n">
        <f aca="false">IF('Sim Period'!D68&lt;(AVERAGE('Sim Period'!$D$66:D68)),'Sim Period'!D68-AVERAGE('Sim Period'!$D$66:D68),"")</f>
        <v>-0.0484333333333334</v>
      </c>
      <c r="L68" s="19" t="n">
        <f aca="false">IF('Sim Period'!D68&lt;'Sim Period'!F68,'Sim Period'!D68-'Sim Period'!F68,"")</f>
        <v>-0.0442145357034269</v>
      </c>
      <c r="M68" s="19" t="n">
        <f aca="false">IF('Sim Period'!D68&lt;(AVERAGE('Sim Period'!$D$24:D68)),'Sim Period'!D68-AVERAGE('Sim Period'!$D$24:D68),"")</f>
        <v>-0.042468888888889</v>
      </c>
      <c r="N68" s="19" t="n">
        <f aca="false">IF('Sim Period'!D68&lt;(AVERAGE('Sim Period'!$D$43:D68)),'Sim Period'!D68-AVERAGE('Sim Period'!$D$43:D68),"")</f>
        <v>-0.0433807692307693</v>
      </c>
      <c r="O68" s="19" t="n">
        <f aca="false">IF('Sim Period'!D68&lt;(AVERAGE('Sim Period'!$D$66:D68)),'Sim Period'!D68-AVERAGE('Sim Period'!$D$66:D68),"")</f>
        <v>-0.0484333333333334</v>
      </c>
      <c r="S68" s="0" t="n">
        <v>1</v>
      </c>
    </row>
    <row r="69" customFormat="false" ht="14.1" hidden="false" customHeight="false" outlineLevel="0" collapsed="false">
      <c r="A69" s="0" t="n">
        <v>0</v>
      </c>
      <c r="C69" s="19" t="n">
        <f aca="false">IF('Sim Period'!D69&lt;(AVERAGE('Sim Period'!$D$24:D69)),'Sim Period'!D69-AVERAGE('Sim Period'!$D$24:D69),"")</f>
        <v>-0.0139586956521739</v>
      </c>
      <c r="D69" s="19" t="n">
        <f aca="false">IF('Sim Period'!D69&lt;(AVERAGE('Sim Period'!$D$43:D69)),'Sim Period'!D69-AVERAGE('Sim Period'!$D$43:D69),"")</f>
        <v>-0.0146185185185185</v>
      </c>
      <c r="E69" s="19" t="n">
        <f aca="false">IF('Sim Period'!D69&lt;(AVERAGE('Sim Period'!$D$66:D69)),'Sim Period'!D69-AVERAGE('Sim Period'!$D$66:D69),"")</f>
        <v>-0.015175</v>
      </c>
      <c r="L69" s="19" t="n">
        <f aca="false">IF('Sim Period'!D69&lt;'Sim Period'!F69,'Sim Period'!D69-'Sim Period'!F69,"")</f>
        <v>-0.015771662175624</v>
      </c>
      <c r="M69" s="19" t="n">
        <f aca="false">IF('Sim Period'!D69&lt;(AVERAGE('Sim Period'!$D$24:D69)),'Sim Period'!D69-AVERAGE('Sim Period'!$D$24:D69),"")</f>
        <v>-0.0139586956521739</v>
      </c>
      <c r="N69" s="19" t="n">
        <f aca="false">IF('Sim Period'!D69&lt;(AVERAGE('Sim Period'!$D$43:D69)),'Sim Period'!D69-AVERAGE('Sim Period'!$D$43:D69),"")</f>
        <v>-0.0146185185185185</v>
      </c>
      <c r="O69" s="19" t="n">
        <f aca="false">IF('Sim Period'!D69&lt;(AVERAGE('Sim Period'!$D$66:D69)),'Sim Period'!D69-AVERAGE('Sim Period'!$D$66:D69),"")</f>
        <v>-0.015175</v>
      </c>
      <c r="S69" s="0" t="n">
        <v>1</v>
      </c>
    </row>
    <row r="70" customFormat="false" ht="14.1" hidden="false" customHeight="false" outlineLevel="0" collapsed="false">
      <c r="A70" s="0" t="n">
        <v>0</v>
      </c>
      <c r="C70" s="0" t="str">
        <f aca="false">IF('Sim Period'!D70&lt;(AVERAGE('Sim Period'!$D$24:D70)),'Sim Period'!D70-AVERAGE('Sim Period'!$D$24:D70),"")</f>
        <v/>
      </c>
      <c r="D70" s="0" t="str">
        <f aca="false">IF('Sim Period'!D70&lt;(AVERAGE('Sim Period'!$D$43:D70)),'Sim Period'!D70-AVERAGE('Sim Period'!$D$43:D70),"")</f>
        <v/>
      </c>
      <c r="E70" s="0" t="str">
        <f aca="false">IF('Sim Period'!D70&lt;(AVERAGE('Sim Period'!$D$66:D70)),'Sim Period'!D70-AVERAGE('Sim Period'!$D$66:D70),"")</f>
        <v/>
      </c>
      <c r="L70" s="0" t="str">
        <f aca="false">IF('Sim Period'!D70&lt;'Sim Period'!F70,'Sim Period'!D70-'Sim Period'!F70,"")</f>
        <v/>
      </c>
      <c r="M70" s="0" t="str">
        <f aca="false">IF('Sim Period'!D70&lt;(AVERAGE('Sim Period'!$D$24:D70)),'Sim Period'!D70-AVERAGE('Sim Period'!$D$24:D70),"")</f>
        <v/>
      </c>
      <c r="N70" s="0" t="str">
        <f aca="false">IF('Sim Period'!D70&lt;(AVERAGE('Sim Period'!$D$43:D70)),'Sim Period'!D70-AVERAGE('Sim Period'!$D$43:D70),"")</f>
        <v/>
      </c>
      <c r="O70" s="0" t="str">
        <f aca="false">IF('Sim Period'!D70&lt;(AVERAGE('Sim Period'!$D$66:D70)),'Sim Period'!D70-AVERAGE('Sim Period'!$D$66:D70),"")</f>
        <v/>
      </c>
      <c r="S70" s="0" t="n">
        <v>1</v>
      </c>
    </row>
    <row r="71" customFormat="false" ht="14.1" hidden="false" customHeight="false" outlineLevel="0" collapsed="false">
      <c r="A71" s="0" t="n">
        <v>0</v>
      </c>
      <c r="C71" s="0" t="str">
        <f aca="false">IF('Sim Period'!D71&lt;(AVERAGE('Sim Period'!$D$24:D71)),'Sim Period'!D71-AVERAGE('Sim Period'!$D$24:D71),"")</f>
        <v/>
      </c>
      <c r="D71" s="0" t="str">
        <f aca="false">IF('Sim Period'!D71&lt;(AVERAGE('Sim Period'!$D$43:D71)),'Sim Period'!D71-AVERAGE('Sim Period'!$D$43:D71),"")</f>
        <v/>
      </c>
      <c r="E71" s="0" t="str">
        <f aca="false">IF('Sim Period'!D71&lt;(AVERAGE('Sim Period'!$D$66:D71)),'Sim Period'!D71-AVERAGE('Sim Period'!$D$66:D71),"")</f>
        <v/>
      </c>
      <c r="L71" s="0" t="str">
        <f aca="false">IF('Sim Period'!D71&lt;'Sim Period'!F71,'Sim Period'!D71-'Sim Period'!F71,"")</f>
        <v/>
      </c>
      <c r="M71" s="0" t="str">
        <f aca="false">IF('Sim Period'!D71&lt;(AVERAGE('Sim Period'!$D$24:D71)),'Sim Period'!D71-AVERAGE('Sim Period'!$D$24:D71),"")</f>
        <v/>
      </c>
      <c r="N71" s="0" t="str">
        <f aca="false">IF('Sim Period'!D71&lt;(AVERAGE('Sim Period'!$D$43:D71)),'Sim Period'!D71-AVERAGE('Sim Period'!$D$43:D71),"")</f>
        <v/>
      </c>
      <c r="O71" s="0" t="str">
        <f aca="false">IF('Sim Period'!D71&lt;(AVERAGE('Sim Period'!$D$66:D71)),'Sim Period'!D71-AVERAGE('Sim Period'!$D$66:D71),"")</f>
        <v/>
      </c>
      <c r="S71" s="0" t="n">
        <v>1</v>
      </c>
    </row>
    <row r="72" customFormat="false" ht="14.1" hidden="false" customHeight="false" outlineLevel="0" collapsed="false">
      <c r="A72" s="0" t="n">
        <v>0</v>
      </c>
      <c r="C72" s="19" t="n">
        <f aca="false">IF('Sim Period'!D72&lt;(AVERAGE('Sim Period'!$D$24:D72)),'Sim Period'!D72-AVERAGE('Sim Period'!$D$24:D72),"")</f>
        <v>-0.0387224489795918</v>
      </c>
      <c r="D72" s="19" t="n">
        <f aca="false">IF('Sim Period'!D72&lt;(AVERAGE('Sim Period'!$D$43:D72)),'Sim Period'!D72-AVERAGE('Sim Period'!$D$43:D72),"")</f>
        <v>-0.0395466666666667</v>
      </c>
      <c r="E72" s="19" t="n">
        <f aca="false">IF('Sim Period'!D72&lt;(AVERAGE('Sim Period'!$D$66:D72)),'Sim Period'!D72-AVERAGE('Sim Period'!$D$66:D72),"")</f>
        <v>-0.0416</v>
      </c>
      <c r="L72" s="19" t="n">
        <f aca="false">IF('Sim Period'!D72&lt;'Sim Period'!F72,'Sim Period'!D72-'Sim Period'!F72,"")</f>
        <v>-0.0403268010564443</v>
      </c>
      <c r="M72" s="19" t="n">
        <f aca="false">IF('Sim Period'!D72&lt;(AVERAGE('Sim Period'!$D$24:D72)),'Sim Period'!D72-AVERAGE('Sim Period'!$D$24:D72),"")</f>
        <v>-0.0387224489795918</v>
      </c>
      <c r="N72" s="19" t="n">
        <f aca="false">IF('Sim Period'!D72&lt;(AVERAGE('Sim Period'!$D$43:D72)),'Sim Period'!D72-AVERAGE('Sim Period'!$D$43:D72),"")</f>
        <v>-0.0395466666666667</v>
      </c>
      <c r="O72" s="19" t="n">
        <f aca="false">IF('Sim Period'!D72&lt;(AVERAGE('Sim Period'!$D$66:D72)),'Sim Period'!D72-AVERAGE('Sim Period'!$D$66:D72),"")</f>
        <v>-0.0416</v>
      </c>
      <c r="S72" s="0" t="n">
        <v>1</v>
      </c>
    </row>
    <row r="73" customFormat="false" ht="14.1" hidden="false" customHeight="false" outlineLevel="0" collapsed="false">
      <c r="A73" s="0" t="n">
        <v>0</v>
      </c>
      <c r="C73" s="19" t="n">
        <f aca="false">IF('Sim Period'!D73&lt;(AVERAGE('Sim Period'!$D$24:D73)),'Sim Period'!D73-AVERAGE('Sim Period'!$D$24:D73),"")</f>
        <v>-0.00502000000000001</v>
      </c>
      <c r="D73" s="19" t="n">
        <f aca="false">IF('Sim Period'!D73&lt;(AVERAGE('Sim Period'!$D$43:D73)),'Sim Period'!D73-AVERAGE('Sim Period'!$D$43:D73),"")</f>
        <v>-0.00575483870967742</v>
      </c>
      <c r="E73" s="19" t="n">
        <f aca="false">IF('Sim Period'!D73&lt;(AVERAGE('Sim Period'!$D$66:D73)),'Sim Period'!D73-AVERAGE('Sim Period'!$D$66:D73),"")</f>
        <v>-0.00699999999999998</v>
      </c>
      <c r="L73" s="19" t="n">
        <f aca="false">IF('Sim Period'!D73&lt;'Sim Period'!F73,'Sim Period'!D73-'Sim Period'!F73,"")</f>
        <v>-0.00663119454055681</v>
      </c>
      <c r="M73" s="19" t="n">
        <f aca="false">IF('Sim Period'!D73&lt;(AVERAGE('Sim Period'!$D$24:D73)),'Sim Period'!D73-AVERAGE('Sim Period'!$D$24:D73),"")</f>
        <v>-0.00502000000000001</v>
      </c>
      <c r="N73" s="19" t="n">
        <f aca="false">IF('Sim Period'!D73&lt;(AVERAGE('Sim Period'!$D$43:D73)),'Sim Period'!D73-AVERAGE('Sim Period'!$D$43:D73),"")</f>
        <v>-0.00575483870967742</v>
      </c>
      <c r="O73" s="19" t="n">
        <f aca="false">IF('Sim Period'!D73&lt;(AVERAGE('Sim Period'!$D$66:D73)),'Sim Period'!D73-AVERAGE('Sim Period'!$D$66:D73),"")</f>
        <v>-0.00699999999999998</v>
      </c>
      <c r="S73" s="0" t="n">
        <v>1</v>
      </c>
    </row>
    <row r="74" customFormat="false" ht="14.1" hidden="false" customHeight="false" outlineLevel="0" collapsed="false">
      <c r="A74" s="0" t="n">
        <v>0</v>
      </c>
      <c r="C74" s="19" t="n">
        <f aca="false">IF('Sim Period'!D74&lt;(AVERAGE('Sim Period'!$D$24:D74)),'Sim Period'!D74-AVERAGE('Sim Period'!$D$24:D74),"")</f>
        <v>-0.0351176470588235</v>
      </c>
      <c r="D74" s="19" t="n">
        <f aca="false">IF('Sim Period'!D74&lt;(AVERAGE('Sim Period'!$D$43:D74)),'Sim Period'!D74-AVERAGE('Sim Period'!$D$43:D74),"")</f>
        <v>-0.0354125</v>
      </c>
      <c r="E74" s="19" t="n">
        <f aca="false">IF('Sim Period'!D74&lt;(AVERAGE('Sim Period'!$D$66:D74)),'Sim Period'!D74-AVERAGE('Sim Period'!$D$66:D74),"")</f>
        <v>-0.0336</v>
      </c>
      <c r="L74" s="19" t="n">
        <f aca="false">IF('Sim Period'!D74&lt;'Sim Period'!F74,'Sim Period'!D74-'Sim Period'!F74,"")</f>
        <v>-0.0369102523071582</v>
      </c>
      <c r="M74" s="19" t="n">
        <f aca="false">IF('Sim Period'!D74&lt;(AVERAGE('Sim Period'!$D$24:D74)),'Sim Period'!D74-AVERAGE('Sim Period'!$D$24:D74),"")</f>
        <v>-0.0351176470588235</v>
      </c>
      <c r="N74" s="19" t="n">
        <f aca="false">IF('Sim Period'!D74&lt;(AVERAGE('Sim Period'!$D$43:D74)),'Sim Period'!D74-AVERAGE('Sim Period'!$D$43:D74),"")</f>
        <v>-0.0354125</v>
      </c>
      <c r="O74" s="19" t="n">
        <f aca="false">IF('Sim Period'!D74&lt;(AVERAGE('Sim Period'!$D$66:D74)),'Sim Period'!D74-AVERAGE('Sim Period'!$D$66:D74),"")</f>
        <v>-0.0336</v>
      </c>
      <c r="S74" s="0" t="n">
        <v>1</v>
      </c>
    </row>
    <row r="75" customFormat="false" ht="14.1" hidden="false" customHeight="false" outlineLevel="0" collapsed="false">
      <c r="A75" s="0" t="n">
        <v>0</v>
      </c>
      <c r="C75" s="0" t="str">
        <f aca="false">IF('Sim Period'!D75&lt;(AVERAGE('Sim Period'!$D$24:D75)),'Sim Period'!D75-AVERAGE('Sim Period'!$D$24:D75),"")</f>
        <v/>
      </c>
      <c r="D75" s="0" t="str">
        <f aca="false">IF('Sim Period'!D75&lt;(AVERAGE('Sim Period'!$D$43:D75)),'Sim Period'!D75-AVERAGE('Sim Period'!$D$43:D75),"")</f>
        <v/>
      </c>
      <c r="E75" s="0" t="str">
        <f aca="false">IF('Sim Period'!D75&lt;(AVERAGE('Sim Period'!$D$66:D75)),'Sim Period'!D75-AVERAGE('Sim Period'!$D$66:D75),"")</f>
        <v/>
      </c>
      <c r="L75" s="0" t="str">
        <f aca="false">IF('Sim Period'!D75&lt;'Sim Period'!F75,'Sim Period'!D75-'Sim Period'!F75,"")</f>
        <v/>
      </c>
      <c r="M75" s="0" t="str">
        <f aca="false">IF('Sim Period'!D75&lt;(AVERAGE('Sim Period'!$D$24:D75)),'Sim Period'!D75-AVERAGE('Sim Period'!$D$24:D75),"")</f>
        <v/>
      </c>
      <c r="N75" s="0" t="str">
        <f aca="false">IF('Sim Period'!D75&lt;(AVERAGE('Sim Period'!$D$43:D75)),'Sim Period'!D75-AVERAGE('Sim Period'!$D$43:D75),"")</f>
        <v/>
      </c>
      <c r="O75" s="0" t="str">
        <f aca="false">IF('Sim Period'!D75&lt;(AVERAGE('Sim Period'!$D$66:D75)),'Sim Period'!D75-AVERAGE('Sim Period'!$D$66:D75),"")</f>
        <v/>
      </c>
      <c r="S75" s="0" t="n">
        <v>1</v>
      </c>
    </row>
    <row r="76" customFormat="false" ht="14.1" hidden="false" customHeight="false" outlineLevel="0" collapsed="false">
      <c r="A76" s="0" t="n">
        <v>0</v>
      </c>
      <c r="C76" s="0" t="str">
        <f aca="false">IF('Sim Period'!D76&lt;(AVERAGE('Sim Period'!$D$24:D76)),'Sim Period'!D76-AVERAGE('Sim Period'!$D$24:D76),"")</f>
        <v/>
      </c>
      <c r="D76" s="0" t="str">
        <f aca="false">IF('Sim Period'!D76&lt;(AVERAGE('Sim Period'!$D$43:D76)),'Sim Period'!D76-AVERAGE('Sim Period'!$D$43:D76),"")</f>
        <v/>
      </c>
      <c r="E76" s="0" t="str">
        <f aca="false">IF('Sim Period'!D76&lt;(AVERAGE('Sim Period'!$D$66:D76)),'Sim Period'!D76-AVERAGE('Sim Period'!$D$66:D76),"")</f>
        <v/>
      </c>
      <c r="L76" s="0" t="str">
        <f aca="false">IF('Sim Period'!D76&lt;'Sim Period'!F76,'Sim Period'!D76-'Sim Period'!F76,"")</f>
        <v/>
      </c>
      <c r="M76" s="0" t="str">
        <f aca="false">IF('Sim Period'!D76&lt;(AVERAGE('Sim Period'!$D$24:D76)),'Sim Period'!D76-AVERAGE('Sim Period'!$D$24:D76),"")</f>
        <v/>
      </c>
      <c r="N76" s="0" t="str">
        <f aca="false">IF('Sim Period'!D76&lt;(AVERAGE('Sim Period'!$D$43:D76)),'Sim Period'!D76-AVERAGE('Sim Period'!$D$43:D76),"")</f>
        <v/>
      </c>
      <c r="O76" s="0" t="str">
        <f aca="false">IF('Sim Period'!D76&lt;(AVERAGE('Sim Period'!$D$66:D76)),'Sim Period'!D76-AVERAGE('Sim Period'!$D$66:D76),"")</f>
        <v/>
      </c>
      <c r="S76" s="0" t="n">
        <v>1</v>
      </c>
    </row>
    <row r="77" customFormat="false" ht="14.1" hidden="false" customHeight="false" outlineLevel="0" collapsed="false">
      <c r="A77" s="0" t="n">
        <v>0</v>
      </c>
      <c r="C77" s="19" t="n">
        <f aca="false">IF('Sim Period'!D77&lt;(AVERAGE('Sim Period'!$D$24:D77)),'Sim Period'!D77-AVERAGE('Sim Period'!$D$24:D77),"")</f>
        <v>-0.0456037037037037</v>
      </c>
      <c r="D77" s="19" t="n">
        <f aca="false">IF('Sim Period'!D77&lt;(AVERAGE('Sim Period'!$D$43:D77)),'Sim Period'!D77-AVERAGE('Sim Period'!$D$43:D77),"")</f>
        <v>-0.0458657142857143</v>
      </c>
      <c r="E77" s="19" t="n">
        <f aca="false">IF('Sim Period'!D77&lt;(AVERAGE('Sim Period'!$D$66:D77)),'Sim Period'!D77-AVERAGE('Sim Period'!$D$66:D77),"")</f>
        <v>-0.0444166666666666</v>
      </c>
      <c r="L77" s="19" t="n">
        <f aca="false">IF('Sim Period'!D77&lt;'Sim Period'!F77,'Sim Period'!D77-'Sim Period'!F77,"")</f>
        <v>-0.0473100386817144</v>
      </c>
      <c r="M77" s="19" t="n">
        <f aca="false">IF('Sim Period'!D77&lt;(AVERAGE('Sim Period'!$D$24:D77)),'Sim Period'!D77-AVERAGE('Sim Period'!$D$24:D77),"")</f>
        <v>-0.0456037037037037</v>
      </c>
      <c r="N77" s="19" t="n">
        <f aca="false">IF('Sim Period'!D77&lt;(AVERAGE('Sim Period'!$D$43:D77)),'Sim Period'!D77-AVERAGE('Sim Period'!$D$43:D77),"")</f>
        <v>-0.0458657142857143</v>
      </c>
      <c r="O77" s="19" t="n">
        <f aca="false">IF('Sim Period'!D77&lt;(AVERAGE('Sim Period'!$D$66:D77)),'Sim Period'!D77-AVERAGE('Sim Period'!$D$66:D77),"")</f>
        <v>-0.0444166666666666</v>
      </c>
      <c r="S77" s="0" t="n">
        <v>1</v>
      </c>
    </row>
    <row r="78" customFormat="false" ht="14.1" hidden="false" customHeight="false" outlineLevel="0" collapsed="false">
      <c r="A78" s="0" t="n">
        <v>0</v>
      </c>
      <c r="C78" s="19" t="n">
        <f aca="false">IF('Sim Period'!D78&lt;(AVERAGE('Sim Period'!$D$24:D78)),'Sim Period'!D78-AVERAGE('Sim Period'!$D$24:D78),"")</f>
        <v>-0.0107054545454546</v>
      </c>
      <c r="D78" s="19" t="n">
        <f aca="false">IF('Sim Period'!D78&lt;(AVERAGE('Sim Period'!$D$43:D78)),'Sim Period'!D78-AVERAGE('Sim Period'!$D$43:D78),"")</f>
        <v>-0.0108555555555556</v>
      </c>
      <c r="E78" s="19" t="n">
        <f aca="false">IF('Sim Period'!D78&lt;(AVERAGE('Sim Period'!$D$66:D78)),'Sim Period'!D78-AVERAGE('Sim Period'!$D$66:D78),"")</f>
        <v>-0.00896923076923084</v>
      </c>
      <c r="L78" s="19" t="n">
        <f aca="false">IF('Sim Period'!D78&lt;'Sim Period'!F78,'Sim Period'!D78-'Sim Period'!F78,"")</f>
        <v>-0.0124523491745345</v>
      </c>
      <c r="M78" s="19" t="n">
        <f aca="false">IF('Sim Period'!D78&lt;(AVERAGE('Sim Period'!$D$24:D78)),'Sim Period'!D78-AVERAGE('Sim Period'!$D$24:D78),"")</f>
        <v>-0.0107054545454546</v>
      </c>
      <c r="N78" s="19" t="n">
        <f aca="false">IF('Sim Period'!D78&lt;(AVERAGE('Sim Period'!$D$43:D78)),'Sim Period'!D78-AVERAGE('Sim Period'!$D$43:D78),"")</f>
        <v>-0.0108555555555556</v>
      </c>
      <c r="O78" s="19" t="n">
        <f aca="false">IF('Sim Period'!D78&lt;(AVERAGE('Sim Period'!$D$66:D78)),'Sim Period'!D78-AVERAGE('Sim Period'!$D$66:D78),"")</f>
        <v>-0.00896923076923084</v>
      </c>
      <c r="S78" s="0" t="n">
        <v>1</v>
      </c>
    </row>
    <row r="79" customFormat="false" ht="14.1" hidden="false" customHeight="false" outlineLevel="0" collapsed="false">
      <c r="A79" s="0" t="n">
        <v>0</v>
      </c>
      <c r="C79" s="0" t="str">
        <f aca="false">IF('Sim Period'!D79&lt;(AVERAGE('Sim Period'!$D$24:D79)),'Sim Period'!D79-AVERAGE('Sim Period'!$D$24:D79),"")</f>
        <v/>
      </c>
      <c r="D79" s="0" t="str">
        <f aca="false">IF('Sim Period'!D79&lt;(AVERAGE('Sim Period'!$D$43:D79)),'Sim Period'!D79-AVERAGE('Sim Period'!$D$43:D79),"")</f>
        <v/>
      </c>
      <c r="E79" s="0" t="str">
        <f aca="false">IF('Sim Period'!D79&lt;(AVERAGE('Sim Period'!$D$66:D79)),'Sim Period'!D79-AVERAGE('Sim Period'!$D$66:D79),"")</f>
        <v/>
      </c>
      <c r="L79" s="0" t="str">
        <f aca="false">IF('Sim Period'!D79&lt;'Sim Period'!F79,'Sim Period'!D79-'Sim Period'!F79,"")</f>
        <v/>
      </c>
      <c r="M79" s="0" t="str">
        <f aca="false">IF('Sim Period'!D79&lt;(AVERAGE('Sim Period'!$D$24:D79)),'Sim Period'!D79-AVERAGE('Sim Period'!$D$24:D79),"")</f>
        <v/>
      </c>
      <c r="N79" s="0" t="str">
        <f aca="false">IF('Sim Period'!D79&lt;(AVERAGE('Sim Period'!$D$43:D79)),'Sim Period'!D79-AVERAGE('Sim Period'!$D$43:D79),"")</f>
        <v/>
      </c>
      <c r="O79" s="0" t="str">
        <f aca="false">IF('Sim Period'!D79&lt;(AVERAGE('Sim Period'!$D$66:D79)),'Sim Period'!D79-AVERAGE('Sim Period'!$D$66:D79),"")</f>
        <v/>
      </c>
      <c r="S79" s="0" t="n">
        <v>1</v>
      </c>
    </row>
    <row r="80" customFormat="false" ht="14.1" hidden="false" customHeight="false" outlineLevel="0" collapsed="false">
      <c r="A80" s="0" t="n">
        <v>0</v>
      </c>
      <c r="C80" s="0" t="str">
        <f aca="false">IF('Sim Period'!D80&lt;(AVERAGE('Sim Period'!$D$24:D80)),'Sim Period'!D80-AVERAGE('Sim Period'!$D$24:D80),"")</f>
        <v/>
      </c>
      <c r="D80" s="0" t="str">
        <f aca="false">IF('Sim Period'!D80&lt;(AVERAGE('Sim Period'!$D$43:D80)),'Sim Period'!D80-AVERAGE('Sim Period'!$D$43:D80),"")</f>
        <v/>
      </c>
      <c r="E80" s="0" t="str">
        <f aca="false">IF('Sim Period'!D80&lt;(AVERAGE('Sim Period'!$D$66:D80)),'Sim Period'!D80-AVERAGE('Sim Period'!$D$66:D80),"")</f>
        <v/>
      </c>
      <c r="L80" s="0" t="str">
        <f aca="false">IF('Sim Period'!D80&lt;'Sim Period'!F80,'Sim Period'!D80-'Sim Period'!F80,"")</f>
        <v/>
      </c>
      <c r="M80" s="0" t="str">
        <f aca="false">IF('Sim Period'!D80&lt;(AVERAGE('Sim Period'!$D$24:D80)),'Sim Period'!D80-AVERAGE('Sim Period'!$D$24:D80),"")</f>
        <v/>
      </c>
      <c r="N80" s="0" t="str">
        <f aca="false">IF('Sim Period'!D80&lt;(AVERAGE('Sim Period'!$D$43:D80)),'Sim Period'!D80-AVERAGE('Sim Period'!$D$43:D80),"")</f>
        <v/>
      </c>
      <c r="O80" s="0" t="str">
        <f aca="false">IF('Sim Period'!D80&lt;(AVERAGE('Sim Period'!$D$66:D80)),'Sim Period'!D80-AVERAGE('Sim Period'!$D$66:D80),"")</f>
        <v/>
      </c>
      <c r="S80" s="0" t="n">
        <v>1</v>
      </c>
    </row>
    <row r="81" customFormat="false" ht="14.1" hidden="false" customHeight="false" outlineLevel="0" collapsed="false">
      <c r="A81" s="0" t="n">
        <v>0</v>
      </c>
      <c r="C81" s="0" t="str">
        <f aca="false">IF('Sim Period'!D81&lt;(AVERAGE('Sim Period'!$D$24:D81)),'Sim Period'!D81-AVERAGE('Sim Period'!$D$24:D81),"")</f>
        <v/>
      </c>
      <c r="D81" s="0" t="str">
        <f aca="false">IF('Sim Period'!D81&lt;(AVERAGE('Sim Period'!$D$43:D81)),'Sim Period'!D81-AVERAGE('Sim Period'!$D$43:D81),"")</f>
        <v/>
      </c>
      <c r="E81" s="0" t="str">
        <f aca="false">IF('Sim Period'!D81&lt;(AVERAGE('Sim Period'!$D$66:D81)),'Sim Period'!D81-AVERAGE('Sim Period'!$D$66:D81),"")</f>
        <v/>
      </c>
      <c r="L81" s="0" t="str">
        <f aca="false">IF('Sim Period'!D81&lt;'Sim Period'!F81,'Sim Period'!D81-'Sim Period'!F81,"")</f>
        <v/>
      </c>
      <c r="M81" s="0" t="str">
        <f aca="false">IF('Sim Period'!D81&lt;(AVERAGE('Sim Period'!$D$24:D81)),'Sim Period'!D81-AVERAGE('Sim Period'!$D$24:D81),"")</f>
        <v/>
      </c>
      <c r="N81" s="0" t="str">
        <f aca="false">IF('Sim Period'!D81&lt;(AVERAGE('Sim Period'!$D$43:D81)),'Sim Period'!D81-AVERAGE('Sim Period'!$D$43:D81),"")</f>
        <v/>
      </c>
      <c r="O81" s="0" t="str">
        <f aca="false">IF('Sim Period'!D81&lt;(AVERAGE('Sim Period'!$D$66:D81)),'Sim Period'!D81-AVERAGE('Sim Period'!$D$66:D81),"")</f>
        <v/>
      </c>
      <c r="S81" s="0" t="n">
        <v>1</v>
      </c>
    </row>
    <row r="82" customFormat="false" ht="14.1" hidden="false" customHeight="false" outlineLevel="0" collapsed="false">
      <c r="A82" s="0" t="n">
        <v>0</v>
      </c>
      <c r="C82" s="0" t="str">
        <f aca="false">IF('Sim Period'!D82&lt;(AVERAGE('Sim Period'!$D$24:D82)),'Sim Period'!D82-AVERAGE('Sim Period'!$D$24:D82),"")</f>
        <v/>
      </c>
      <c r="D82" s="0" t="str">
        <f aca="false">IF('Sim Period'!D82&lt;(AVERAGE('Sim Period'!$D$43:D82)),'Sim Period'!D82-AVERAGE('Sim Period'!$D$43:D82),"")</f>
        <v/>
      </c>
      <c r="E82" s="0" t="str">
        <f aca="false">IF('Sim Period'!D82&lt;(AVERAGE('Sim Period'!$D$66:D82)),'Sim Period'!D82-AVERAGE('Sim Period'!$D$66:D82),"")</f>
        <v/>
      </c>
      <c r="L82" s="0" t="str">
        <f aca="false">IF('Sim Period'!D82&lt;'Sim Period'!F82,'Sim Period'!D82-'Sim Period'!F82,"")</f>
        <v/>
      </c>
      <c r="M82" s="0" t="str">
        <f aca="false">IF('Sim Period'!D82&lt;(AVERAGE('Sim Period'!$D$24:D82)),'Sim Period'!D82-AVERAGE('Sim Period'!$D$24:D82),"")</f>
        <v/>
      </c>
      <c r="N82" s="0" t="str">
        <f aca="false">IF('Sim Period'!D82&lt;(AVERAGE('Sim Period'!$D$43:D82)),'Sim Period'!D82-AVERAGE('Sim Period'!$D$43:D82),"")</f>
        <v/>
      </c>
      <c r="O82" s="0" t="str">
        <f aca="false">IF('Sim Period'!D82&lt;(AVERAGE('Sim Period'!$D$66:D82)),'Sim Period'!D82-AVERAGE('Sim Period'!$D$66:D82),"")</f>
        <v/>
      </c>
      <c r="S82" s="0" t="n">
        <v>1</v>
      </c>
    </row>
    <row r="83" customFormat="false" ht="14.1" hidden="false" customHeight="false" outlineLevel="0" collapsed="false">
      <c r="A83" s="0" t="n">
        <v>0</v>
      </c>
      <c r="C83" s="0" t="str">
        <f aca="false">IF('Sim Period'!D83&lt;(AVERAGE('Sim Period'!$D$24:D83)),'Sim Period'!D83-AVERAGE('Sim Period'!$D$24:D83),"")</f>
        <v/>
      </c>
      <c r="D83" s="0" t="str">
        <f aca="false">IF('Sim Period'!D83&lt;(AVERAGE('Sim Period'!$D$43:D83)),'Sim Period'!D83-AVERAGE('Sim Period'!$D$43:D83),"")</f>
        <v/>
      </c>
      <c r="E83" s="0" t="str">
        <f aca="false">IF('Sim Period'!D83&lt;(AVERAGE('Sim Period'!$D$66:D83)),'Sim Period'!D83-AVERAGE('Sim Period'!$D$66:D83),"")</f>
        <v/>
      </c>
      <c r="L83" s="0" t="str">
        <f aca="false">IF('Sim Period'!D83&lt;'Sim Period'!F83,'Sim Period'!D83-'Sim Period'!F83,"")</f>
        <v/>
      </c>
      <c r="M83" s="0" t="str">
        <f aca="false">IF('Sim Period'!D83&lt;(AVERAGE('Sim Period'!$D$24:D83)),'Sim Period'!D83-AVERAGE('Sim Period'!$D$24:D83),"")</f>
        <v/>
      </c>
      <c r="N83" s="0" t="str">
        <f aca="false">IF('Sim Period'!D83&lt;(AVERAGE('Sim Period'!$D$43:D83)),'Sim Period'!D83-AVERAGE('Sim Period'!$D$43:D83),"")</f>
        <v/>
      </c>
      <c r="O83" s="0" t="str">
        <f aca="false">IF('Sim Period'!D83&lt;(AVERAGE('Sim Period'!$D$66:D83)),'Sim Period'!D83-AVERAGE('Sim Period'!$D$66:D83),"")</f>
        <v/>
      </c>
      <c r="S83" s="0" t="n">
        <v>1</v>
      </c>
    </row>
    <row r="84" customFormat="false" ht="14.1" hidden="false" customHeight="false" outlineLevel="0" collapsed="false">
      <c r="A84" s="0" t="n">
        <v>4</v>
      </c>
      <c r="C84" s="19" t="n">
        <f aca="false">IF('Sim Period'!D84&lt;(AVERAGE('Sim Period'!$D$24:D84)),'Sim Period'!D84-AVERAGE('Sim Period'!$D$24:D84),"")</f>
        <v>-0.0148213114754098</v>
      </c>
      <c r="D84" s="19" t="n">
        <f aca="false">IF('Sim Period'!D84&lt;(AVERAGE('Sim Period'!$D$43:D84)),'Sim Period'!D84-AVERAGE('Sim Period'!$D$43:D84),"")</f>
        <v>-0.0162238095238095</v>
      </c>
      <c r="E84" s="19" t="n">
        <f aca="false">IF('Sim Period'!D84&lt;(AVERAGE('Sim Period'!$D$66:D84)),'Sim Period'!D84-AVERAGE('Sim Period'!$D$66:D84),"")</f>
        <v>-0.0198578947368421</v>
      </c>
      <c r="L84" s="19" t="n">
        <f aca="false">IF('Sim Period'!D84&lt;'Sim Period'!F84,'Sim Period'!D84-'Sim Period'!F84,"")</f>
        <v>-0.0157118708209671</v>
      </c>
      <c r="M84" s="19" t="n">
        <f aca="false">IF('Sim Period'!D84&lt;(AVERAGE('Sim Period'!$D$24:D84)),'Sim Period'!D84-AVERAGE('Sim Period'!$D$24:D84),"")</f>
        <v>-0.0148213114754098</v>
      </c>
      <c r="N84" s="19" t="n">
        <f aca="false">IF('Sim Period'!D84&lt;(AVERAGE('Sim Period'!$D$43:D84)),'Sim Period'!D84-AVERAGE('Sim Period'!$D$43:D84),"")</f>
        <v>-0.0162238095238095</v>
      </c>
      <c r="O84" s="19" t="n">
        <f aca="false">IF('Sim Period'!D84&lt;(AVERAGE('Sim Period'!$D$66:D84)),'Sim Period'!D84-AVERAGE('Sim Period'!$D$66:D84),"")</f>
        <v>-0.0198578947368421</v>
      </c>
      <c r="S84" s="0" t="n">
        <v>1</v>
      </c>
    </row>
    <row r="85" customFormat="false" ht="14.1" hidden="false" customHeight="false" outlineLevel="0" collapsed="false">
      <c r="A85" s="0" t="n">
        <v>0</v>
      </c>
      <c r="D85" s="19" t="n">
        <f aca="false">IF('Sim Period'!D85&lt;(AVERAGE('Sim Period'!$D$43:D85)),'Sim Period'!D85-AVERAGE('Sim Period'!$D$43:D85),"")</f>
        <v>-0.0110604651162791</v>
      </c>
      <c r="E85" s="19" t="n">
        <f aca="false">IF('Sim Period'!D85&lt;(AVERAGE('Sim Period'!$D$66:D85)),'Sim Period'!D85-AVERAGE('Sim Period'!$D$66:D85),"")</f>
        <v>-0.0142100000000001</v>
      </c>
      <c r="F85" s="0" t="str">
        <f aca="false">IF('Sim Period'!D85&lt;(AVERAGE('Sim Period'!$D$85:D85)),'Sim Period'!D85-AVERAGE('Sim Period'!$D$85:D85),"")</f>
        <v/>
      </c>
      <c r="L85" s="19" t="n">
        <f aca="false">IF('Sim Period'!D85&lt;'Sim Period'!F85,'Sim Period'!D85-'Sim Period'!F85,"")</f>
        <v>-0.0106702233346422</v>
      </c>
      <c r="M85" s="19" t="n">
        <f aca="false">IF('Sim Period'!D85&lt;(AVERAGE('Sim Period'!$D$24:D85)),'Sim Period'!D85-AVERAGE('Sim Period'!$D$24:D85),"")</f>
        <v>-0.00976129032258071</v>
      </c>
      <c r="N85" s="19" t="n">
        <f aca="false">IF('Sim Period'!D85&lt;(AVERAGE('Sim Period'!$D$43:D85)),'Sim Period'!D85-AVERAGE('Sim Period'!$D$43:D85),"")</f>
        <v>-0.0110604651162791</v>
      </c>
      <c r="O85" s="19" t="n">
        <f aca="false">IF('Sim Period'!D85&lt;(AVERAGE('Sim Period'!$D$66:D85)),'Sim Period'!D85-AVERAGE('Sim Period'!$D$66:D85),"")</f>
        <v>-0.0142100000000001</v>
      </c>
      <c r="P85" s="0" t="str">
        <f aca="false">IF('Sim Period'!D85&lt;(AVERAGE('Sim Period'!$D$85:D85)),'Sim Period'!D85-AVERAGE('Sim Period'!$D$85:D85),"")</f>
        <v/>
      </c>
      <c r="S85" s="0" t="n">
        <v>1</v>
      </c>
    </row>
    <row r="86" customFormat="false" ht="14.1" hidden="false" customHeight="false" outlineLevel="0" collapsed="false">
      <c r="A86" s="0" t="n">
        <v>0</v>
      </c>
      <c r="D86" s="0" t="str">
        <f aca="false">IF('Sim Period'!D86&lt;(AVERAGE('Sim Period'!$D$43:D86)),'Sim Period'!D86-AVERAGE('Sim Period'!$D$43:D86),"")</f>
        <v/>
      </c>
      <c r="E86" s="0" t="str">
        <f aca="false">IF('Sim Period'!D86&lt;(AVERAGE('Sim Period'!$D$66:D86)),'Sim Period'!D86-AVERAGE('Sim Period'!$D$66:D86),"")</f>
        <v/>
      </c>
      <c r="F86" s="0" t="str">
        <f aca="false">IF('Sim Period'!D86&lt;(AVERAGE('Sim Period'!$D$85:D86)),'Sim Period'!D86-AVERAGE('Sim Period'!$D$85:D86),"")</f>
        <v/>
      </c>
      <c r="L86" s="0" t="str">
        <f aca="false">IF('Sim Period'!D86&lt;'Sim Period'!F86,'Sim Period'!D86-'Sim Period'!F86,"")</f>
        <v/>
      </c>
      <c r="M86" s="0" t="str">
        <f aca="false">IF('Sim Period'!D86&lt;(AVERAGE('Sim Period'!$D$24:D86)),'Sim Period'!D86-AVERAGE('Sim Period'!$D$24:D86),"")</f>
        <v/>
      </c>
      <c r="N86" s="0" t="str">
        <f aca="false">IF('Sim Period'!D86&lt;(AVERAGE('Sim Period'!$D$43:D86)),'Sim Period'!D86-AVERAGE('Sim Period'!$D$43:D86),"")</f>
        <v/>
      </c>
      <c r="O86" s="0" t="str">
        <f aca="false">IF('Sim Period'!D86&lt;(AVERAGE('Sim Period'!$D$66:D86)),'Sim Period'!D86-AVERAGE('Sim Period'!$D$66:D86),"")</f>
        <v/>
      </c>
      <c r="P86" s="0" t="str">
        <f aca="false">IF('Sim Period'!D86&lt;(AVERAGE('Sim Period'!$D$85:D86)),'Sim Period'!D86-AVERAGE('Sim Period'!$D$85:D86),"")</f>
        <v/>
      </c>
      <c r="S86" s="0" t="n">
        <v>1</v>
      </c>
    </row>
    <row r="87" customFormat="false" ht="14.1" hidden="false" customHeight="false" outlineLevel="0" collapsed="false">
      <c r="A87" s="0" t="n">
        <v>0</v>
      </c>
      <c r="D87" s="19" t="n">
        <f aca="false">IF('Sim Period'!D87&lt;(AVERAGE('Sim Period'!$D$43:D87)),'Sim Period'!D87-AVERAGE('Sim Period'!$D$43:D87),"")</f>
        <v>-0.0122311111111111</v>
      </c>
      <c r="E87" s="19" t="n">
        <f aca="false">IF('Sim Period'!D87&lt;(AVERAGE('Sim Period'!$D$66:D87)),'Sim Period'!D87-AVERAGE('Sim Period'!$D$66:D87),"")</f>
        <v>-0.0159</v>
      </c>
      <c r="F87" s="19" t="n">
        <f aca="false">IF('Sim Period'!D87&lt;(AVERAGE('Sim Period'!$D$85:D87)),'Sim Period'!D87-AVERAGE('Sim Period'!$D$85:D87),"")</f>
        <v>-0.0193333333333333</v>
      </c>
      <c r="L87" s="19" t="n">
        <f aca="false">IF('Sim Period'!D87&lt;'Sim Period'!F87,'Sim Period'!D87-'Sim Period'!F87,"")</f>
        <v>-0.0115177959807532</v>
      </c>
      <c r="M87" s="19" t="n">
        <f aca="false">IF('Sim Period'!D87&lt;(AVERAGE('Sim Period'!$D$24:D87)),'Sim Period'!D87-AVERAGE('Sim Period'!$D$24:D87),"")</f>
        <v>-0.01074375</v>
      </c>
      <c r="N87" s="19" t="n">
        <f aca="false">IF('Sim Period'!D87&lt;(AVERAGE('Sim Period'!$D$43:D87)),'Sim Period'!D87-AVERAGE('Sim Period'!$D$43:D87),"")</f>
        <v>-0.0122311111111111</v>
      </c>
      <c r="O87" s="19" t="n">
        <f aca="false">IF('Sim Period'!D87&lt;(AVERAGE('Sim Period'!$D$66:D87)),'Sim Period'!D87-AVERAGE('Sim Period'!$D$66:D87),"")</f>
        <v>-0.0159</v>
      </c>
      <c r="P87" s="19" t="n">
        <f aca="false">IF('Sim Period'!D87&lt;(AVERAGE('Sim Period'!$D$85:D87)),'Sim Period'!D87-AVERAGE('Sim Period'!$D$85:D87),"")</f>
        <v>-0.0193333333333333</v>
      </c>
      <c r="S87" s="0" t="n">
        <v>1</v>
      </c>
    </row>
    <row r="88" customFormat="false" ht="14.1" hidden="false" customHeight="false" outlineLevel="0" collapsed="false">
      <c r="A88" s="0" t="n">
        <v>0</v>
      </c>
      <c r="D88" s="0" t="str">
        <f aca="false">IF('Sim Period'!D88&lt;(AVERAGE('Sim Period'!$D$43:D88)),'Sim Period'!D88-AVERAGE('Sim Period'!$D$43:D88),"")</f>
        <v/>
      </c>
      <c r="E88" s="0" t="str">
        <f aca="false">IF('Sim Period'!D88&lt;(AVERAGE('Sim Period'!$D$66:D88)),'Sim Period'!D88-AVERAGE('Sim Period'!$D$66:D88),"")</f>
        <v/>
      </c>
      <c r="F88" s="0" t="str">
        <f aca="false">IF('Sim Period'!D88&lt;(AVERAGE('Sim Period'!$D$85:D88)),'Sim Period'!D88-AVERAGE('Sim Period'!$D$85:D88),"")</f>
        <v/>
      </c>
      <c r="L88" s="0" t="str">
        <f aca="false">IF('Sim Period'!D88&lt;'Sim Period'!F88,'Sim Period'!D88-'Sim Period'!F88,"")</f>
        <v/>
      </c>
      <c r="M88" s="0" t="str">
        <f aca="false">IF('Sim Period'!D88&lt;(AVERAGE('Sim Period'!$D$24:D88)),'Sim Period'!D88-AVERAGE('Sim Period'!$D$24:D88),"")</f>
        <v/>
      </c>
      <c r="N88" s="0" t="str">
        <f aca="false">IF('Sim Period'!D88&lt;(AVERAGE('Sim Period'!$D$43:D88)),'Sim Period'!D88-AVERAGE('Sim Period'!$D$43:D88),"")</f>
        <v/>
      </c>
      <c r="O88" s="0" t="str">
        <f aca="false">IF('Sim Period'!D88&lt;(AVERAGE('Sim Period'!$D$66:D88)),'Sim Period'!D88-AVERAGE('Sim Period'!$D$66:D88),"")</f>
        <v/>
      </c>
      <c r="P88" s="0" t="str">
        <f aca="false">IF('Sim Period'!D88&lt;(AVERAGE('Sim Period'!$D$85:D88)),'Sim Period'!D88-AVERAGE('Sim Period'!$D$85:D88),"")</f>
        <v/>
      </c>
      <c r="S88" s="0" t="n">
        <v>1</v>
      </c>
    </row>
    <row r="89" customFormat="false" ht="14.1" hidden="false" customHeight="false" outlineLevel="0" collapsed="false">
      <c r="A89" s="0" t="n">
        <v>0</v>
      </c>
      <c r="D89" s="0" t="str">
        <f aca="false">IF('Sim Period'!D89&lt;(AVERAGE('Sim Period'!$D$43:D89)),'Sim Period'!D89-AVERAGE('Sim Period'!$D$43:D89),"")</f>
        <v/>
      </c>
      <c r="E89" s="0" t="str">
        <f aca="false">IF('Sim Period'!D89&lt;(AVERAGE('Sim Period'!$D$66:D89)),'Sim Period'!D89-AVERAGE('Sim Period'!$D$66:D89),"")</f>
        <v/>
      </c>
      <c r="F89" s="0" t="str">
        <f aca="false">IF('Sim Period'!D89&lt;(AVERAGE('Sim Period'!$D$85:D89)),'Sim Period'!D89-AVERAGE('Sim Period'!$D$85:D89),"")</f>
        <v/>
      </c>
      <c r="L89" s="0" t="str">
        <f aca="false">IF('Sim Period'!D89&lt;'Sim Period'!F89,'Sim Period'!D89-'Sim Period'!F89,"")</f>
        <v/>
      </c>
      <c r="M89" s="0" t="str">
        <f aca="false">IF('Sim Period'!D89&lt;(AVERAGE('Sim Period'!$D$24:D89)),'Sim Period'!D89-AVERAGE('Sim Period'!$D$24:D89),"")</f>
        <v/>
      </c>
      <c r="N89" s="0" t="str">
        <f aca="false">IF('Sim Period'!D89&lt;(AVERAGE('Sim Period'!$D$43:D89)),'Sim Period'!D89-AVERAGE('Sim Period'!$D$43:D89),"")</f>
        <v/>
      </c>
      <c r="O89" s="0" t="str">
        <f aca="false">IF('Sim Period'!D89&lt;(AVERAGE('Sim Period'!$D$66:D89)),'Sim Period'!D89-AVERAGE('Sim Period'!$D$66:D89),"")</f>
        <v/>
      </c>
      <c r="P89" s="0" t="str">
        <f aca="false">IF('Sim Period'!D89&lt;(AVERAGE('Sim Period'!$D$85:D89)),'Sim Period'!D89-AVERAGE('Sim Period'!$D$85:D89),"")</f>
        <v/>
      </c>
      <c r="S89" s="0" t="n">
        <v>1</v>
      </c>
    </row>
    <row r="90" customFormat="false" ht="14.1" hidden="false" customHeight="false" outlineLevel="0" collapsed="false">
      <c r="A90" s="0" t="n">
        <v>0</v>
      </c>
      <c r="D90" s="0" t="str">
        <f aca="false">IF('Sim Period'!D90&lt;(AVERAGE('Sim Period'!$D$43:D90)),'Sim Period'!D90-AVERAGE('Sim Period'!$D$43:D90),"")</f>
        <v/>
      </c>
      <c r="E90" s="0" t="str">
        <f aca="false">IF('Sim Period'!D90&lt;(AVERAGE('Sim Period'!$D$66:D90)),'Sim Period'!D90-AVERAGE('Sim Period'!$D$66:D90),"")</f>
        <v/>
      </c>
      <c r="F90" s="0" t="str">
        <f aca="false">IF('Sim Period'!D90&lt;(AVERAGE('Sim Period'!$D$85:D90)),'Sim Period'!D90-AVERAGE('Sim Period'!$D$85:D90),"")</f>
        <v/>
      </c>
      <c r="L90" s="0" t="str">
        <f aca="false">IF('Sim Period'!D90&lt;'Sim Period'!F90,'Sim Period'!D90-'Sim Period'!F90,"")</f>
        <v/>
      </c>
      <c r="M90" s="0" t="str">
        <f aca="false">IF('Sim Period'!D90&lt;(AVERAGE('Sim Period'!$D$24:D90)),'Sim Period'!D90-AVERAGE('Sim Period'!$D$24:D90),"")</f>
        <v/>
      </c>
      <c r="N90" s="0" t="str">
        <f aca="false">IF('Sim Period'!D90&lt;(AVERAGE('Sim Period'!$D$43:D90)),'Sim Period'!D90-AVERAGE('Sim Period'!$D$43:D90),"")</f>
        <v/>
      </c>
      <c r="O90" s="0" t="str">
        <f aca="false">IF('Sim Period'!D90&lt;(AVERAGE('Sim Period'!$D$66:D90)),'Sim Period'!D90-AVERAGE('Sim Period'!$D$66:D90),"")</f>
        <v/>
      </c>
      <c r="P90" s="0" t="str">
        <f aca="false">IF('Sim Period'!D90&lt;(AVERAGE('Sim Period'!$D$85:D90)),'Sim Period'!D90-AVERAGE('Sim Period'!$D$85:D90),"")</f>
        <v/>
      </c>
      <c r="S90" s="0" t="n">
        <v>1</v>
      </c>
    </row>
    <row r="91" customFormat="false" ht="14.1" hidden="false" customHeight="false" outlineLevel="0" collapsed="false">
      <c r="A91" s="0" t="n">
        <v>0</v>
      </c>
      <c r="D91" s="0" t="str">
        <f aca="false">IF('Sim Period'!D91&lt;(AVERAGE('Sim Period'!$D$43:D91)),'Sim Period'!D91-AVERAGE('Sim Period'!$D$43:D91),"")</f>
        <v/>
      </c>
      <c r="E91" s="0" t="str">
        <f aca="false">IF('Sim Period'!D91&lt;(AVERAGE('Sim Period'!$D$66:D91)),'Sim Period'!D91-AVERAGE('Sim Period'!$D$66:D91),"")</f>
        <v/>
      </c>
      <c r="F91" s="0" t="str">
        <f aca="false">IF('Sim Period'!D91&lt;(AVERAGE('Sim Period'!$D$85:D91)),'Sim Period'!D91-AVERAGE('Sim Period'!$D$85:D91),"")</f>
        <v/>
      </c>
      <c r="L91" s="0" t="str">
        <f aca="false">IF('Sim Period'!D91&lt;'Sim Period'!F91,'Sim Period'!D91-'Sim Period'!F91,"")</f>
        <v/>
      </c>
      <c r="M91" s="0" t="str">
        <f aca="false">IF('Sim Period'!D91&lt;(AVERAGE('Sim Period'!$D$24:D91)),'Sim Period'!D91-AVERAGE('Sim Period'!$D$24:D91),"")</f>
        <v/>
      </c>
      <c r="N91" s="0" t="str">
        <f aca="false">IF('Sim Period'!D91&lt;(AVERAGE('Sim Period'!$D$43:D91)),'Sim Period'!D91-AVERAGE('Sim Period'!$D$43:D91),"")</f>
        <v/>
      </c>
      <c r="O91" s="0" t="str">
        <f aca="false">IF('Sim Period'!D91&lt;(AVERAGE('Sim Period'!$D$66:D91)),'Sim Period'!D91-AVERAGE('Sim Period'!$D$66:D91),"")</f>
        <v/>
      </c>
      <c r="P91" s="0" t="str">
        <f aca="false">IF('Sim Period'!D91&lt;(AVERAGE('Sim Period'!$D$85:D91)),'Sim Period'!D91-AVERAGE('Sim Period'!$D$85:D91),"")</f>
        <v/>
      </c>
      <c r="S91" s="0" t="n">
        <v>1</v>
      </c>
    </row>
    <row r="92" customFormat="false" ht="14.1" hidden="false" customHeight="false" outlineLevel="0" collapsed="false">
      <c r="A92" s="0" t="n">
        <v>0</v>
      </c>
      <c r="D92" s="19" t="n">
        <f aca="false">IF('Sim Period'!D92&lt;(AVERAGE('Sim Period'!$D$43:D92)),'Sim Period'!D92-AVERAGE('Sim Period'!$D$43:D92),"")</f>
        <v>-0.010494</v>
      </c>
      <c r="E92" s="19" t="n">
        <f aca="false">IF('Sim Period'!D92&lt;(AVERAGE('Sim Period'!$D$66:D92)),'Sim Period'!D92-AVERAGE('Sim Period'!$D$66:D92),"")</f>
        <v>-0.0149851851851851</v>
      </c>
      <c r="F92" s="19" t="n">
        <f aca="false">IF('Sim Period'!D92&lt;(AVERAGE('Sim Period'!$D$85:D92)),'Sim Period'!D92-AVERAGE('Sim Period'!$D$85:D92),"")</f>
        <v>-0.0224125</v>
      </c>
      <c r="L92" s="19" t="n">
        <f aca="false">IF('Sim Period'!D92&lt;'Sim Period'!F92,'Sim Period'!D92-'Sim Period'!F92,"")</f>
        <v>-0.00921235487116664</v>
      </c>
      <c r="M92" s="19" t="n">
        <f aca="false">IF('Sim Period'!D92&lt;(AVERAGE('Sim Period'!$D$24:D92)),'Sim Period'!D92-AVERAGE('Sim Period'!$D$24:D92),"")</f>
        <v>-0.00862898550724634</v>
      </c>
      <c r="N92" s="19" t="n">
        <f aca="false">IF('Sim Period'!D92&lt;(AVERAGE('Sim Period'!$D$43:D92)),'Sim Period'!D92-AVERAGE('Sim Period'!$D$43:D92),"")</f>
        <v>-0.010494</v>
      </c>
      <c r="O92" s="19" t="n">
        <f aca="false">IF('Sim Period'!D92&lt;(AVERAGE('Sim Period'!$D$66:D92)),'Sim Period'!D92-AVERAGE('Sim Period'!$D$66:D92),"")</f>
        <v>-0.0149851851851851</v>
      </c>
      <c r="P92" s="19" t="n">
        <f aca="false">IF('Sim Period'!D92&lt;(AVERAGE('Sim Period'!$D$85:D92)),'Sim Period'!D92-AVERAGE('Sim Period'!$D$85:D92),"")</f>
        <v>-0.0224125</v>
      </c>
      <c r="S92" s="0" t="n">
        <v>1</v>
      </c>
    </row>
    <row r="93" customFormat="false" ht="14.1" hidden="false" customHeight="false" outlineLevel="0" collapsed="false">
      <c r="A93" s="0" t="n">
        <v>0</v>
      </c>
      <c r="D93" s="0" t="str">
        <f aca="false">IF('Sim Period'!D93&lt;(AVERAGE('Sim Period'!$D$43:D93)),'Sim Period'!D93-AVERAGE('Sim Period'!$D$43:D93),"")</f>
        <v/>
      </c>
      <c r="E93" s="0" t="str">
        <f aca="false">IF('Sim Period'!D93&lt;(AVERAGE('Sim Period'!$D$66:D93)),'Sim Period'!D93-AVERAGE('Sim Period'!$D$66:D93),"")</f>
        <v/>
      </c>
      <c r="F93" s="0" t="str">
        <f aca="false">IF('Sim Period'!D93&lt;(AVERAGE('Sim Period'!$D$85:D93)),'Sim Period'!D93-AVERAGE('Sim Period'!$D$85:D93),"")</f>
        <v/>
      </c>
      <c r="L93" s="0" t="str">
        <f aca="false">IF('Sim Period'!D93&lt;'Sim Period'!F93,'Sim Period'!D93-'Sim Period'!F93,"")</f>
        <v/>
      </c>
      <c r="M93" s="0" t="str">
        <f aca="false">IF('Sim Period'!D93&lt;(AVERAGE('Sim Period'!$D$24:D93)),'Sim Period'!D93-AVERAGE('Sim Period'!$D$24:D93),"")</f>
        <v/>
      </c>
      <c r="N93" s="0" t="str">
        <f aca="false">IF('Sim Period'!D93&lt;(AVERAGE('Sim Period'!$D$43:D93)),'Sim Period'!D93-AVERAGE('Sim Period'!$D$43:D93),"")</f>
        <v/>
      </c>
      <c r="O93" s="0" t="str">
        <f aca="false">IF('Sim Period'!D93&lt;(AVERAGE('Sim Period'!$D$66:D93)),'Sim Period'!D93-AVERAGE('Sim Period'!$D$66:D93),"")</f>
        <v/>
      </c>
      <c r="P93" s="0" t="str">
        <f aca="false">IF('Sim Period'!D93&lt;(AVERAGE('Sim Period'!$D$85:D93)),'Sim Period'!D93-AVERAGE('Sim Period'!$D$85:D93),"")</f>
        <v/>
      </c>
      <c r="S93" s="0" t="n">
        <v>1</v>
      </c>
    </row>
    <row r="94" customFormat="false" ht="14.1" hidden="false" customHeight="false" outlineLevel="0" collapsed="false">
      <c r="A94" s="0" t="n">
        <v>0</v>
      </c>
      <c r="D94" s="19" t="n">
        <f aca="false">IF('Sim Period'!D94&lt;(AVERAGE('Sim Period'!$D$43:D94)),'Sim Period'!D94-AVERAGE('Sim Period'!$D$43:D94),"")</f>
        <v>-0.0469057692307692</v>
      </c>
      <c r="E94" s="19" t="n">
        <f aca="false">IF('Sim Period'!D94&lt;(AVERAGE('Sim Period'!$D$66:D94)),'Sim Period'!D94-AVERAGE('Sim Period'!$D$66:D94),"")</f>
        <v>-0.0510172413793103</v>
      </c>
      <c r="F94" s="19" t="n">
        <f aca="false">IF('Sim Period'!D94&lt;(AVERAGE('Sim Period'!$D$85:D94)),'Sim Period'!D94-AVERAGE('Sim Period'!$D$85:D94),"")</f>
        <v>-0.05607</v>
      </c>
      <c r="L94" s="19" t="n">
        <f aca="false">IF('Sim Period'!D94&lt;'Sim Period'!F94,'Sim Period'!D94-'Sim Period'!F94,"")</f>
        <v>-0.0456706403658422</v>
      </c>
      <c r="M94" s="19" t="n">
        <f aca="false">IF('Sim Period'!D94&lt;(AVERAGE('Sim Period'!$D$24:D94)),'Sim Period'!D94-AVERAGE('Sim Period'!$D$24:D94),"")</f>
        <v>-0.0451169014084507</v>
      </c>
      <c r="N94" s="19" t="n">
        <f aca="false">IF('Sim Period'!D94&lt;(AVERAGE('Sim Period'!$D$43:D94)),'Sim Period'!D94-AVERAGE('Sim Period'!$D$43:D94),"")</f>
        <v>-0.0469057692307692</v>
      </c>
      <c r="O94" s="19" t="n">
        <f aca="false">IF('Sim Period'!D94&lt;(AVERAGE('Sim Period'!$D$66:D94)),'Sim Period'!D94-AVERAGE('Sim Period'!$D$66:D94),"")</f>
        <v>-0.0510172413793103</v>
      </c>
      <c r="P94" s="19" t="n">
        <f aca="false">IF('Sim Period'!D94&lt;(AVERAGE('Sim Period'!$D$85:D94)),'Sim Period'!D94-AVERAGE('Sim Period'!$D$85:D94),"")</f>
        <v>-0.05607</v>
      </c>
      <c r="S94" s="0" t="n">
        <v>1</v>
      </c>
    </row>
    <row r="95" customFormat="false" ht="14.1" hidden="false" customHeight="false" outlineLevel="0" collapsed="false">
      <c r="A95" s="0" t="n">
        <v>0</v>
      </c>
      <c r="D95" s="0" t="str">
        <f aca="false">IF('Sim Period'!D95&lt;(AVERAGE('Sim Period'!$D$43:D95)),'Sim Period'!D95-AVERAGE('Sim Period'!$D$43:D95),"")</f>
        <v/>
      </c>
      <c r="E95" s="0" t="str">
        <f aca="false">IF('Sim Period'!D95&lt;(AVERAGE('Sim Period'!$D$66:D95)),'Sim Period'!D95-AVERAGE('Sim Period'!$D$66:D95),"")</f>
        <v/>
      </c>
      <c r="F95" s="0" t="str">
        <f aca="false">IF('Sim Period'!D95&lt;(AVERAGE('Sim Period'!$D$85:D95)),'Sim Period'!D95-AVERAGE('Sim Period'!$D$85:D95),"")</f>
        <v/>
      </c>
      <c r="L95" s="0" t="str">
        <f aca="false">IF('Sim Period'!D95&lt;'Sim Period'!F95,'Sim Period'!D95-'Sim Period'!F95,"")</f>
        <v/>
      </c>
      <c r="M95" s="0" t="str">
        <f aca="false">IF('Sim Period'!D95&lt;(AVERAGE('Sim Period'!$D$24:D95)),'Sim Period'!D95-AVERAGE('Sim Period'!$D$24:D95),"")</f>
        <v/>
      </c>
      <c r="N95" s="0" t="str">
        <f aca="false">IF('Sim Period'!D95&lt;(AVERAGE('Sim Period'!$D$43:D95)),'Sim Period'!D95-AVERAGE('Sim Period'!$D$43:D95),"")</f>
        <v/>
      </c>
      <c r="O95" s="0" t="str">
        <f aca="false">IF('Sim Period'!D95&lt;(AVERAGE('Sim Period'!$D$66:D95)),'Sim Period'!D95-AVERAGE('Sim Period'!$D$66:D95),"")</f>
        <v/>
      </c>
      <c r="P95" s="0" t="str">
        <f aca="false">IF('Sim Period'!D95&lt;(AVERAGE('Sim Period'!$D$85:D95)),'Sim Period'!D95-AVERAGE('Sim Period'!$D$85:D95),"")</f>
        <v/>
      </c>
      <c r="S95" s="0" t="n">
        <v>1</v>
      </c>
    </row>
    <row r="96" customFormat="false" ht="14.1" hidden="false" customHeight="false" outlineLevel="0" collapsed="false">
      <c r="A96" s="0" t="n">
        <v>0</v>
      </c>
      <c r="D96" s="0" t="str">
        <f aca="false">IF('Sim Period'!D96&lt;(AVERAGE('Sim Period'!$D$43:D96)),'Sim Period'!D96-AVERAGE('Sim Period'!$D$43:D96),"")</f>
        <v/>
      </c>
      <c r="E96" s="0" t="str">
        <f aca="false">IF('Sim Period'!D96&lt;(AVERAGE('Sim Period'!$D$66:D96)),'Sim Period'!D96-AVERAGE('Sim Period'!$D$66:D96),"")</f>
        <v/>
      </c>
      <c r="F96" s="0" t="str">
        <f aca="false">IF('Sim Period'!D96&lt;(AVERAGE('Sim Period'!$D$85:D96)),'Sim Period'!D96-AVERAGE('Sim Period'!$D$85:D96),"")</f>
        <v/>
      </c>
      <c r="L96" s="0" t="str">
        <f aca="false">IF('Sim Period'!D96&lt;'Sim Period'!F96,'Sim Period'!D96-'Sim Period'!F96,"")</f>
        <v/>
      </c>
      <c r="M96" s="0" t="str">
        <f aca="false">IF('Sim Period'!D96&lt;(AVERAGE('Sim Period'!$D$24:D96)),'Sim Period'!D96-AVERAGE('Sim Period'!$D$24:D96),"")</f>
        <v/>
      </c>
      <c r="N96" s="0" t="str">
        <f aca="false">IF('Sim Period'!D96&lt;(AVERAGE('Sim Period'!$D$43:D96)),'Sim Period'!D96-AVERAGE('Sim Period'!$D$43:D96),"")</f>
        <v/>
      </c>
      <c r="O96" s="0" t="str">
        <f aca="false">IF('Sim Period'!D96&lt;(AVERAGE('Sim Period'!$D$66:D96)),'Sim Period'!D96-AVERAGE('Sim Period'!$D$66:D96),"")</f>
        <v/>
      </c>
      <c r="P96" s="0" t="str">
        <f aca="false">IF('Sim Period'!D96&lt;(AVERAGE('Sim Period'!$D$85:D96)),'Sim Period'!D96-AVERAGE('Sim Period'!$D$85:D96),"")</f>
        <v/>
      </c>
      <c r="S96" s="0" t="n">
        <v>1</v>
      </c>
    </row>
    <row r="97" customFormat="false" ht="14.1" hidden="false" customHeight="false" outlineLevel="0" collapsed="false">
      <c r="A97" s="0" t="n">
        <v>0</v>
      </c>
      <c r="D97" s="19" t="n">
        <f aca="false">IF('Sim Period'!D97&lt;(AVERAGE('Sim Period'!$D$43:D97)),'Sim Period'!D97-AVERAGE('Sim Period'!$D$43:D97),"")</f>
        <v>-0.0342145454545454</v>
      </c>
      <c r="E97" s="19" t="n">
        <f aca="false">IF('Sim Period'!D97&lt;(AVERAGE('Sim Period'!$D$66:D97)),'Sim Period'!D97-AVERAGE('Sim Period'!$D$66:D97),"")</f>
        <v>-0.037946875</v>
      </c>
      <c r="F97" s="19" t="n">
        <f aca="false">IF('Sim Period'!D97&lt;(AVERAGE('Sim Period'!$D$85:D97)),'Sim Period'!D97-AVERAGE('Sim Period'!$D$85:D97),"")</f>
        <v>-0.0412923076923077</v>
      </c>
      <c r="L97" s="19" t="n">
        <f aca="false">IF('Sim Period'!D97&lt;'Sim Period'!F97,'Sim Period'!D97-'Sim Period'!F97,"")</f>
        <v>-0.0330316371468999</v>
      </c>
      <c r="M97" s="19" t="n">
        <f aca="false">IF('Sim Period'!D97&lt;(AVERAGE('Sim Period'!$D$24:D97)),'Sim Period'!D97-AVERAGE('Sim Period'!$D$24:D97),"")</f>
        <v>-0.0324959459459459</v>
      </c>
      <c r="N97" s="19" t="n">
        <f aca="false">IF('Sim Period'!D97&lt;(AVERAGE('Sim Period'!$D$43:D97)),'Sim Period'!D97-AVERAGE('Sim Period'!$D$43:D97),"")</f>
        <v>-0.0342145454545454</v>
      </c>
      <c r="O97" s="19" t="n">
        <f aca="false">IF('Sim Period'!D97&lt;(AVERAGE('Sim Period'!$D$66:D97)),'Sim Period'!D97-AVERAGE('Sim Period'!$D$66:D97),"")</f>
        <v>-0.037946875</v>
      </c>
      <c r="P97" s="19" t="n">
        <f aca="false">IF('Sim Period'!D97&lt;(AVERAGE('Sim Period'!$D$85:D97)),'Sim Period'!D97-AVERAGE('Sim Period'!$D$85:D97),"")</f>
        <v>-0.0412923076923077</v>
      </c>
      <c r="S97" s="0" t="n">
        <v>1</v>
      </c>
    </row>
    <row r="98" customFormat="false" ht="14.1" hidden="false" customHeight="false" outlineLevel="0" collapsed="false">
      <c r="A98" s="0" t="n">
        <v>0</v>
      </c>
      <c r="D98" s="19" t="n">
        <f aca="false">IF('Sim Period'!D98&lt;(AVERAGE('Sim Period'!$D$43:D98)),'Sim Period'!D98-AVERAGE('Sim Period'!$D$43:D98),"")</f>
        <v>-0.0347821428571428</v>
      </c>
      <c r="E98" s="19" t="n">
        <f aca="false">IF('Sim Period'!D98&lt;(AVERAGE('Sim Period'!$D$66:D98)),'Sim Period'!D98-AVERAGE('Sim Period'!$D$66:D98),"")</f>
        <v>-0.037960606060606</v>
      </c>
      <c r="F98" s="19" t="n">
        <f aca="false">IF('Sim Period'!D98&lt;(AVERAGE('Sim Period'!$D$85:D98)),'Sim Period'!D98-AVERAGE('Sim Period'!$D$85:D98),"")</f>
        <v>-0.0394571428571428</v>
      </c>
      <c r="L98" s="19" t="n">
        <f aca="false">IF('Sim Period'!D98&lt;'Sim Period'!F98,'Sim Period'!D98-'Sim Period'!F98,"")</f>
        <v>-0.0337918959940868</v>
      </c>
      <c r="M98" s="19" t="n">
        <f aca="false">IF('Sim Period'!D98&lt;(AVERAGE('Sim Period'!$D$24:D98)),'Sim Period'!D98-AVERAGE('Sim Period'!$D$24:D98),"")</f>
        <v>-0.0332466666666666</v>
      </c>
      <c r="N98" s="19" t="n">
        <f aca="false">IF('Sim Period'!D98&lt;(AVERAGE('Sim Period'!$D$43:D98)),'Sim Period'!D98-AVERAGE('Sim Period'!$D$43:D98),"")</f>
        <v>-0.0347821428571428</v>
      </c>
      <c r="O98" s="19" t="n">
        <f aca="false">IF('Sim Period'!D98&lt;(AVERAGE('Sim Period'!$D$66:D98)),'Sim Period'!D98-AVERAGE('Sim Period'!$D$66:D98),"")</f>
        <v>-0.037960606060606</v>
      </c>
      <c r="P98" s="19" t="n">
        <f aca="false">IF('Sim Period'!D98&lt;(AVERAGE('Sim Period'!$D$85:D98)),'Sim Period'!D98-AVERAGE('Sim Period'!$D$85:D98),"")</f>
        <v>-0.0394571428571428</v>
      </c>
      <c r="S98" s="0" t="n">
        <v>1</v>
      </c>
    </row>
    <row r="99" customFormat="false" ht="14.1" hidden="false" customHeight="false" outlineLevel="0" collapsed="false">
      <c r="A99" s="0" t="n">
        <v>0</v>
      </c>
      <c r="D99" s="19" t="n">
        <f aca="false">IF('Sim Period'!D99&lt;(AVERAGE('Sim Period'!$D$43:D99)),'Sim Period'!D99-AVERAGE('Sim Period'!$D$43:D99),"")</f>
        <v>-0.00970877192982459</v>
      </c>
      <c r="E99" s="19" t="n">
        <f aca="false">IF('Sim Period'!D99&lt;(AVERAGE('Sim Period'!$D$66:D99)),'Sim Period'!D99-AVERAGE('Sim Period'!$D$66:D99),"")</f>
        <v>-0.0126764705882353</v>
      </c>
      <c r="F99" s="19" t="n">
        <f aca="false">IF('Sim Period'!D99&lt;(AVERAGE('Sim Period'!$D$85:D99)),'Sim Period'!D99-AVERAGE('Sim Period'!$D$85:D99),"")</f>
        <v>-0.0135866666666667</v>
      </c>
      <c r="L99" s="19" t="n">
        <f aca="false">IF('Sim Period'!D99&lt;'Sim Period'!F99,'Sim Period'!D99-'Sim Period'!F99,"")</f>
        <v>-0.00878519536068831</v>
      </c>
      <c r="M99" s="19" t="n">
        <f aca="false">IF('Sim Period'!D99&lt;(AVERAGE('Sim Period'!$D$24:D99)),'Sim Period'!D99-AVERAGE('Sim Period'!$D$24:D99),"")</f>
        <v>-0.00823684210526319</v>
      </c>
      <c r="N99" s="19" t="n">
        <f aca="false">IF('Sim Period'!D99&lt;(AVERAGE('Sim Period'!$D$43:D99)),'Sim Period'!D99-AVERAGE('Sim Period'!$D$43:D99),"")</f>
        <v>-0.00970877192982459</v>
      </c>
      <c r="O99" s="19" t="n">
        <f aca="false">IF('Sim Period'!D99&lt;(AVERAGE('Sim Period'!$D$66:D99)),'Sim Period'!D99-AVERAGE('Sim Period'!$D$66:D99),"")</f>
        <v>-0.0126764705882353</v>
      </c>
      <c r="P99" s="19" t="n">
        <f aca="false">IF('Sim Period'!D99&lt;(AVERAGE('Sim Period'!$D$85:D99)),'Sim Period'!D99-AVERAGE('Sim Period'!$D$85:D99),"")</f>
        <v>-0.0135866666666667</v>
      </c>
      <c r="S99" s="0" t="n">
        <v>1</v>
      </c>
    </row>
    <row r="100" customFormat="false" ht="14.1" hidden="false" customHeight="false" outlineLevel="0" collapsed="false">
      <c r="A100" s="0" t="n">
        <v>0</v>
      </c>
      <c r="D100" s="0" t="str">
        <f aca="false">IF('Sim Period'!D100&lt;(AVERAGE('Sim Period'!$D$43:D100)),'Sim Period'!D100-AVERAGE('Sim Period'!$D$43:D100),"")</f>
        <v/>
      </c>
      <c r="E100" s="0" t="str">
        <f aca="false">IF('Sim Period'!D100&lt;(AVERAGE('Sim Period'!$D$66:D100)),'Sim Period'!D100-AVERAGE('Sim Period'!$D$66:D100),"")</f>
        <v/>
      </c>
      <c r="F100" s="0" t="str">
        <f aca="false">IF('Sim Period'!D100&lt;(AVERAGE('Sim Period'!$D$85:D100)),'Sim Period'!D100-AVERAGE('Sim Period'!$D$85:D100),"")</f>
        <v/>
      </c>
      <c r="L100" s="0" t="str">
        <f aca="false">IF('Sim Period'!D100&lt;'Sim Period'!F100,'Sim Period'!D100-'Sim Period'!F100,"")</f>
        <v/>
      </c>
      <c r="M100" s="0" t="str">
        <f aca="false">IF('Sim Period'!D100&lt;(AVERAGE('Sim Period'!$D$24:D100)),'Sim Period'!D100-AVERAGE('Sim Period'!$D$24:D100),"")</f>
        <v/>
      </c>
      <c r="N100" s="0" t="str">
        <f aca="false">IF('Sim Period'!D100&lt;(AVERAGE('Sim Period'!$D$43:D100)),'Sim Period'!D100-AVERAGE('Sim Period'!$D$43:D100),"")</f>
        <v/>
      </c>
      <c r="O100" s="0" t="str">
        <f aca="false">IF('Sim Period'!D100&lt;(AVERAGE('Sim Period'!$D$66:D100)),'Sim Period'!D100-AVERAGE('Sim Period'!$D$66:D100),"")</f>
        <v/>
      </c>
      <c r="P100" s="0" t="str">
        <f aca="false">IF('Sim Period'!D100&lt;(AVERAGE('Sim Period'!$D$85:D100)),'Sim Period'!D100-AVERAGE('Sim Period'!$D$85:D100),"")</f>
        <v/>
      </c>
      <c r="S100" s="0" t="n">
        <v>1</v>
      </c>
    </row>
    <row r="101" customFormat="false" ht="14.1" hidden="false" customHeight="false" outlineLevel="0" collapsed="false">
      <c r="A101" s="0" t="n">
        <v>0</v>
      </c>
      <c r="D101" s="19" t="n">
        <f aca="false">IF('Sim Period'!D101&lt;(AVERAGE('Sim Period'!$D$43:D101)),'Sim Period'!D101-AVERAGE('Sim Period'!$D$43:D101),"")</f>
        <v>-0.028522033898305</v>
      </c>
      <c r="E101" s="19" t="n">
        <f aca="false">IF('Sim Period'!D101&lt;(AVERAGE('Sim Period'!$D$66:D101)),'Sim Period'!D101-AVERAGE('Sim Period'!$D$66:D101),"")</f>
        <v>-0.0312694444444443</v>
      </c>
      <c r="F101" s="19" t="n">
        <f aca="false">IF('Sim Period'!D101&lt;(AVERAGE('Sim Period'!$D$85:D101)),'Sim Period'!D101-AVERAGE('Sim Period'!$D$85:D101),"")</f>
        <v>-0.0317294117647058</v>
      </c>
      <c r="L101" s="19" t="n">
        <f aca="false">IF('Sim Period'!D101&lt;'Sim Period'!F101,'Sim Period'!D101-'Sim Period'!F101,"")</f>
        <v>-0.0276449426110292</v>
      </c>
      <c r="M101" s="19" t="n">
        <f aca="false">IF('Sim Period'!D101&lt;(AVERAGE('Sim Period'!$D$24:D101)),'Sim Period'!D101-AVERAGE('Sim Period'!$D$24:D101),"")</f>
        <v>-0.0271089743589743</v>
      </c>
      <c r="N101" s="19" t="n">
        <f aca="false">IF('Sim Period'!D101&lt;(AVERAGE('Sim Period'!$D$43:D101)),'Sim Period'!D101-AVERAGE('Sim Period'!$D$43:D101),"")</f>
        <v>-0.028522033898305</v>
      </c>
      <c r="O101" s="19" t="n">
        <f aca="false">IF('Sim Period'!D101&lt;(AVERAGE('Sim Period'!$D$66:D101)),'Sim Period'!D101-AVERAGE('Sim Period'!$D$66:D101),"")</f>
        <v>-0.0312694444444443</v>
      </c>
      <c r="P101" s="19" t="n">
        <f aca="false">IF('Sim Period'!D101&lt;(AVERAGE('Sim Period'!$D$85:D101)),'Sim Period'!D101-AVERAGE('Sim Period'!$D$85:D101),"")</f>
        <v>-0.0317294117647058</v>
      </c>
      <c r="S101" s="0" t="n">
        <v>1</v>
      </c>
    </row>
    <row r="102" customFormat="false" ht="14.1" hidden="false" customHeight="false" outlineLevel="0" collapsed="false">
      <c r="A102" s="0" t="n">
        <v>0</v>
      </c>
      <c r="D102" s="19" t="n">
        <f aca="false">IF('Sim Period'!D102&lt;(AVERAGE('Sim Period'!$D$43:D102)),'Sim Period'!D102-AVERAGE('Sim Period'!$D$43:D102),"")</f>
        <v>-0.0350283333333332</v>
      </c>
      <c r="E102" s="19" t="n">
        <f aca="false">IF('Sim Period'!D102&lt;(AVERAGE('Sim Period'!$D$66:D102)),'Sim Period'!D102-AVERAGE('Sim Period'!$D$66:D102),"")</f>
        <v>-0.0373324324324323</v>
      </c>
      <c r="F102" s="19" t="n">
        <f aca="false">IF('Sim Period'!D102&lt;(AVERAGE('Sim Period'!$D$85:D102)),'Sim Period'!D102-AVERAGE('Sim Period'!$D$85:D102),"")</f>
        <v>-0.0366722222222221</v>
      </c>
      <c r="L102" s="19" t="n">
        <f aca="false">IF('Sim Period'!D102&lt;'Sim Period'!F102,'Sim Period'!D102-'Sim Period'!F102,"")</f>
        <v>-0.0343308338621411</v>
      </c>
      <c r="M102" s="19" t="n">
        <f aca="false">IF('Sim Period'!D102&lt;(AVERAGE('Sim Period'!$D$24:D102)),'Sim Period'!D102-AVERAGE('Sim Period'!$D$24:D102),"")</f>
        <v>-0.0337759493670885</v>
      </c>
      <c r="N102" s="19" t="n">
        <f aca="false">IF('Sim Period'!D102&lt;(AVERAGE('Sim Period'!$D$43:D102)),'Sim Period'!D102-AVERAGE('Sim Period'!$D$43:D102),"")</f>
        <v>-0.0350283333333332</v>
      </c>
      <c r="O102" s="19" t="n">
        <f aca="false">IF('Sim Period'!D102&lt;(AVERAGE('Sim Period'!$D$66:D102)),'Sim Period'!D102-AVERAGE('Sim Period'!$D$66:D102),"")</f>
        <v>-0.0373324324324323</v>
      </c>
      <c r="P102" s="19" t="n">
        <f aca="false">IF('Sim Period'!D102&lt;(AVERAGE('Sim Period'!$D$85:D102)),'Sim Period'!D102-AVERAGE('Sim Period'!$D$85:D102),"")</f>
        <v>-0.0366722222222221</v>
      </c>
      <c r="S102" s="0" t="n">
        <v>1</v>
      </c>
    </row>
    <row r="103" customFormat="false" ht="14.1" hidden="false" customHeight="false" outlineLevel="0" collapsed="false">
      <c r="A103" s="0" t="n">
        <v>0</v>
      </c>
      <c r="D103" s="0" t="str">
        <f aca="false">IF('Sim Period'!D103&lt;(AVERAGE('Sim Period'!$D$43:D103)),'Sim Period'!D103-AVERAGE('Sim Period'!$D$43:D103),"")</f>
        <v/>
      </c>
      <c r="E103" s="0" t="str">
        <f aca="false">IF('Sim Period'!D103&lt;(AVERAGE('Sim Period'!$D$66:D103)),'Sim Period'!D103-AVERAGE('Sim Period'!$D$66:D103),"")</f>
        <v/>
      </c>
      <c r="F103" s="0" t="str">
        <f aca="false">IF('Sim Period'!D103&lt;(AVERAGE('Sim Period'!$D$85:D103)),'Sim Period'!D103-AVERAGE('Sim Period'!$D$85:D103),"")</f>
        <v/>
      </c>
      <c r="L103" s="0" t="str">
        <f aca="false">IF('Sim Period'!D103&lt;'Sim Period'!F103,'Sim Period'!D103-'Sim Period'!F103,"")</f>
        <v/>
      </c>
      <c r="M103" s="0" t="str">
        <f aca="false">IF('Sim Period'!D103&lt;(AVERAGE('Sim Period'!$D$24:D103)),'Sim Period'!D103-AVERAGE('Sim Period'!$D$24:D103),"")</f>
        <v/>
      </c>
      <c r="N103" s="0" t="str">
        <f aca="false">IF('Sim Period'!D103&lt;(AVERAGE('Sim Period'!$D$43:D103)),'Sim Period'!D103-AVERAGE('Sim Period'!$D$43:D103),"")</f>
        <v/>
      </c>
      <c r="O103" s="0" t="str">
        <f aca="false">IF('Sim Period'!D103&lt;(AVERAGE('Sim Period'!$D$66:D103)),'Sim Period'!D103-AVERAGE('Sim Period'!$D$66:D103),"")</f>
        <v/>
      </c>
      <c r="P103" s="0" t="str">
        <f aca="false">IF('Sim Period'!D103&lt;(AVERAGE('Sim Period'!$D$85:D103)),'Sim Period'!D103-AVERAGE('Sim Period'!$D$85:D103),"")</f>
        <v/>
      </c>
      <c r="S103" s="0" t="n">
        <v>1</v>
      </c>
    </row>
    <row r="104" customFormat="false" ht="14.1" hidden="false" customHeight="false" outlineLevel="0" collapsed="false">
      <c r="A104" s="0" t="n">
        <v>0</v>
      </c>
      <c r="D104" s="0" t="str">
        <f aca="false">IF('Sim Period'!D104&lt;(AVERAGE('Sim Period'!$D$43:D104)),'Sim Period'!D104-AVERAGE('Sim Period'!$D$43:D104),"")</f>
        <v/>
      </c>
      <c r="E104" s="0" t="str">
        <f aca="false">IF('Sim Period'!D104&lt;(AVERAGE('Sim Period'!$D$66:D104)),'Sim Period'!D104-AVERAGE('Sim Period'!$D$66:D104),"")</f>
        <v/>
      </c>
      <c r="F104" s="0" t="str">
        <f aca="false">IF('Sim Period'!D104&lt;(AVERAGE('Sim Period'!$D$85:D104)),'Sim Period'!D104-AVERAGE('Sim Period'!$D$85:D104),"")</f>
        <v/>
      </c>
      <c r="L104" s="0" t="str">
        <f aca="false">IF('Sim Period'!D104&lt;'Sim Period'!F104,'Sim Period'!D104-'Sim Period'!F104,"")</f>
        <v/>
      </c>
      <c r="M104" s="0" t="str">
        <f aca="false">IF('Sim Period'!D104&lt;(AVERAGE('Sim Period'!$D$24:D104)),'Sim Period'!D104-AVERAGE('Sim Period'!$D$24:D104),"")</f>
        <v/>
      </c>
      <c r="N104" s="0" t="str">
        <f aca="false">IF('Sim Period'!D104&lt;(AVERAGE('Sim Period'!$D$43:D104)),'Sim Period'!D104-AVERAGE('Sim Period'!$D$43:D104),"")</f>
        <v/>
      </c>
      <c r="O104" s="0" t="str">
        <f aca="false">IF('Sim Period'!D104&lt;(AVERAGE('Sim Period'!$D$66:D104)),'Sim Period'!D104-AVERAGE('Sim Period'!$D$66:D104),"")</f>
        <v/>
      </c>
      <c r="P104" s="0" t="str">
        <f aca="false">IF('Sim Period'!D104&lt;(AVERAGE('Sim Period'!$D$85:D104)),'Sim Period'!D104-AVERAGE('Sim Period'!$D$85:D104),"")</f>
        <v/>
      </c>
      <c r="S104" s="0" t="n">
        <v>1</v>
      </c>
    </row>
    <row r="105" customFormat="false" ht="14.1" hidden="false" customHeight="false" outlineLevel="0" collapsed="false">
      <c r="A105" s="0" t="n">
        <v>0</v>
      </c>
      <c r="D105" s="19" t="n">
        <f aca="false">IF('Sim Period'!D105&lt;(AVERAGE('Sim Period'!$D$43:D105)),'Sim Period'!D105-AVERAGE('Sim Period'!$D$43:D105),"")</f>
        <v>-0.00469365079365088</v>
      </c>
      <c r="E105" s="19" t="n">
        <f aca="false">IF('Sim Period'!D105&lt;(AVERAGE('Sim Period'!$D$66:D105)),'Sim Period'!D105-AVERAGE('Sim Period'!$D$66:D105),"")</f>
        <v>-0.00709250000000008</v>
      </c>
      <c r="F105" s="19" t="n">
        <f aca="false">IF('Sim Period'!D105&lt;(AVERAGE('Sim Period'!$D$85:D105)),'Sim Period'!D105-AVERAGE('Sim Period'!$D$85:D105),"")</f>
        <v>-0.00703333333333343</v>
      </c>
      <c r="L105" s="19" t="n">
        <f aca="false">IF('Sim Period'!D105&lt;'Sim Period'!F105,'Sim Period'!D105-'Sim Period'!F105,"")</f>
        <v>-0.00389436697427673</v>
      </c>
      <c r="M105" s="19" t="n">
        <f aca="false">IF('Sim Period'!D105&lt;(AVERAGE('Sim Period'!$D$24:D105)),'Sim Period'!D105-AVERAGE('Sim Period'!$D$24:D105),"")</f>
        <v>-0.00337926829268302</v>
      </c>
      <c r="N105" s="19" t="n">
        <f aca="false">IF('Sim Period'!D105&lt;(AVERAGE('Sim Period'!$D$43:D105)),'Sim Period'!D105-AVERAGE('Sim Period'!$D$43:D105),"")</f>
        <v>-0.00469365079365088</v>
      </c>
      <c r="O105" s="19" t="n">
        <f aca="false">IF('Sim Period'!D105&lt;(AVERAGE('Sim Period'!$D$66:D105)),'Sim Period'!D105-AVERAGE('Sim Period'!$D$66:D105),"")</f>
        <v>-0.00709250000000008</v>
      </c>
      <c r="P105" s="19" t="n">
        <f aca="false">IF('Sim Period'!D105&lt;(AVERAGE('Sim Period'!$D$85:D105)),'Sim Period'!D105-AVERAGE('Sim Period'!$D$85:D105),"")</f>
        <v>-0.00703333333333343</v>
      </c>
      <c r="S105" s="0" t="n">
        <v>1</v>
      </c>
    </row>
    <row r="106" customFormat="false" ht="14.1" hidden="false" customHeight="false" outlineLevel="0" collapsed="false">
      <c r="A106" s="0" t="n">
        <v>5</v>
      </c>
      <c r="D106" s="0" t="str">
        <f aca="false">IF('Sim Period'!D106&lt;(AVERAGE('Sim Period'!$D$43:D106)),'Sim Period'!D106-AVERAGE('Sim Period'!$D$43:D106),"")</f>
        <v/>
      </c>
      <c r="E106" s="0" t="str">
        <f aca="false">IF('Sim Period'!D106&lt;(AVERAGE('Sim Period'!$D$66:D106)),'Sim Period'!D106-AVERAGE('Sim Period'!$D$66:D106),"")</f>
        <v/>
      </c>
      <c r="F106" s="0" t="str">
        <f aca="false">IF('Sim Period'!D106&lt;(AVERAGE('Sim Period'!$D$85:D106)),'Sim Period'!D106-AVERAGE('Sim Period'!$D$85:D106),"")</f>
        <v/>
      </c>
      <c r="L106" s="0" t="str">
        <f aca="false">IF('Sim Period'!D106&lt;'Sim Period'!F106,'Sim Period'!D106-'Sim Period'!F106,"")</f>
        <v/>
      </c>
      <c r="M106" s="0" t="str">
        <f aca="false">IF('Sim Period'!D106&lt;(AVERAGE('Sim Period'!$D$24:D106)),'Sim Period'!D106-AVERAGE('Sim Period'!$D$24:D106),"")</f>
        <v/>
      </c>
      <c r="N106" s="0" t="str">
        <f aca="false">IF('Sim Period'!D106&lt;(AVERAGE('Sim Period'!$D$43:D106)),'Sim Period'!D106-AVERAGE('Sim Period'!$D$43:D106),"")</f>
        <v/>
      </c>
      <c r="O106" s="0" t="str">
        <f aca="false">IF('Sim Period'!D106&lt;(AVERAGE('Sim Period'!$D$66:D106)),'Sim Period'!D106-AVERAGE('Sim Period'!$D$66:D106),"")</f>
        <v/>
      </c>
      <c r="P106" s="0" t="str">
        <f aca="false">IF('Sim Period'!D106&lt;(AVERAGE('Sim Period'!$D$85:D106)),'Sim Period'!D106-AVERAGE('Sim Period'!$D$85:D106),"")</f>
        <v/>
      </c>
      <c r="S106" s="0" t="n">
        <v>1</v>
      </c>
    </row>
    <row r="107" customFormat="false" ht="14.1" hidden="false" customHeight="false" outlineLevel="0" collapsed="false">
      <c r="A107" s="0" t="n">
        <v>0</v>
      </c>
      <c r="E107" s="0" t="str">
        <f aca="false">IF('Sim Period'!D107&lt;(AVERAGE('Sim Period'!$D$66:D107)),'Sim Period'!D107-AVERAGE('Sim Period'!$D$66:D107),"")</f>
        <v/>
      </c>
      <c r="F107" s="0" t="str">
        <f aca="false">IF('Sim Period'!D107&lt;(AVERAGE('Sim Period'!$D$85:D107)),'Sim Period'!D107-AVERAGE('Sim Period'!$D$85:D107),"")</f>
        <v/>
      </c>
      <c r="G107" s="0" t="str">
        <f aca="false">IF('Sim Period'!D107&lt;(AVERAGE('Sim Period'!$D$107:D107)),'Sim Period'!D107-AVERAGE('Sim Period'!$D$107:D107),"")</f>
        <v/>
      </c>
      <c r="L107" s="0" t="str">
        <f aca="false">IF('Sim Period'!D107&lt;'Sim Period'!F107,'Sim Period'!D107-'Sim Period'!F107,"")</f>
        <v/>
      </c>
      <c r="M107" s="0" t="str">
        <f aca="false">IF('Sim Period'!D107&lt;(AVERAGE('Sim Period'!$D$24:D107)),'Sim Period'!D107-AVERAGE('Sim Period'!$D$24:D107),"")</f>
        <v/>
      </c>
      <c r="N107" s="0" t="str">
        <f aca="false">IF('Sim Period'!D107&lt;(AVERAGE('Sim Period'!$D$43:D107)),'Sim Period'!D107-AVERAGE('Sim Period'!$D$43:D107),"")</f>
        <v/>
      </c>
      <c r="O107" s="0" t="str">
        <f aca="false">IF('Sim Period'!D107&lt;(AVERAGE('Sim Period'!$D$66:D107)),'Sim Period'!D107-AVERAGE('Sim Period'!$D$66:D107),"")</f>
        <v/>
      </c>
      <c r="P107" s="0" t="str">
        <f aca="false">IF('Sim Period'!D107&lt;(AVERAGE('Sim Period'!$D$85:D107)),'Sim Period'!D107-AVERAGE('Sim Period'!$D$85:D107),"")</f>
        <v/>
      </c>
      <c r="Q107" s="0" t="str">
        <f aca="false">IF('Sim Period'!D107&lt;(AVERAGE('Sim Period'!$D$107:D107)),'Sim Period'!D107-AVERAGE('Sim Period'!$D$107:D107),"")</f>
        <v/>
      </c>
      <c r="S107" s="0" t="n">
        <v>1</v>
      </c>
    </row>
    <row r="108" customFormat="false" ht="14.1" hidden="false" customHeight="false" outlineLevel="0" collapsed="false">
      <c r="A108" s="0" t="n">
        <v>0</v>
      </c>
      <c r="E108" s="19" t="n">
        <f aca="false">IF('Sim Period'!D108&lt;(AVERAGE('Sim Period'!$D$66:D108)),'Sim Period'!D108-AVERAGE('Sim Period'!$D$66:D108),"")</f>
        <v>-0.0151418604651163</v>
      </c>
      <c r="F108" s="19" t="n">
        <f aca="false">IF('Sim Period'!D108&lt;(AVERAGE('Sim Period'!$D$85:D108)),'Sim Period'!D108-AVERAGE('Sim Period'!$D$85:D108),"")</f>
        <v>-0.0156833333333334</v>
      </c>
      <c r="G108" s="19" t="n">
        <f aca="false">IF('Sim Period'!D108&lt;(AVERAGE('Sim Period'!$D$107:D108)),'Sim Period'!D108-AVERAGE('Sim Period'!$D$107:D108),"")</f>
        <v>-0.0186500000000001</v>
      </c>
      <c r="L108" s="19" t="n">
        <f aca="false">IF('Sim Period'!D108&lt;'Sim Period'!F108,'Sim Period'!D108-'Sim Period'!F108,"")</f>
        <v>-0.0116831104603295</v>
      </c>
      <c r="M108" s="19" t="n">
        <f aca="false">IF('Sim Period'!D108&lt;(AVERAGE('Sim Period'!$D$24:D108)),'Sim Period'!D108-AVERAGE('Sim Period'!$D$24:D108),"")</f>
        <v>-0.0111894117647059</v>
      </c>
      <c r="N108" s="19" t="n">
        <f aca="false">IF('Sim Period'!D108&lt;(AVERAGE('Sim Period'!$D$43:D108)),'Sim Period'!D108-AVERAGE('Sim Period'!$D$43:D108),"")</f>
        <v>-0.0125909090909091</v>
      </c>
      <c r="O108" s="19" t="n">
        <f aca="false">IF('Sim Period'!D108&lt;(AVERAGE('Sim Period'!$D$66:D108)),'Sim Period'!D108-AVERAGE('Sim Period'!$D$66:D108),"")</f>
        <v>-0.0151418604651163</v>
      </c>
      <c r="P108" s="19" t="n">
        <f aca="false">IF('Sim Period'!D108&lt;(AVERAGE('Sim Period'!$D$85:D108)),'Sim Period'!D108-AVERAGE('Sim Period'!$D$85:D108),"")</f>
        <v>-0.0156833333333334</v>
      </c>
      <c r="Q108" s="19" t="n">
        <f aca="false">IF('Sim Period'!D108&lt;(AVERAGE('Sim Period'!$D$107:D108)),'Sim Period'!D108-AVERAGE('Sim Period'!$D$107:D108),"")</f>
        <v>-0.0186500000000001</v>
      </c>
      <c r="S108" s="0" t="n">
        <v>1</v>
      </c>
    </row>
    <row r="109" customFormat="false" ht="14.1" hidden="false" customHeight="false" outlineLevel="0" collapsed="false">
      <c r="A109" s="0" t="n">
        <v>0</v>
      </c>
      <c r="E109" s="0" t="str">
        <f aca="false">IF('Sim Period'!D109&lt;(AVERAGE('Sim Period'!$D$66:D109)),'Sim Period'!D109-AVERAGE('Sim Period'!$D$66:D109),"")</f>
        <v/>
      </c>
      <c r="F109" s="0" t="str">
        <f aca="false">IF('Sim Period'!D109&lt;(AVERAGE('Sim Period'!$D$85:D109)),'Sim Period'!D109-AVERAGE('Sim Period'!$D$85:D109),"")</f>
        <v/>
      </c>
      <c r="G109" s="0" t="str">
        <f aca="false">IF('Sim Period'!D109&lt;(AVERAGE('Sim Period'!$D$107:D109)),'Sim Period'!D109-AVERAGE('Sim Period'!$D$107:D109),"")</f>
        <v/>
      </c>
      <c r="L109" s="0" t="str">
        <f aca="false">IF('Sim Period'!D109&lt;'Sim Period'!F109,'Sim Period'!D109-'Sim Period'!F109,"")</f>
        <v/>
      </c>
      <c r="M109" s="0" t="str">
        <f aca="false">IF('Sim Period'!D109&lt;(AVERAGE('Sim Period'!$D$24:D109)),'Sim Period'!D109-AVERAGE('Sim Period'!$D$24:D109),"")</f>
        <v/>
      </c>
      <c r="N109" s="0" t="str">
        <f aca="false">IF('Sim Period'!D109&lt;(AVERAGE('Sim Period'!$D$43:D109)),'Sim Period'!D109-AVERAGE('Sim Period'!$D$43:D109),"")</f>
        <v/>
      </c>
      <c r="O109" s="0" t="str">
        <f aca="false">IF('Sim Period'!D109&lt;(AVERAGE('Sim Period'!$D$66:D109)),'Sim Period'!D109-AVERAGE('Sim Period'!$D$66:D109),"")</f>
        <v/>
      </c>
      <c r="P109" s="0" t="str">
        <f aca="false">IF('Sim Period'!D109&lt;(AVERAGE('Sim Period'!$D$85:D109)),'Sim Period'!D109-AVERAGE('Sim Period'!$D$85:D109),"")</f>
        <v/>
      </c>
      <c r="Q109" s="0" t="str">
        <f aca="false">IF('Sim Period'!D109&lt;(AVERAGE('Sim Period'!$D$107:D109)),'Sim Period'!D109-AVERAGE('Sim Period'!$D$107:D109),"")</f>
        <v/>
      </c>
      <c r="S109" s="0" t="n">
        <v>1</v>
      </c>
    </row>
    <row r="110" customFormat="false" ht="14.1" hidden="false" customHeight="false" outlineLevel="0" collapsed="false">
      <c r="A110" s="0" t="n">
        <v>0</v>
      </c>
      <c r="E110" s="19" t="n">
        <f aca="false">IF('Sim Period'!D110&lt;(AVERAGE('Sim Period'!$D$66:D110)),'Sim Period'!D110-AVERAGE('Sim Period'!$D$66:D110),"")</f>
        <v>-0.0416666666666668</v>
      </c>
      <c r="F110" s="19" t="n">
        <f aca="false">IF('Sim Period'!D110&lt;(AVERAGE('Sim Period'!$D$85:D110)),'Sim Period'!D110-AVERAGE('Sim Period'!$D$85:D110),"")</f>
        <v>-0.041673076923077</v>
      </c>
      <c r="G110" s="19" t="n">
        <f aca="false">IF('Sim Period'!D110&lt;(AVERAGE('Sim Period'!$D$107:D110)),'Sim Period'!D110-AVERAGE('Sim Period'!$D$107:D110),"")</f>
        <v>-0.0365000000000001</v>
      </c>
      <c r="L110" s="19" t="n">
        <f aca="false">IF('Sim Period'!D110&lt;'Sim Period'!F110,'Sim Period'!D110-'Sim Period'!F110,"")</f>
        <v>-0.0386124774647178</v>
      </c>
      <c r="M110" s="19" t="n">
        <f aca="false">IF('Sim Period'!D110&lt;(AVERAGE('Sim Period'!$D$24:D110)),'Sim Period'!D110-AVERAGE('Sim Period'!$D$24:D110),"")</f>
        <v>-0.0381310344827587</v>
      </c>
      <c r="N110" s="19" t="n">
        <f aca="false">IF('Sim Period'!D110&lt;(AVERAGE('Sim Period'!$D$43:D110)),'Sim Period'!D110-AVERAGE('Sim Period'!$D$43:D110),"")</f>
        <v>-0.0394191176470589</v>
      </c>
      <c r="O110" s="19" t="n">
        <f aca="false">IF('Sim Period'!D110&lt;(AVERAGE('Sim Period'!$D$66:D110)),'Sim Period'!D110-AVERAGE('Sim Period'!$D$66:D110),"")</f>
        <v>-0.0416666666666668</v>
      </c>
      <c r="P110" s="19" t="n">
        <f aca="false">IF('Sim Period'!D110&lt;(AVERAGE('Sim Period'!$D$85:D110)),'Sim Period'!D110-AVERAGE('Sim Period'!$D$85:D110),"")</f>
        <v>-0.041673076923077</v>
      </c>
      <c r="Q110" s="19" t="n">
        <f aca="false">IF('Sim Period'!D110&lt;(AVERAGE('Sim Period'!$D$107:D110)),'Sim Period'!D110-AVERAGE('Sim Period'!$D$107:D110),"")</f>
        <v>-0.0365000000000001</v>
      </c>
      <c r="S110" s="0" t="n">
        <v>1</v>
      </c>
    </row>
    <row r="111" customFormat="false" ht="14.1" hidden="false" customHeight="false" outlineLevel="0" collapsed="false">
      <c r="A111" s="0" t="n">
        <v>0</v>
      </c>
      <c r="E111" s="19" t="n">
        <f aca="false">IF('Sim Period'!D111&lt;(AVERAGE('Sim Period'!$D$66:D111)),'Sim Period'!D111-AVERAGE('Sim Period'!$D$66:D111),"")</f>
        <v>-0.0134673913043479</v>
      </c>
      <c r="F111" s="19" t="n">
        <f aca="false">IF('Sim Period'!D111&lt;(AVERAGE('Sim Period'!$D$85:D111)),'Sim Period'!D111-AVERAGE('Sim Period'!$D$85:D111),"")</f>
        <v>-0.013262962962963</v>
      </c>
      <c r="G111" s="19" t="n">
        <f aca="false">IF('Sim Period'!D111&lt;(AVERAGE('Sim Period'!$D$107:D111)),'Sim Period'!D111-AVERAGE('Sim Period'!$D$107:D111),"")</f>
        <v>-0.00688000000000005</v>
      </c>
      <c r="L111" s="19" t="n">
        <f aca="false">IF('Sim Period'!D111&lt;'Sim Period'!F111,'Sim Period'!D111-'Sim Period'!F111,"")</f>
        <v>-0.0105952887681646</v>
      </c>
      <c r="M111" s="19" t="n">
        <f aca="false">IF('Sim Period'!D111&lt;(AVERAGE('Sim Period'!$D$24:D111)),'Sim Period'!D111-AVERAGE('Sim Period'!$D$24:D111),"")</f>
        <v>-0.0101147727272728</v>
      </c>
      <c r="N111" s="19" t="n">
        <f aca="false">IF('Sim Period'!D111&lt;(AVERAGE('Sim Period'!$D$43:D111)),'Sim Period'!D111-AVERAGE('Sim Period'!$D$43:D111),"")</f>
        <v>-0.0113521739130436</v>
      </c>
      <c r="O111" s="19" t="n">
        <f aca="false">IF('Sim Period'!D111&lt;(AVERAGE('Sim Period'!$D$66:D111)),'Sim Period'!D111-AVERAGE('Sim Period'!$D$66:D111),"")</f>
        <v>-0.0134673913043479</v>
      </c>
      <c r="P111" s="19" t="n">
        <f aca="false">IF('Sim Period'!D111&lt;(AVERAGE('Sim Period'!$D$85:D111)),'Sim Period'!D111-AVERAGE('Sim Period'!$D$85:D111),"")</f>
        <v>-0.013262962962963</v>
      </c>
      <c r="Q111" s="19" t="n">
        <f aca="false">IF('Sim Period'!D111&lt;(AVERAGE('Sim Period'!$D$107:D111)),'Sim Period'!D111-AVERAGE('Sim Period'!$D$107:D111),"")</f>
        <v>-0.00688000000000005</v>
      </c>
      <c r="S111" s="0" t="n">
        <v>1</v>
      </c>
    </row>
    <row r="112" customFormat="false" ht="14.1" hidden="false" customHeight="false" outlineLevel="0" collapsed="false">
      <c r="A112" s="0" t="n">
        <v>0</v>
      </c>
      <c r="E112" s="19" t="n">
        <f aca="false">IF('Sim Period'!D112&lt;(AVERAGE('Sim Period'!$D$66:D112)),'Sim Period'!D112-AVERAGE('Sim Period'!$D$66:D112),"")</f>
        <v>-0.0177808510638298</v>
      </c>
      <c r="F112" s="19" t="n">
        <f aca="false">IF('Sim Period'!D112&lt;(AVERAGE('Sim Period'!$D$85:D112)),'Sim Period'!D112-AVERAGE('Sim Period'!$D$85:D112),"")</f>
        <v>-0.0173214285714286</v>
      </c>
      <c r="G112" s="19" t="n">
        <f aca="false">IF('Sim Period'!D112&lt;(AVERAGE('Sim Period'!$D$107:D112)),'Sim Period'!D112-AVERAGE('Sim Period'!$D$107:D112),"")</f>
        <v>-0.00964999999999998</v>
      </c>
      <c r="L112" s="19" t="n">
        <f aca="false">IF('Sim Period'!D112&lt;'Sim Period'!F112,'Sim Period'!D112-'Sim Period'!F112,"")</f>
        <v>-0.0151286711392218</v>
      </c>
      <c r="M112" s="19" t="n">
        <f aca="false">IF('Sim Period'!D112&lt;(AVERAGE('Sim Period'!$D$24:D112)),'Sim Period'!D112-AVERAGE('Sim Period'!$D$24:D112),"")</f>
        <v>-0.0146483146067416</v>
      </c>
      <c r="N112" s="19" t="n">
        <f aca="false">IF('Sim Period'!D112&lt;(AVERAGE('Sim Period'!$D$43:D112)),'Sim Period'!D112-AVERAGE('Sim Period'!$D$43:D112),"")</f>
        <v>-0.0158228571428571</v>
      </c>
      <c r="O112" s="19" t="n">
        <f aca="false">IF('Sim Period'!D112&lt;(AVERAGE('Sim Period'!$D$66:D112)),'Sim Period'!D112-AVERAGE('Sim Period'!$D$66:D112),"")</f>
        <v>-0.0177808510638298</v>
      </c>
      <c r="P112" s="19" t="n">
        <f aca="false">IF('Sim Period'!D112&lt;(AVERAGE('Sim Period'!$D$85:D112)),'Sim Period'!D112-AVERAGE('Sim Period'!$D$85:D112),"")</f>
        <v>-0.0173214285714286</v>
      </c>
      <c r="Q112" s="19" t="n">
        <f aca="false">IF('Sim Period'!D112&lt;(AVERAGE('Sim Period'!$D$107:D112)),'Sim Period'!D112-AVERAGE('Sim Period'!$D$107:D112),"")</f>
        <v>-0.00964999999999998</v>
      </c>
      <c r="S112" s="0" t="n">
        <v>1</v>
      </c>
    </row>
    <row r="113" customFormat="false" ht="14.1" hidden="false" customHeight="false" outlineLevel="0" collapsed="false">
      <c r="A113" s="0" t="n">
        <v>0</v>
      </c>
      <c r="E113" s="19" t="n">
        <f aca="false">IF('Sim Period'!D113&lt;(AVERAGE('Sim Period'!$D$66:D113)),'Sim Period'!D113-AVERAGE('Sim Period'!$D$66:D113),"")</f>
        <v>-0.03464375</v>
      </c>
      <c r="F113" s="19" t="n">
        <f aca="false">IF('Sim Period'!D113&lt;(AVERAGE('Sim Period'!$D$85:D113)),'Sim Period'!D113-AVERAGE('Sim Period'!$D$85:D113),"")</f>
        <v>-0.0337172413793103</v>
      </c>
      <c r="G113" s="19" t="n">
        <f aca="false">IF('Sim Period'!D113&lt;(AVERAGE('Sim Period'!$D$107:D113)),'Sim Period'!D113-AVERAGE('Sim Period'!$D$107:D113),"")</f>
        <v>-0.0233571428571428</v>
      </c>
      <c r="L113" s="19" t="n">
        <f aca="false">IF('Sim Period'!D113&lt;'Sim Period'!F113,'Sim Period'!D113-'Sim Period'!F113,"")</f>
        <v>-0.0323751455173742</v>
      </c>
      <c r="M113" s="19" t="n">
        <f aca="false">IF('Sim Period'!D113&lt;(AVERAGE('Sim Period'!$D$24:D113)),'Sim Period'!D113-AVERAGE('Sim Period'!$D$24:D113),"")</f>
        <v>-0.03189</v>
      </c>
      <c r="N113" s="19" t="n">
        <f aca="false">IF('Sim Period'!D113&lt;(AVERAGE('Sim Period'!$D$43:D113)),'Sim Period'!D113-AVERAGE('Sim Period'!$D$43:D113),"")</f>
        <v>-0.0329521126760563</v>
      </c>
      <c r="O113" s="19" t="n">
        <f aca="false">IF('Sim Period'!D113&lt;(AVERAGE('Sim Period'!$D$66:D113)),'Sim Period'!D113-AVERAGE('Sim Period'!$D$66:D113),"")</f>
        <v>-0.03464375</v>
      </c>
      <c r="P113" s="19" t="n">
        <f aca="false">IF('Sim Period'!D113&lt;(AVERAGE('Sim Period'!$D$85:D113)),'Sim Period'!D113-AVERAGE('Sim Period'!$D$85:D113),"")</f>
        <v>-0.0337172413793103</v>
      </c>
      <c r="Q113" s="19" t="n">
        <f aca="false">IF('Sim Period'!D113&lt;(AVERAGE('Sim Period'!$D$107:D113)),'Sim Period'!D113-AVERAGE('Sim Period'!$D$107:D113),"")</f>
        <v>-0.0233571428571428</v>
      </c>
      <c r="S113" s="0" t="n">
        <v>1</v>
      </c>
    </row>
    <row r="114" customFormat="false" ht="14.1" hidden="false" customHeight="false" outlineLevel="0" collapsed="false">
      <c r="A114" s="0" t="n">
        <v>0</v>
      </c>
      <c r="E114" s="0" t="str">
        <f aca="false">IF('Sim Period'!D114&lt;(AVERAGE('Sim Period'!$D$66:D114)),'Sim Period'!D114-AVERAGE('Sim Period'!$D$66:D114),"")</f>
        <v/>
      </c>
      <c r="F114" s="0" t="str">
        <f aca="false">IF('Sim Period'!D114&lt;(AVERAGE('Sim Period'!$D$85:D114)),'Sim Period'!D114-AVERAGE('Sim Period'!$D$85:D114),"")</f>
        <v/>
      </c>
      <c r="G114" s="0" t="str">
        <f aca="false">IF('Sim Period'!D114&lt;(AVERAGE('Sim Period'!$D$107:D114)),'Sim Period'!D114-AVERAGE('Sim Period'!$D$107:D114),"")</f>
        <v/>
      </c>
      <c r="L114" s="0" t="str">
        <f aca="false">IF('Sim Period'!D114&lt;'Sim Period'!F114,'Sim Period'!D114-'Sim Period'!F114,"")</f>
        <v/>
      </c>
      <c r="M114" s="0" t="str">
        <f aca="false">IF('Sim Period'!D114&lt;(AVERAGE('Sim Period'!$D$24:D114)),'Sim Period'!D114-AVERAGE('Sim Period'!$D$24:D114),"")</f>
        <v/>
      </c>
      <c r="N114" s="0" t="str">
        <f aca="false">IF('Sim Period'!D114&lt;(AVERAGE('Sim Period'!$D$43:D114)),'Sim Period'!D114-AVERAGE('Sim Period'!$D$43:D114),"")</f>
        <v/>
      </c>
      <c r="O114" s="0" t="str">
        <f aca="false">IF('Sim Period'!D114&lt;(AVERAGE('Sim Period'!$D$66:D114)),'Sim Period'!D114-AVERAGE('Sim Period'!$D$66:D114),"")</f>
        <v/>
      </c>
      <c r="P114" s="0" t="str">
        <f aca="false">IF('Sim Period'!D114&lt;(AVERAGE('Sim Period'!$D$85:D114)),'Sim Period'!D114-AVERAGE('Sim Period'!$D$85:D114),"")</f>
        <v/>
      </c>
      <c r="Q114" s="0" t="str">
        <f aca="false">IF('Sim Period'!D114&lt;(AVERAGE('Sim Period'!$D$107:D114)),'Sim Period'!D114-AVERAGE('Sim Period'!$D$107:D114),"")</f>
        <v/>
      </c>
      <c r="S114" s="0" t="n">
        <v>1</v>
      </c>
    </row>
    <row r="115" customFormat="false" ht="14.1" hidden="false" customHeight="false" outlineLevel="0" collapsed="false">
      <c r="A115" s="0" t="n">
        <v>0</v>
      </c>
      <c r="E115" s="19" t="n">
        <f aca="false">IF('Sim Period'!D115&lt;(AVERAGE('Sim Period'!$D$66:D115)),'Sim Period'!D115-AVERAGE('Sim Period'!$D$66:D115),"")</f>
        <v>-0.019142</v>
      </c>
      <c r="F115" s="19" t="n">
        <f aca="false">IF('Sim Period'!D115&lt;(AVERAGE('Sim Period'!$D$85:D115)),'Sim Period'!D115-AVERAGE('Sim Period'!$D$85:D115),"")</f>
        <v>-0.0185806451612903</v>
      </c>
      <c r="G115" s="19" t="n">
        <f aca="false">IF('Sim Period'!D115&lt;(AVERAGE('Sim Period'!$D$107:D115)),'Sim Period'!D115-AVERAGE('Sim Period'!$D$107:D115),"")</f>
        <v>-0.0126333333333333</v>
      </c>
      <c r="L115" s="19" t="n">
        <f aca="false">IF('Sim Period'!D115&lt;'Sim Period'!F115,'Sim Period'!D115-'Sim Period'!F115,"")</f>
        <v>-0.0166777169225124</v>
      </c>
      <c r="M115" s="19" t="n">
        <f aca="false">IF('Sim Period'!D115&lt;(AVERAGE('Sim Period'!$D$24:D115)),'Sim Period'!D115-AVERAGE('Sim Period'!$D$24:D115),"")</f>
        <v>-0.016220652173913</v>
      </c>
      <c r="N115" s="19" t="n">
        <f aca="false">IF('Sim Period'!D115&lt;(AVERAGE('Sim Period'!$D$43:D115)),'Sim Period'!D115-AVERAGE('Sim Period'!$D$43:D115),"")</f>
        <v>-0.0173397260273973</v>
      </c>
      <c r="O115" s="19" t="n">
        <f aca="false">IF('Sim Period'!D115&lt;(AVERAGE('Sim Period'!$D$66:D115)),'Sim Period'!D115-AVERAGE('Sim Period'!$D$66:D115),"")</f>
        <v>-0.019142</v>
      </c>
      <c r="P115" s="19" t="n">
        <f aca="false">IF('Sim Period'!D115&lt;(AVERAGE('Sim Period'!$D$85:D115)),'Sim Period'!D115-AVERAGE('Sim Period'!$D$85:D115),"")</f>
        <v>-0.0185806451612903</v>
      </c>
      <c r="Q115" s="19" t="n">
        <f aca="false">IF('Sim Period'!D115&lt;(AVERAGE('Sim Period'!$D$107:D115)),'Sim Period'!D115-AVERAGE('Sim Period'!$D$107:D115),"")</f>
        <v>-0.0126333333333333</v>
      </c>
      <c r="S115" s="0" t="n">
        <v>1</v>
      </c>
    </row>
    <row r="116" customFormat="false" ht="14.1" hidden="false" customHeight="false" outlineLevel="0" collapsed="false">
      <c r="A116" s="0" t="n">
        <v>0</v>
      </c>
      <c r="E116" s="0" t="str">
        <f aca="false">IF('Sim Period'!D116&lt;(AVERAGE('Sim Period'!$D$66:D116)),'Sim Period'!D116-AVERAGE('Sim Period'!$D$66:D116),"")</f>
        <v/>
      </c>
      <c r="F116" s="0" t="str">
        <f aca="false">IF('Sim Period'!D116&lt;(AVERAGE('Sim Period'!$D$85:D116)),'Sim Period'!D116-AVERAGE('Sim Period'!$D$85:D116),"")</f>
        <v/>
      </c>
      <c r="G116" s="0" t="str">
        <f aca="false">IF('Sim Period'!D116&lt;(AVERAGE('Sim Period'!$D$107:D116)),'Sim Period'!D116-AVERAGE('Sim Period'!$D$107:D116),"")</f>
        <v/>
      </c>
      <c r="L116" s="0" t="str">
        <f aca="false">IF('Sim Period'!D116&lt;'Sim Period'!F116,'Sim Period'!D116-'Sim Period'!F116,"")</f>
        <v/>
      </c>
      <c r="M116" s="0" t="str">
        <f aca="false">IF('Sim Period'!D116&lt;(AVERAGE('Sim Period'!$D$24:D116)),'Sim Period'!D116-AVERAGE('Sim Period'!$D$24:D116),"")</f>
        <v/>
      </c>
      <c r="N116" s="0" t="str">
        <f aca="false">IF('Sim Period'!D116&lt;(AVERAGE('Sim Period'!$D$43:D116)),'Sim Period'!D116-AVERAGE('Sim Period'!$D$43:D116),"")</f>
        <v/>
      </c>
      <c r="O116" s="0" t="str">
        <f aca="false">IF('Sim Period'!D116&lt;(AVERAGE('Sim Period'!$D$66:D116)),'Sim Period'!D116-AVERAGE('Sim Period'!$D$66:D116),"")</f>
        <v/>
      </c>
      <c r="P116" s="0" t="str">
        <f aca="false">IF('Sim Period'!D116&lt;(AVERAGE('Sim Period'!$D$85:D116)),'Sim Period'!D116-AVERAGE('Sim Period'!$D$85:D116),"")</f>
        <v/>
      </c>
      <c r="Q116" s="0" t="str">
        <f aca="false">IF('Sim Period'!D116&lt;(AVERAGE('Sim Period'!$D$107:D116)),'Sim Period'!D116-AVERAGE('Sim Period'!$D$107:D116),"")</f>
        <v/>
      </c>
      <c r="S116" s="0" t="n">
        <v>1</v>
      </c>
    </row>
    <row r="117" customFormat="false" ht="14.1" hidden="false" customHeight="false" outlineLevel="0" collapsed="false">
      <c r="A117" s="0" t="n">
        <v>0</v>
      </c>
      <c r="E117" s="19" t="n">
        <f aca="false">IF('Sim Period'!D117&lt;(AVERAGE('Sim Period'!$D$66:D117)),'Sim Period'!D117-AVERAGE('Sim Period'!$D$66:D117),"")</f>
        <v>-0.0357980769230769</v>
      </c>
      <c r="F117" s="19" t="n">
        <f aca="false">IF('Sim Period'!D117&lt;(AVERAGE('Sim Period'!$D$85:D117)),'Sim Period'!D117-AVERAGE('Sim Period'!$D$85:D117),"")</f>
        <v>-0.0352454545454546</v>
      </c>
      <c r="G117" s="19" t="n">
        <f aca="false">IF('Sim Period'!D117&lt;(AVERAGE('Sim Period'!$D$107:D117)),'Sim Period'!D117-AVERAGE('Sim Period'!$D$107:D117),"")</f>
        <v>-0.0303090909090909</v>
      </c>
      <c r="L117" s="19" t="n">
        <f aca="false">IF('Sim Period'!D117&lt;'Sim Period'!F117,'Sim Period'!D117-'Sim Period'!F117,"")</f>
        <v>-0.0333991792618746</v>
      </c>
      <c r="M117" s="19" t="n">
        <f aca="false">IF('Sim Period'!D117&lt;(AVERAGE('Sim Period'!$D$24:D117)),'Sim Period'!D117-AVERAGE('Sim Period'!$D$24:D117),"")</f>
        <v>-0.0329585106382979</v>
      </c>
      <c r="N117" s="19" t="n">
        <f aca="false">IF('Sim Period'!D117&lt;(AVERAGE('Sim Period'!$D$43:D117)),'Sim Period'!D117-AVERAGE('Sim Period'!$D$43:D117),"")</f>
        <v>-0.0340573333333333</v>
      </c>
      <c r="O117" s="19" t="n">
        <f aca="false">IF('Sim Period'!D117&lt;(AVERAGE('Sim Period'!$D$66:D117)),'Sim Period'!D117-AVERAGE('Sim Period'!$D$66:D117),"")</f>
        <v>-0.0357980769230769</v>
      </c>
      <c r="P117" s="19" t="n">
        <f aca="false">IF('Sim Period'!D117&lt;(AVERAGE('Sim Period'!$D$85:D117)),'Sim Period'!D117-AVERAGE('Sim Period'!$D$85:D117),"")</f>
        <v>-0.0352454545454546</v>
      </c>
      <c r="Q117" s="19" t="n">
        <f aca="false">IF('Sim Period'!D117&lt;(AVERAGE('Sim Period'!$D$107:D117)),'Sim Period'!D117-AVERAGE('Sim Period'!$D$107:D117),"")</f>
        <v>-0.0303090909090909</v>
      </c>
      <c r="S117" s="0" t="n">
        <v>1</v>
      </c>
    </row>
    <row r="118" customFormat="false" ht="14.1" hidden="false" customHeight="false" outlineLevel="0" collapsed="false">
      <c r="A118" s="0" t="n">
        <v>0</v>
      </c>
      <c r="E118" s="19" t="n">
        <f aca="false">IF('Sim Period'!D118&lt;(AVERAGE('Sim Period'!$D$66:D118)),'Sim Period'!D118-AVERAGE('Sim Period'!$D$66:D118),"")</f>
        <v>-0.0327679245283019</v>
      </c>
      <c r="F118" s="19" t="n">
        <f aca="false">IF('Sim Period'!D118&lt;(AVERAGE('Sim Period'!$D$85:D118)),'Sim Period'!D118-AVERAGE('Sim Period'!$D$85:D118),"")</f>
        <v>-0.0318794117647059</v>
      </c>
      <c r="G118" s="19" t="n">
        <f aca="false">IF('Sim Period'!D118&lt;(AVERAGE('Sim Period'!$D$107:D118)),'Sim Period'!D118-AVERAGE('Sim Period'!$D$107:D118),"")</f>
        <v>-0.0255833333333333</v>
      </c>
      <c r="L118" s="19" t="n">
        <f aca="false">IF('Sim Period'!D118&lt;'Sim Period'!F118,'Sim Period'!D118-'Sim Period'!F118,"")</f>
        <v>-0.030677541981972</v>
      </c>
      <c r="M118" s="19" t="n">
        <f aca="false">IF('Sim Period'!D118&lt;(AVERAGE('Sim Period'!$D$24:D118)),'Sim Period'!D118-AVERAGE('Sim Period'!$D$24:D118),"")</f>
        <v>-0.0302368421052632</v>
      </c>
      <c r="N118" s="19" t="n">
        <f aca="false">IF('Sim Period'!D118&lt;(AVERAGE('Sim Period'!$D$43:D118)),'Sim Period'!D118-AVERAGE('Sim Period'!$D$43:D118),"")</f>
        <v>-0.0312407894736842</v>
      </c>
      <c r="O118" s="19" t="n">
        <f aca="false">IF('Sim Period'!D118&lt;(AVERAGE('Sim Period'!$D$66:D118)),'Sim Period'!D118-AVERAGE('Sim Period'!$D$66:D118),"")</f>
        <v>-0.0327679245283019</v>
      </c>
      <c r="P118" s="19" t="n">
        <f aca="false">IF('Sim Period'!D118&lt;(AVERAGE('Sim Period'!$D$85:D118)),'Sim Period'!D118-AVERAGE('Sim Period'!$D$85:D118),"")</f>
        <v>-0.0318794117647059</v>
      </c>
      <c r="Q118" s="19" t="n">
        <f aca="false">IF('Sim Period'!D118&lt;(AVERAGE('Sim Period'!$D$107:D118)),'Sim Period'!D118-AVERAGE('Sim Period'!$D$107:D118),"")</f>
        <v>-0.0255833333333333</v>
      </c>
      <c r="S118" s="0" t="n">
        <v>1</v>
      </c>
    </row>
    <row r="119" customFormat="false" ht="14.1" hidden="false" customHeight="false" outlineLevel="0" collapsed="false">
      <c r="A119" s="0" t="n">
        <v>0</v>
      </c>
      <c r="E119" s="19" t="n">
        <f aca="false">IF('Sim Period'!D119&lt;(AVERAGE('Sim Period'!$D$66:D119)),'Sim Period'!D119-AVERAGE('Sim Period'!$D$66:D119),"")</f>
        <v>-0.047962962962963</v>
      </c>
      <c r="F119" s="19" t="n">
        <f aca="false">IF('Sim Period'!D119&lt;(AVERAGE('Sim Period'!$D$85:D119)),'Sim Period'!D119-AVERAGE('Sim Period'!$D$85:D119),"")</f>
        <v>-0.0466085714285714</v>
      </c>
      <c r="G119" s="19" t="n">
        <f aca="false">IF('Sim Period'!D119&lt;(AVERAGE('Sim Period'!$D$107:D119)),'Sim Period'!D119-AVERAGE('Sim Period'!$D$107:D119),"")</f>
        <v>-0.0384769230769231</v>
      </c>
      <c r="L119" s="19" t="n">
        <f aca="false">IF('Sim Period'!D119&lt;'Sim Period'!F119,'Sim Period'!D119-'Sim Period'!F119,"")</f>
        <v>-0.0463079316635491</v>
      </c>
      <c r="M119" s="19" t="n">
        <f aca="false">IF('Sim Period'!D119&lt;(AVERAGE('Sim Period'!$D$24:D119)),'Sim Period'!D119-AVERAGE('Sim Period'!$D$24:D119),"")</f>
        <v>-0.0458541666666667</v>
      </c>
      <c r="N119" s="19" t="n">
        <f aca="false">IF('Sim Period'!D119&lt;(AVERAGE('Sim Period'!$D$43:D119)),'Sim Period'!D119-AVERAGE('Sim Period'!$D$43:D119),"")</f>
        <v>-0.046725974025974</v>
      </c>
      <c r="O119" s="19" t="n">
        <f aca="false">IF('Sim Period'!D119&lt;(AVERAGE('Sim Period'!$D$66:D119)),'Sim Period'!D119-AVERAGE('Sim Period'!$D$66:D119),"")</f>
        <v>-0.047962962962963</v>
      </c>
      <c r="P119" s="19" t="n">
        <f aca="false">IF('Sim Period'!D119&lt;(AVERAGE('Sim Period'!$D$85:D119)),'Sim Period'!D119-AVERAGE('Sim Period'!$D$85:D119),"")</f>
        <v>-0.0466085714285714</v>
      </c>
      <c r="Q119" s="19" t="n">
        <f aca="false">IF('Sim Period'!D119&lt;(AVERAGE('Sim Period'!$D$107:D119)),'Sim Period'!D119-AVERAGE('Sim Period'!$D$107:D119),"")</f>
        <v>-0.0384769230769231</v>
      </c>
      <c r="S119" s="0" t="n">
        <v>1</v>
      </c>
    </row>
    <row r="120" customFormat="false" ht="14.1" hidden="false" customHeight="false" outlineLevel="0" collapsed="false">
      <c r="A120" s="0" t="n">
        <v>0</v>
      </c>
      <c r="E120" s="19" t="n">
        <f aca="false">IF('Sim Period'!D120&lt;(AVERAGE('Sim Period'!$D$66:D120)),'Sim Period'!D120-AVERAGE('Sim Period'!$D$66:D120),"")</f>
        <v>-0.0468945454545453</v>
      </c>
      <c r="F120" s="19" t="n">
        <f aca="false">IF('Sim Period'!D120&lt;(AVERAGE('Sim Period'!$D$85:D120)),'Sim Period'!D120-AVERAGE('Sim Period'!$D$85:D120),"")</f>
        <v>-0.0451194444444443</v>
      </c>
      <c r="G120" s="19" t="n">
        <f aca="false">IF('Sim Period'!D120&lt;(AVERAGE('Sim Period'!$D$107:D120)),'Sim Period'!D120-AVERAGE('Sim Period'!$D$107:D120),"")</f>
        <v>-0.035542857142857</v>
      </c>
      <c r="L120" s="19" t="n">
        <f aca="false">IF('Sim Period'!D120&lt;'Sim Period'!F120,'Sim Period'!D120-'Sim Period'!F120,"")</f>
        <v>-0.0456687775870142</v>
      </c>
      <c r="M120" s="19" t="n">
        <f aca="false">IF('Sim Period'!D120&lt;(AVERAGE('Sim Period'!$D$24:D120)),'Sim Period'!D120-AVERAGE('Sim Period'!$D$24:D120),"")</f>
        <v>-0.0451835051546391</v>
      </c>
      <c r="N120" s="19" t="n">
        <f aca="false">IF('Sim Period'!D120&lt;(AVERAGE('Sim Period'!$D$43:D120)),'Sim Period'!D120-AVERAGE('Sim Period'!$D$43:D120),"")</f>
        <v>-0.0459294871794871</v>
      </c>
      <c r="O120" s="19" t="n">
        <f aca="false">IF('Sim Period'!D120&lt;(AVERAGE('Sim Period'!$D$66:D120)),'Sim Period'!D120-AVERAGE('Sim Period'!$D$66:D120),"")</f>
        <v>-0.0468945454545453</v>
      </c>
      <c r="P120" s="19" t="n">
        <f aca="false">IF('Sim Period'!D120&lt;(AVERAGE('Sim Period'!$D$85:D120)),'Sim Period'!D120-AVERAGE('Sim Period'!$D$85:D120),"")</f>
        <v>-0.0451194444444443</v>
      </c>
      <c r="Q120" s="19" t="n">
        <f aca="false">IF('Sim Period'!D120&lt;(AVERAGE('Sim Period'!$D$107:D120)),'Sim Period'!D120-AVERAGE('Sim Period'!$D$107:D120),"")</f>
        <v>-0.035542857142857</v>
      </c>
      <c r="S120" s="0" t="n">
        <v>1</v>
      </c>
    </row>
    <row r="121" customFormat="false" ht="14.1" hidden="false" customHeight="false" outlineLevel="0" collapsed="false">
      <c r="A121" s="0" t="n">
        <v>0</v>
      </c>
      <c r="E121" s="0" t="str">
        <f aca="false">IF('Sim Period'!D121&lt;(AVERAGE('Sim Period'!$D$66:D121)),'Sim Period'!D121-AVERAGE('Sim Period'!$D$66:D121),"")</f>
        <v/>
      </c>
      <c r="F121" s="0" t="str">
        <f aca="false">IF('Sim Period'!D121&lt;(AVERAGE('Sim Period'!$D$85:D121)),'Sim Period'!D121-AVERAGE('Sim Period'!$D$85:D121),"")</f>
        <v/>
      </c>
      <c r="G121" s="0" t="str">
        <f aca="false">IF('Sim Period'!D121&lt;(AVERAGE('Sim Period'!$D$107:D121)),'Sim Period'!D121-AVERAGE('Sim Period'!$D$107:D121),"")</f>
        <v/>
      </c>
      <c r="L121" s="0" t="str">
        <f aca="false">IF('Sim Period'!D121&lt;'Sim Period'!F121,'Sim Period'!D121-'Sim Period'!F121,"")</f>
        <v/>
      </c>
      <c r="M121" s="0" t="str">
        <f aca="false">IF('Sim Period'!D121&lt;(AVERAGE('Sim Period'!$D$24:D121)),'Sim Period'!D121-AVERAGE('Sim Period'!$D$24:D121),"")</f>
        <v/>
      </c>
      <c r="N121" s="0" t="str">
        <f aca="false">IF('Sim Period'!D121&lt;(AVERAGE('Sim Period'!$D$43:D121)),'Sim Period'!D121-AVERAGE('Sim Period'!$D$43:D121),"")</f>
        <v/>
      </c>
      <c r="O121" s="0" t="str">
        <f aca="false">IF('Sim Period'!D121&lt;(AVERAGE('Sim Period'!$D$66:D121)),'Sim Period'!D121-AVERAGE('Sim Period'!$D$66:D121),"")</f>
        <v/>
      </c>
      <c r="P121" s="0" t="str">
        <f aca="false">IF('Sim Period'!D121&lt;(AVERAGE('Sim Period'!$D$85:D121)),'Sim Period'!D121-AVERAGE('Sim Period'!$D$85:D121),"")</f>
        <v/>
      </c>
      <c r="Q121" s="0" t="str">
        <f aca="false">IF('Sim Period'!D121&lt;(AVERAGE('Sim Period'!$D$107:D121)),'Sim Period'!D121-AVERAGE('Sim Period'!$D$107:D121),"")</f>
        <v/>
      </c>
      <c r="S121" s="0" t="n">
        <v>1</v>
      </c>
    </row>
    <row r="122" customFormat="false" ht="14.1" hidden="false" customHeight="false" outlineLevel="0" collapsed="false">
      <c r="A122" s="0" t="n">
        <v>0</v>
      </c>
      <c r="E122" s="0" t="str">
        <f aca="false">IF('Sim Period'!D122&lt;(AVERAGE('Sim Period'!$D$66:D122)),'Sim Period'!D122-AVERAGE('Sim Period'!$D$66:D122),"")</f>
        <v/>
      </c>
      <c r="F122" s="0" t="str">
        <f aca="false">IF('Sim Period'!D122&lt;(AVERAGE('Sim Period'!$D$85:D122)),'Sim Period'!D122-AVERAGE('Sim Period'!$D$85:D122),"")</f>
        <v/>
      </c>
      <c r="G122" s="0" t="str">
        <f aca="false">IF('Sim Period'!D122&lt;(AVERAGE('Sim Period'!$D$107:D122)),'Sim Period'!D122-AVERAGE('Sim Period'!$D$107:D122),"")</f>
        <v/>
      </c>
      <c r="L122" s="0" t="str">
        <f aca="false">IF('Sim Period'!D122&lt;'Sim Period'!F122,'Sim Period'!D122-'Sim Period'!F122,"")</f>
        <v/>
      </c>
      <c r="M122" s="0" t="str">
        <f aca="false">IF('Sim Period'!D122&lt;(AVERAGE('Sim Period'!$D$24:D122)),'Sim Period'!D122-AVERAGE('Sim Period'!$D$24:D122),"")</f>
        <v/>
      </c>
      <c r="N122" s="0" t="str">
        <f aca="false">IF('Sim Period'!D122&lt;(AVERAGE('Sim Period'!$D$43:D122)),'Sim Period'!D122-AVERAGE('Sim Period'!$D$43:D122),"")</f>
        <v/>
      </c>
      <c r="O122" s="0" t="str">
        <f aca="false">IF('Sim Period'!D122&lt;(AVERAGE('Sim Period'!$D$66:D122)),'Sim Period'!D122-AVERAGE('Sim Period'!$D$66:D122),"")</f>
        <v/>
      </c>
      <c r="P122" s="0" t="str">
        <f aca="false">IF('Sim Period'!D122&lt;(AVERAGE('Sim Period'!$D$85:D122)),'Sim Period'!D122-AVERAGE('Sim Period'!$D$85:D122),"")</f>
        <v/>
      </c>
      <c r="Q122" s="0" t="str">
        <f aca="false">IF('Sim Period'!D122&lt;(AVERAGE('Sim Period'!$D$107:D122)),'Sim Period'!D122-AVERAGE('Sim Period'!$D$107:D122),"")</f>
        <v/>
      </c>
      <c r="S122" s="0" t="n">
        <v>1</v>
      </c>
    </row>
    <row r="123" customFormat="false" ht="14.1" hidden="false" customHeight="false" outlineLevel="0" collapsed="false">
      <c r="A123" s="0" t="n">
        <v>0</v>
      </c>
      <c r="E123" s="19" t="n">
        <f aca="false">IF('Sim Period'!D123&lt;(AVERAGE('Sim Period'!$D$66:D123)),'Sim Period'!D123-AVERAGE('Sim Period'!$D$66:D123),"")</f>
        <v>-0.0380241379310345</v>
      </c>
      <c r="F123" s="19" t="n">
        <f aca="false">IF('Sim Period'!D123&lt;(AVERAGE('Sim Period'!$D$85:D123)),'Sim Period'!D123-AVERAGE('Sim Period'!$D$85:D123),"")</f>
        <v>-0.036448717948718</v>
      </c>
      <c r="G123" s="19" t="n">
        <f aca="false">IF('Sim Period'!D123&lt;(AVERAGE('Sim Period'!$D$107:D123)),'Sim Period'!D123-AVERAGE('Sim Period'!$D$107:D123),"")</f>
        <v>-0.0289882352941176</v>
      </c>
      <c r="L123" s="19" t="n">
        <f aca="false">IF('Sim Period'!D123&lt;'Sim Period'!F123,'Sim Period'!D123-'Sim Period'!F123,"")</f>
        <v>-0.0367566531925203</v>
      </c>
      <c r="M123" s="19" t="n">
        <f aca="false">IF('Sim Period'!D123&lt;(AVERAGE('Sim Period'!$D$24:D123)),'Sim Period'!D123-AVERAGE('Sim Period'!$D$24:D123),"")</f>
        <v>-0.03631</v>
      </c>
      <c r="N123" s="19" t="n">
        <f aca="false">IF('Sim Period'!D123&lt;(AVERAGE('Sim Period'!$D$43:D123)),'Sim Period'!D123-AVERAGE('Sim Period'!$D$43:D123),"")</f>
        <v>-0.037058024691358</v>
      </c>
      <c r="O123" s="19" t="n">
        <f aca="false">IF('Sim Period'!D123&lt;(AVERAGE('Sim Period'!$D$66:D123)),'Sim Period'!D123-AVERAGE('Sim Period'!$D$66:D123),"")</f>
        <v>-0.0380241379310345</v>
      </c>
      <c r="P123" s="19" t="n">
        <f aca="false">IF('Sim Period'!D123&lt;(AVERAGE('Sim Period'!$D$85:D123)),'Sim Period'!D123-AVERAGE('Sim Period'!$D$85:D123),"")</f>
        <v>-0.036448717948718</v>
      </c>
      <c r="Q123" s="19" t="n">
        <f aca="false">IF('Sim Period'!D123&lt;(AVERAGE('Sim Period'!$D$107:D123)),'Sim Period'!D123-AVERAGE('Sim Period'!$D$107:D123),"")</f>
        <v>-0.0289882352941176</v>
      </c>
      <c r="S123" s="0" t="n">
        <v>1</v>
      </c>
    </row>
    <row r="124" customFormat="false" ht="14.1" hidden="false" customHeight="false" outlineLevel="0" collapsed="false">
      <c r="A124" s="0" t="n">
        <v>0</v>
      </c>
      <c r="E124" s="19" t="n">
        <f aca="false">IF('Sim Period'!D124&lt;(AVERAGE('Sim Period'!$D$66:D124)),'Sim Period'!D124-AVERAGE('Sim Period'!$D$66:D124),"")</f>
        <v>-0.0184067796610168</v>
      </c>
      <c r="F124" s="19" t="n">
        <f aca="false">IF('Sim Period'!D124&lt;(AVERAGE('Sim Period'!$D$85:D124)),'Sim Period'!D124-AVERAGE('Sim Period'!$D$85:D124),"")</f>
        <v>-0.0167199999999999</v>
      </c>
      <c r="G124" s="19" t="n">
        <f aca="false">IF('Sim Period'!D124&lt;(AVERAGE('Sim Period'!$D$107:D124)),'Sim Period'!D124-AVERAGE('Sim Period'!$D$107:D124),"")</f>
        <v>-0.0091499999999999</v>
      </c>
      <c r="L124" s="19" t="n">
        <f aca="false">IF('Sim Period'!D124&lt;'Sim Period'!F124,'Sim Period'!D124-'Sim Period'!F124,"")</f>
        <v>-0.0173014427294736</v>
      </c>
      <c r="M124" s="19" t="n">
        <f aca="false">IF('Sim Period'!D124&lt;(AVERAGE('Sim Period'!$D$24:D124)),'Sim Period'!D124-AVERAGE('Sim Period'!$D$24:D124),"")</f>
        <v>-0.0168415841584157</v>
      </c>
      <c r="N124" s="19" t="n">
        <f aca="false">IF('Sim Period'!D124&lt;(AVERAGE('Sim Period'!$D$43:D124)),'Sim Period'!D124-AVERAGE('Sim Period'!$D$43:D124),"")</f>
        <v>-0.017541463414634</v>
      </c>
      <c r="O124" s="19" t="n">
        <f aca="false">IF('Sim Period'!D124&lt;(AVERAGE('Sim Period'!$D$66:D124)),'Sim Period'!D124-AVERAGE('Sim Period'!$D$66:D124),"")</f>
        <v>-0.0184067796610168</v>
      </c>
      <c r="P124" s="19" t="n">
        <f aca="false">IF('Sim Period'!D124&lt;(AVERAGE('Sim Period'!$D$85:D124)),'Sim Period'!D124-AVERAGE('Sim Period'!$D$85:D124),"")</f>
        <v>-0.0167199999999999</v>
      </c>
      <c r="Q124" s="19" t="n">
        <f aca="false">IF('Sim Period'!D124&lt;(AVERAGE('Sim Period'!$D$107:D124)),'Sim Period'!D124-AVERAGE('Sim Period'!$D$107:D124),"")</f>
        <v>-0.0091499999999999</v>
      </c>
      <c r="S124" s="0" t="n">
        <v>1</v>
      </c>
    </row>
    <row r="125" customFormat="false" ht="14.1" hidden="false" customHeight="false" outlineLevel="0" collapsed="false">
      <c r="A125" s="0" t="n">
        <v>0</v>
      </c>
      <c r="E125" s="19" t="n">
        <f aca="false">IF('Sim Period'!D125&lt;(AVERAGE('Sim Period'!$D$66:D125)),'Sim Period'!D125-AVERAGE('Sim Period'!$D$66:D125),"")</f>
        <v>-0.0501566666666667</v>
      </c>
      <c r="F125" s="19" t="n">
        <f aca="false">IF('Sim Period'!D125&lt;(AVERAGE('Sim Period'!$D$85:D125)),'Sim Period'!D125-AVERAGE('Sim Period'!$D$85:D125),"")</f>
        <v>-0.0481170731707317</v>
      </c>
      <c r="G125" s="19" t="n">
        <f aca="false">IF('Sim Period'!D125&lt;(AVERAGE('Sim Period'!$D$107:D125)),'Sim Period'!D125-AVERAGE('Sim Period'!$D$107:D125),"")</f>
        <v>-0.0395526315789474</v>
      </c>
      <c r="L125" s="19" t="n">
        <f aca="false">IF('Sim Period'!D125&lt;'Sim Period'!F125,'Sim Period'!D125-'Sim Period'!F125,"")</f>
        <v>-0.0494678462827472</v>
      </c>
      <c r="M125" s="19" t="n">
        <f aca="false">IF('Sim Period'!D125&lt;(AVERAGE('Sim Period'!$D$24:D125)),'Sim Period'!D125-AVERAGE('Sim Period'!$D$24:D125),"")</f>
        <v>-0.048956862745098</v>
      </c>
      <c r="N125" s="19" t="n">
        <f aca="false">IF('Sim Period'!D125&lt;(AVERAGE('Sim Period'!$D$43:D125)),'Sim Period'!D125-AVERAGE('Sim Period'!$D$43:D125),"")</f>
        <v>-0.0495373493975904</v>
      </c>
      <c r="O125" s="19" t="n">
        <f aca="false">IF('Sim Period'!D125&lt;(AVERAGE('Sim Period'!$D$66:D125)),'Sim Period'!D125-AVERAGE('Sim Period'!$D$66:D125),"")</f>
        <v>-0.0501566666666667</v>
      </c>
      <c r="P125" s="19" t="n">
        <f aca="false">IF('Sim Period'!D125&lt;(AVERAGE('Sim Period'!$D$85:D125)),'Sim Period'!D125-AVERAGE('Sim Period'!$D$85:D125),"")</f>
        <v>-0.0481170731707317</v>
      </c>
      <c r="Q125" s="19" t="n">
        <f aca="false">IF('Sim Period'!D125&lt;(AVERAGE('Sim Period'!$D$107:D125)),'Sim Period'!D125-AVERAGE('Sim Period'!$D$107:D125),"")</f>
        <v>-0.0395526315789474</v>
      </c>
      <c r="S125" s="0" t="n">
        <v>1</v>
      </c>
    </row>
    <row r="126" customFormat="false" ht="14.1" hidden="false" customHeight="false" outlineLevel="0" collapsed="false">
      <c r="A126" s="0" t="n">
        <v>0</v>
      </c>
      <c r="E126" s="19" t="n">
        <f aca="false">IF('Sim Period'!D126&lt;(AVERAGE('Sim Period'!$D$66:D126)),'Sim Period'!D126-AVERAGE('Sim Period'!$D$66:D126),"")</f>
        <v>-0.0148098360655737</v>
      </c>
      <c r="F126" s="19" t="n">
        <f aca="false">IF('Sim Period'!D126&lt;(AVERAGE('Sim Period'!$D$85:D126)),'Sim Period'!D126-AVERAGE('Sim Period'!$D$85:D126),"")</f>
        <v>-0.0127071428571428</v>
      </c>
      <c r="G126" s="19" t="n">
        <f aca="false">IF('Sim Period'!D126&lt;(AVERAGE('Sim Period'!$D$107:D126)),'Sim Period'!D126-AVERAGE('Sim Period'!$D$107:D126),"")</f>
        <v>-0.00422999999999991</v>
      </c>
      <c r="L126" s="19" t="n">
        <f aca="false">IF('Sim Period'!D126&lt;'Sim Period'!F126,'Sim Period'!D126-'Sim Period'!F126,"")</f>
        <v>-0.0142500722103274</v>
      </c>
      <c r="M126" s="19" t="n">
        <f aca="false">IF('Sim Period'!D126&lt;(AVERAGE('Sim Period'!$D$24:D126)),'Sim Period'!D126-AVERAGE('Sim Period'!$D$24:D126),"")</f>
        <v>-0.0137223300970873</v>
      </c>
      <c r="N126" s="19" t="n">
        <f aca="false">IF('Sim Period'!D126&lt;(AVERAGE('Sim Period'!$D$43:D126)),'Sim Period'!D126-AVERAGE('Sim Period'!$D$43:D126),"")</f>
        <v>-0.0142654761904761</v>
      </c>
      <c r="O126" s="19" t="n">
        <f aca="false">IF('Sim Period'!D126&lt;(AVERAGE('Sim Period'!$D$66:D126)),'Sim Period'!D126-AVERAGE('Sim Period'!$D$66:D126),"")</f>
        <v>-0.0148098360655737</v>
      </c>
      <c r="P126" s="19" t="n">
        <f aca="false">IF('Sim Period'!D126&lt;(AVERAGE('Sim Period'!$D$85:D126)),'Sim Period'!D126-AVERAGE('Sim Period'!$D$85:D126),"")</f>
        <v>-0.0127071428571428</v>
      </c>
      <c r="Q126" s="19" t="n">
        <f aca="false">IF('Sim Period'!D126&lt;(AVERAGE('Sim Period'!$D$107:D126)),'Sim Period'!D126-AVERAGE('Sim Period'!$D$107:D126),"")</f>
        <v>-0.00422999999999991</v>
      </c>
      <c r="S126" s="0" t="n">
        <v>1</v>
      </c>
    </row>
    <row r="127" customFormat="false" ht="14.1" hidden="false" customHeight="false" outlineLevel="0" collapsed="false">
      <c r="A127" s="0" t="n">
        <v>0</v>
      </c>
      <c r="E127" s="19" t="n">
        <f aca="false">IF('Sim Period'!D127&lt;(AVERAGE('Sim Period'!$D$66:D127)),'Sim Period'!D127-AVERAGE('Sim Period'!$D$66:D127),"")</f>
        <v>-0.0403483870967742</v>
      </c>
      <c r="F127" s="19" t="n">
        <f aca="false">IF('Sim Period'!D127&lt;(AVERAGE('Sim Period'!$D$85:D127)),'Sim Period'!D127-AVERAGE('Sim Period'!$D$85:D127),"")</f>
        <v>-0.0380023255813954</v>
      </c>
      <c r="G127" s="19" t="n">
        <f aca="false">IF('Sim Period'!D127&lt;(AVERAGE('Sim Period'!$D$107:D127)),'Sim Period'!D127-AVERAGE('Sim Period'!$D$107:D127),"")</f>
        <v>-0.0289809523809524</v>
      </c>
      <c r="L127" s="19" t="n">
        <f aca="false">IF('Sim Period'!D127&lt;'Sim Period'!F127,'Sim Period'!D127-'Sim Period'!F127,"")</f>
        <v>-0.0401258677189882</v>
      </c>
      <c r="M127" s="19" t="n">
        <f aca="false">IF('Sim Period'!D127&lt;(AVERAGE('Sim Period'!$D$24:D127)),'Sim Period'!D127-AVERAGE('Sim Period'!$D$24:D127),"")</f>
        <v>-0.0395384615384615</v>
      </c>
      <c r="N127" s="19" t="n">
        <f aca="false">IF('Sim Period'!D127&lt;(AVERAGE('Sim Period'!$D$43:D127)),'Sim Period'!D127-AVERAGE('Sim Period'!$D$43:D127),"")</f>
        <v>-0.0399894117647059</v>
      </c>
      <c r="O127" s="19" t="n">
        <f aca="false">IF('Sim Period'!D127&lt;(AVERAGE('Sim Period'!$D$66:D127)),'Sim Period'!D127-AVERAGE('Sim Period'!$D$66:D127),"")</f>
        <v>-0.0403483870967742</v>
      </c>
      <c r="P127" s="19" t="n">
        <f aca="false">IF('Sim Period'!D127&lt;(AVERAGE('Sim Period'!$D$85:D127)),'Sim Period'!D127-AVERAGE('Sim Period'!$D$85:D127),"")</f>
        <v>-0.0380023255813954</v>
      </c>
      <c r="Q127" s="19" t="n">
        <f aca="false">IF('Sim Period'!D127&lt;(AVERAGE('Sim Period'!$D$107:D127)),'Sim Period'!D127-AVERAGE('Sim Period'!$D$107:D127),"")</f>
        <v>-0.0289809523809524</v>
      </c>
      <c r="S127" s="0" t="n">
        <v>1</v>
      </c>
    </row>
    <row r="128" customFormat="false" ht="14.1" hidden="false" customHeight="false" outlineLevel="0" collapsed="false">
      <c r="A128" s="0" t="n">
        <v>6</v>
      </c>
      <c r="E128" s="19" t="n">
        <f aca="false">IF('Sim Period'!D128&lt;(AVERAGE('Sim Period'!$D$66:D128)),'Sim Period'!D128-AVERAGE('Sim Period'!$D$66:D128),"")</f>
        <v>-0.0341968253968254</v>
      </c>
      <c r="F128" s="19" t="n">
        <f aca="false">IF('Sim Period'!D128&lt;(AVERAGE('Sim Period'!$D$85:D128)),'Sim Period'!D128-AVERAGE('Sim Period'!$D$85:D128),"")</f>
        <v>-0.0316659090909091</v>
      </c>
      <c r="G128" s="19" t="n">
        <f aca="false">IF('Sim Period'!D128&lt;(AVERAGE('Sim Period'!$D$107:D128)),'Sim Period'!D128-AVERAGE('Sim Period'!$D$107:D128),"")</f>
        <v>-0.0223181818181818</v>
      </c>
      <c r="L128" s="19" t="n">
        <f aca="false">IF('Sim Period'!D128&lt;'Sim Period'!F128,'Sim Period'!D128-'Sim Period'!F128,"")</f>
        <v>-0.0342626135361107</v>
      </c>
      <c r="M128" s="19" t="n">
        <f aca="false">IF('Sim Period'!D128&lt;(AVERAGE('Sim Period'!$D$24:D128)),'Sim Period'!D128-AVERAGE('Sim Period'!$D$24:D128),"")</f>
        <v>-0.0336152380952381</v>
      </c>
      <c r="N128" s="19" t="n">
        <f aca="false">IF('Sim Period'!D128&lt;(AVERAGE('Sim Period'!$D$43:D128)),'Sim Period'!D128-AVERAGE('Sim Period'!$D$43:D128),"")</f>
        <v>-0.0339895348837209</v>
      </c>
      <c r="O128" s="19" t="n">
        <f aca="false">IF('Sim Period'!D128&lt;(AVERAGE('Sim Period'!$D$66:D128)),'Sim Period'!D128-AVERAGE('Sim Period'!$D$66:D128),"")</f>
        <v>-0.0341968253968254</v>
      </c>
      <c r="P128" s="19" t="n">
        <f aca="false">IF('Sim Period'!D128&lt;(AVERAGE('Sim Period'!$D$85:D128)),'Sim Period'!D128-AVERAGE('Sim Period'!$D$85:D128),"")</f>
        <v>-0.0316659090909091</v>
      </c>
      <c r="Q128" s="19" t="n">
        <f aca="false">IF('Sim Period'!D128&lt;(AVERAGE('Sim Period'!$D$107:D128)),'Sim Period'!D128-AVERAGE('Sim Period'!$D$107:D128),"")</f>
        <v>-0.0223181818181818</v>
      </c>
      <c r="S128" s="0" t="n">
        <v>1</v>
      </c>
    </row>
    <row r="129" customFormat="false" ht="14.1" hidden="false" customHeight="false" outlineLevel="0" collapsed="false">
      <c r="A129" s="0" t="n">
        <v>0</v>
      </c>
      <c r="F129" s="0" t="str">
        <f aca="false">IF('Sim Period'!D129&lt;(AVERAGE('Sim Period'!$D$85:D129)),'Sim Period'!D129-AVERAGE('Sim Period'!$D$85:D129),"")</f>
        <v/>
      </c>
      <c r="G129" s="0" t="str">
        <f aca="false">IF('Sim Period'!D129&lt;(AVERAGE('Sim Period'!$D$107:D129)),'Sim Period'!D129-AVERAGE('Sim Period'!$D$107:D129),"")</f>
        <v/>
      </c>
      <c r="H129" s="0" t="str">
        <f aca="false">IF('Sim Period'!D129&lt;(AVERAGE('Sim Period'!$D$129:D129)),'Sim Period'!D129-AVERAGE('Sim Period'!$D$129:D129),"")</f>
        <v/>
      </c>
      <c r="M129" s="0" t="str">
        <f aca="false">IF('Sim Period'!D129&lt;(AVERAGE('Sim Period'!$D$24:D129)),'Sim Period'!D129-AVERAGE('Sim Period'!$D$24:D129),"")</f>
        <v/>
      </c>
      <c r="N129" s="0" t="str">
        <f aca="false">IF('Sim Period'!D129&lt;(AVERAGE('Sim Period'!$D$43:D129)),'Sim Period'!D129-AVERAGE('Sim Period'!$D$43:D129),"")</f>
        <v/>
      </c>
      <c r="O129" s="0" t="str">
        <f aca="false">IF('Sim Period'!D129&lt;(AVERAGE('Sim Period'!$D$66:D129)),'Sim Period'!D129-AVERAGE('Sim Period'!$D$66:D129),"")</f>
        <v/>
      </c>
      <c r="P129" s="0" t="str">
        <f aca="false">IF('Sim Period'!D129&lt;(AVERAGE('Sim Period'!$D$85:D129)),'Sim Period'!D129-AVERAGE('Sim Period'!$D$85:D129),"")</f>
        <v/>
      </c>
      <c r="Q129" s="0" t="str">
        <f aca="false">IF('Sim Period'!D129&lt;(AVERAGE('Sim Period'!$D$107:D129)),'Sim Period'!D129-AVERAGE('Sim Period'!$D$107:D129),"")</f>
        <v/>
      </c>
      <c r="R129" s="0" t="str">
        <f aca="false">IF('Sim Period'!D129&lt;(AVERAGE('Sim Period'!$D$129:D129)),'Sim Period'!D129-AVERAGE('Sim Period'!$D$129:D129),"")</f>
        <v/>
      </c>
      <c r="S129" s="0" t="n">
        <v>1</v>
      </c>
    </row>
    <row r="130" customFormat="false" ht="14.1" hidden="false" customHeight="false" outlineLevel="0" collapsed="false">
      <c r="A130" s="0" t="n">
        <v>0</v>
      </c>
      <c r="F130" s="0" t="str">
        <f aca="false">IF('Sim Period'!D130&lt;(AVERAGE('Sim Period'!$D$85:D130)),'Sim Period'!D130-AVERAGE('Sim Period'!$D$85:D130),"")</f>
        <v/>
      </c>
      <c r="G130" s="0" t="str">
        <f aca="false">IF('Sim Period'!D130&lt;(AVERAGE('Sim Period'!$D$107:D130)),'Sim Period'!D130-AVERAGE('Sim Period'!$D$107:D130),"")</f>
        <v/>
      </c>
      <c r="H130" s="0" t="str">
        <f aca="false">IF('Sim Period'!D130&lt;(AVERAGE('Sim Period'!$D$129:D130)),'Sim Period'!D130-AVERAGE('Sim Period'!$D$129:D130),"")</f>
        <v/>
      </c>
      <c r="M130" s="0" t="str">
        <f aca="false">IF('Sim Period'!D130&lt;(AVERAGE('Sim Period'!$D$24:D130)),'Sim Period'!D130-AVERAGE('Sim Period'!$D$24:D130),"")</f>
        <v/>
      </c>
      <c r="N130" s="0" t="str">
        <f aca="false">IF('Sim Period'!D130&lt;(AVERAGE('Sim Period'!$D$43:D130)),'Sim Period'!D130-AVERAGE('Sim Period'!$D$43:D130),"")</f>
        <v/>
      </c>
      <c r="O130" s="0" t="str">
        <f aca="false">IF('Sim Period'!D130&lt;(AVERAGE('Sim Period'!$D$66:D130)),'Sim Period'!D130-AVERAGE('Sim Period'!$D$66:D130),"")</f>
        <v/>
      </c>
      <c r="P130" s="0" t="str">
        <f aca="false">IF('Sim Period'!D130&lt;(AVERAGE('Sim Period'!$D$85:D130)),'Sim Period'!D130-AVERAGE('Sim Period'!$D$85:D130),"")</f>
        <v/>
      </c>
      <c r="Q130" s="0" t="str">
        <f aca="false">IF('Sim Period'!D130&lt;(AVERAGE('Sim Period'!$D$107:D130)),'Sim Period'!D130-AVERAGE('Sim Period'!$D$107:D130),"")</f>
        <v/>
      </c>
      <c r="R130" s="0" t="str">
        <f aca="false">IF('Sim Period'!D130&lt;(AVERAGE('Sim Period'!$D$129:D130)),'Sim Period'!D130-AVERAGE('Sim Period'!$D$129:D130),"")</f>
        <v/>
      </c>
      <c r="S130" s="0" t="n">
        <v>1</v>
      </c>
    </row>
    <row r="131" customFormat="false" ht="14.1" hidden="false" customHeight="false" outlineLevel="0" collapsed="false">
      <c r="A131" s="0" t="n">
        <v>0</v>
      </c>
      <c r="F131" s="19" t="n">
        <f aca="false">IF('Sim Period'!D131&lt;(AVERAGE('Sim Period'!$D$85:D131)),'Sim Period'!D131-AVERAGE('Sim Period'!$D$85:D131),"")</f>
        <v>-0.0207276595744682</v>
      </c>
      <c r="G131" s="19" t="n">
        <f aca="false">IF('Sim Period'!D131&lt;(AVERAGE('Sim Period'!$D$107:D131)),'Sim Period'!D131-AVERAGE('Sim Period'!$D$107:D131),"")</f>
        <v>-0.0130840000000001</v>
      </c>
      <c r="H131" s="19" t="n">
        <f aca="false">IF('Sim Period'!D131&lt;(AVERAGE('Sim Period'!$D$129:D131)),'Sim Period'!D131-AVERAGE('Sim Period'!$D$129:D131),"")</f>
        <v>-0.0304333333333334</v>
      </c>
      <c r="M131" s="19" t="n">
        <f aca="false">IF('Sim Period'!D131&lt;(AVERAGE('Sim Period'!$D$24:D131)),'Sim Period'!D131-AVERAGE('Sim Period'!$D$24:D131),"")</f>
        <v>-0.0222490740740742</v>
      </c>
      <c r="N131" s="19" t="n">
        <f aca="false">IF('Sim Period'!D131&lt;(AVERAGE('Sim Period'!$D$43:D131)),'Sim Period'!D131-AVERAGE('Sim Period'!$D$43:D131),"")</f>
        <v>-0.0226606741573035</v>
      </c>
      <c r="O131" s="19" t="n">
        <f aca="false">IF('Sim Period'!D131&lt;(AVERAGE('Sim Period'!$D$66:D131)),'Sim Period'!D131-AVERAGE('Sim Period'!$D$66:D131),"")</f>
        <v>-0.0229530303030304</v>
      </c>
      <c r="P131" s="19" t="n">
        <f aca="false">IF('Sim Period'!D131&lt;(AVERAGE('Sim Period'!$D$85:D131)),'Sim Period'!D131-AVERAGE('Sim Period'!$D$85:D131),"")</f>
        <v>-0.0207276595744682</v>
      </c>
      <c r="Q131" s="19" t="n">
        <f aca="false">IF('Sim Period'!D131&lt;(AVERAGE('Sim Period'!$D$107:D131)),'Sim Period'!D131-AVERAGE('Sim Period'!$D$107:D131),"")</f>
        <v>-0.0130840000000001</v>
      </c>
      <c r="R131" s="19" t="n">
        <f aca="false">IF('Sim Period'!D131&lt;(AVERAGE('Sim Period'!$D$129:D131)),'Sim Period'!D131-AVERAGE('Sim Period'!$D$129:D131),"")</f>
        <v>-0.0304333333333334</v>
      </c>
      <c r="S131" s="0" t="n">
        <v>1</v>
      </c>
    </row>
    <row r="132" customFormat="false" ht="14.1" hidden="false" customHeight="false" outlineLevel="0" collapsed="false">
      <c r="A132" s="0" t="n">
        <v>0</v>
      </c>
      <c r="F132" s="19" t="n">
        <f aca="false">IF('Sim Period'!D132&lt;(AVERAGE('Sim Period'!$D$85:D132)),'Sim Period'!D132-AVERAGE('Sim Period'!$D$85:D132),"")</f>
        <v>-0.04565625</v>
      </c>
      <c r="G132" s="19" t="n">
        <f aca="false">IF('Sim Period'!D132&lt;(AVERAGE('Sim Period'!$D$107:D132)),'Sim Period'!D132-AVERAGE('Sim Period'!$D$107:D132),"")</f>
        <v>-0.0374846153846154</v>
      </c>
      <c r="H132" s="19" t="n">
        <f aca="false">IF('Sim Period'!D132&lt;(AVERAGE('Sim Period'!$D$129:D132)),'Sim Period'!D132-AVERAGE('Sim Period'!$D$129:D132),"")</f>
        <v>-0.04225</v>
      </c>
      <c r="M132" s="19" t="n">
        <f aca="false">IF('Sim Period'!D132&lt;(AVERAGE('Sim Period'!$D$24:D132)),'Sim Period'!D132-AVERAGE('Sim Period'!$D$24:D132),"")</f>
        <v>-0.0477073394495413</v>
      </c>
      <c r="N132" s="19" t="n">
        <f aca="false">IF('Sim Period'!D132&lt;(AVERAGE('Sim Period'!$D$43:D132)),'Sim Period'!D132-AVERAGE('Sim Period'!$D$43:D132),"")</f>
        <v>-0.0480211111111111</v>
      </c>
      <c r="O132" s="19" t="n">
        <f aca="false">IF('Sim Period'!D132&lt;(AVERAGE('Sim Period'!$D$66:D132)),'Sim Period'!D132-AVERAGE('Sim Period'!$D$66:D132),"")</f>
        <v>-0.0481238805970149</v>
      </c>
      <c r="P132" s="19" t="n">
        <f aca="false">IF('Sim Period'!D132&lt;(AVERAGE('Sim Period'!$D$85:D132)),'Sim Period'!D132-AVERAGE('Sim Period'!$D$85:D132),"")</f>
        <v>-0.04565625</v>
      </c>
      <c r="Q132" s="19" t="n">
        <f aca="false">IF('Sim Period'!D132&lt;(AVERAGE('Sim Period'!$D$107:D132)),'Sim Period'!D132-AVERAGE('Sim Period'!$D$107:D132),"")</f>
        <v>-0.0374846153846154</v>
      </c>
      <c r="R132" s="19" t="n">
        <f aca="false">IF('Sim Period'!D132&lt;(AVERAGE('Sim Period'!$D$129:D132)),'Sim Period'!D132-AVERAGE('Sim Period'!$D$129:D132),"")</f>
        <v>-0.04225</v>
      </c>
      <c r="S132" s="0" t="n">
        <v>1</v>
      </c>
    </row>
    <row r="133" customFormat="false" ht="14.1" hidden="false" customHeight="false" outlineLevel="0" collapsed="false">
      <c r="A133" s="0" t="n">
        <v>0</v>
      </c>
      <c r="F133" s="0" t="str">
        <f aca="false">IF('Sim Period'!D133&lt;(AVERAGE('Sim Period'!$D$85:D133)),'Sim Period'!D133-AVERAGE('Sim Period'!$D$85:D133),"")</f>
        <v/>
      </c>
      <c r="G133" s="0" t="str">
        <f aca="false">IF('Sim Period'!D133&lt;(AVERAGE('Sim Period'!$D$107:D133)),'Sim Period'!D133-AVERAGE('Sim Period'!$D$107:D133),"")</f>
        <v/>
      </c>
      <c r="H133" s="0" t="str">
        <f aca="false">IF('Sim Period'!D133&lt;(AVERAGE('Sim Period'!$D$129:D133)),'Sim Period'!D133-AVERAGE('Sim Period'!$D$129:D133),"")</f>
        <v/>
      </c>
      <c r="M133" s="0" t="str">
        <f aca="false">IF('Sim Period'!D133&lt;(AVERAGE('Sim Period'!$D$24:D133)),'Sim Period'!D133-AVERAGE('Sim Period'!$D$24:D133),"")</f>
        <v/>
      </c>
      <c r="N133" s="0" t="str">
        <f aca="false">IF('Sim Period'!D133&lt;(AVERAGE('Sim Period'!$D$43:D133)),'Sim Period'!D133-AVERAGE('Sim Period'!$D$43:D133),"")</f>
        <v/>
      </c>
      <c r="O133" s="0" t="str">
        <f aca="false">IF('Sim Period'!D133&lt;(AVERAGE('Sim Period'!$D$66:D133)),'Sim Period'!D133-AVERAGE('Sim Period'!$D$66:D133),"")</f>
        <v/>
      </c>
      <c r="P133" s="0" t="str">
        <f aca="false">IF('Sim Period'!D133&lt;(AVERAGE('Sim Period'!$D$85:D133)),'Sim Period'!D133-AVERAGE('Sim Period'!$D$85:D133),"")</f>
        <v/>
      </c>
      <c r="Q133" s="0" t="str">
        <f aca="false">IF('Sim Period'!D133&lt;(AVERAGE('Sim Period'!$D$107:D133)),'Sim Period'!D133-AVERAGE('Sim Period'!$D$107:D133),"")</f>
        <v/>
      </c>
      <c r="R133" s="0" t="str">
        <f aca="false">IF('Sim Period'!D133&lt;(AVERAGE('Sim Period'!$D$129:D133)),'Sim Period'!D133-AVERAGE('Sim Period'!$D$129:D133),"")</f>
        <v/>
      </c>
      <c r="S133" s="0" t="n">
        <v>1</v>
      </c>
    </row>
    <row r="134" customFormat="false" ht="14.1" hidden="false" customHeight="false" outlineLevel="0" collapsed="false">
      <c r="A134" s="0" t="n">
        <v>0</v>
      </c>
      <c r="F134" s="19" t="n">
        <f aca="false">IF('Sim Period'!D134&lt;(AVERAGE('Sim Period'!$D$85:D134)),'Sim Period'!D134-AVERAGE('Sim Period'!$D$85:D134),"")</f>
        <v>-0.034786</v>
      </c>
      <c r="G134" s="19" t="n">
        <f aca="false">IF('Sim Period'!D134&lt;(AVERAGE('Sim Period'!$D$107:D134)),'Sim Period'!D134-AVERAGE('Sim Period'!$D$107:D134),"")</f>
        <v>-0.0269857142857143</v>
      </c>
      <c r="H134" s="19" t="n">
        <f aca="false">IF('Sim Period'!D134&lt;(AVERAGE('Sim Period'!$D$129:D134)),'Sim Period'!D134-AVERAGE('Sim Period'!$D$129:D134),"")</f>
        <v>-0.0305333333333333</v>
      </c>
      <c r="M134" s="19" t="n">
        <f aca="false">IF('Sim Period'!D134&lt;(AVERAGE('Sim Period'!$D$24:D134)),'Sim Period'!D134-AVERAGE('Sim Period'!$D$24:D134),"")</f>
        <v>-0.0369486486486486</v>
      </c>
      <c r="N134" s="19" t="n">
        <f aca="false">IF('Sim Period'!D134&lt;(AVERAGE('Sim Period'!$D$43:D134)),'Sim Period'!D134-AVERAGE('Sim Period'!$D$43:D134),"")</f>
        <v>-0.0372228260869565</v>
      </c>
      <c r="O134" s="19" t="n">
        <f aca="false">IF('Sim Period'!D134&lt;(AVERAGE('Sim Period'!$D$66:D134)),'Sim Period'!D134-AVERAGE('Sim Period'!$D$66:D134),"")</f>
        <v>-0.0372565217391304</v>
      </c>
      <c r="P134" s="19" t="n">
        <f aca="false">IF('Sim Period'!D134&lt;(AVERAGE('Sim Period'!$D$85:D134)),'Sim Period'!D134-AVERAGE('Sim Period'!$D$85:D134),"")</f>
        <v>-0.034786</v>
      </c>
      <c r="Q134" s="19" t="n">
        <f aca="false">IF('Sim Period'!D134&lt;(AVERAGE('Sim Period'!$D$107:D134)),'Sim Period'!D134-AVERAGE('Sim Period'!$D$107:D134),"")</f>
        <v>-0.0269857142857143</v>
      </c>
      <c r="R134" s="19" t="n">
        <f aca="false">IF('Sim Period'!D134&lt;(AVERAGE('Sim Period'!$D$129:D134)),'Sim Period'!D134-AVERAGE('Sim Period'!$D$129:D134),"")</f>
        <v>-0.0305333333333333</v>
      </c>
      <c r="S134" s="0" t="n">
        <v>1</v>
      </c>
    </row>
    <row r="135" customFormat="false" ht="14.1" hidden="false" customHeight="false" outlineLevel="0" collapsed="false">
      <c r="A135" s="0" t="n">
        <v>0</v>
      </c>
      <c r="F135" s="0" t="str">
        <f aca="false">IF('Sim Period'!D135&lt;(AVERAGE('Sim Period'!$D$85:D135)),'Sim Period'!D135-AVERAGE('Sim Period'!$D$85:D135),"")</f>
        <v/>
      </c>
      <c r="G135" s="0" t="str">
        <f aca="false">IF('Sim Period'!D135&lt;(AVERAGE('Sim Period'!$D$107:D135)),'Sim Period'!D135-AVERAGE('Sim Period'!$D$107:D135),"")</f>
        <v/>
      </c>
      <c r="H135" s="0" t="str">
        <f aca="false">IF('Sim Period'!D135&lt;(AVERAGE('Sim Period'!$D$129:D135)),'Sim Period'!D135-AVERAGE('Sim Period'!$D$129:D135),"")</f>
        <v/>
      </c>
      <c r="M135" s="0" t="str">
        <f aca="false">IF('Sim Period'!D135&lt;(AVERAGE('Sim Period'!$D$24:D135)),'Sim Period'!D135-AVERAGE('Sim Period'!$D$24:D135),"")</f>
        <v/>
      </c>
      <c r="N135" s="0" t="str">
        <f aca="false">IF('Sim Period'!D135&lt;(AVERAGE('Sim Period'!$D$43:D135)),'Sim Period'!D135-AVERAGE('Sim Period'!$D$43:D135),"")</f>
        <v/>
      </c>
      <c r="O135" s="0" t="str">
        <f aca="false">IF('Sim Period'!D135&lt;(AVERAGE('Sim Period'!$D$66:D135)),'Sim Period'!D135-AVERAGE('Sim Period'!$D$66:D135),"")</f>
        <v/>
      </c>
      <c r="P135" s="0" t="str">
        <f aca="false">IF('Sim Period'!D135&lt;(AVERAGE('Sim Period'!$D$85:D135)),'Sim Period'!D135-AVERAGE('Sim Period'!$D$85:D135),"")</f>
        <v/>
      </c>
      <c r="Q135" s="0" t="str">
        <f aca="false">IF('Sim Period'!D135&lt;(AVERAGE('Sim Period'!$D$107:D135)),'Sim Period'!D135-AVERAGE('Sim Period'!$D$107:D135),"")</f>
        <v/>
      </c>
      <c r="R135" s="0" t="str">
        <f aca="false">IF('Sim Period'!D135&lt;(AVERAGE('Sim Period'!$D$129:D135)),'Sim Period'!D135-AVERAGE('Sim Period'!$D$129:D135),"")</f>
        <v/>
      </c>
      <c r="S135" s="0" t="n">
        <v>1</v>
      </c>
    </row>
    <row r="136" customFormat="false" ht="14.1" hidden="false" customHeight="false" outlineLevel="0" collapsed="false">
      <c r="A136" s="0" t="n">
        <v>0</v>
      </c>
      <c r="F136" s="0" t="str">
        <f aca="false">IF('Sim Period'!D136&lt;(AVERAGE('Sim Period'!$D$85:D136)),'Sim Period'!D136-AVERAGE('Sim Period'!$D$85:D136),"")</f>
        <v/>
      </c>
      <c r="G136" s="0" t="str">
        <f aca="false">IF('Sim Period'!D136&lt;(AVERAGE('Sim Period'!$D$107:D136)),'Sim Period'!D136-AVERAGE('Sim Period'!$D$107:D136),"")</f>
        <v/>
      </c>
      <c r="H136" s="0" t="str">
        <f aca="false">IF('Sim Period'!D136&lt;(AVERAGE('Sim Period'!$D$129:D136)),'Sim Period'!D136-AVERAGE('Sim Period'!$D$129:D136),"")</f>
        <v/>
      </c>
      <c r="M136" s="0" t="str">
        <f aca="false">IF('Sim Period'!D136&lt;(AVERAGE('Sim Period'!$D$24:D136)),'Sim Period'!D136-AVERAGE('Sim Period'!$D$24:D136),"")</f>
        <v/>
      </c>
      <c r="N136" s="0" t="str">
        <f aca="false">IF('Sim Period'!D136&lt;(AVERAGE('Sim Period'!$D$43:D136)),'Sim Period'!D136-AVERAGE('Sim Period'!$D$43:D136),"")</f>
        <v/>
      </c>
      <c r="O136" s="0" t="str">
        <f aca="false">IF('Sim Period'!D136&lt;(AVERAGE('Sim Period'!$D$66:D136)),'Sim Period'!D136-AVERAGE('Sim Period'!$D$66:D136),"")</f>
        <v/>
      </c>
      <c r="P136" s="0" t="str">
        <f aca="false">IF('Sim Period'!D136&lt;(AVERAGE('Sim Period'!$D$85:D136)),'Sim Period'!D136-AVERAGE('Sim Period'!$D$85:D136),"")</f>
        <v/>
      </c>
      <c r="Q136" s="0" t="str">
        <f aca="false">IF('Sim Period'!D136&lt;(AVERAGE('Sim Period'!$D$107:D136)),'Sim Period'!D136-AVERAGE('Sim Period'!$D$107:D136),"")</f>
        <v/>
      </c>
      <c r="R136" s="0" t="str">
        <f aca="false">IF('Sim Period'!D136&lt;(AVERAGE('Sim Period'!$D$129:D136)),'Sim Period'!D136-AVERAGE('Sim Period'!$D$129:D136),"")</f>
        <v/>
      </c>
      <c r="S136" s="0" t="n">
        <v>1</v>
      </c>
    </row>
    <row r="137" customFormat="false" ht="14.1" hidden="false" customHeight="false" outlineLevel="0" collapsed="false">
      <c r="A137" s="0" t="n">
        <v>0</v>
      </c>
      <c r="F137" s="0" t="str">
        <f aca="false">IF('Sim Period'!D137&lt;(AVERAGE('Sim Period'!$D$85:D137)),'Sim Period'!D137-AVERAGE('Sim Period'!$D$85:D137),"")</f>
        <v/>
      </c>
      <c r="G137" s="0" t="str">
        <f aca="false">IF('Sim Period'!D137&lt;(AVERAGE('Sim Period'!$D$107:D137)),'Sim Period'!D137-AVERAGE('Sim Period'!$D$107:D137),"")</f>
        <v/>
      </c>
      <c r="H137" s="0" t="str">
        <f aca="false">IF('Sim Period'!D137&lt;(AVERAGE('Sim Period'!$D$129:D137)),'Sim Period'!D137-AVERAGE('Sim Period'!$D$129:D137),"")</f>
        <v/>
      </c>
      <c r="M137" s="0" t="str">
        <f aca="false">IF('Sim Period'!D137&lt;(AVERAGE('Sim Period'!$D$24:D137)),'Sim Period'!D137-AVERAGE('Sim Period'!$D$24:D137),"")</f>
        <v/>
      </c>
      <c r="N137" s="0" t="str">
        <f aca="false">IF('Sim Period'!D137&lt;(AVERAGE('Sim Period'!$D$43:D137)),'Sim Period'!D137-AVERAGE('Sim Period'!$D$43:D137),"")</f>
        <v/>
      </c>
      <c r="O137" s="0" t="str">
        <f aca="false">IF('Sim Period'!D137&lt;(AVERAGE('Sim Period'!$D$66:D137)),'Sim Period'!D137-AVERAGE('Sim Period'!$D$66:D137),"")</f>
        <v/>
      </c>
      <c r="P137" s="0" t="str">
        <f aca="false">IF('Sim Period'!D137&lt;(AVERAGE('Sim Period'!$D$85:D137)),'Sim Period'!D137-AVERAGE('Sim Period'!$D$85:D137),"")</f>
        <v/>
      </c>
      <c r="Q137" s="0" t="str">
        <f aca="false">IF('Sim Period'!D137&lt;(AVERAGE('Sim Period'!$D$107:D137)),'Sim Period'!D137-AVERAGE('Sim Period'!$D$107:D137),"")</f>
        <v/>
      </c>
      <c r="R137" s="0" t="str">
        <f aca="false">IF('Sim Period'!D137&lt;(AVERAGE('Sim Period'!$D$129:D137)),'Sim Period'!D137-AVERAGE('Sim Period'!$D$129:D137),"")</f>
        <v/>
      </c>
      <c r="S137" s="0" t="n">
        <v>1</v>
      </c>
    </row>
    <row r="138" customFormat="false" ht="14.1" hidden="false" customHeight="false" outlineLevel="0" collapsed="false">
      <c r="A138" s="0" t="n">
        <v>0</v>
      </c>
      <c r="F138" s="0" t="str">
        <f aca="false">IF('Sim Period'!D138&lt;(AVERAGE('Sim Period'!$D$85:D138)),'Sim Period'!D138-AVERAGE('Sim Period'!$D$85:D138),"")</f>
        <v/>
      </c>
      <c r="G138" s="0" t="str">
        <f aca="false">IF('Sim Period'!D138&lt;(AVERAGE('Sim Period'!$D$107:D138)),'Sim Period'!D138-AVERAGE('Sim Period'!$D$107:D138),"")</f>
        <v/>
      </c>
      <c r="H138" s="0" t="str">
        <f aca="false">IF('Sim Period'!D138&lt;(AVERAGE('Sim Period'!$D$129:D138)),'Sim Period'!D138-AVERAGE('Sim Period'!$D$129:D138),"")</f>
        <v/>
      </c>
      <c r="M138" s="0" t="str">
        <f aca="false">IF('Sim Period'!D138&lt;(AVERAGE('Sim Period'!$D$24:D138)),'Sim Period'!D138-AVERAGE('Sim Period'!$D$24:D138),"")</f>
        <v/>
      </c>
      <c r="N138" s="0" t="str">
        <f aca="false">IF('Sim Period'!D138&lt;(AVERAGE('Sim Period'!$D$43:D138)),'Sim Period'!D138-AVERAGE('Sim Period'!$D$43:D138),"")</f>
        <v/>
      </c>
      <c r="O138" s="0" t="str">
        <f aca="false">IF('Sim Period'!D138&lt;(AVERAGE('Sim Period'!$D$66:D138)),'Sim Period'!D138-AVERAGE('Sim Period'!$D$66:D138),"")</f>
        <v/>
      </c>
      <c r="P138" s="0" t="str">
        <f aca="false">IF('Sim Period'!D138&lt;(AVERAGE('Sim Period'!$D$85:D138)),'Sim Period'!D138-AVERAGE('Sim Period'!$D$85:D138),"")</f>
        <v/>
      </c>
      <c r="Q138" s="0" t="str">
        <f aca="false">IF('Sim Period'!D138&lt;(AVERAGE('Sim Period'!$D$107:D138)),'Sim Period'!D138-AVERAGE('Sim Period'!$D$107:D138),"")</f>
        <v/>
      </c>
      <c r="R138" s="0" t="str">
        <f aca="false">IF('Sim Period'!D138&lt;(AVERAGE('Sim Period'!$D$129:D138)),'Sim Period'!D138-AVERAGE('Sim Period'!$D$129:D138),"")</f>
        <v/>
      </c>
      <c r="S138" s="0" t="n">
        <v>1</v>
      </c>
    </row>
    <row r="139" customFormat="false" ht="14.1" hidden="false" customHeight="false" outlineLevel="0" collapsed="false">
      <c r="A139" s="0" t="n">
        <v>0</v>
      </c>
      <c r="F139" s="19" t="n">
        <f aca="false">IF('Sim Period'!D139&lt;(AVERAGE('Sim Period'!$D$85:D139)),'Sim Period'!D139-AVERAGE('Sim Period'!$D$85:D139),"")</f>
        <v>-0.00920545454545455</v>
      </c>
      <c r="G139" s="19" t="n">
        <f aca="false">IF('Sim Period'!D139&lt;(AVERAGE('Sim Period'!$D$107:D139)),'Sim Period'!D139-AVERAGE('Sim Period'!$D$107:D139),"")</f>
        <v>-0.00393333333333334</v>
      </c>
      <c r="H139" s="19" t="n">
        <f aca="false">IF('Sim Period'!D139&lt;(AVERAGE('Sim Period'!$D$129:D139)),'Sim Period'!D139-AVERAGE('Sim Period'!$D$129:D139),"")</f>
        <v>-0.0149636363636364</v>
      </c>
      <c r="M139" s="19" t="n">
        <f aca="false">IF('Sim Period'!D139&lt;(AVERAGE('Sim Period'!$D$24:D139)),'Sim Period'!D139-AVERAGE('Sim Period'!$D$24:D139),"")</f>
        <v>-0.0102129310344828</v>
      </c>
      <c r="N139" s="19" t="n">
        <f aca="false">IF('Sim Period'!D139&lt;(AVERAGE('Sim Period'!$D$43:D139)),'Sim Period'!D139-AVERAGE('Sim Period'!$D$43:D139),"")</f>
        <v>-0.0106422680412371</v>
      </c>
      <c r="O139" s="19" t="n">
        <f aca="false">IF('Sim Period'!D139&lt;(AVERAGE('Sim Period'!$D$66:D139)),'Sim Period'!D139-AVERAGE('Sim Period'!$D$66:D139),"")</f>
        <v>-0.0109905405405405</v>
      </c>
      <c r="P139" s="19" t="n">
        <f aca="false">IF('Sim Period'!D139&lt;(AVERAGE('Sim Period'!$D$85:D139)),'Sim Period'!D139-AVERAGE('Sim Period'!$D$85:D139),"")</f>
        <v>-0.00920545454545455</v>
      </c>
      <c r="Q139" s="19" t="n">
        <f aca="false">IF('Sim Period'!D139&lt;(AVERAGE('Sim Period'!$D$107:D139)),'Sim Period'!D139-AVERAGE('Sim Period'!$D$107:D139),"")</f>
        <v>-0.00393333333333334</v>
      </c>
      <c r="R139" s="19" t="n">
        <f aca="false">IF('Sim Period'!D139&lt;(AVERAGE('Sim Period'!$D$129:D139)),'Sim Period'!D139-AVERAGE('Sim Period'!$D$129:D139),"")</f>
        <v>-0.0149636363636364</v>
      </c>
      <c r="S139" s="0" t="n">
        <v>1</v>
      </c>
    </row>
    <row r="140" customFormat="false" ht="14.1" hidden="false" customHeight="false" outlineLevel="0" collapsed="false">
      <c r="A140" s="0" t="n">
        <v>0</v>
      </c>
      <c r="F140" s="19" t="n">
        <f aca="false">IF('Sim Period'!D140&lt;(AVERAGE('Sim Period'!$D$85:D140)),'Sim Period'!D140-AVERAGE('Sim Period'!$D$85:D140),"")</f>
        <v>-0.0231839285714286</v>
      </c>
      <c r="G140" s="19" t="n">
        <f aca="false">IF('Sim Period'!D140&lt;(AVERAGE('Sim Period'!$D$107:D140)),'Sim Period'!D140-AVERAGE('Sim Period'!$D$107:D140),"")</f>
        <v>-0.0177941176470588</v>
      </c>
      <c r="H140" s="19" t="n">
        <f aca="false">IF('Sim Period'!D140&lt;(AVERAGE('Sim Period'!$D$129:D140)),'Sim Period'!D140-AVERAGE('Sim Period'!$D$129:D140),"")</f>
        <v>-0.0269166666666667</v>
      </c>
      <c r="M140" s="19" t="n">
        <f aca="false">IF('Sim Period'!D140&lt;(AVERAGE('Sim Period'!$D$24:D140)),'Sim Period'!D140-AVERAGE('Sim Period'!$D$24:D140),"")</f>
        <v>-0.0244025641025641</v>
      </c>
      <c r="N140" s="19" t="n">
        <f aca="false">IF('Sim Period'!D140&lt;(AVERAGE('Sim Period'!$D$43:D140)),'Sim Period'!D140-AVERAGE('Sim Period'!$D$43:D140),"")</f>
        <v>-0.0247867346938776</v>
      </c>
      <c r="O140" s="19" t="n">
        <f aca="false">IF('Sim Period'!D140&lt;(AVERAGE('Sim Period'!$D$66:D140)),'Sim Period'!D140-AVERAGE('Sim Period'!$D$66:D140),"")</f>
        <v>-0.025052</v>
      </c>
      <c r="P140" s="19" t="n">
        <f aca="false">IF('Sim Period'!D140&lt;(AVERAGE('Sim Period'!$D$85:D140)),'Sim Period'!D140-AVERAGE('Sim Period'!$D$85:D140),"")</f>
        <v>-0.0231839285714286</v>
      </c>
      <c r="Q140" s="19" t="n">
        <f aca="false">IF('Sim Period'!D140&lt;(AVERAGE('Sim Period'!$D$107:D140)),'Sim Period'!D140-AVERAGE('Sim Period'!$D$107:D140),"")</f>
        <v>-0.0177941176470588</v>
      </c>
      <c r="R140" s="19" t="n">
        <f aca="false">IF('Sim Period'!D140&lt;(AVERAGE('Sim Period'!$D$129:D140)),'Sim Period'!D140-AVERAGE('Sim Period'!$D$129:D140),"")</f>
        <v>-0.0269166666666667</v>
      </c>
      <c r="S140" s="0" t="n">
        <v>1</v>
      </c>
    </row>
    <row r="141" customFormat="false" ht="14.1" hidden="false" customHeight="false" outlineLevel="0" collapsed="false">
      <c r="A141" s="0" t="n">
        <v>0</v>
      </c>
      <c r="F141" s="0" t="str">
        <f aca="false">IF('Sim Period'!D141&lt;(AVERAGE('Sim Period'!$D$85:D141)),'Sim Period'!D141-AVERAGE('Sim Period'!$D$85:D141),"")</f>
        <v/>
      </c>
      <c r="G141" s="0" t="str">
        <f aca="false">IF('Sim Period'!D141&lt;(AVERAGE('Sim Period'!$D$107:D141)),'Sim Period'!D141-AVERAGE('Sim Period'!$D$107:D141),"")</f>
        <v/>
      </c>
      <c r="H141" s="0" t="str">
        <f aca="false">IF('Sim Period'!D141&lt;(AVERAGE('Sim Period'!$D$129:D141)),'Sim Period'!D141-AVERAGE('Sim Period'!$D$129:D141),"")</f>
        <v/>
      </c>
      <c r="M141" s="0" t="str">
        <f aca="false">IF('Sim Period'!D141&lt;(AVERAGE('Sim Period'!$D$24:D141)),'Sim Period'!D141-AVERAGE('Sim Period'!$D$24:D141),"")</f>
        <v/>
      </c>
      <c r="N141" s="0" t="str">
        <f aca="false">IF('Sim Period'!D141&lt;(AVERAGE('Sim Period'!$D$43:D141)),'Sim Period'!D141-AVERAGE('Sim Period'!$D$43:D141),"")</f>
        <v/>
      </c>
      <c r="O141" s="0" t="str">
        <f aca="false">IF('Sim Period'!D141&lt;(AVERAGE('Sim Period'!$D$66:D141)),'Sim Period'!D141-AVERAGE('Sim Period'!$D$66:D141),"")</f>
        <v/>
      </c>
      <c r="P141" s="0" t="str">
        <f aca="false">IF('Sim Period'!D141&lt;(AVERAGE('Sim Period'!$D$85:D141)),'Sim Period'!D141-AVERAGE('Sim Period'!$D$85:D141),"")</f>
        <v/>
      </c>
      <c r="Q141" s="0" t="str">
        <f aca="false">IF('Sim Period'!D141&lt;(AVERAGE('Sim Period'!$D$107:D141)),'Sim Period'!D141-AVERAGE('Sim Period'!$D$107:D141),"")</f>
        <v/>
      </c>
      <c r="R141" s="0" t="str">
        <f aca="false">IF('Sim Period'!D141&lt;(AVERAGE('Sim Period'!$D$129:D141)),'Sim Period'!D141-AVERAGE('Sim Period'!$D$129:D141),"")</f>
        <v/>
      </c>
      <c r="S141" s="0" t="n">
        <v>1</v>
      </c>
    </row>
    <row r="142" customFormat="false" ht="14.1" hidden="false" customHeight="false" outlineLevel="0" collapsed="false">
      <c r="A142" s="0" t="n">
        <v>0</v>
      </c>
      <c r="F142" s="19" t="n">
        <f aca="false">IF('Sim Period'!D142&lt;(AVERAGE('Sim Period'!$D$85:D142)),'Sim Period'!D142-AVERAGE('Sim Period'!$D$85:D142),"")</f>
        <v>-0.0342879310344828</v>
      </c>
      <c r="G142" s="19" t="n">
        <f aca="false">IF('Sim Period'!D142&lt;(AVERAGE('Sim Period'!$D$107:D142)),'Sim Period'!D142-AVERAGE('Sim Period'!$D$107:D142),"")</f>
        <v>-0.0291388888888889</v>
      </c>
      <c r="H142" s="19" t="n">
        <f aca="false">IF('Sim Period'!D142&lt;(AVERAGE('Sim Period'!$D$129:D142)),'Sim Period'!D142-AVERAGE('Sim Period'!$D$129:D142),"")</f>
        <v>-0.0371857142857143</v>
      </c>
      <c r="M142" s="19" t="n">
        <f aca="false">IF('Sim Period'!D142&lt;(AVERAGE('Sim Period'!$D$24:D142)),'Sim Period'!D142-AVERAGE('Sim Period'!$D$24:D142),"")</f>
        <v>-0.0355352941176471</v>
      </c>
      <c r="N142" s="19" t="n">
        <f aca="false">IF('Sim Period'!D142&lt;(AVERAGE('Sim Period'!$D$43:D142)),'Sim Period'!D142-AVERAGE('Sim Period'!$D$43:D142),"")</f>
        <v>-0.035899</v>
      </c>
      <c r="O142" s="19" t="n">
        <f aca="false">IF('Sim Period'!D142&lt;(AVERAGE('Sim Period'!$D$66:D142)),'Sim Period'!D142-AVERAGE('Sim Period'!$D$66:D142),"")</f>
        <v>-0.0361311688311688</v>
      </c>
      <c r="P142" s="19" t="n">
        <f aca="false">IF('Sim Period'!D142&lt;(AVERAGE('Sim Period'!$D$85:D142)),'Sim Period'!D142-AVERAGE('Sim Period'!$D$85:D142),"")</f>
        <v>-0.0342879310344828</v>
      </c>
      <c r="Q142" s="19" t="n">
        <f aca="false">IF('Sim Period'!D142&lt;(AVERAGE('Sim Period'!$D$107:D142)),'Sim Period'!D142-AVERAGE('Sim Period'!$D$107:D142),"")</f>
        <v>-0.0291388888888889</v>
      </c>
      <c r="R142" s="19" t="n">
        <f aca="false">IF('Sim Period'!D142&lt;(AVERAGE('Sim Period'!$D$129:D142)),'Sim Period'!D142-AVERAGE('Sim Period'!$D$129:D142),"")</f>
        <v>-0.0371857142857143</v>
      </c>
      <c r="S142" s="0" t="n">
        <v>1</v>
      </c>
    </row>
    <row r="143" customFormat="false" ht="14.1" hidden="false" customHeight="false" outlineLevel="0" collapsed="false">
      <c r="A143" s="0" t="n">
        <v>0</v>
      </c>
      <c r="F143" s="19" t="n">
        <f aca="false">IF('Sim Period'!D143&lt;(AVERAGE('Sim Period'!$D$85:D143)),'Sim Period'!D143-AVERAGE('Sim Period'!$D$85:D143),"")</f>
        <v>-0.0184694915254236</v>
      </c>
      <c r="G143" s="19" t="n">
        <f aca="false">IF('Sim Period'!D143&lt;(AVERAGE('Sim Period'!$D$107:D143)),'Sim Period'!D143-AVERAGE('Sim Period'!$D$107:D143),"")</f>
        <v>-0.0132702702702702</v>
      </c>
      <c r="H143" s="19" t="n">
        <f aca="false">IF('Sim Period'!D143&lt;(AVERAGE('Sim Period'!$D$129:D143)),'Sim Period'!D143-AVERAGE('Sim Period'!$D$129:D143),"")</f>
        <v>-0.0202399999999999</v>
      </c>
      <c r="M143" s="19" t="n">
        <f aca="false">IF('Sim Period'!D143&lt;(AVERAGE('Sim Period'!$D$24:D143)),'Sim Period'!D143-AVERAGE('Sim Period'!$D$24:D143),"")</f>
        <v>-0.0198683333333332</v>
      </c>
      <c r="N143" s="19" t="n">
        <f aca="false">IF('Sim Period'!D143&lt;(AVERAGE('Sim Period'!$D$43:D143)),'Sim Period'!D143-AVERAGE('Sim Period'!$D$43:D143),"")</f>
        <v>-0.0201970297029702</v>
      </c>
      <c r="O143" s="19" t="n">
        <f aca="false">IF('Sim Period'!D143&lt;(AVERAGE('Sim Period'!$D$66:D143)),'Sim Period'!D143-AVERAGE('Sim Period'!$D$66:D143),"")</f>
        <v>-0.0203666666666666</v>
      </c>
      <c r="P143" s="19" t="n">
        <f aca="false">IF('Sim Period'!D143&lt;(AVERAGE('Sim Period'!$D$85:D143)),'Sim Period'!D143-AVERAGE('Sim Period'!$D$85:D143),"")</f>
        <v>-0.0184694915254236</v>
      </c>
      <c r="Q143" s="19" t="n">
        <f aca="false">IF('Sim Period'!D143&lt;(AVERAGE('Sim Period'!$D$107:D143)),'Sim Period'!D143-AVERAGE('Sim Period'!$D$107:D143),"")</f>
        <v>-0.0132702702702702</v>
      </c>
      <c r="R143" s="19" t="n">
        <f aca="false">IF('Sim Period'!D143&lt;(AVERAGE('Sim Period'!$D$129:D143)),'Sim Period'!D143-AVERAGE('Sim Period'!$D$129:D143),"")</f>
        <v>-0.0202399999999999</v>
      </c>
      <c r="S143" s="0" t="n">
        <v>1</v>
      </c>
    </row>
    <row r="144" customFormat="false" ht="14.1" hidden="false" customHeight="false" outlineLevel="0" collapsed="false">
      <c r="A144" s="0" t="n">
        <v>0</v>
      </c>
      <c r="F144" s="0" t="str">
        <f aca="false">IF('Sim Period'!D144&lt;(AVERAGE('Sim Period'!$D$85:D144)),'Sim Period'!D144-AVERAGE('Sim Period'!$D$85:D144),"")</f>
        <v/>
      </c>
      <c r="G144" s="0" t="str">
        <f aca="false">IF('Sim Period'!D144&lt;(AVERAGE('Sim Period'!$D$107:D144)),'Sim Period'!D144-AVERAGE('Sim Period'!$D$107:D144),"")</f>
        <v/>
      </c>
      <c r="H144" s="0" t="str">
        <f aca="false">IF('Sim Period'!D144&lt;(AVERAGE('Sim Period'!$D$129:D144)),'Sim Period'!D144-AVERAGE('Sim Period'!$D$129:D144),"")</f>
        <v/>
      </c>
      <c r="M144" s="0" t="str">
        <f aca="false">IF('Sim Period'!D144&lt;(AVERAGE('Sim Period'!$D$24:D144)),'Sim Period'!D144-AVERAGE('Sim Period'!$D$24:D144),"")</f>
        <v/>
      </c>
      <c r="N144" s="0" t="str">
        <f aca="false">IF('Sim Period'!D144&lt;(AVERAGE('Sim Period'!$D$43:D144)),'Sim Period'!D144-AVERAGE('Sim Period'!$D$43:D144),"")</f>
        <v/>
      </c>
      <c r="O144" s="0" t="str">
        <f aca="false">IF('Sim Period'!D144&lt;(AVERAGE('Sim Period'!$D$66:D144)),'Sim Period'!D144-AVERAGE('Sim Period'!$D$66:D144),"")</f>
        <v/>
      </c>
      <c r="P144" s="0" t="str">
        <f aca="false">IF('Sim Period'!D144&lt;(AVERAGE('Sim Period'!$D$85:D144)),'Sim Period'!D144-AVERAGE('Sim Period'!$D$85:D144),"")</f>
        <v/>
      </c>
      <c r="Q144" s="0" t="str">
        <f aca="false">IF('Sim Period'!D144&lt;(AVERAGE('Sim Period'!$D$107:D144)),'Sim Period'!D144-AVERAGE('Sim Period'!$D$107:D144),"")</f>
        <v/>
      </c>
      <c r="R144" s="0" t="str">
        <f aca="false">IF('Sim Period'!D144&lt;(AVERAGE('Sim Period'!$D$129:D144)),'Sim Period'!D144-AVERAGE('Sim Period'!$D$129:D144),"")</f>
        <v/>
      </c>
      <c r="S144" s="0" t="n">
        <v>1</v>
      </c>
    </row>
    <row r="145" customFormat="false" ht="14.1" hidden="false" customHeight="false" outlineLevel="0" collapsed="false">
      <c r="A145" s="0" t="n">
        <v>0</v>
      </c>
      <c r="F145" s="0" t="str">
        <f aca="false">IF('Sim Period'!D145&lt;(AVERAGE('Sim Period'!$D$85:D145)),'Sim Period'!D145-AVERAGE('Sim Period'!$D$85:D145),"")</f>
        <v/>
      </c>
      <c r="G145" s="0" t="str">
        <f aca="false">IF('Sim Period'!D145&lt;(AVERAGE('Sim Period'!$D$107:D145)),'Sim Period'!D145-AVERAGE('Sim Period'!$D$107:D145),"")</f>
        <v/>
      </c>
      <c r="H145" s="0" t="str">
        <f aca="false">IF('Sim Period'!D145&lt;(AVERAGE('Sim Period'!$D$129:D145)),'Sim Period'!D145-AVERAGE('Sim Period'!$D$129:D145),"")</f>
        <v/>
      </c>
      <c r="M145" s="0" t="str">
        <f aca="false">IF('Sim Period'!D145&lt;(AVERAGE('Sim Period'!$D$24:D145)),'Sim Period'!D145-AVERAGE('Sim Period'!$D$24:D145),"")</f>
        <v/>
      </c>
      <c r="N145" s="0" t="str">
        <f aca="false">IF('Sim Period'!D145&lt;(AVERAGE('Sim Period'!$D$43:D145)),'Sim Period'!D145-AVERAGE('Sim Period'!$D$43:D145),"")</f>
        <v/>
      </c>
      <c r="O145" s="0" t="str">
        <f aca="false">IF('Sim Period'!D145&lt;(AVERAGE('Sim Period'!$D$66:D145)),'Sim Period'!D145-AVERAGE('Sim Period'!$D$66:D145),"")</f>
        <v/>
      </c>
      <c r="P145" s="0" t="str">
        <f aca="false">IF('Sim Period'!D145&lt;(AVERAGE('Sim Period'!$D$85:D145)),'Sim Period'!D145-AVERAGE('Sim Period'!$D$85:D145),"")</f>
        <v/>
      </c>
      <c r="Q145" s="0" t="str">
        <f aca="false">IF('Sim Period'!D145&lt;(AVERAGE('Sim Period'!$D$107:D145)),'Sim Period'!D145-AVERAGE('Sim Period'!$D$107:D145),"")</f>
        <v/>
      </c>
      <c r="R145" s="0" t="str">
        <f aca="false">IF('Sim Period'!D145&lt;(AVERAGE('Sim Period'!$D$129:D145)),'Sim Period'!D145-AVERAGE('Sim Period'!$D$129:D145),"")</f>
        <v/>
      </c>
      <c r="S145" s="0" t="n">
        <v>1</v>
      </c>
    </row>
    <row r="146" customFormat="false" ht="14.1" hidden="false" customHeight="false" outlineLevel="0" collapsed="false">
      <c r="A146" s="0" t="n">
        <v>0</v>
      </c>
      <c r="F146" s="0" t="str">
        <f aca="false">IF('Sim Period'!D146&lt;(AVERAGE('Sim Period'!$D$85:D146)),'Sim Period'!D146-AVERAGE('Sim Period'!$D$85:D146),"")</f>
        <v/>
      </c>
      <c r="G146" s="0" t="str">
        <f aca="false">IF('Sim Period'!D146&lt;(AVERAGE('Sim Period'!$D$107:D146)),'Sim Period'!D146-AVERAGE('Sim Period'!$D$107:D146),"")</f>
        <v/>
      </c>
      <c r="H146" s="0" t="str">
        <f aca="false">IF('Sim Period'!D146&lt;(AVERAGE('Sim Period'!$D$129:D146)),'Sim Period'!D146-AVERAGE('Sim Period'!$D$129:D146),"")</f>
        <v/>
      </c>
      <c r="M146" s="0" t="str">
        <f aca="false">IF('Sim Period'!D146&lt;(AVERAGE('Sim Period'!$D$24:D146)),'Sim Period'!D146-AVERAGE('Sim Period'!$D$24:D146),"")</f>
        <v/>
      </c>
      <c r="N146" s="0" t="str">
        <f aca="false">IF('Sim Period'!D146&lt;(AVERAGE('Sim Period'!$D$43:D146)),'Sim Period'!D146-AVERAGE('Sim Period'!$D$43:D146),"")</f>
        <v/>
      </c>
      <c r="O146" s="0" t="str">
        <f aca="false">IF('Sim Period'!D146&lt;(AVERAGE('Sim Period'!$D$66:D146)),'Sim Period'!D146-AVERAGE('Sim Period'!$D$66:D146),"")</f>
        <v/>
      </c>
      <c r="P146" s="0" t="str">
        <f aca="false">IF('Sim Period'!D146&lt;(AVERAGE('Sim Period'!$D$85:D146)),'Sim Period'!D146-AVERAGE('Sim Period'!$D$85:D146),"")</f>
        <v/>
      </c>
      <c r="Q146" s="0" t="str">
        <f aca="false">IF('Sim Period'!D146&lt;(AVERAGE('Sim Period'!$D$107:D146)),'Sim Period'!D146-AVERAGE('Sim Period'!$D$107:D146),"")</f>
        <v/>
      </c>
      <c r="R146" s="0" t="str">
        <f aca="false">IF('Sim Period'!D146&lt;(AVERAGE('Sim Period'!$D$129:D146)),'Sim Period'!D146-AVERAGE('Sim Period'!$D$129:D146),"")</f>
        <v/>
      </c>
      <c r="S146" s="0" t="n">
        <v>1</v>
      </c>
    </row>
    <row r="147" customFormat="false" ht="14.1" hidden="false" customHeight="false" outlineLevel="0" collapsed="false">
      <c r="A147" s="0" t="n">
        <v>0</v>
      </c>
      <c r="F147" s="19" t="n">
        <f aca="false">IF('Sim Period'!D147&lt;(AVERAGE('Sim Period'!$D$85:D147)),'Sim Period'!D147-AVERAGE('Sim Period'!$D$85:D147),"")</f>
        <v>-0.0387746031746032</v>
      </c>
      <c r="G147" s="19" t="n">
        <f aca="false">IF('Sim Period'!D147&lt;(AVERAGE('Sim Period'!$D$107:D147)),'Sim Period'!D147-AVERAGE('Sim Period'!$D$107:D147),"")</f>
        <v>-0.0347292682926829</v>
      </c>
      <c r="H147" s="19" t="n">
        <f aca="false">IF('Sim Period'!D147&lt;(AVERAGE('Sim Period'!$D$129:D147)),'Sim Period'!D147-AVERAGE('Sim Period'!$D$129:D147),"")</f>
        <v>-0.0429631578947368</v>
      </c>
      <c r="M147" s="19" t="n">
        <f aca="false">IF('Sim Period'!D147&lt;(AVERAGE('Sim Period'!$D$24:D147)),'Sim Period'!D147-AVERAGE('Sim Period'!$D$24:D147),"")</f>
        <v>-0.0395354838709677</v>
      </c>
      <c r="N147" s="19" t="n">
        <f aca="false">IF('Sim Period'!D147&lt;(AVERAGE('Sim Period'!$D$43:D147)),'Sim Period'!D147-AVERAGE('Sim Period'!$D$43:D147),"")</f>
        <v>-0.0399542857142857</v>
      </c>
      <c r="O147" s="19" t="n">
        <f aca="false">IF('Sim Period'!D147&lt;(AVERAGE('Sim Period'!$D$66:D147)),'Sim Period'!D147-AVERAGE('Sim Period'!$D$66:D147),"")</f>
        <v>-0.0403</v>
      </c>
      <c r="P147" s="19" t="n">
        <f aca="false">IF('Sim Period'!D147&lt;(AVERAGE('Sim Period'!$D$85:D147)),'Sim Period'!D147-AVERAGE('Sim Period'!$D$85:D147),"")</f>
        <v>-0.0387746031746032</v>
      </c>
      <c r="Q147" s="19" t="n">
        <f aca="false">IF('Sim Period'!D147&lt;(AVERAGE('Sim Period'!$D$107:D147)),'Sim Period'!D147-AVERAGE('Sim Period'!$D$107:D147),"")</f>
        <v>-0.0347292682926829</v>
      </c>
      <c r="R147" s="19" t="n">
        <f aca="false">IF('Sim Period'!D147&lt;(AVERAGE('Sim Period'!$D$129:D147)),'Sim Period'!D147-AVERAGE('Sim Period'!$D$129:D147),"")</f>
        <v>-0.0429631578947368</v>
      </c>
      <c r="S147" s="0" t="n">
        <v>1</v>
      </c>
    </row>
    <row r="148" customFormat="false" ht="14.1" hidden="false" customHeight="false" outlineLevel="0" collapsed="false">
      <c r="A148" s="0" t="n">
        <v>7</v>
      </c>
      <c r="F148" s="0" t="str">
        <f aca="false">IF('Sim Period'!D148&lt;(AVERAGE('Sim Period'!$D$85:D148)),'Sim Period'!D148-AVERAGE('Sim Period'!$D$85:D148),"")</f>
        <v/>
      </c>
      <c r="G148" s="0" t="str">
        <f aca="false">IF('Sim Period'!D148&lt;(AVERAGE('Sim Period'!$D$107:D148)),'Sim Period'!D148-AVERAGE('Sim Period'!$D$107:D148),"")</f>
        <v/>
      </c>
      <c r="H148" s="0" t="str">
        <f aca="false">IF('Sim Period'!D148&lt;(AVERAGE('Sim Period'!$D$129:D148)),'Sim Period'!D148-AVERAGE('Sim Period'!$D$129:D148),"")</f>
        <v/>
      </c>
      <c r="M148" s="0" t="str">
        <f aca="false">IF('Sim Period'!D148&lt;(AVERAGE('Sim Period'!$D$24:D148)),'Sim Period'!D148-AVERAGE('Sim Period'!$D$24:D148),"")</f>
        <v/>
      </c>
      <c r="N148" s="0" t="str">
        <f aca="false">IF('Sim Period'!D148&lt;(AVERAGE('Sim Period'!$D$43:D148)),'Sim Period'!D148-AVERAGE('Sim Period'!$D$43:D148),"")</f>
        <v/>
      </c>
      <c r="O148" s="0" t="str">
        <f aca="false">IF('Sim Period'!D148&lt;(AVERAGE('Sim Period'!$D$66:D148)),'Sim Period'!D148-AVERAGE('Sim Period'!$D$66:D148),"")</f>
        <v/>
      </c>
      <c r="P148" s="0" t="str">
        <f aca="false">IF('Sim Period'!D148&lt;(AVERAGE('Sim Period'!$D$85:D148)),'Sim Period'!D148-AVERAGE('Sim Period'!$D$85:D148),"")</f>
        <v/>
      </c>
      <c r="Q148" s="0" t="str">
        <f aca="false">IF('Sim Period'!D148&lt;(AVERAGE('Sim Period'!$D$107:D148)),'Sim Period'!D148-AVERAGE('Sim Period'!$D$107:D148),"")</f>
        <v/>
      </c>
      <c r="R148" s="0" t="str">
        <f aca="false">IF('Sim Period'!D148&lt;(AVERAGE('Sim Period'!$D$129:D148)),'Sim Period'!D148-AVERAGE('Sim Period'!$D$129:D148),"")</f>
        <v/>
      </c>
      <c r="S148" s="0" t="n">
        <v>1</v>
      </c>
    </row>
    <row r="149" customFormat="false" ht="14.1" hidden="false" customHeight="false" outlineLevel="0" collapsed="false">
      <c r="A149" s="0" t="n">
        <v>0</v>
      </c>
      <c r="G149" s="0" t="str">
        <f aca="false">IF('Sim Period'!D149&lt;(AVERAGE('Sim Period'!$D$107:D149)),'Sim Period'!D149-AVERAGE('Sim Period'!$D$107:D149),"")</f>
        <v/>
      </c>
      <c r="H149" s="19" t="n">
        <f aca="false">IF('Sim Period'!D149&lt;(AVERAGE('Sim Period'!$D$129:D149)),'Sim Period'!D149-AVERAGE('Sim Period'!$D$129:D149),"")</f>
        <v>-0.00689999999999999</v>
      </c>
      <c r="I149" s="0" t="str">
        <f aca="false">IF('Sim Period'!D149&lt;(AVERAGE('Sim Period'!$D$149:D149)),'Sim Period'!D149-AVERAGE('Sim Period'!$D$149:D149),"")</f>
        <v/>
      </c>
      <c r="N149" s="19" t="n">
        <f aca="false">IF('Sim Period'!D149&lt;(AVERAGE('Sim Period'!$D$43:D149)),'Sim Period'!D149-AVERAGE('Sim Period'!$D$43:D149),"")</f>
        <v>-0.00311401869158877</v>
      </c>
      <c r="O149" s="19" t="n">
        <f aca="false">IF('Sim Period'!D149&lt;(AVERAGE('Sim Period'!$D$66:D149)),'Sim Period'!D149-AVERAGE('Sim Period'!$D$66:D149),"")</f>
        <v>-0.00352261904761903</v>
      </c>
      <c r="P149" s="19" t="n">
        <f aca="false">IF('Sim Period'!D149&lt;(AVERAGE('Sim Period'!$D$85:D149)),'Sim Period'!D149-AVERAGE('Sim Period'!$D$85:D149),"")</f>
        <v>-0.00213846153846153</v>
      </c>
      <c r="Q149" s="0" t="str">
        <f aca="false">IF('Sim Period'!D149&lt;(AVERAGE('Sim Period'!$D$107:D149)),'Sim Period'!D149-AVERAGE('Sim Period'!$D$107:D149),"")</f>
        <v/>
      </c>
      <c r="R149" s="19" t="n">
        <f aca="false">IF('Sim Period'!D149&lt;(AVERAGE('Sim Period'!$D$129:D149)),'Sim Period'!D149-AVERAGE('Sim Period'!$D$129:D149),"")</f>
        <v>-0.00689999999999999</v>
      </c>
      <c r="S149" s="0" t="n">
        <v>1</v>
      </c>
    </row>
    <row r="150" customFormat="false" ht="14.1" hidden="false" customHeight="false" outlineLevel="0" collapsed="false">
      <c r="A150" s="0" t="n">
        <v>0</v>
      </c>
      <c r="G150" s="0" t="str">
        <f aca="false">IF('Sim Period'!D150&lt;(AVERAGE('Sim Period'!$D$107:D150)),'Sim Period'!D150-AVERAGE('Sim Period'!$D$107:D150),"")</f>
        <v/>
      </c>
      <c r="H150" s="0" t="str">
        <f aca="false">IF('Sim Period'!D150&lt;(AVERAGE('Sim Period'!$D$129:D150)),'Sim Period'!D150-AVERAGE('Sim Period'!$D$129:D150),"")</f>
        <v/>
      </c>
      <c r="I150" s="0" t="str">
        <f aca="false">IF('Sim Period'!D150&lt;(AVERAGE('Sim Period'!$D$149:D150)),'Sim Period'!D150-AVERAGE('Sim Period'!$D$149:D150),"")</f>
        <v/>
      </c>
      <c r="N150" s="0" t="str">
        <f aca="false">IF('Sim Period'!D150&lt;(AVERAGE('Sim Period'!$D$43:D150)),'Sim Period'!D150-AVERAGE('Sim Period'!$D$43:D150),"")</f>
        <v/>
      </c>
      <c r="O150" s="0" t="str">
        <f aca="false">IF('Sim Period'!D150&lt;(AVERAGE('Sim Period'!$D$66:D150)),'Sim Period'!D150-AVERAGE('Sim Period'!$D$66:D150),"")</f>
        <v/>
      </c>
      <c r="P150" s="0" t="str">
        <f aca="false">IF('Sim Period'!D150&lt;(AVERAGE('Sim Period'!$D$85:D150)),'Sim Period'!D150-AVERAGE('Sim Period'!$D$85:D150),"")</f>
        <v/>
      </c>
      <c r="Q150" s="0" t="str">
        <f aca="false">IF('Sim Period'!D150&lt;(AVERAGE('Sim Period'!$D$107:D150)),'Sim Period'!D150-AVERAGE('Sim Period'!$D$107:D150),"")</f>
        <v/>
      </c>
      <c r="R150" s="0" t="str">
        <f aca="false">IF('Sim Period'!D150&lt;(AVERAGE('Sim Period'!$D$129:D150)),'Sim Period'!D150-AVERAGE('Sim Period'!$D$129:D150),"")</f>
        <v/>
      </c>
      <c r="S150" s="0" t="n">
        <v>1</v>
      </c>
    </row>
    <row r="151" customFormat="false" ht="14.1" hidden="false" customHeight="false" outlineLevel="0" collapsed="false">
      <c r="A151" s="0" t="n">
        <v>0</v>
      </c>
      <c r="G151" s="0" t="str">
        <f aca="false">IF('Sim Period'!D151&lt;(AVERAGE('Sim Period'!$D$107:D151)),'Sim Period'!D151-AVERAGE('Sim Period'!$D$107:D151),"")</f>
        <v/>
      </c>
      <c r="H151" s="0" t="str">
        <f aca="false">IF('Sim Period'!D151&lt;(AVERAGE('Sim Period'!$D$129:D151)),'Sim Period'!D151-AVERAGE('Sim Period'!$D$129:D151),"")</f>
        <v/>
      </c>
      <c r="I151" s="0" t="str">
        <f aca="false">IF('Sim Period'!D151&lt;(AVERAGE('Sim Period'!$D$149:D151)),'Sim Period'!D151-AVERAGE('Sim Period'!$D$149:D151),"")</f>
        <v/>
      </c>
      <c r="N151" s="0" t="str">
        <f aca="false">IF('Sim Period'!D151&lt;(AVERAGE('Sim Period'!$D$43:D151)),'Sim Period'!D151-AVERAGE('Sim Period'!$D$43:D151),"")</f>
        <v/>
      </c>
      <c r="O151" s="0" t="str">
        <f aca="false">IF('Sim Period'!D151&lt;(AVERAGE('Sim Period'!$D$66:D151)),'Sim Period'!D151-AVERAGE('Sim Period'!$D$66:D151),"")</f>
        <v/>
      </c>
      <c r="P151" s="0" t="str">
        <f aca="false">IF('Sim Period'!D151&lt;(AVERAGE('Sim Period'!$D$85:D151)),'Sim Period'!D151-AVERAGE('Sim Period'!$D$85:D151),"")</f>
        <v/>
      </c>
      <c r="Q151" s="0" t="str">
        <f aca="false">IF('Sim Period'!D151&lt;(AVERAGE('Sim Period'!$D$107:D151)),'Sim Period'!D151-AVERAGE('Sim Period'!$D$107:D151),"")</f>
        <v/>
      </c>
      <c r="R151" s="0" t="str">
        <f aca="false">IF('Sim Period'!D151&lt;(AVERAGE('Sim Period'!$D$129:D151)),'Sim Period'!D151-AVERAGE('Sim Period'!$D$129:D151),"")</f>
        <v/>
      </c>
      <c r="S151" s="0" t="n">
        <v>1</v>
      </c>
    </row>
    <row r="152" customFormat="false" ht="14.1" hidden="false" customHeight="false" outlineLevel="0" collapsed="false">
      <c r="A152" s="0" t="n">
        <v>0</v>
      </c>
      <c r="G152" s="0" t="str">
        <f aca="false">IF('Sim Period'!D152&lt;(AVERAGE('Sim Period'!$D$107:D152)),'Sim Period'!D152-AVERAGE('Sim Period'!$D$107:D152),"")</f>
        <v/>
      </c>
      <c r="H152" s="19" t="n">
        <f aca="false">IF('Sim Period'!D152&lt;(AVERAGE('Sim Period'!$D$129:D152)),'Sim Period'!D152-AVERAGE('Sim Period'!$D$129:D152),"")</f>
        <v>-0.00677083333333337</v>
      </c>
      <c r="I152" s="19" t="n">
        <f aca="false">IF('Sim Period'!D152&lt;(AVERAGE('Sim Period'!$D$149:D152)),'Sim Period'!D152-AVERAGE('Sim Period'!$D$149:D152),"")</f>
        <v>-0.0104000000000001</v>
      </c>
      <c r="N152" s="19" t="n">
        <f aca="false">IF('Sim Period'!D152&lt;(AVERAGE('Sim Period'!$D$43:D152)),'Sim Period'!D152-AVERAGE('Sim Period'!$D$43:D152),"")</f>
        <v>-0.00225090909090912</v>
      </c>
      <c r="O152" s="19" t="n">
        <f aca="false">IF('Sim Period'!D152&lt;(AVERAGE('Sim Period'!$D$66:D152)),'Sim Period'!D152-AVERAGE('Sim Period'!$D$66:D152),"")</f>
        <v>-0.00273448275862072</v>
      </c>
      <c r="P152" s="19" t="n">
        <f aca="false">IF('Sim Period'!D152&lt;(AVERAGE('Sim Period'!$D$85:D152)),'Sim Period'!D152-AVERAGE('Sim Period'!$D$85:D152),"")</f>
        <v>-0.00152647058823533</v>
      </c>
      <c r="Q152" s="0" t="str">
        <f aca="false">IF('Sim Period'!D152&lt;(AVERAGE('Sim Period'!$D$107:D152)),'Sim Period'!D152-AVERAGE('Sim Period'!$D$107:D152),"")</f>
        <v/>
      </c>
      <c r="R152" s="19" t="n">
        <f aca="false">IF('Sim Period'!D152&lt;(AVERAGE('Sim Period'!$D$129:D152)),'Sim Period'!D152-AVERAGE('Sim Period'!$D$129:D152),"")</f>
        <v>-0.00677083333333337</v>
      </c>
      <c r="S152" s="0" t="n">
        <v>1</v>
      </c>
    </row>
    <row r="153" customFormat="false" ht="14.1" hidden="false" customHeight="false" outlineLevel="0" collapsed="false">
      <c r="A153" s="0" t="n">
        <v>0</v>
      </c>
      <c r="G153" s="19" t="n">
        <f aca="false">IF('Sim Period'!D153&lt;(AVERAGE('Sim Period'!$D$107:D153)),'Sim Period'!D153-AVERAGE('Sim Period'!$D$107:D153),"")</f>
        <v>-0.0195978723404255</v>
      </c>
      <c r="H153" s="19" t="n">
        <f aca="false">IF('Sim Period'!D153&lt;(AVERAGE('Sim Period'!$D$129:D153)),'Sim Period'!D153-AVERAGE('Sim Period'!$D$129:D153),"")</f>
        <v>-0.027236</v>
      </c>
      <c r="I153" s="19" t="n">
        <f aca="false">IF('Sim Period'!D153&lt;(AVERAGE('Sim Period'!$D$149:D153)),'Sim Period'!D153-AVERAGE('Sim Period'!$D$149:D153),"")</f>
        <v>-0.0256</v>
      </c>
      <c r="N153" s="19" t="n">
        <f aca="false">IF('Sim Period'!D153&lt;(AVERAGE('Sim Period'!$D$43:D153)),'Sim Period'!D153-AVERAGE('Sim Period'!$D$43:D153),"")</f>
        <v>-0.023636036036036</v>
      </c>
      <c r="O153" s="19" t="n">
        <f aca="false">IF('Sim Period'!D153&lt;(AVERAGE('Sim Period'!$D$66:D153)),'Sim Period'!D153-AVERAGE('Sim Period'!$D$66:D153),"")</f>
        <v>-0.0240579545454545</v>
      </c>
      <c r="P153" s="19" t="n">
        <f aca="false">IF('Sim Period'!D153&lt;(AVERAGE('Sim Period'!$D$85:D153)),'Sim Period'!D153-AVERAGE('Sim Period'!$D$85:D153),"")</f>
        <v>-0.0227913043478261</v>
      </c>
      <c r="Q153" s="19" t="n">
        <f aca="false">IF('Sim Period'!D153&lt;(AVERAGE('Sim Period'!$D$107:D153)),'Sim Period'!D153-AVERAGE('Sim Period'!$D$107:D153),"")</f>
        <v>-0.0195978723404255</v>
      </c>
      <c r="R153" s="19" t="n">
        <f aca="false">IF('Sim Period'!D153&lt;(AVERAGE('Sim Period'!$D$129:D153)),'Sim Period'!D153-AVERAGE('Sim Period'!$D$129:D153),"")</f>
        <v>-0.027236</v>
      </c>
      <c r="S153" s="0" t="n">
        <v>1</v>
      </c>
    </row>
    <row r="154" customFormat="false" ht="14.1" hidden="false" customHeight="false" outlineLevel="0" collapsed="false">
      <c r="A154" s="0" t="n">
        <v>0</v>
      </c>
      <c r="G154" s="19" t="n">
        <f aca="false">IF('Sim Period'!D154&lt;(AVERAGE('Sim Period'!$D$107:D154)),'Sim Period'!D154-AVERAGE('Sim Period'!$D$107:D154),"")</f>
        <v>-0.00185833333333331</v>
      </c>
      <c r="H154" s="19" t="n">
        <f aca="false">IF('Sim Period'!D154&lt;(AVERAGE('Sim Period'!$D$129:D154)),'Sim Period'!D154-AVERAGE('Sim Period'!$D$129:D154),"")</f>
        <v>-0.00916923076923075</v>
      </c>
      <c r="I154" s="19" t="n">
        <f aca="false">IF('Sim Period'!D154&lt;(AVERAGE('Sim Period'!$D$149:D154)),'Sim Period'!D154-AVERAGE('Sim Period'!$D$149:D154),"")</f>
        <v>-0.00658333333333332</v>
      </c>
      <c r="N154" s="19" t="n">
        <f aca="false">IF('Sim Period'!D154&lt;(AVERAGE('Sim Period'!$D$43:D154)),'Sim Period'!D154-AVERAGE('Sim Period'!$D$43:D154),"")</f>
        <v>-0.00588303571428569</v>
      </c>
      <c r="O154" s="19" t="n">
        <f aca="false">IF('Sim Period'!D154&lt;(AVERAGE('Sim Period'!$D$66:D154)),'Sim Period'!D154-AVERAGE('Sim Period'!$D$66:D154),"")</f>
        <v>-0.00628651685393256</v>
      </c>
      <c r="P154" s="19" t="n">
        <f aca="false">IF('Sim Period'!D154&lt;(AVERAGE('Sim Period'!$D$85:D154)),'Sim Period'!D154-AVERAGE('Sim Period'!$D$85:D154),"")</f>
        <v>-0.00501857142857141</v>
      </c>
      <c r="Q154" s="19" t="n">
        <f aca="false">IF('Sim Period'!D154&lt;(AVERAGE('Sim Period'!$D$107:D154)),'Sim Period'!D154-AVERAGE('Sim Period'!$D$107:D154),"")</f>
        <v>-0.00185833333333331</v>
      </c>
      <c r="R154" s="19" t="n">
        <f aca="false">IF('Sim Period'!D154&lt;(AVERAGE('Sim Period'!$D$129:D154)),'Sim Period'!D154-AVERAGE('Sim Period'!$D$129:D154),"")</f>
        <v>-0.00916923076923075</v>
      </c>
      <c r="S154" s="0" t="n">
        <v>1</v>
      </c>
    </row>
    <row r="155" customFormat="false" ht="14.1" hidden="false" customHeight="false" outlineLevel="0" collapsed="false">
      <c r="A155" s="0" t="n">
        <v>0</v>
      </c>
      <c r="G155" s="19" t="n">
        <f aca="false">IF('Sim Period'!D155&lt;(AVERAGE('Sim Period'!$D$107:D155)),'Sim Period'!D155-AVERAGE('Sim Period'!$D$107:D155),"")</f>
        <v>-0.00760000000000001</v>
      </c>
      <c r="H155" s="19" t="n">
        <f aca="false">IF('Sim Period'!D155&lt;(AVERAGE('Sim Period'!$D$129:D155)),'Sim Period'!D155-AVERAGE('Sim Period'!$D$129:D155),"")</f>
        <v>-0.0145111111111111</v>
      </c>
      <c r="I155" s="19" t="n">
        <f aca="false">IF('Sim Period'!D155&lt;(AVERAGE('Sim Period'!$D$149:D155)),'Sim Period'!D155-AVERAGE('Sim Period'!$D$149:D155),"")</f>
        <v>-0.0107</v>
      </c>
      <c r="N155" s="19" t="n">
        <f aca="false">IF('Sim Period'!D155&lt;(AVERAGE('Sim Period'!$D$43:D155)),'Sim Period'!D155-AVERAGE('Sim Period'!$D$43:D155),"")</f>
        <v>-0.0116787610619469</v>
      </c>
      <c r="O155" s="19" t="n">
        <f aca="false">IF('Sim Period'!D155&lt;(AVERAGE('Sim Period'!$D$66:D155)),'Sim Period'!D155-AVERAGE('Sim Period'!$D$66:D155),"")</f>
        <v>-0.0120511111111111</v>
      </c>
      <c r="P155" s="19" t="n">
        <f aca="false">IF('Sim Period'!D155&lt;(AVERAGE('Sim Period'!$D$85:D155)),'Sim Period'!D155-AVERAGE('Sim Period'!$D$85:D155),"")</f>
        <v>-0.0107647887323944</v>
      </c>
      <c r="Q155" s="19" t="n">
        <f aca="false">IF('Sim Period'!D155&lt;(AVERAGE('Sim Period'!$D$107:D155)),'Sim Period'!D155-AVERAGE('Sim Period'!$D$107:D155),"")</f>
        <v>-0.00760000000000001</v>
      </c>
      <c r="R155" s="19" t="n">
        <f aca="false">IF('Sim Period'!D155&lt;(AVERAGE('Sim Period'!$D$129:D155)),'Sim Period'!D155-AVERAGE('Sim Period'!$D$129:D155),"")</f>
        <v>-0.0145111111111111</v>
      </c>
      <c r="S155" s="0" t="n">
        <v>1</v>
      </c>
    </row>
    <row r="156" customFormat="false" ht="14.1" hidden="false" customHeight="false" outlineLevel="0" collapsed="false">
      <c r="A156" s="0" t="n">
        <v>0</v>
      </c>
      <c r="G156" s="0" t="str">
        <f aca="false">IF('Sim Period'!D156&lt;(AVERAGE('Sim Period'!$D$107:D156)),'Sim Period'!D156-AVERAGE('Sim Period'!$D$107:D156),"")</f>
        <v/>
      </c>
      <c r="H156" s="0" t="str">
        <f aca="false">IF('Sim Period'!D156&lt;(AVERAGE('Sim Period'!$D$129:D156)),'Sim Period'!D156-AVERAGE('Sim Period'!$D$129:D156),"")</f>
        <v/>
      </c>
      <c r="I156" s="0" t="str">
        <f aca="false">IF('Sim Period'!D156&lt;(AVERAGE('Sim Period'!$D$149:D156)),'Sim Period'!D156-AVERAGE('Sim Period'!$D$149:D156),"")</f>
        <v/>
      </c>
      <c r="N156" s="0" t="str">
        <f aca="false">IF('Sim Period'!D156&lt;(AVERAGE('Sim Period'!$D$43:D156)),'Sim Period'!D156-AVERAGE('Sim Period'!$D$43:D156),"")</f>
        <v/>
      </c>
      <c r="O156" s="0" t="str">
        <f aca="false">IF('Sim Period'!D156&lt;(AVERAGE('Sim Period'!$D$66:D156)),'Sim Period'!D156-AVERAGE('Sim Period'!$D$66:D156),"")</f>
        <v/>
      </c>
      <c r="P156" s="0" t="str">
        <f aca="false">IF('Sim Period'!D156&lt;(AVERAGE('Sim Period'!$D$85:D156)),'Sim Period'!D156-AVERAGE('Sim Period'!$D$85:D156),"")</f>
        <v/>
      </c>
      <c r="Q156" s="0" t="str">
        <f aca="false">IF('Sim Period'!D156&lt;(AVERAGE('Sim Period'!$D$107:D156)),'Sim Period'!D156-AVERAGE('Sim Period'!$D$107:D156),"")</f>
        <v/>
      </c>
      <c r="R156" s="0" t="str">
        <f aca="false">IF('Sim Period'!D156&lt;(AVERAGE('Sim Period'!$D$129:D156)),'Sim Period'!D156-AVERAGE('Sim Period'!$D$129:D156),"")</f>
        <v/>
      </c>
      <c r="S156" s="0" t="n">
        <v>1</v>
      </c>
    </row>
    <row r="157" customFormat="false" ht="14.1" hidden="false" customHeight="false" outlineLevel="0" collapsed="false">
      <c r="A157" s="0" t="n">
        <v>0</v>
      </c>
      <c r="G157" s="19" t="n">
        <f aca="false">IF('Sim Period'!D157&lt;(AVERAGE('Sim Period'!$D$107:D157)),'Sim Period'!D157-AVERAGE('Sim Period'!$D$107:D157),"")</f>
        <v>-0.0403764705882353</v>
      </c>
      <c r="H157" s="19" t="n">
        <f aca="false">IF('Sim Period'!D157&lt;(AVERAGE('Sim Period'!$D$129:D157)),'Sim Period'!D157-AVERAGE('Sim Period'!$D$129:D157),"")</f>
        <v>-0.0463379310344828</v>
      </c>
      <c r="I157" s="19" t="n">
        <f aca="false">IF('Sim Period'!D157&lt;(AVERAGE('Sim Period'!$D$149:D157)),'Sim Period'!D157-AVERAGE('Sim Period'!$D$149:D157),"")</f>
        <v>-0.0398777777777778</v>
      </c>
      <c r="N157" s="19" t="n">
        <f aca="false">IF('Sim Period'!D157&lt;(AVERAGE('Sim Period'!$D$43:D157)),'Sim Period'!D157-AVERAGE('Sim Period'!$D$43:D157),"")</f>
        <v>-0.0447313043478261</v>
      </c>
      <c r="O157" s="19" t="n">
        <f aca="false">IF('Sim Period'!D157&lt;(AVERAGE('Sim Period'!$D$66:D157)),'Sim Period'!D157-AVERAGE('Sim Period'!$D$66:D157),"")</f>
        <v>-0.0450086956521739</v>
      </c>
      <c r="P157" s="19" t="n">
        <f aca="false">IF('Sim Period'!D157&lt;(AVERAGE('Sim Period'!$D$85:D157)),'Sim Period'!D157-AVERAGE('Sim Period'!$D$85:D157),"")</f>
        <v>-0.0436424657534247</v>
      </c>
      <c r="Q157" s="19" t="n">
        <f aca="false">IF('Sim Period'!D157&lt;(AVERAGE('Sim Period'!$D$107:D157)),'Sim Period'!D157-AVERAGE('Sim Period'!$D$107:D157),"")</f>
        <v>-0.0403764705882353</v>
      </c>
      <c r="R157" s="19" t="n">
        <f aca="false">IF('Sim Period'!D157&lt;(AVERAGE('Sim Period'!$D$129:D157)),'Sim Period'!D157-AVERAGE('Sim Period'!$D$129:D157),"")</f>
        <v>-0.0463379310344828</v>
      </c>
      <c r="S157" s="0" t="n">
        <v>1</v>
      </c>
    </row>
    <row r="158" customFormat="false" ht="14.1" hidden="false" customHeight="false" outlineLevel="0" collapsed="false">
      <c r="A158" s="0" t="n">
        <v>0</v>
      </c>
      <c r="G158" s="19" t="n">
        <f aca="false">IF('Sim Period'!D158&lt;(AVERAGE('Sim Period'!$D$107:D158)),'Sim Period'!D158-AVERAGE('Sim Period'!$D$107:D158),"")</f>
        <v>-0.0410711538461539</v>
      </c>
      <c r="H158" s="19" t="n">
        <f aca="false">IF('Sim Period'!D158&lt;(AVERAGE('Sim Period'!$D$129:D158)),'Sim Period'!D158-AVERAGE('Sim Period'!$D$129:D158),"")</f>
        <v>-0.0462433333333333</v>
      </c>
      <c r="I158" s="19" t="n">
        <f aca="false">IF('Sim Period'!D158&lt;(AVERAGE('Sim Period'!$D$149:D158)),'Sim Period'!D158-AVERAGE('Sim Period'!$D$149:D158),"")</f>
        <v>-0.03724</v>
      </c>
      <c r="N158" s="19" t="n">
        <f aca="false">IF('Sim Period'!D158&lt;(AVERAGE('Sim Period'!$D$43:D158)),'Sim Period'!D158-AVERAGE('Sim Period'!$D$43:D158),"")</f>
        <v>-0.0458327586206897</v>
      </c>
      <c r="O158" s="19" t="n">
        <f aca="false">IF('Sim Period'!D158&lt;(AVERAGE('Sim Period'!$D$66:D158)),'Sim Period'!D158-AVERAGE('Sim Period'!$D$66:D158),"")</f>
        <v>-0.0460086021505376</v>
      </c>
      <c r="P158" s="19" t="n">
        <f aca="false">IF('Sim Period'!D158&lt;(AVERAGE('Sim Period'!$D$85:D158)),'Sim Period'!D158-AVERAGE('Sim Period'!$D$85:D158),"")</f>
        <v>-0.0445324324324324</v>
      </c>
      <c r="Q158" s="19" t="n">
        <f aca="false">IF('Sim Period'!D158&lt;(AVERAGE('Sim Period'!$D$107:D158)),'Sim Period'!D158-AVERAGE('Sim Period'!$D$107:D158),"")</f>
        <v>-0.0410711538461539</v>
      </c>
      <c r="R158" s="19" t="n">
        <f aca="false">IF('Sim Period'!D158&lt;(AVERAGE('Sim Period'!$D$129:D158)),'Sim Period'!D158-AVERAGE('Sim Period'!$D$129:D158),"")</f>
        <v>-0.0462433333333333</v>
      </c>
      <c r="S158" s="0" t="n">
        <v>1</v>
      </c>
    </row>
    <row r="159" customFormat="false" ht="14.1" hidden="false" customHeight="false" outlineLevel="0" collapsed="false">
      <c r="A159" s="0" t="n">
        <v>0</v>
      </c>
      <c r="G159" s="19" t="n">
        <f aca="false">IF('Sim Period'!D159&lt;(AVERAGE('Sim Period'!$D$107:D159)),'Sim Period'!D159-AVERAGE('Sim Period'!$D$107:D159),"")</f>
        <v>-0.00674150943396237</v>
      </c>
      <c r="H159" s="19" t="n">
        <f aca="false">IF('Sim Period'!D159&lt;(AVERAGE('Sim Period'!$D$129:D159)),'Sim Period'!D159-AVERAGE('Sim Period'!$D$129:D159),"")</f>
        <v>-0.0116548387096775</v>
      </c>
      <c r="I159" s="19" t="n">
        <f aca="false">IF('Sim Period'!D159&lt;(AVERAGE('Sim Period'!$D$149:D159)),'Sim Period'!D159-AVERAGE('Sim Period'!$D$149:D159),"")</f>
        <v>-0.00276363636363646</v>
      </c>
      <c r="N159" s="19" t="n">
        <f aca="false">IF('Sim Period'!D159&lt;(AVERAGE('Sim Period'!$D$43:D159)),'Sim Period'!D159-AVERAGE('Sim Period'!$D$43:D159),"")</f>
        <v>-0.0115333333333334</v>
      </c>
      <c r="O159" s="19" t="n">
        <f aca="false">IF('Sim Period'!D159&lt;(AVERAGE('Sim Period'!$D$66:D159)),'Sim Period'!D159-AVERAGE('Sim Period'!$D$66:D159),"")</f>
        <v>-0.0116829787234044</v>
      </c>
      <c r="P159" s="19" t="n">
        <f aca="false">IF('Sim Period'!D159&lt;(AVERAGE('Sim Period'!$D$85:D159)),'Sim Period'!D159-AVERAGE('Sim Period'!$D$85:D159),"")</f>
        <v>-0.0101946666666668</v>
      </c>
      <c r="Q159" s="19" t="n">
        <f aca="false">IF('Sim Period'!D159&lt;(AVERAGE('Sim Period'!$D$107:D159)),'Sim Period'!D159-AVERAGE('Sim Period'!$D$107:D159),"")</f>
        <v>-0.00674150943396237</v>
      </c>
      <c r="R159" s="19" t="n">
        <f aca="false">IF('Sim Period'!D159&lt;(AVERAGE('Sim Period'!$D$129:D159)),'Sim Period'!D159-AVERAGE('Sim Period'!$D$129:D159),"")</f>
        <v>-0.0116548387096775</v>
      </c>
      <c r="S159" s="0" t="n">
        <v>1</v>
      </c>
    </row>
    <row r="160" customFormat="false" ht="14.1" hidden="false" customHeight="false" outlineLevel="0" collapsed="false">
      <c r="A160" s="0" t="n">
        <v>0</v>
      </c>
      <c r="G160" s="0" t="str">
        <f aca="false">IF('Sim Period'!D160&lt;(AVERAGE('Sim Period'!$D$107:D160)),'Sim Period'!D160-AVERAGE('Sim Period'!$D$107:D160),"")</f>
        <v/>
      </c>
      <c r="H160" s="0" t="str">
        <f aca="false">IF('Sim Period'!D160&lt;(AVERAGE('Sim Period'!$D$129:D160)),'Sim Period'!D160-AVERAGE('Sim Period'!$D$129:D160),"")</f>
        <v/>
      </c>
      <c r="I160" s="0" t="str">
        <f aca="false">IF('Sim Period'!D160&lt;(AVERAGE('Sim Period'!$D$149:D160)),'Sim Period'!D160-AVERAGE('Sim Period'!$D$149:D160),"")</f>
        <v/>
      </c>
      <c r="N160" s="0" t="str">
        <f aca="false">IF('Sim Period'!D160&lt;(AVERAGE('Sim Period'!$D$43:D160)),'Sim Period'!D160-AVERAGE('Sim Period'!$D$43:D160),"")</f>
        <v/>
      </c>
      <c r="O160" s="0" t="str">
        <f aca="false">IF('Sim Period'!D160&lt;(AVERAGE('Sim Period'!$D$66:D160)),'Sim Period'!D160-AVERAGE('Sim Period'!$D$66:D160),"")</f>
        <v/>
      </c>
      <c r="P160" s="0" t="str">
        <f aca="false">IF('Sim Period'!D160&lt;(AVERAGE('Sim Period'!$D$85:D160)),'Sim Period'!D160-AVERAGE('Sim Period'!$D$85:D160),"")</f>
        <v/>
      </c>
      <c r="Q160" s="0" t="str">
        <f aca="false">IF('Sim Period'!D160&lt;(AVERAGE('Sim Period'!$D$107:D160)),'Sim Period'!D160-AVERAGE('Sim Period'!$D$107:D160),"")</f>
        <v/>
      </c>
      <c r="R160" s="0" t="str">
        <f aca="false">IF('Sim Period'!D160&lt;(AVERAGE('Sim Period'!$D$129:D160)),'Sim Period'!D160-AVERAGE('Sim Period'!$D$129:D160),"")</f>
        <v/>
      </c>
      <c r="S160" s="0" t="n">
        <v>1</v>
      </c>
    </row>
    <row r="161" customFormat="false" ht="14.1" hidden="false" customHeight="false" outlineLevel="0" collapsed="false">
      <c r="A161" s="0" t="n">
        <v>0</v>
      </c>
      <c r="G161" s="19" t="n">
        <f aca="false">IF('Sim Period'!D161&lt;(AVERAGE('Sim Period'!$D$107:D161)),'Sim Period'!D161-AVERAGE('Sim Period'!$D$107:D161),"")</f>
        <v>-0.0440545454545455</v>
      </c>
      <c r="H161" s="19" t="n">
        <f aca="false">IF('Sim Period'!D161&lt;(AVERAGE('Sim Period'!$D$129:D161)),'Sim Period'!D161-AVERAGE('Sim Period'!$D$129:D161),"")</f>
        <v>-0.0485454545454546</v>
      </c>
      <c r="I161" s="19" t="n">
        <f aca="false">IF('Sim Period'!D161&lt;(AVERAGE('Sim Period'!$D$149:D161)),'Sim Period'!D161-AVERAGE('Sim Period'!$D$149:D161),"")</f>
        <v>-0.0400846153846154</v>
      </c>
      <c r="N161" s="19" t="n">
        <f aca="false">IF('Sim Period'!D161&lt;(AVERAGE('Sim Period'!$D$43:D161)),'Sim Period'!D161-AVERAGE('Sim Period'!$D$43:D161),"")</f>
        <v>-0.0488663865546219</v>
      </c>
      <c r="O161" s="19" t="n">
        <f aca="false">IF('Sim Period'!D161&lt;(AVERAGE('Sim Period'!$D$66:D161)),'Sim Period'!D161-AVERAGE('Sim Period'!$D$66:D161),"")</f>
        <v>-0.0489729166666667</v>
      </c>
      <c r="P161" s="19" t="n">
        <f aca="false">IF('Sim Period'!D161&lt;(AVERAGE('Sim Period'!$D$85:D161)),'Sim Period'!D161-AVERAGE('Sim Period'!$D$85:D161),"")</f>
        <v>-0.0474714285714286</v>
      </c>
      <c r="Q161" s="19" t="n">
        <f aca="false">IF('Sim Period'!D161&lt;(AVERAGE('Sim Period'!$D$107:D161)),'Sim Period'!D161-AVERAGE('Sim Period'!$D$107:D161),"")</f>
        <v>-0.0440545454545455</v>
      </c>
      <c r="R161" s="19" t="n">
        <f aca="false">IF('Sim Period'!D161&lt;(AVERAGE('Sim Period'!$D$129:D161)),'Sim Period'!D161-AVERAGE('Sim Period'!$D$129:D161),"")</f>
        <v>-0.0485454545454546</v>
      </c>
      <c r="S161" s="0" t="n">
        <v>1</v>
      </c>
    </row>
    <row r="162" customFormat="false" ht="14.1" hidden="false" customHeight="false" outlineLevel="0" collapsed="false">
      <c r="A162" s="0" t="n">
        <v>0</v>
      </c>
      <c r="G162" s="0" t="str">
        <f aca="false">IF('Sim Period'!D162&lt;(AVERAGE('Sim Period'!$D$107:D162)),'Sim Period'!D162-AVERAGE('Sim Period'!$D$107:D162),"")</f>
        <v/>
      </c>
      <c r="H162" s="0" t="str">
        <f aca="false">IF('Sim Period'!D162&lt;(AVERAGE('Sim Period'!$D$129:D162)),'Sim Period'!D162-AVERAGE('Sim Period'!$D$129:D162),"")</f>
        <v/>
      </c>
      <c r="I162" s="0" t="str">
        <f aca="false">IF('Sim Period'!D162&lt;(AVERAGE('Sim Period'!$D$149:D162)),'Sim Period'!D162-AVERAGE('Sim Period'!$D$149:D162),"")</f>
        <v/>
      </c>
      <c r="N162" s="0" t="str">
        <f aca="false">IF('Sim Period'!D162&lt;(AVERAGE('Sim Period'!$D$43:D162)),'Sim Period'!D162-AVERAGE('Sim Period'!$D$43:D162),"")</f>
        <v/>
      </c>
      <c r="O162" s="0" t="str">
        <f aca="false">IF('Sim Period'!D162&lt;(AVERAGE('Sim Period'!$D$66:D162)),'Sim Period'!D162-AVERAGE('Sim Period'!$D$66:D162),"")</f>
        <v/>
      </c>
      <c r="P162" s="0" t="str">
        <f aca="false">IF('Sim Period'!D162&lt;(AVERAGE('Sim Period'!$D$85:D162)),'Sim Period'!D162-AVERAGE('Sim Period'!$D$85:D162),"")</f>
        <v/>
      </c>
      <c r="Q162" s="0" t="str">
        <f aca="false">IF('Sim Period'!D162&lt;(AVERAGE('Sim Period'!$D$107:D162)),'Sim Period'!D162-AVERAGE('Sim Period'!$D$107:D162),"")</f>
        <v/>
      </c>
      <c r="R162" s="0" t="str">
        <f aca="false">IF('Sim Period'!D162&lt;(AVERAGE('Sim Period'!$D$129:D162)),'Sim Period'!D162-AVERAGE('Sim Period'!$D$129:D162),"")</f>
        <v/>
      </c>
      <c r="S162" s="0" t="n">
        <v>1</v>
      </c>
    </row>
    <row r="163" customFormat="false" ht="14.1" hidden="false" customHeight="false" outlineLevel="0" collapsed="false">
      <c r="A163" s="0" t="n">
        <v>0</v>
      </c>
      <c r="G163" s="0" t="str">
        <f aca="false">IF('Sim Period'!D163&lt;(AVERAGE('Sim Period'!$D$107:D163)),'Sim Period'!D163-AVERAGE('Sim Period'!$D$107:D163),"")</f>
        <v/>
      </c>
      <c r="H163" s="19" t="n">
        <f aca="false">IF('Sim Period'!D163&lt;(AVERAGE('Sim Period'!$D$129:D163)),'Sim Period'!D163-AVERAGE('Sim Period'!$D$129:D163),"")</f>
        <v>-0.00235142857142863</v>
      </c>
      <c r="I163" s="0" t="str">
        <f aca="false">IF('Sim Period'!D163&lt;(AVERAGE('Sim Period'!$D$149:D163)),'Sim Period'!D163-AVERAGE('Sim Period'!$D$149:D163),"")</f>
        <v/>
      </c>
      <c r="N163" s="19" t="n">
        <f aca="false">IF('Sim Period'!D163&lt;(AVERAGE('Sim Period'!$D$43:D163)),'Sim Period'!D163-AVERAGE('Sim Period'!$D$43:D163),"")</f>
        <v>-0.00202314049586782</v>
      </c>
      <c r="O163" s="19" t="n">
        <f aca="false">IF('Sim Period'!D163&lt;(AVERAGE('Sim Period'!$D$66:D163)),'Sim Period'!D163-AVERAGE('Sim Period'!$D$66:D163),"")</f>
        <v>-0.00218775510204087</v>
      </c>
      <c r="P163" s="19" t="n">
        <f aca="false">IF('Sim Period'!D163&lt;(AVERAGE('Sim Period'!$D$85:D163)),'Sim Period'!D163-AVERAGE('Sim Period'!$D$85:D163),"")</f>
        <v>-0.000800000000000057</v>
      </c>
      <c r="Q163" s="0" t="str">
        <f aca="false">IF('Sim Period'!D163&lt;(AVERAGE('Sim Period'!$D$107:D163)),'Sim Period'!D163-AVERAGE('Sim Period'!$D$107:D163),"")</f>
        <v/>
      </c>
      <c r="R163" s="19" t="n">
        <f aca="false">IF('Sim Period'!D163&lt;(AVERAGE('Sim Period'!$D$129:D163)),'Sim Period'!D163-AVERAGE('Sim Period'!$D$129:D163),"")</f>
        <v>-0.00235142857142863</v>
      </c>
      <c r="S163" s="0" t="n">
        <v>1</v>
      </c>
    </row>
    <row r="164" customFormat="false" ht="14.1" hidden="false" customHeight="false" outlineLevel="0" collapsed="false">
      <c r="A164" s="0" t="n">
        <v>0</v>
      </c>
      <c r="G164" s="0" t="str">
        <f aca="false">IF('Sim Period'!D164&lt;(AVERAGE('Sim Period'!$D$107:D164)),'Sim Period'!D164-AVERAGE('Sim Period'!$D$107:D164),"")</f>
        <v/>
      </c>
      <c r="H164" s="0" t="str">
        <f aca="false">IF('Sim Period'!D164&lt;(AVERAGE('Sim Period'!$D$129:D164)),'Sim Period'!D164-AVERAGE('Sim Period'!$D$129:D164),"")</f>
        <v/>
      </c>
      <c r="I164" s="0" t="str">
        <f aca="false">IF('Sim Period'!D164&lt;(AVERAGE('Sim Period'!$D$149:D164)),'Sim Period'!D164-AVERAGE('Sim Period'!$D$149:D164),"")</f>
        <v/>
      </c>
      <c r="N164" s="0" t="str">
        <f aca="false">IF('Sim Period'!D164&lt;(AVERAGE('Sim Period'!$D$43:D164)),'Sim Period'!D164-AVERAGE('Sim Period'!$D$43:D164),"")</f>
        <v/>
      </c>
      <c r="O164" s="0" t="str">
        <f aca="false">IF('Sim Period'!D164&lt;(AVERAGE('Sim Period'!$D$66:D164)),'Sim Period'!D164-AVERAGE('Sim Period'!$D$66:D164),"")</f>
        <v/>
      </c>
      <c r="P164" s="0" t="str">
        <f aca="false">IF('Sim Period'!D164&lt;(AVERAGE('Sim Period'!$D$85:D164)),'Sim Period'!D164-AVERAGE('Sim Period'!$D$85:D164),"")</f>
        <v/>
      </c>
      <c r="Q164" s="0" t="str">
        <f aca="false">IF('Sim Period'!D164&lt;(AVERAGE('Sim Period'!$D$107:D164)),'Sim Period'!D164-AVERAGE('Sim Period'!$D$107:D164),"")</f>
        <v/>
      </c>
      <c r="R164" s="0" t="str">
        <f aca="false">IF('Sim Period'!D164&lt;(AVERAGE('Sim Period'!$D$129:D164)),'Sim Period'!D164-AVERAGE('Sim Period'!$D$129:D164),"")</f>
        <v/>
      </c>
      <c r="S164" s="0" t="n">
        <v>1</v>
      </c>
    </row>
    <row r="165" customFormat="false" ht="14.1" hidden="false" customHeight="false" outlineLevel="0" collapsed="false">
      <c r="A165" s="0" t="n">
        <v>0</v>
      </c>
      <c r="G165" s="0" t="str">
        <f aca="false">IF('Sim Period'!D165&lt;(AVERAGE('Sim Period'!$D$107:D165)),'Sim Period'!D165-AVERAGE('Sim Period'!$D$107:D165),"")</f>
        <v/>
      </c>
      <c r="H165" s="0" t="str">
        <f aca="false">IF('Sim Period'!D165&lt;(AVERAGE('Sim Period'!$D$129:D165)),'Sim Period'!D165-AVERAGE('Sim Period'!$D$129:D165),"")</f>
        <v/>
      </c>
      <c r="I165" s="0" t="str">
        <f aca="false">IF('Sim Period'!D165&lt;(AVERAGE('Sim Period'!$D$149:D165)),'Sim Period'!D165-AVERAGE('Sim Period'!$D$149:D165),"")</f>
        <v/>
      </c>
      <c r="N165" s="0" t="str">
        <f aca="false">IF('Sim Period'!D165&lt;(AVERAGE('Sim Period'!$D$43:D165)),'Sim Period'!D165-AVERAGE('Sim Period'!$D$43:D165),"")</f>
        <v/>
      </c>
      <c r="O165" s="0" t="str">
        <f aca="false">IF('Sim Period'!D165&lt;(AVERAGE('Sim Period'!$D$66:D165)),'Sim Period'!D165-AVERAGE('Sim Period'!$D$66:D165),"")</f>
        <v/>
      </c>
      <c r="P165" s="0" t="str">
        <f aca="false">IF('Sim Period'!D165&lt;(AVERAGE('Sim Period'!$D$85:D165)),'Sim Period'!D165-AVERAGE('Sim Period'!$D$85:D165),"")</f>
        <v/>
      </c>
      <c r="Q165" s="0" t="str">
        <f aca="false">IF('Sim Period'!D165&lt;(AVERAGE('Sim Period'!$D$107:D165)),'Sim Period'!D165-AVERAGE('Sim Period'!$D$107:D165),"")</f>
        <v/>
      </c>
      <c r="R165" s="0" t="str">
        <f aca="false">IF('Sim Period'!D165&lt;(AVERAGE('Sim Period'!$D$129:D165)),'Sim Period'!D165-AVERAGE('Sim Period'!$D$129:D165),"")</f>
        <v/>
      </c>
      <c r="S165" s="0" t="n">
        <v>1</v>
      </c>
    </row>
    <row r="166" customFormat="false" ht="14.1" hidden="false" customHeight="false" outlineLevel="0" collapsed="false">
      <c r="A166" s="0" t="n">
        <v>0</v>
      </c>
      <c r="G166" s="0" t="str">
        <f aca="false">IF('Sim Period'!D166&lt;(AVERAGE('Sim Period'!$D$107:D166)),'Sim Period'!D166-AVERAGE('Sim Period'!$D$107:D166),"")</f>
        <v/>
      </c>
      <c r="H166" s="0" t="str">
        <f aca="false">IF('Sim Period'!D166&lt;(AVERAGE('Sim Period'!$D$129:D166)),'Sim Period'!D166-AVERAGE('Sim Period'!$D$129:D166),"")</f>
        <v/>
      </c>
      <c r="I166" s="0" t="str">
        <f aca="false">IF('Sim Period'!D166&lt;(AVERAGE('Sim Period'!$D$149:D166)),'Sim Period'!D166-AVERAGE('Sim Period'!$D$149:D166),"")</f>
        <v/>
      </c>
      <c r="N166" s="0" t="str">
        <f aca="false">IF('Sim Period'!D166&lt;(AVERAGE('Sim Period'!$D$43:D166)),'Sim Period'!D166-AVERAGE('Sim Period'!$D$43:D166),"")</f>
        <v/>
      </c>
      <c r="O166" s="0" t="str">
        <f aca="false">IF('Sim Period'!D166&lt;(AVERAGE('Sim Period'!$D$66:D166)),'Sim Period'!D166-AVERAGE('Sim Period'!$D$66:D166),"")</f>
        <v/>
      </c>
      <c r="P166" s="0" t="str">
        <f aca="false">IF('Sim Period'!D166&lt;(AVERAGE('Sim Period'!$D$85:D166)),'Sim Period'!D166-AVERAGE('Sim Period'!$D$85:D166),"")</f>
        <v/>
      </c>
      <c r="Q166" s="0" t="str">
        <f aca="false">IF('Sim Period'!D166&lt;(AVERAGE('Sim Period'!$D$107:D166)),'Sim Period'!D166-AVERAGE('Sim Period'!$D$107:D166),"")</f>
        <v/>
      </c>
      <c r="R166" s="0" t="str">
        <f aca="false">IF('Sim Period'!D166&lt;(AVERAGE('Sim Period'!$D$129:D166)),'Sim Period'!D166-AVERAGE('Sim Period'!$D$129:D166),"")</f>
        <v/>
      </c>
      <c r="S166" s="0" t="n">
        <v>1</v>
      </c>
    </row>
    <row r="167" customFormat="false" ht="14.1" hidden="false" customHeight="false" outlineLevel="0" collapsed="false">
      <c r="A167" s="0" t="n">
        <v>0</v>
      </c>
      <c r="G167" s="0" t="str">
        <f aca="false">IF('Sim Period'!D167&lt;(AVERAGE('Sim Period'!$D$107:D167)),'Sim Period'!D167-AVERAGE('Sim Period'!$D$107:D167),"")</f>
        <v/>
      </c>
      <c r="H167" s="0" t="str">
        <f aca="false">IF('Sim Period'!D167&lt;(AVERAGE('Sim Period'!$D$129:D167)),'Sim Period'!D167-AVERAGE('Sim Period'!$D$129:D167),"")</f>
        <v/>
      </c>
      <c r="I167" s="0" t="str">
        <f aca="false">IF('Sim Period'!D167&lt;(AVERAGE('Sim Period'!$D$149:D167)),'Sim Period'!D167-AVERAGE('Sim Period'!$D$149:D167),"")</f>
        <v/>
      </c>
      <c r="N167" s="0" t="str">
        <f aca="false">IF('Sim Period'!D167&lt;(AVERAGE('Sim Period'!$D$43:D167)),'Sim Period'!D167-AVERAGE('Sim Period'!$D$43:D167),"")</f>
        <v/>
      </c>
      <c r="O167" s="0" t="str">
        <f aca="false">IF('Sim Period'!D167&lt;(AVERAGE('Sim Period'!$D$66:D167)),'Sim Period'!D167-AVERAGE('Sim Period'!$D$66:D167),"")</f>
        <v/>
      </c>
      <c r="P167" s="0" t="str">
        <f aca="false">IF('Sim Period'!D167&lt;(AVERAGE('Sim Period'!$D$85:D167)),'Sim Period'!D167-AVERAGE('Sim Period'!$D$85:D167),"")</f>
        <v/>
      </c>
      <c r="Q167" s="0" t="str">
        <f aca="false">IF('Sim Period'!D167&lt;(AVERAGE('Sim Period'!$D$107:D167)),'Sim Period'!D167-AVERAGE('Sim Period'!$D$107:D167),"")</f>
        <v/>
      </c>
      <c r="R167" s="0" t="str">
        <f aca="false">IF('Sim Period'!D167&lt;(AVERAGE('Sim Period'!$D$129:D167)),'Sim Period'!D167-AVERAGE('Sim Period'!$D$129:D167),"")</f>
        <v/>
      </c>
      <c r="S167" s="0" t="n">
        <v>1</v>
      </c>
    </row>
    <row r="168" customFormat="false" ht="14.1" hidden="false" customHeight="false" outlineLevel="0" collapsed="false">
      <c r="A168" s="0" t="n">
        <v>0</v>
      </c>
      <c r="G168" s="0" t="str">
        <f aca="false">IF('Sim Period'!D168&lt;(AVERAGE('Sim Period'!$D$107:D168)),'Sim Period'!D168-AVERAGE('Sim Period'!$D$107:D168),"")</f>
        <v/>
      </c>
      <c r="H168" s="0" t="str">
        <f aca="false">IF('Sim Period'!D168&lt;(AVERAGE('Sim Period'!$D$129:D168)),'Sim Period'!D168-AVERAGE('Sim Period'!$D$129:D168),"")</f>
        <v/>
      </c>
      <c r="I168" s="0" t="str">
        <f aca="false">IF('Sim Period'!D168&lt;(AVERAGE('Sim Period'!$D$149:D168)),'Sim Period'!D168-AVERAGE('Sim Period'!$D$149:D168),"")</f>
        <v/>
      </c>
      <c r="N168" s="0" t="str">
        <f aca="false">IF('Sim Period'!D168&lt;(AVERAGE('Sim Period'!$D$43:D168)),'Sim Period'!D168-AVERAGE('Sim Period'!$D$43:D168),"")</f>
        <v/>
      </c>
      <c r="O168" s="0" t="str">
        <f aca="false">IF('Sim Period'!D168&lt;(AVERAGE('Sim Period'!$D$66:D168)),'Sim Period'!D168-AVERAGE('Sim Period'!$D$66:D168),"")</f>
        <v/>
      </c>
      <c r="P168" s="0" t="str">
        <f aca="false">IF('Sim Period'!D168&lt;(AVERAGE('Sim Period'!$D$85:D168)),'Sim Period'!D168-AVERAGE('Sim Period'!$D$85:D168),"")</f>
        <v/>
      </c>
      <c r="Q168" s="0" t="str">
        <f aca="false">IF('Sim Period'!D168&lt;(AVERAGE('Sim Period'!$D$107:D168)),'Sim Period'!D168-AVERAGE('Sim Period'!$D$107:D168),"")</f>
        <v/>
      </c>
      <c r="R168" s="0" t="str">
        <f aca="false">IF('Sim Period'!D168&lt;(AVERAGE('Sim Period'!$D$129:D168)),'Sim Period'!D168-AVERAGE('Sim Period'!$D$129:D168),"")</f>
        <v/>
      </c>
      <c r="S168" s="0" t="n">
        <v>1</v>
      </c>
    </row>
    <row r="169" customFormat="false" ht="14.1" hidden="false" customHeight="false" outlineLevel="0" collapsed="false">
      <c r="A169" s="0" t="n">
        <v>0</v>
      </c>
      <c r="G169" s="0" t="str">
        <f aca="false">IF('Sim Period'!D169&lt;(AVERAGE('Sim Period'!$D$107:D169)),'Sim Period'!D169-AVERAGE('Sim Period'!$D$107:D169),"")</f>
        <v/>
      </c>
      <c r="H169" s="0" t="str">
        <f aca="false">IF('Sim Period'!D169&lt;(AVERAGE('Sim Period'!$D$129:D169)),'Sim Period'!D169-AVERAGE('Sim Period'!$D$129:D169),"")</f>
        <v/>
      </c>
      <c r="I169" s="0" t="str">
        <f aca="false">IF('Sim Period'!D169&lt;(AVERAGE('Sim Period'!$D$149:D169)),'Sim Period'!D169-AVERAGE('Sim Period'!$D$149:D169),"")</f>
        <v/>
      </c>
      <c r="N169" s="0" t="str">
        <f aca="false">IF('Sim Period'!D169&lt;(AVERAGE('Sim Period'!$D$43:D169)),'Sim Period'!D169-AVERAGE('Sim Period'!$D$43:D169),"")</f>
        <v/>
      </c>
      <c r="O169" s="0" t="str">
        <f aca="false">IF('Sim Period'!D169&lt;(AVERAGE('Sim Period'!$D$66:D169)),'Sim Period'!D169-AVERAGE('Sim Period'!$D$66:D169),"")</f>
        <v/>
      </c>
      <c r="P169" s="0" t="str">
        <f aca="false">IF('Sim Period'!D169&lt;(AVERAGE('Sim Period'!$D$85:D169)),'Sim Period'!D169-AVERAGE('Sim Period'!$D$85:D169),"")</f>
        <v/>
      </c>
      <c r="Q169" s="0" t="str">
        <f aca="false">IF('Sim Period'!D169&lt;(AVERAGE('Sim Period'!$D$107:D169)),'Sim Period'!D169-AVERAGE('Sim Period'!$D$107:D169),"")</f>
        <v/>
      </c>
      <c r="R169" s="0" t="str">
        <f aca="false">IF('Sim Period'!D169&lt;(AVERAGE('Sim Period'!$D$129:D169)),'Sim Period'!D169-AVERAGE('Sim Period'!$D$129:D169),"")</f>
        <v/>
      </c>
      <c r="S169" s="0" t="n">
        <v>1</v>
      </c>
    </row>
    <row r="170" customFormat="false" ht="14.1" hidden="false" customHeight="false" outlineLevel="0" collapsed="false">
      <c r="A170" s="0" t="n">
        <v>0</v>
      </c>
      <c r="G170" s="19" t="n">
        <f aca="false">IF('Sim Period'!D170&lt;(AVERAGE('Sim Period'!$D$107:D170)),'Sim Period'!D170-AVERAGE('Sim Period'!$D$107:D170),"")</f>
        <v>-0.01138125</v>
      </c>
      <c r="H170" s="19" t="n">
        <f aca="false">IF('Sim Period'!D170&lt;(AVERAGE('Sim Period'!$D$129:D170)),'Sim Period'!D170-AVERAGE('Sim Period'!$D$129:D170),"")</f>
        <v>-0.0161285714285714</v>
      </c>
      <c r="I170" s="19" t="n">
        <f aca="false">IF('Sim Period'!D170&lt;(AVERAGE('Sim Period'!$D$149:D170)),'Sim Period'!D170-AVERAGE('Sim Period'!$D$149:D170),"")</f>
        <v>-0.0134772727272727</v>
      </c>
      <c r="N170" s="19" t="n">
        <f aca="false">IF('Sim Period'!D170&lt;(AVERAGE('Sim Period'!$D$43:D170)),'Sim Period'!D170-AVERAGE('Sim Period'!$D$43:D170),"")</f>
        <v>-0.01469140625</v>
      </c>
      <c r="O170" s="19" t="n">
        <f aca="false">IF('Sim Period'!D170&lt;(AVERAGE('Sim Period'!$D$66:D170)),'Sim Period'!D170-AVERAGE('Sim Period'!$D$66:D170),"")</f>
        <v>-0.0149695238095238</v>
      </c>
      <c r="P170" s="19" t="n">
        <f aca="false">IF('Sim Period'!D170&lt;(AVERAGE('Sim Period'!$D$85:D170)),'Sim Period'!D170-AVERAGE('Sim Period'!$D$85:D170),"")</f>
        <v>-0.0138453488372093</v>
      </c>
      <c r="Q170" s="19" t="n">
        <f aca="false">IF('Sim Period'!D170&lt;(AVERAGE('Sim Period'!$D$107:D170)),'Sim Period'!D170-AVERAGE('Sim Period'!$D$107:D170),"")</f>
        <v>-0.01138125</v>
      </c>
      <c r="R170" s="19" t="n">
        <f aca="false">IF('Sim Period'!D170&lt;(AVERAGE('Sim Period'!$D$129:D170)),'Sim Period'!D170-AVERAGE('Sim Period'!$D$129:D170),"")</f>
        <v>-0.0161285714285714</v>
      </c>
      <c r="S170" s="0" t="n">
        <v>1</v>
      </c>
    </row>
    <row r="171" customFormat="false" ht="14.1" hidden="false" customHeight="false" outlineLevel="0" collapsed="false">
      <c r="A171" s="0" t="n">
        <v>8</v>
      </c>
      <c r="G171" s="0" t="str">
        <f aca="false">IF('Sim Period'!D171&lt;(AVERAGE('Sim Period'!$D$107:D171)),'Sim Period'!D171-AVERAGE('Sim Period'!$D$107:D171),"")</f>
        <v/>
      </c>
      <c r="H171" s="0" t="str">
        <f aca="false">IF('Sim Period'!D171&lt;(AVERAGE('Sim Period'!$D$129:D171)),'Sim Period'!D171-AVERAGE('Sim Period'!$D$129:D171),"")</f>
        <v/>
      </c>
      <c r="I171" s="0" t="str">
        <f aca="false">IF('Sim Period'!D171&lt;(AVERAGE('Sim Period'!$D$149:D171)),'Sim Period'!D171-AVERAGE('Sim Period'!$D$149:D171),"")</f>
        <v/>
      </c>
      <c r="N171" s="0" t="str">
        <f aca="false">IF('Sim Period'!D171&lt;(AVERAGE('Sim Period'!$D$43:D171)),'Sim Period'!D171-AVERAGE('Sim Period'!$D$43:D171),"")</f>
        <v/>
      </c>
      <c r="O171" s="0" t="str">
        <f aca="false">IF('Sim Period'!D171&lt;(AVERAGE('Sim Period'!$D$66:D171)),'Sim Period'!D171-AVERAGE('Sim Period'!$D$66:D171),"")</f>
        <v/>
      </c>
      <c r="P171" s="0" t="str">
        <f aca="false">IF('Sim Period'!D171&lt;(AVERAGE('Sim Period'!$D$85:D171)),'Sim Period'!D171-AVERAGE('Sim Period'!$D$85:D171),"")</f>
        <v/>
      </c>
      <c r="Q171" s="0" t="str">
        <f aca="false">IF('Sim Period'!D171&lt;(AVERAGE('Sim Period'!$D$107:D171)),'Sim Period'!D171-AVERAGE('Sim Period'!$D$107:D171),"")</f>
        <v/>
      </c>
      <c r="R171" s="0" t="str">
        <f aca="false">IF('Sim Period'!D171&lt;(AVERAGE('Sim Period'!$D$129:D171)),'Sim Period'!D171-AVERAGE('Sim Period'!$D$129:D171),"")</f>
        <v/>
      </c>
      <c r="S171" s="0" t="n">
        <v>1</v>
      </c>
    </row>
    <row r="172" customFormat="false" ht="14.1" hidden="false" customHeight="false" outlineLevel="0" collapsed="false">
      <c r="A172" s="0" t="n">
        <v>0</v>
      </c>
      <c r="H172" s="0" t="str">
        <f aca="false">IF('Sim Period'!D172&lt;(AVERAGE('Sim Period'!$D$129:D172)),'Sim Period'!D172-AVERAGE('Sim Period'!$D$129:D172),"")</f>
        <v/>
      </c>
      <c r="I172" s="0" t="str">
        <f aca="false">IF('Sim Period'!D172&lt;(AVERAGE('Sim Period'!$D$149:D172)),'Sim Period'!D172-AVERAGE('Sim Period'!$D$149:D172),"")</f>
        <v/>
      </c>
      <c r="J172" s="0" t="str">
        <f aca="false">IF('Sim Period'!D172&lt;(AVERAGE('Sim Period'!$D$172:D172)),'Sim Period'!D172-AVERAGE('Sim Period'!$D$172:D172),"")</f>
        <v/>
      </c>
      <c r="O172" s="0" t="str">
        <f aca="false">IF('Sim Period'!D172&lt;(AVERAGE('Sim Period'!$D$66:D172)),'Sim Period'!D172-AVERAGE('Sim Period'!$D$66:D172),"")</f>
        <v/>
      </c>
      <c r="P172" s="0" t="str">
        <f aca="false">IF('Sim Period'!D172&lt;(AVERAGE('Sim Period'!$D$85:D172)),'Sim Period'!D172-AVERAGE('Sim Period'!$D$85:D172),"")</f>
        <v/>
      </c>
      <c r="Q172" s="0" t="str">
        <f aca="false">IF('Sim Period'!D172&lt;(AVERAGE('Sim Period'!$D$107:D172)),'Sim Period'!D172-AVERAGE('Sim Period'!$D$107:D172),"")</f>
        <v/>
      </c>
      <c r="R172" s="0" t="str">
        <f aca="false">IF('Sim Period'!D172&lt;(AVERAGE('Sim Period'!$D$129:D172)),'Sim Period'!D172-AVERAGE('Sim Period'!$D$129:D172),"")</f>
        <v/>
      </c>
      <c r="S172" s="0" t="n">
        <v>1</v>
      </c>
    </row>
    <row r="173" customFormat="false" ht="14.1" hidden="false" customHeight="false" outlineLevel="0" collapsed="false">
      <c r="A173" s="0" t="n">
        <v>0</v>
      </c>
      <c r="H173" s="19" t="n">
        <f aca="false">IF('Sim Period'!D173&lt;(AVERAGE('Sim Period'!$D$129:D173)),'Sim Period'!D173-AVERAGE('Sim Period'!$D$129:D173),"")</f>
        <v>-0.0126</v>
      </c>
      <c r="I173" s="19" t="n">
        <f aca="false">IF('Sim Period'!D173&lt;(AVERAGE('Sim Period'!$D$149:D173)),'Sim Period'!D173-AVERAGE('Sim Period'!$D$149:D173),"")</f>
        <v>-0.011364</v>
      </c>
      <c r="J173" s="19" t="n">
        <f aca="false">IF('Sim Period'!D173&lt;(AVERAGE('Sim Period'!$D$172:D173)),'Sim Period'!D173-AVERAGE('Sim Period'!$D$172:D173),"")</f>
        <v>-0.0252</v>
      </c>
      <c r="O173" s="19" t="n">
        <f aca="false">IF('Sim Period'!D173&lt;(AVERAGE('Sim Period'!$D$66:D173)),'Sim Period'!D173-AVERAGE('Sim Period'!$D$66:D173),"")</f>
        <v>-0.0106731481481482</v>
      </c>
      <c r="P173" s="19" t="n">
        <f aca="false">IF('Sim Period'!D173&lt;(AVERAGE('Sim Period'!$D$85:D173)),'Sim Period'!D173-AVERAGE('Sim Period'!$D$85:D173),"")</f>
        <v>-0.00971573033707866</v>
      </c>
      <c r="Q173" s="19" t="n">
        <f aca="false">IF('Sim Period'!D173&lt;(AVERAGE('Sim Period'!$D$107:D173)),'Sim Period'!D173-AVERAGE('Sim Period'!$D$107:D173),"")</f>
        <v>-0.00761492537313434</v>
      </c>
      <c r="R173" s="19" t="n">
        <f aca="false">IF('Sim Period'!D173&lt;(AVERAGE('Sim Period'!$D$129:D173)),'Sim Period'!D173-AVERAGE('Sim Period'!$D$129:D173),"")</f>
        <v>-0.0126</v>
      </c>
      <c r="S173" s="0" t="n">
        <v>1</v>
      </c>
    </row>
    <row r="174" customFormat="false" ht="14.1" hidden="false" customHeight="false" outlineLevel="0" collapsed="false">
      <c r="A174" s="0" t="n">
        <v>0</v>
      </c>
      <c r="H174" s="0" t="str">
        <f aca="false">IF('Sim Period'!D174&lt;(AVERAGE('Sim Period'!$D$129:D174)),'Sim Period'!D174-AVERAGE('Sim Period'!$D$129:D174),"")</f>
        <v/>
      </c>
      <c r="I174" s="0" t="str">
        <f aca="false">IF('Sim Period'!D174&lt;(AVERAGE('Sim Period'!$D$149:D174)),'Sim Period'!D174-AVERAGE('Sim Period'!$D$149:D174),"")</f>
        <v/>
      </c>
      <c r="J174" s="0" t="str">
        <f aca="false">IF('Sim Period'!D174&lt;(AVERAGE('Sim Period'!$D$172:D174)),'Sim Period'!D174-AVERAGE('Sim Period'!$D$172:D174),"")</f>
        <v/>
      </c>
      <c r="O174" s="0" t="str">
        <f aca="false">IF('Sim Period'!D174&lt;(AVERAGE('Sim Period'!$D$66:D174)),'Sim Period'!D174-AVERAGE('Sim Period'!$D$66:D174),"")</f>
        <v/>
      </c>
      <c r="P174" s="0" t="str">
        <f aca="false">IF('Sim Period'!D174&lt;(AVERAGE('Sim Period'!$D$85:D174)),'Sim Period'!D174-AVERAGE('Sim Period'!$D$85:D174),"")</f>
        <v/>
      </c>
      <c r="Q174" s="0" t="str">
        <f aca="false">IF('Sim Period'!D174&lt;(AVERAGE('Sim Period'!$D$107:D174)),'Sim Period'!D174-AVERAGE('Sim Period'!$D$107:D174),"")</f>
        <v/>
      </c>
      <c r="R174" s="0" t="str">
        <f aca="false">IF('Sim Period'!D174&lt;(AVERAGE('Sim Period'!$D$129:D174)),'Sim Period'!D174-AVERAGE('Sim Period'!$D$129:D174),"")</f>
        <v/>
      </c>
      <c r="S174" s="0" t="n">
        <v>1</v>
      </c>
    </row>
    <row r="175" customFormat="false" ht="14.1" hidden="false" customHeight="false" outlineLevel="0" collapsed="false">
      <c r="A175" s="0" t="n">
        <v>0</v>
      </c>
      <c r="H175" s="0" t="str">
        <f aca="false">IF('Sim Period'!D175&lt;(AVERAGE('Sim Period'!$D$129:D175)),'Sim Period'!D175-AVERAGE('Sim Period'!$D$129:D175),"")</f>
        <v/>
      </c>
      <c r="I175" s="0" t="str">
        <f aca="false">IF('Sim Period'!D175&lt;(AVERAGE('Sim Period'!$D$149:D175)),'Sim Period'!D175-AVERAGE('Sim Period'!$D$149:D175),"")</f>
        <v/>
      </c>
      <c r="J175" s="0" t="str">
        <f aca="false">IF('Sim Period'!D175&lt;(AVERAGE('Sim Period'!$D$172:D175)),'Sim Period'!D175-AVERAGE('Sim Period'!$D$172:D175),"")</f>
        <v/>
      </c>
      <c r="O175" s="0" t="str">
        <f aca="false">IF('Sim Period'!D175&lt;(AVERAGE('Sim Period'!$D$66:D175)),'Sim Period'!D175-AVERAGE('Sim Period'!$D$66:D175),"")</f>
        <v/>
      </c>
      <c r="P175" s="0" t="str">
        <f aca="false">IF('Sim Period'!D175&lt;(AVERAGE('Sim Period'!$D$85:D175)),'Sim Period'!D175-AVERAGE('Sim Period'!$D$85:D175),"")</f>
        <v/>
      </c>
      <c r="Q175" s="0" t="str">
        <f aca="false">IF('Sim Period'!D175&lt;(AVERAGE('Sim Period'!$D$107:D175)),'Sim Period'!D175-AVERAGE('Sim Period'!$D$107:D175),"")</f>
        <v/>
      </c>
      <c r="R175" s="0" t="str">
        <f aca="false">IF('Sim Period'!D175&lt;(AVERAGE('Sim Period'!$D$129:D175)),'Sim Period'!D175-AVERAGE('Sim Period'!$D$129:D175),"")</f>
        <v/>
      </c>
      <c r="S175" s="0" t="n">
        <v>1</v>
      </c>
    </row>
    <row r="176" customFormat="false" ht="14.1" hidden="false" customHeight="false" outlineLevel="0" collapsed="false">
      <c r="A176" s="0" t="n">
        <v>0</v>
      </c>
      <c r="H176" s="0" t="str">
        <f aca="false">IF('Sim Period'!D176&lt;(AVERAGE('Sim Period'!$D$129:D176)),'Sim Period'!D176-AVERAGE('Sim Period'!$D$129:D176),"")</f>
        <v/>
      </c>
      <c r="I176" s="0" t="str">
        <f aca="false">IF('Sim Period'!D176&lt;(AVERAGE('Sim Period'!$D$149:D176)),'Sim Period'!D176-AVERAGE('Sim Period'!$D$149:D176),"")</f>
        <v/>
      </c>
      <c r="J176" s="19" t="n">
        <f aca="false">IF('Sim Period'!D176&lt;(AVERAGE('Sim Period'!$D$172:D176)),'Sim Period'!D176-AVERAGE('Sim Period'!$D$172:D176),"")</f>
        <v>-0.0159800000000001</v>
      </c>
      <c r="O176" s="0" t="str">
        <f aca="false">IF('Sim Period'!D176&lt;(AVERAGE('Sim Period'!$D$66:D176)),'Sim Period'!D176-AVERAGE('Sim Period'!$D$66:D176),"")</f>
        <v/>
      </c>
      <c r="P176" s="0" t="str">
        <f aca="false">IF('Sim Period'!D176&lt;(AVERAGE('Sim Period'!$D$85:D176)),'Sim Period'!D176-AVERAGE('Sim Period'!$D$85:D176),"")</f>
        <v/>
      </c>
      <c r="Q176" s="0" t="str">
        <f aca="false">IF('Sim Period'!D176&lt;(AVERAGE('Sim Period'!$D$107:D176)),'Sim Period'!D176-AVERAGE('Sim Period'!$D$107:D176),"")</f>
        <v/>
      </c>
      <c r="R176" s="0" t="str">
        <f aca="false">IF('Sim Period'!D176&lt;(AVERAGE('Sim Period'!$D$129:D176)),'Sim Period'!D176-AVERAGE('Sim Period'!$D$129:D176),"")</f>
        <v/>
      </c>
      <c r="S176" s="0" t="n">
        <v>1</v>
      </c>
    </row>
    <row r="177" customFormat="false" ht="14.1" hidden="false" customHeight="false" outlineLevel="0" collapsed="false">
      <c r="A177" s="0" t="n">
        <v>0</v>
      </c>
      <c r="H177" s="19" t="n">
        <f aca="false">IF('Sim Period'!D177&lt;(AVERAGE('Sim Period'!$D$129:D177)),'Sim Period'!D177-AVERAGE('Sim Period'!$D$129:D177),"")</f>
        <v>-0.0359979591836734</v>
      </c>
      <c r="I177" s="19" t="n">
        <f aca="false">IF('Sim Period'!D177&lt;(AVERAGE('Sim Period'!$D$149:D177)),'Sim Period'!D177-AVERAGE('Sim Period'!$D$149:D177),"")</f>
        <v>-0.0353448275862068</v>
      </c>
      <c r="J177" s="19" t="n">
        <f aca="false">IF('Sim Period'!D177&lt;(AVERAGE('Sim Period'!$D$172:D177)),'Sim Period'!D177-AVERAGE('Sim Period'!$D$172:D177),"")</f>
        <v>-0.0444833333333332</v>
      </c>
      <c r="O177" s="19" t="n">
        <f aca="false">IF('Sim Period'!D177&lt;(AVERAGE('Sim Period'!$D$66:D177)),'Sim Period'!D177-AVERAGE('Sim Period'!$D$66:D177),"")</f>
        <v>-0.0338035714285713</v>
      </c>
      <c r="P177" s="19" t="n">
        <f aca="false">IF('Sim Period'!D177&lt;(AVERAGE('Sim Period'!$D$85:D177)),'Sim Period'!D177-AVERAGE('Sim Period'!$D$85:D177),"")</f>
        <v>-0.0329548387096773</v>
      </c>
      <c r="Q177" s="19" t="n">
        <f aca="false">IF('Sim Period'!D177&lt;(AVERAGE('Sim Period'!$D$107:D177)),'Sim Period'!D177-AVERAGE('Sim Period'!$D$107:D177),"")</f>
        <v>-0.0311084507042253</v>
      </c>
      <c r="R177" s="19" t="n">
        <f aca="false">IF('Sim Period'!D177&lt;(AVERAGE('Sim Period'!$D$129:D177)),'Sim Period'!D177-AVERAGE('Sim Period'!$D$129:D177),"")</f>
        <v>-0.0359979591836734</v>
      </c>
      <c r="S177" s="0" t="n">
        <v>1</v>
      </c>
    </row>
    <row r="178" customFormat="false" ht="14.1" hidden="false" customHeight="false" outlineLevel="0" collapsed="false">
      <c r="A178" s="0" t="n">
        <v>0</v>
      </c>
      <c r="H178" s="19" t="n">
        <f aca="false">IF('Sim Period'!D178&lt;(AVERAGE('Sim Period'!$D$129:D178)),'Sim Period'!D178-AVERAGE('Sim Period'!$D$129:D178),"")</f>
        <v>-0.049096</v>
      </c>
      <c r="I178" s="19" t="n">
        <f aca="false">IF('Sim Period'!D178&lt;(AVERAGE('Sim Period'!$D$149:D178)),'Sim Period'!D178-AVERAGE('Sim Period'!$D$149:D178),"")</f>
        <v>-0.0477966666666667</v>
      </c>
      <c r="J178" s="19" t="n">
        <f aca="false">IF('Sim Period'!D178&lt;(AVERAGE('Sim Period'!$D$172:D178)),'Sim Period'!D178-AVERAGE('Sim Period'!$D$172:D178),"")</f>
        <v>-0.0502142857142857</v>
      </c>
      <c r="O178" s="19" t="n">
        <f aca="false">IF('Sim Period'!D178&lt;(AVERAGE('Sim Period'!$D$66:D178)),'Sim Period'!D178-AVERAGE('Sim Period'!$D$66:D178),"")</f>
        <v>-0.0474796460176991</v>
      </c>
      <c r="P178" s="19" t="n">
        <f aca="false">IF('Sim Period'!D178&lt;(AVERAGE('Sim Period'!$D$85:D178)),'Sim Period'!D178-AVERAGE('Sim Period'!$D$85:D178),"")</f>
        <v>-0.0465542553191489</v>
      </c>
      <c r="Q178" s="19" t="n">
        <f aca="false">IF('Sim Period'!D178&lt;(AVERAGE('Sim Period'!$D$107:D178)),'Sim Period'!D178-AVERAGE('Sim Period'!$D$107:D178),"")</f>
        <v>-0.0445805555555556</v>
      </c>
      <c r="R178" s="19" t="n">
        <f aca="false">IF('Sim Period'!D178&lt;(AVERAGE('Sim Period'!$D$129:D178)),'Sim Period'!D178-AVERAGE('Sim Period'!$D$129:D178),"")</f>
        <v>-0.049096</v>
      </c>
      <c r="S178" s="0" t="n">
        <v>1</v>
      </c>
    </row>
    <row r="179" customFormat="false" ht="14.1" hidden="false" customHeight="false" outlineLevel="0" collapsed="false">
      <c r="A179" s="0" t="n">
        <v>0</v>
      </c>
      <c r="H179" s="0" t="str">
        <f aca="false">IF('Sim Period'!D179&lt;(AVERAGE('Sim Period'!$D$129:D179)),'Sim Period'!D179-AVERAGE('Sim Period'!$D$129:D179),"")</f>
        <v/>
      </c>
      <c r="I179" s="0" t="str">
        <f aca="false">IF('Sim Period'!D179&lt;(AVERAGE('Sim Period'!$D$149:D179)),'Sim Period'!D179-AVERAGE('Sim Period'!$D$149:D179),"")</f>
        <v/>
      </c>
      <c r="J179" s="0" t="str">
        <f aca="false">IF('Sim Period'!D179&lt;(AVERAGE('Sim Period'!$D$172:D179)),'Sim Period'!D179-AVERAGE('Sim Period'!$D$172:D179),"")</f>
        <v/>
      </c>
      <c r="O179" s="0" t="str">
        <f aca="false">IF('Sim Period'!D179&lt;(AVERAGE('Sim Period'!$D$66:D179)),'Sim Period'!D179-AVERAGE('Sim Period'!$D$66:D179),"")</f>
        <v/>
      </c>
      <c r="P179" s="0" t="str">
        <f aca="false">IF('Sim Period'!D179&lt;(AVERAGE('Sim Period'!$D$85:D179)),'Sim Period'!D179-AVERAGE('Sim Period'!$D$85:D179),"")</f>
        <v/>
      </c>
      <c r="Q179" s="0" t="str">
        <f aca="false">IF('Sim Period'!D179&lt;(AVERAGE('Sim Period'!$D$107:D179)),'Sim Period'!D179-AVERAGE('Sim Period'!$D$107:D179),"")</f>
        <v/>
      </c>
      <c r="R179" s="0" t="str">
        <f aca="false">IF('Sim Period'!D179&lt;(AVERAGE('Sim Period'!$D$129:D179)),'Sim Period'!D179-AVERAGE('Sim Period'!$D$129:D179),"")</f>
        <v/>
      </c>
      <c r="S179" s="0" t="n">
        <v>1</v>
      </c>
    </row>
    <row r="180" customFormat="false" ht="14.1" hidden="false" customHeight="false" outlineLevel="0" collapsed="false">
      <c r="A180" s="0" t="n">
        <v>0</v>
      </c>
      <c r="H180" s="19" t="n">
        <f aca="false">IF('Sim Period'!D180&lt;(AVERAGE('Sim Period'!$D$129:D180)),'Sim Period'!D180-AVERAGE('Sim Period'!$D$129:D180),"")</f>
        <v>-0.0397134615384615</v>
      </c>
      <c r="I180" s="19" t="n">
        <f aca="false">IF('Sim Period'!D180&lt;(AVERAGE('Sim Period'!$D$149:D180)),'Sim Period'!D180-AVERAGE('Sim Period'!$D$149:D180),"")</f>
        <v>-0.03806875</v>
      </c>
      <c r="J180" s="19" t="n">
        <f aca="false">IF('Sim Period'!D180&lt;(AVERAGE('Sim Period'!$D$172:D180)),'Sim Period'!D180-AVERAGE('Sim Period'!$D$172:D180),"")</f>
        <v>-0.0373222222222222</v>
      </c>
      <c r="O180" s="19" t="n">
        <f aca="false">IF('Sim Period'!D180&lt;(AVERAGE('Sim Period'!$D$66:D180)),'Sim Period'!D180-AVERAGE('Sim Period'!$D$66:D180),"")</f>
        <v>-0.0384991304347826</v>
      </c>
      <c r="P180" s="19" t="n">
        <f aca="false">IF('Sim Period'!D180&lt;(AVERAGE('Sim Period'!$D$85:D180)),'Sim Period'!D180-AVERAGE('Sim Period'!$D$85:D180),"")</f>
        <v>-0.0375375</v>
      </c>
      <c r="Q180" s="19" t="n">
        <f aca="false">IF('Sim Period'!D180&lt;(AVERAGE('Sim Period'!$D$107:D180)),'Sim Period'!D180-AVERAGE('Sim Period'!$D$107:D180),"")</f>
        <v>-0.035522972972973</v>
      </c>
      <c r="R180" s="19" t="n">
        <f aca="false">IF('Sim Period'!D180&lt;(AVERAGE('Sim Period'!$D$129:D180)),'Sim Period'!D180-AVERAGE('Sim Period'!$D$129:D180),"")</f>
        <v>-0.0397134615384615</v>
      </c>
      <c r="S180" s="0" t="n">
        <v>1</v>
      </c>
    </row>
    <row r="181" customFormat="false" ht="14.1" hidden="false" customHeight="false" outlineLevel="0" collapsed="false">
      <c r="A181" s="0" t="n">
        <v>0</v>
      </c>
      <c r="H181" s="19" t="n">
        <f aca="false">IF('Sim Period'!D181&lt;(AVERAGE('Sim Period'!$D$129:D181)),'Sim Period'!D181-AVERAGE('Sim Period'!$D$129:D181),"")</f>
        <v>-0.0224811320754717</v>
      </c>
      <c r="I181" s="19" t="n">
        <f aca="false">IF('Sim Period'!D181&lt;(AVERAGE('Sim Period'!$D$149:D181)),'Sim Period'!D181-AVERAGE('Sim Period'!$D$149:D181),"")</f>
        <v>-0.0206242424242424</v>
      </c>
      <c r="J181" s="19" t="n">
        <f aca="false">IF('Sim Period'!D181&lt;(AVERAGE('Sim Period'!$D$172:D181)),'Sim Period'!D181-AVERAGE('Sim Period'!$D$172:D181),"")</f>
        <v>-0.01847</v>
      </c>
      <c r="O181" s="19" t="n">
        <f aca="false">IF('Sim Period'!D181&lt;(AVERAGE('Sim Period'!$D$66:D181)),'Sim Period'!D181-AVERAGE('Sim Period'!$D$66:D181),"")</f>
        <v>-0.0215120689655172</v>
      </c>
      <c r="P181" s="19" t="n">
        <f aca="false">IF('Sim Period'!D181&lt;(AVERAGE('Sim Period'!$D$85:D181)),'Sim Period'!D181-AVERAGE('Sim Period'!$D$85:D181),"")</f>
        <v>-0.0205237113402062</v>
      </c>
      <c r="Q181" s="19" t="n">
        <f aca="false">IF('Sim Period'!D181&lt;(AVERAGE('Sim Period'!$D$107:D181)),'Sim Period'!D181-AVERAGE('Sim Period'!$D$107:D181),"")</f>
        <v>-0.0184733333333333</v>
      </c>
      <c r="R181" s="19" t="n">
        <f aca="false">IF('Sim Period'!D181&lt;(AVERAGE('Sim Period'!$D$129:D181)),'Sim Period'!D181-AVERAGE('Sim Period'!$D$129:D181),"")</f>
        <v>-0.0224811320754717</v>
      </c>
      <c r="S181" s="0" t="n">
        <v>1</v>
      </c>
    </row>
    <row r="182" customFormat="false" ht="14.1" hidden="false" customHeight="false" outlineLevel="0" collapsed="false">
      <c r="A182" s="0" t="n">
        <v>0</v>
      </c>
      <c r="H182" s="0" t="str">
        <f aca="false">IF('Sim Period'!D182&lt;(AVERAGE('Sim Period'!$D$129:D182)),'Sim Period'!D182-AVERAGE('Sim Period'!$D$129:D182),"")</f>
        <v/>
      </c>
      <c r="I182" s="0" t="str">
        <f aca="false">IF('Sim Period'!D182&lt;(AVERAGE('Sim Period'!$D$149:D182)),'Sim Period'!D182-AVERAGE('Sim Period'!$D$149:D182),"")</f>
        <v/>
      </c>
      <c r="J182" s="0" t="str">
        <f aca="false">IF('Sim Period'!D182&lt;(AVERAGE('Sim Period'!$D$172:D182)),'Sim Period'!D182-AVERAGE('Sim Period'!$D$172:D182),"")</f>
        <v/>
      </c>
      <c r="O182" s="0" t="str">
        <f aca="false">IF('Sim Period'!D182&lt;(AVERAGE('Sim Period'!$D$66:D182)),'Sim Period'!D182-AVERAGE('Sim Period'!$D$66:D182),"")</f>
        <v/>
      </c>
      <c r="P182" s="0" t="str">
        <f aca="false">IF('Sim Period'!D182&lt;(AVERAGE('Sim Period'!$D$85:D182)),'Sim Period'!D182-AVERAGE('Sim Period'!$D$85:D182),"")</f>
        <v/>
      </c>
      <c r="Q182" s="0" t="str">
        <f aca="false">IF('Sim Period'!D182&lt;(AVERAGE('Sim Period'!$D$107:D182)),'Sim Period'!D182-AVERAGE('Sim Period'!$D$107:D182),"")</f>
        <v/>
      </c>
      <c r="R182" s="0" t="str">
        <f aca="false">IF('Sim Period'!D182&lt;(AVERAGE('Sim Period'!$D$129:D182)),'Sim Period'!D182-AVERAGE('Sim Period'!$D$129:D182),"")</f>
        <v/>
      </c>
      <c r="S182" s="0" t="n">
        <v>1</v>
      </c>
    </row>
    <row r="183" customFormat="false" ht="14.1" hidden="false" customHeight="false" outlineLevel="0" collapsed="false">
      <c r="A183" s="0" t="n">
        <v>0</v>
      </c>
      <c r="H183" s="0" t="str">
        <f aca="false">IF('Sim Period'!D183&lt;(AVERAGE('Sim Period'!$D$129:D183)),'Sim Period'!D183-AVERAGE('Sim Period'!$D$129:D183),"")</f>
        <v/>
      </c>
      <c r="I183" s="0" t="str">
        <f aca="false">IF('Sim Period'!D183&lt;(AVERAGE('Sim Period'!$D$149:D183)),'Sim Period'!D183-AVERAGE('Sim Period'!$D$149:D183),"")</f>
        <v/>
      </c>
      <c r="J183" s="0" t="str">
        <f aca="false">IF('Sim Period'!D183&lt;(AVERAGE('Sim Period'!$D$172:D183)),'Sim Period'!D183-AVERAGE('Sim Period'!$D$172:D183),"")</f>
        <v/>
      </c>
      <c r="O183" s="0" t="str">
        <f aca="false">IF('Sim Period'!D183&lt;(AVERAGE('Sim Period'!$D$66:D183)),'Sim Period'!D183-AVERAGE('Sim Period'!$D$66:D183),"")</f>
        <v/>
      </c>
      <c r="P183" s="0" t="str">
        <f aca="false">IF('Sim Period'!D183&lt;(AVERAGE('Sim Period'!$D$85:D183)),'Sim Period'!D183-AVERAGE('Sim Period'!$D$85:D183),"")</f>
        <v/>
      </c>
      <c r="Q183" s="0" t="str">
        <f aca="false">IF('Sim Period'!D183&lt;(AVERAGE('Sim Period'!$D$107:D183)),'Sim Period'!D183-AVERAGE('Sim Period'!$D$107:D183),"")</f>
        <v/>
      </c>
      <c r="R183" s="0" t="str">
        <f aca="false">IF('Sim Period'!D183&lt;(AVERAGE('Sim Period'!$D$129:D183)),'Sim Period'!D183-AVERAGE('Sim Period'!$D$129:D183),"")</f>
        <v/>
      </c>
      <c r="S183" s="0" t="n">
        <v>1</v>
      </c>
    </row>
    <row r="184" customFormat="false" ht="14.1" hidden="false" customHeight="false" outlineLevel="0" collapsed="false">
      <c r="A184" s="0" t="n">
        <v>0</v>
      </c>
      <c r="H184" s="19" t="n">
        <f aca="false">IF('Sim Period'!D184&lt;(AVERAGE('Sim Period'!$D$129:D184)),'Sim Period'!D184-AVERAGE('Sim Period'!$D$129:D184),"")</f>
        <v>-0.02945</v>
      </c>
      <c r="I184" s="19" t="n">
        <f aca="false">IF('Sim Period'!D184&lt;(AVERAGE('Sim Period'!$D$149:D184)),'Sim Period'!D184-AVERAGE('Sim Period'!$D$149:D184),"")</f>
        <v>-0.0280083333333333</v>
      </c>
      <c r="J184" s="19" t="n">
        <f aca="false">IF('Sim Period'!D184&lt;(AVERAGE('Sim Period'!$D$172:D184)),'Sim Period'!D184-AVERAGE('Sim Period'!$D$172:D184),"")</f>
        <v>-0.0279153846153846</v>
      </c>
      <c r="O184" s="19" t="n">
        <f aca="false">IF('Sim Period'!D184&lt;(AVERAGE('Sim Period'!$D$66:D184)),'Sim Period'!D184-AVERAGE('Sim Period'!$D$66:D184),"")</f>
        <v>-0.0282571428571429</v>
      </c>
      <c r="P184" s="19" t="n">
        <f aca="false">IF('Sim Period'!D184&lt;(AVERAGE('Sim Period'!$D$85:D184)),'Sim Period'!D184-AVERAGE('Sim Period'!$D$85:D184),"")</f>
        <v>-0.027345</v>
      </c>
      <c r="Q184" s="19" t="n">
        <f aca="false">IF('Sim Period'!D184&lt;(AVERAGE('Sim Period'!$D$107:D184)),'Sim Period'!D184-AVERAGE('Sim Period'!$D$107:D184),"")</f>
        <v>-0.0254641025641026</v>
      </c>
      <c r="R184" s="19" t="n">
        <f aca="false">IF('Sim Period'!D184&lt;(AVERAGE('Sim Period'!$D$129:D184)),'Sim Period'!D184-AVERAGE('Sim Period'!$D$129:D184),"")</f>
        <v>-0.02945</v>
      </c>
      <c r="S184" s="0" t="n">
        <v>1</v>
      </c>
    </row>
    <row r="185" customFormat="false" ht="14.1" hidden="false" customHeight="false" outlineLevel="0" collapsed="false">
      <c r="A185" s="0" t="n">
        <v>0</v>
      </c>
      <c r="H185" s="19" t="n">
        <f aca="false">IF('Sim Period'!D185&lt;(AVERAGE('Sim Period'!$D$129:D185)),'Sim Period'!D185-AVERAGE('Sim Period'!$D$129:D185),"")</f>
        <v>-0.018421052631579</v>
      </c>
      <c r="I185" s="19" t="n">
        <f aca="false">IF('Sim Period'!D185&lt;(AVERAGE('Sim Period'!$D$149:D185)),'Sim Period'!D185-AVERAGE('Sim Period'!$D$149:D185),"")</f>
        <v>-0.0168405405405405</v>
      </c>
      <c r="J185" s="19" t="n">
        <f aca="false">IF('Sim Period'!D185&lt;(AVERAGE('Sim Period'!$D$172:D185)),'Sim Period'!D185-AVERAGE('Sim Period'!$D$172:D185),"")</f>
        <v>-0.0159857142857143</v>
      </c>
      <c r="O185" s="19" t="n">
        <f aca="false">IF('Sim Period'!D185&lt;(AVERAGE('Sim Period'!$D$66:D185)),'Sim Period'!D185-AVERAGE('Sim Period'!$D$66:D185),"")</f>
        <v>-0.0174108333333333</v>
      </c>
      <c r="P185" s="19" t="n">
        <f aca="false">IF('Sim Period'!D185&lt;(AVERAGE('Sim Period'!$D$85:D185)),'Sim Period'!D185-AVERAGE('Sim Period'!$D$85:D185),"")</f>
        <v>-0.016480198019802</v>
      </c>
      <c r="Q185" s="19" t="n">
        <f aca="false">IF('Sim Period'!D185&lt;(AVERAGE('Sim Period'!$D$107:D185)),'Sim Period'!D185-AVERAGE('Sim Period'!$D$107:D185),"")</f>
        <v>-0.0145772151898734</v>
      </c>
      <c r="R185" s="19" t="n">
        <f aca="false">IF('Sim Period'!D185&lt;(AVERAGE('Sim Period'!$D$129:D185)),'Sim Period'!D185-AVERAGE('Sim Period'!$D$129:D185),"")</f>
        <v>-0.018421052631579</v>
      </c>
      <c r="S185" s="0" t="n">
        <v>1</v>
      </c>
    </row>
    <row r="186" customFormat="false" ht="14.1" hidden="false" customHeight="false" outlineLevel="0" collapsed="false">
      <c r="A186" s="0" t="n">
        <v>0</v>
      </c>
      <c r="H186" s="0" t="str">
        <f aca="false">IF('Sim Period'!D186&lt;(AVERAGE('Sim Period'!$D$129:D186)),'Sim Period'!D186-AVERAGE('Sim Period'!$D$129:D186),"")</f>
        <v/>
      </c>
      <c r="I186" s="0" t="str">
        <f aca="false">IF('Sim Period'!D186&lt;(AVERAGE('Sim Period'!$D$149:D186)),'Sim Period'!D186-AVERAGE('Sim Period'!$D$149:D186),"")</f>
        <v/>
      </c>
      <c r="J186" s="0" t="str">
        <f aca="false">IF('Sim Period'!D186&lt;(AVERAGE('Sim Period'!$D$172:D186)),'Sim Period'!D186-AVERAGE('Sim Period'!$D$172:D186),"")</f>
        <v/>
      </c>
      <c r="O186" s="0" t="str">
        <f aca="false">IF('Sim Period'!D186&lt;(AVERAGE('Sim Period'!$D$66:D186)),'Sim Period'!D186-AVERAGE('Sim Period'!$D$66:D186),"")</f>
        <v/>
      </c>
      <c r="P186" s="0" t="str">
        <f aca="false">IF('Sim Period'!D186&lt;(AVERAGE('Sim Period'!$D$85:D186)),'Sim Period'!D186-AVERAGE('Sim Period'!$D$85:D186),"")</f>
        <v/>
      </c>
      <c r="Q186" s="0" t="str">
        <f aca="false">IF('Sim Period'!D186&lt;(AVERAGE('Sim Period'!$D$107:D186)),'Sim Period'!D186-AVERAGE('Sim Period'!$D$107:D186),"")</f>
        <v/>
      </c>
      <c r="R186" s="0" t="str">
        <f aca="false">IF('Sim Period'!D186&lt;(AVERAGE('Sim Period'!$D$129:D186)),'Sim Period'!D186-AVERAGE('Sim Period'!$D$129:D186),"")</f>
        <v/>
      </c>
      <c r="S186" s="0" t="n">
        <v>1</v>
      </c>
    </row>
    <row r="187" customFormat="false" ht="14.1" hidden="false" customHeight="false" outlineLevel="0" collapsed="false">
      <c r="A187" s="0" t="n">
        <v>0</v>
      </c>
      <c r="H187" s="0" t="str">
        <f aca="false">IF('Sim Period'!D187&lt;(AVERAGE('Sim Period'!$D$129:D187)),'Sim Period'!D187-AVERAGE('Sim Period'!$D$129:D187),"")</f>
        <v/>
      </c>
      <c r="I187" s="0" t="str">
        <f aca="false">IF('Sim Period'!D187&lt;(AVERAGE('Sim Period'!$D$149:D187)),'Sim Period'!D187-AVERAGE('Sim Period'!$D$149:D187),"")</f>
        <v/>
      </c>
      <c r="J187" s="0" t="str">
        <f aca="false">IF('Sim Period'!D187&lt;(AVERAGE('Sim Period'!$D$172:D187)),'Sim Period'!D187-AVERAGE('Sim Period'!$D$172:D187),"")</f>
        <v/>
      </c>
      <c r="O187" s="0" t="str">
        <f aca="false">IF('Sim Period'!D187&lt;(AVERAGE('Sim Period'!$D$66:D187)),'Sim Period'!D187-AVERAGE('Sim Period'!$D$66:D187),"")</f>
        <v/>
      </c>
      <c r="P187" s="0" t="str">
        <f aca="false">IF('Sim Period'!D187&lt;(AVERAGE('Sim Period'!$D$85:D187)),'Sim Period'!D187-AVERAGE('Sim Period'!$D$85:D187),"")</f>
        <v/>
      </c>
      <c r="Q187" s="0" t="str">
        <f aca="false">IF('Sim Period'!D187&lt;(AVERAGE('Sim Period'!$D$107:D187)),'Sim Period'!D187-AVERAGE('Sim Period'!$D$107:D187),"")</f>
        <v/>
      </c>
      <c r="R187" s="0" t="str">
        <f aca="false">IF('Sim Period'!D187&lt;(AVERAGE('Sim Period'!$D$129:D187)),'Sim Period'!D187-AVERAGE('Sim Period'!$D$129:D187),"")</f>
        <v/>
      </c>
      <c r="S187" s="0" t="n">
        <v>1</v>
      </c>
    </row>
    <row r="188" customFormat="false" ht="14.1" hidden="false" customHeight="false" outlineLevel="0" collapsed="false">
      <c r="A188" s="0" t="n">
        <v>0</v>
      </c>
      <c r="H188" s="19" t="n">
        <f aca="false">IF('Sim Period'!D188&lt;(AVERAGE('Sim Period'!$D$129:D188)),'Sim Period'!D188-AVERAGE('Sim Period'!$D$129:D188),"")</f>
        <v>-0.0205433333333333</v>
      </c>
      <c r="I188" s="19" t="n">
        <f aca="false">IF('Sim Period'!D188&lt;(AVERAGE('Sim Period'!$D$149:D188)),'Sim Period'!D188-AVERAGE('Sim Period'!$D$149:D188),"")</f>
        <v>-0.0195925</v>
      </c>
      <c r="J188" s="19" t="n">
        <f aca="false">IF('Sim Period'!D188&lt;(AVERAGE('Sim Period'!$D$172:D188)),'Sim Period'!D188-AVERAGE('Sim Period'!$D$172:D188),"")</f>
        <v>-0.0211235294117647</v>
      </c>
      <c r="O188" s="19" t="n">
        <f aca="false">IF('Sim Period'!D188&lt;(AVERAGE('Sim Period'!$D$66:D188)),'Sim Period'!D188-AVERAGE('Sim Period'!$D$66:D188),"")</f>
        <v>-0.0190341463414634</v>
      </c>
      <c r="P188" s="19" t="n">
        <f aca="false">IF('Sim Period'!D188&lt;(AVERAGE('Sim Period'!$D$85:D188)),'Sim Period'!D188-AVERAGE('Sim Period'!$D$85:D188),"")</f>
        <v>-0.0182259615384615</v>
      </c>
      <c r="Q188" s="19" t="n">
        <f aca="false">IF('Sim Period'!D188&lt;(AVERAGE('Sim Period'!$D$107:D188)),'Sim Period'!D188-AVERAGE('Sim Period'!$D$107:D188),"")</f>
        <v>-0.0165658536585366</v>
      </c>
      <c r="R188" s="19" t="n">
        <f aca="false">IF('Sim Period'!D188&lt;(AVERAGE('Sim Period'!$D$129:D188)),'Sim Period'!D188-AVERAGE('Sim Period'!$D$129:D188),"")</f>
        <v>-0.0205433333333333</v>
      </c>
      <c r="S188" s="0" t="n">
        <v>1</v>
      </c>
    </row>
    <row r="189" customFormat="false" ht="14.1" hidden="false" customHeight="false" outlineLevel="0" collapsed="false">
      <c r="A189" s="0" t="n">
        <v>0</v>
      </c>
      <c r="H189" s="0" t="str">
        <f aca="false">IF('Sim Period'!D189&lt;(AVERAGE('Sim Period'!$D$129:D189)),'Sim Period'!D189-AVERAGE('Sim Period'!$D$129:D189),"")</f>
        <v/>
      </c>
      <c r="I189" s="0" t="str">
        <f aca="false">IF('Sim Period'!D189&lt;(AVERAGE('Sim Period'!$D$149:D189)),'Sim Period'!D189-AVERAGE('Sim Period'!$D$149:D189),"")</f>
        <v/>
      </c>
      <c r="J189" s="0" t="str">
        <f aca="false">IF('Sim Period'!D189&lt;(AVERAGE('Sim Period'!$D$172:D189)),'Sim Period'!D189-AVERAGE('Sim Period'!$D$172:D189),"")</f>
        <v/>
      </c>
      <c r="O189" s="0" t="str">
        <f aca="false">IF('Sim Period'!D189&lt;(AVERAGE('Sim Period'!$D$66:D189)),'Sim Period'!D189-AVERAGE('Sim Period'!$D$66:D189),"")</f>
        <v/>
      </c>
      <c r="P189" s="0" t="str">
        <f aca="false">IF('Sim Period'!D189&lt;(AVERAGE('Sim Period'!$D$85:D189)),'Sim Period'!D189-AVERAGE('Sim Period'!$D$85:D189),"")</f>
        <v/>
      </c>
      <c r="Q189" s="0" t="str">
        <f aca="false">IF('Sim Period'!D189&lt;(AVERAGE('Sim Period'!$D$107:D189)),'Sim Period'!D189-AVERAGE('Sim Period'!$D$107:D189),"")</f>
        <v/>
      </c>
      <c r="R189" s="0" t="str">
        <f aca="false">IF('Sim Period'!D189&lt;(AVERAGE('Sim Period'!$D$129:D189)),'Sim Period'!D189-AVERAGE('Sim Period'!$D$129:D189),"")</f>
        <v/>
      </c>
      <c r="S189" s="0" t="n">
        <v>1</v>
      </c>
    </row>
    <row r="190" customFormat="false" ht="14.1" hidden="false" customHeight="false" outlineLevel="0" collapsed="false">
      <c r="A190" s="0" t="n">
        <v>0</v>
      </c>
      <c r="H190" s="19" t="n">
        <f aca="false">IF('Sim Period'!D190&lt;(AVERAGE('Sim Period'!$D$129:D190)),'Sim Period'!D190-AVERAGE('Sim Period'!$D$129:D190),"")</f>
        <v>-0.0429274193548387</v>
      </c>
      <c r="I190" s="19" t="n">
        <f aca="false">IF('Sim Period'!D190&lt;(AVERAGE('Sim Period'!$D$149:D190)),'Sim Period'!D190-AVERAGE('Sim Period'!$D$149:D190),"")</f>
        <v>-0.0417761904761905</v>
      </c>
      <c r="J190" s="19" t="n">
        <f aca="false">IF('Sim Period'!D190&lt;(AVERAGE('Sim Period'!$D$172:D190)),'Sim Period'!D190-AVERAGE('Sim Period'!$D$172:D190),"")</f>
        <v>-0.0422789473684211</v>
      </c>
      <c r="O190" s="19" t="n">
        <f aca="false">IF('Sim Period'!D190&lt;(AVERAGE('Sim Period'!$D$66:D190)),'Sim Period'!D190-AVERAGE('Sim Period'!$D$66:D190),"")</f>
        <v>-0.0417024</v>
      </c>
      <c r="P190" s="19" t="n">
        <f aca="false">IF('Sim Period'!D190&lt;(AVERAGE('Sim Period'!$D$85:D190)),'Sim Period'!D190-AVERAGE('Sim Period'!$D$85:D190),"")</f>
        <v>-0.0408679245283019</v>
      </c>
      <c r="Q190" s="19" t="n">
        <f aca="false">IF('Sim Period'!D190&lt;(AVERAGE('Sim Period'!$D$107:D190)),'Sim Period'!D190-AVERAGE('Sim Period'!$D$107:D190),"")</f>
        <v>-0.0391797619047619</v>
      </c>
      <c r="R190" s="19" t="n">
        <f aca="false">IF('Sim Period'!D190&lt;(AVERAGE('Sim Period'!$D$129:D190)),'Sim Period'!D190-AVERAGE('Sim Period'!$D$129:D190),"")</f>
        <v>-0.0429274193548387</v>
      </c>
      <c r="S190" s="0" t="n">
        <v>1</v>
      </c>
    </row>
    <row r="191" customFormat="false" ht="14.1" hidden="false" customHeight="false" outlineLevel="0" collapsed="false">
      <c r="A191" s="0" t="n">
        <v>9</v>
      </c>
      <c r="H191" s="19" t="n">
        <f aca="false">IF('Sim Period'!D191&lt;(AVERAGE('Sim Period'!$D$129:D191)),'Sim Period'!D191-AVERAGE('Sim Period'!$D$129:D191),"")</f>
        <v>-0.035947619047619</v>
      </c>
      <c r="I191" s="19" t="n">
        <f aca="false">IF('Sim Period'!D191&lt;(AVERAGE('Sim Period'!$D$149:D191)),'Sim Period'!D191-AVERAGE('Sim Period'!$D$149:D191),"")</f>
        <v>-0.0345534883720929</v>
      </c>
      <c r="J191" s="19" t="n">
        <f aca="false">IF('Sim Period'!D191&lt;(AVERAGE('Sim Period'!$D$172:D191)),'Sim Period'!D191-AVERAGE('Sim Period'!$D$172:D191),"")</f>
        <v>-0.0340849999999999</v>
      </c>
      <c r="O191" s="19" t="n">
        <f aca="false">IF('Sim Period'!D191&lt;(AVERAGE('Sim Period'!$D$66:D191)),'Sim Period'!D191-AVERAGE('Sim Period'!$D$66:D191),"")</f>
        <v>-0.0350222222222221</v>
      </c>
      <c r="P191" s="19" t="n">
        <f aca="false">IF('Sim Period'!D191&lt;(AVERAGE('Sim Period'!$D$85:D191)),'Sim Period'!D191-AVERAGE('Sim Period'!$D$85:D191),"")</f>
        <v>-0.0341457943925233</v>
      </c>
      <c r="Q191" s="19" t="n">
        <f aca="false">IF('Sim Period'!D191&lt;(AVERAGE('Sim Period'!$D$107:D191)),'Sim Period'!D191-AVERAGE('Sim Period'!$D$107:D191),"")</f>
        <v>-0.0323941176470587</v>
      </c>
      <c r="R191" s="19" t="n">
        <f aca="false">IF('Sim Period'!D191&lt;(AVERAGE('Sim Period'!$D$129:D191)),'Sim Period'!D191-AVERAGE('Sim Period'!$D$129:D191),"")</f>
        <v>-0.035947619047619</v>
      </c>
      <c r="S191" s="0" t="n">
        <v>1</v>
      </c>
    </row>
    <row r="192" customFormat="false" ht="14.1" hidden="false" customHeight="false" outlineLevel="0" collapsed="false">
      <c r="A192" s="0" t="n">
        <v>0</v>
      </c>
      <c r="I192" s="0" t="str">
        <f aca="false">IF('Sim Period'!D192&lt;(AVERAGE('Sim Period'!$D$149:D192)),'Sim Period'!D192-AVERAGE('Sim Period'!$D$149:D192),"")</f>
        <v/>
      </c>
      <c r="J192" s="0" t="str">
        <f aca="false">IF('Sim Period'!D192&lt;(AVERAGE('Sim Period'!$D$172:D192)),'Sim Period'!D192-AVERAGE('Sim Period'!$D$172:D192),"")</f>
        <v/>
      </c>
      <c r="K192" s="0" t="str">
        <f aca="false">IF('Sim Period'!D192&lt;(AVERAGE('Sim Period'!$D$192:D192)),'Sim Period'!D192-AVERAGE('Sim Period'!$D$192:D192),"")</f>
        <v/>
      </c>
      <c r="P192" s="0" t="str">
        <f aca="false">IF('Sim Period'!D192&lt;(AVERAGE('Sim Period'!$D$85:D192)),'Sim Period'!D192-AVERAGE('Sim Period'!$D$85:D192),"")</f>
        <v/>
      </c>
      <c r="Q192" s="0" t="str">
        <f aca="false">IF('Sim Period'!D192&lt;(AVERAGE('Sim Period'!$D$107:D192)),'Sim Period'!D192-AVERAGE('Sim Period'!$D$107:D192),"")</f>
        <v/>
      </c>
      <c r="R192" s="0" t="str">
        <f aca="false">IF('Sim Period'!D192&lt;(AVERAGE('Sim Period'!$D$129:D192)),'Sim Period'!D192-AVERAGE('Sim Period'!$D$129:D192),"")</f>
        <v/>
      </c>
      <c r="S192" s="0" t="n">
        <v>1</v>
      </c>
    </row>
    <row r="193" customFormat="false" ht="14.1" hidden="false" customHeight="false" outlineLevel="0" collapsed="false">
      <c r="A193" s="0" t="n">
        <v>0</v>
      </c>
      <c r="I193" s="0" t="str">
        <f aca="false">IF('Sim Period'!D193&lt;(AVERAGE('Sim Period'!$D$149:D193)),'Sim Period'!D193-AVERAGE('Sim Period'!$D$149:D193),"")</f>
        <v/>
      </c>
      <c r="J193" s="0" t="str">
        <f aca="false">IF('Sim Period'!D193&lt;(AVERAGE('Sim Period'!$D$172:D193)),'Sim Period'!D193-AVERAGE('Sim Period'!$D$172:D193),"")</f>
        <v/>
      </c>
      <c r="K193" s="19" t="n">
        <f aca="false">IF('Sim Period'!D193&lt;(AVERAGE('Sim Period'!$D$192:D193)),'Sim Period'!D193-AVERAGE('Sim Period'!$D$192:D193),"")</f>
        <v>-0.0027</v>
      </c>
      <c r="P193" s="0" t="str">
        <f aca="false">IF('Sim Period'!D193&lt;(AVERAGE('Sim Period'!$D$85:D193)),'Sim Period'!D193-AVERAGE('Sim Period'!$D$85:D193),"")</f>
        <v/>
      </c>
      <c r="Q193" s="0" t="str">
        <f aca="false">IF('Sim Period'!D193&lt;(AVERAGE('Sim Period'!$D$107:D193)),'Sim Period'!D193-AVERAGE('Sim Period'!$D$107:D193),"")</f>
        <v/>
      </c>
      <c r="R193" s="0" t="str">
        <f aca="false">IF('Sim Period'!D193&lt;(AVERAGE('Sim Period'!$D$129:D193)),'Sim Period'!D193-AVERAGE('Sim Period'!$D$129:D193),"")</f>
        <v/>
      </c>
      <c r="S193" s="0" t="n">
        <v>1</v>
      </c>
    </row>
    <row r="194" customFormat="false" ht="14.1" hidden="false" customHeight="false" outlineLevel="0" collapsed="false">
      <c r="A194" s="0" t="n">
        <v>0</v>
      </c>
      <c r="I194" s="0" t="str">
        <f aca="false">IF('Sim Period'!D194&lt;(AVERAGE('Sim Period'!$D$149:D194)),'Sim Period'!D194-AVERAGE('Sim Period'!$D$149:D194),"")</f>
        <v/>
      </c>
      <c r="J194" s="0" t="str">
        <f aca="false">IF('Sim Period'!D194&lt;(AVERAGE('Sim Period'!$D$172:D194)),'Sim Period'!D194-AVERAGE('Sim Period'!$D$172:D194),"")</f>
        <v/>
      </c>
      <c r="K194" s="19" t="n">
        <f aca="false">IF('Sim Period'!D194&lt;(AVERAGE('Sim Period'!$D$192:D194)),'Sim Period'!D194-AVERAGE('Sim Period'!$D$192:D194),"")</f>
        <v>-0.0149333333333334</v>
      </c>
      <c r="P194" s="0" t="str">
        <f aca="false">IF('Sim Period'!D194&lt;(AVERAGE('Sim Period'!$D$85:D194)),'Sim Period'!D194-AVERAGE('Sim Period'!$D$85:D194),"")</f>
        <v/>
      </c>
      <c r="Q194" s="0" t="str">
        <f aca="false">IF('Sim Period'!D194&lt;(AVERAGE('Sim Period'!$D$107:D194)),'Sim Period'!D194-AVERAGE('Sim Period'!$D$107:D194),"")</f>
        <v/>
      </c>
      <c r="R194" s="0" t="str">
        <f aca="false">IF('Sim Period'!D194&lt;(AVERAGE('Sim Period'!$D$129:D194)),'Sim Period'!D194-AVERAGE('Sim Period'!$D$129:D194),"")</f>
        <v/>
      </c>
      <c r="S194" s="0" t="n">
        <v>1</v>
      </c>
    </row>
    <row r="195" customFormat="false" ht="14.1" hidden="false" customHeight="false" outlineLevel="0" collapsed="false">
      <c r="A195" s="0" t="n">
        <v>0</v>
      </c>
      <c r="I195" s="19" t="n">
        <f aca="false">IF('Sim Period'!D195&lt;(AVERAGE('Sim Period'!$D$149:D195)),'Sim Period'!D195-AVERAGE('Sim Period'!$D$149:D195),"")</f>
        <v>-0.0302191489361702</v>
      </c>
      <c r="J195" s="19" t="n">
        <f aca="false">IF('Sim Period'!D195&lt;(AVERAGE('Sim Period'!$D$172:D195)),'Sim Period'!D195-AVERAGE('Sim Period'!$D$172:D195),"")</f>
        <v>-0.0304666666666667</v>
      </c>
      <c r="K195" s="19" t="n">
        <f aca="false">IF('Sim Period'!D195&lt;(AVERAGE('Sim Period'!$D$192:D195)),'Sim Period'!D195-AVERAGE('Sim Period'!$D$192:D195),"")</f>
        <v>-0.037375</v>
      </c>
      <c r="P195" s="19" t="n">
        <f aca="false">IF('Sim Period'!D195&lt;(AVERAGE('Sim Period'!$D$85:D195)),'Sim Period'!D195-AVERAGE('Sim Period'!$D$85:D195),"")</f>
        <v>-0.0294423423423423</v>
      </c>
      <c r="Q195" s="19" t="n">
        <f aca="false">IF('Sim Period'!D195&lt;(AVERAGE('Sim Period'!$D$107:D195)),'Sim Period'!D195-AVERAGE('Sim Period'!$D$107:D195),"")</f>
        <v>-0.0278426966292135</v>
      </c>
      <c r="R195" s="19" t="n">
        <f aca="false">IF('Sim Period'!D195&lt;(AVERAGE('Sim Period'!$D$129:D195)),'Sim Period'!D195-AVERAGE('Sim Period'!$D$129:D195),"")</f>
        <v>-0.0313313432835821</v>
      </c>
      <c r="S195" s="0" t="n">
        <v>1</v>
      </c>
    </row>
    <row r="196" customFormat="false" ht="14.1" hidden="false" customHeight="false" outlineLevel="0" collapsed="false">
      <c r="A196" s="0" t="n">
        <v>0</v>
      </c>
      <c r="I196" s="19" t="n">
        <f aca="false">IF('Sim Period'!D196&lt;(AVERAGE('Sim Period'!$D$149:D196)),'Sim Period'!D196-AVERAGE('Sim Period'!$D$149:D196),"")</f>
        <v>-0.0104958333333333</v>
      </c>
      <c r="J196" s="19" t="n">
        <f aca="false">IF('Sim Period'!D196&lt;(AVERAGE('Sim Period'!$D$172:D196)),'Sim Period'!D196-AVERAGE('Sim Period'!$D$172:D196),"")</f>
        <v>-0.010528</v>
      </c>
      <c r="K196" s="19" t="n">
        <f aca="false">IF('Sim Period'!D196&lt;(AVERAGE('Sim Period'!$D$192:D196)),'Sim Period'!D196-AVERAGE('Sim Period'!$D$192:D196),"")</f>
        <v>-0.0143</v>
      </c>
      <c r="P196" s="19" t="n">
        <f aca="false">IF('Sim Period'!D196&lt;(AVERAGE('Sim Period'!$D$85:D196)),'Sim Period'!D196-AVERAGE('Sim Period'!$D$85:D196),"")</f>
        <v>-0.00985357142857144</v>
      </c>
      <c r="Q196" s="19" t="n">
        <f aca="false">IF('Sim Period'!D196&lt;(AVERAGE('Sim Period'!$D$107:D196)),'Sim Period'!D196-AVERAGE('Sim Period'!$D$107:D196),"")</f>
        <v>-0.00825000000000001</v>
      </c>
      <c r="R196" s="19" t="n">
        <f aca="false">IF('Sim Period'!D196&lt;(AVERAGE('Sim Period'!$D$129:D196)),'Sim Period'!D196-AVERAGE('Sim Period'!$D$129:D196),"")</f>
        <v>-0.0116573529411765</v>
      </c>
      <c r="S196" s="0" t="n">
        <v>1</v>
      </c>
    </row>
    <row r="197" customFormat="false" ht="14.1" hidden="false" customHeight="false" outlineLevel="0" collapsed="false">
      <c r="A197" s="0" t="n">
        <v>0</v>
      </c>
      <c r="I197" s="19" t="n">
        <f aca="false">IF('Sim Period'!D197&lt;(AVERAGE('Sim Period'!$D$149:D197)),'Sim Period'!D197-AVERAGE('Sim Period'!$D$149:D197),"")</f>
        <v>-0.0328122448979592</v>
      </c>
      <c r="J197" s="19" t="n">
        <f aca="false">IF('Sim Period'!D197&lt;(AVERAGE('Sim Period'!$D$172:D197)),'Sim Period'!D197-AVERAGE('Sim Period'!$D$172:D197),"")</f>
        <v>-0.0322384615384615</v>
      </c>
      <c r="K197" s="19" t="n">
        <f aca="false">IF('Sim Period'!D197&lt;(AVERAGE('Sim Period'!$D$192:D197)),'Sim Period'!D197-AVERAGE('Sim Period'!$D$192:D197),"")</f>
        <v>-0.0310833333333333</v>
      </c>
      <c r="P197" s="19" t="n">
        <f aca="false">IF('Sim Period'!D197&lt;(AVERAGE('Sim Period'!$D$85:D197)),'Sim Period'!D197-AVERAGE('Sim Period'!$D$85:D197),"")</f>
        <v>-0.0325628318584071</v>
      </c>
      <c r="Q197" s="19" t="n">
        <f aca="false">IF('Sim Period'!D197&lt;(AVERAGE('Sim Period'!$D$107:D197)),'Sim Period'!D197-AVERAGE('Sim Period'!$D$107:D197),"")</f>
        <v>-0.0309065934065934</v>
      </c>
      <c r="R197" s="19" t="n">
        <f aca="false">IF('Sim Period'!D197&lt;(AVERAGE('Sim Period'!$D$129:D197)),'Sim Period'!D197-AVERAGE('Sim Period'!$D$129:D197),"")</f>
        <v>-0.0341550724637681</v>
      </c>
      <c r="S197" s="0" t="n">
        <v>1</v>
      </c>
    </row>
    <row r="198" customFormat="false" ht="14.1" hidden="false" customHeight="false" outlineLevel="0" collapsed="false">
      <c r="A198" s="0" t="n">
        <v>0</v>
      </c>
      <c r="I198" s="19" t="n">
        <f aca="false">IF('Sim Period'!D198&lt;(AVERAGE('Sim Period'!$D$149:D198)),'Sim Period'!D198-AVERAGE('Sim Period'!$D$149:D198),"")</f>
        <v>-0.038624</v>
      </c>
      <c r="J198" s="19" t="n">
        <f aca="false">IF('Sim Period'!D198&lt;(AVERAGE('Sim Period'!$D$172:D198)),'Sim Period'!D198-AVERAGE('Sim Period'!$D$172:D198),"")</f>
        <v>-0.0374</v>
      </c>
      <c r="K198" s="19" t="n">
        <f aca="false">IF('Sim Period'!D198&lt;(AVERAGE('Sim Period'!$D$192:D198)),'Sim Period'!D198-AVERAGE('Sim Period'!$D$192:D198),"")</f>
        <v>-0.0323</v>
      </c>
      <c r="P198" s="19" t="n">
        <f aca="false">IF('Sim Period'!D198&lt;(AVERAGE('Sim Period'!$D$85:D198)),'Sim Period'!D198-AVERAGE('Sim Period'!$D$85:D198),"")</f>
        <v>-0.038819298245614</v>
      </c>
      <c r="Q198" s="19" t="n">
        <f aca="false">IF('Sim Period'!D198&lt;(AVERAGE('Sim Period'!$D$107:D198)),'Sim Period'!D198-AVERAGE('Sim Period'!$D$107:D198),"")</f>
        <v>-0.0370989130434783</v>
      </c>
      <c r="R198" s="19" t="n">
        <f aca="false">IF('Sim Period'!D198&lt;(AVERAGE('Sim Period'!$D$129:D198)),'Sim Period'!D198-AVERAGE('Sim Period'!$D$129:D198),"")</f>
        <v>-0.0401728571428572</v>
      </c>
      <c r="S198" s="0" t="n">
        <v>1</v>
      </c>
    </row>
    <row r="199" customFormat="false" ht="14.1" hidden="false" customHeight="false" outlineLevel="0" collapsed="false">
      <c r="A199" s="0" t="n">
        <v>0</v>
      </c>
      <c r="I199" s="0" t="str">
        <f aca="false">IF('Sim Period'!D199&lt;(AVERAGE('Sim Period'!$D$149:D199)),'Sim Period'!D199-AVERAGE('Sim Period'!$D$149:D199),"")</f>
        <v/>
      </c>
      <c r="J199" s="0" t="str">
        <f aca="false">IF('Sim Period'!D199&lt;(AVERAGE('Sim Period'!$D$172:D199)),'Sim Period'!D199-AVERAGE('Sim Period'!$D$172:D199),"")</f>
        <v/>
      </c>
      <c r="K199" s="0" t="str">
        <f aca="false">IF('Sim Period'!D199&lt;(AVERAGE('Sim Period'!$D$192:D199)),'Sim Period'!D199-AVERAGE('Sim Period'!$D$192:D199),"")</f>
        <v/>
      </c>
      <c r="P199" s="0" t="str">
        <f aca="false">IF('Sim Period'!D199&lt;(AVERAGE('Sim Period'!$D$85:D199)),'Sim Period'!D199-AVERAGE('Sim Period'!$D$85:D199),"")</f>
        <v/>
      </c>
      <c r="Q199" s="0" t="str">
        <f aca="false">IF('Sim Period'!D199&lt;(AVERAGE('Sim Period'!$D$107:D199)),'Sim Period'!D199-AVERAGE('Sim Period'!$D$107:D199),"")</f>
        <v/>
      </c>
      <c r="R199" s="0" t="str">
        <f aca="false">IF('Sim Period'!D199&lt;(AVERAGE('Sim Period'!$D$129:D199)),'Sim Period'!D199-AVERAGE('Sim Period'!$D$129:D199),"")</f>
        <v/>
      </c>
      <c r="S199" s="0" t="n">
        <v>1</v>
      </c>
    </row>
    <row r="200" customFormat="false" ht="14.1" hidden="false" customHeight="false" outlineLevel="0" collapsed="false">
      <c r="A200" s="0" t="n">
        <v>0</v>
      </c>
      <c r="I200" s="19" t="n">
        <f aca="false">IF('Sim Period'!D200&lt;(AVERAGE('Sim Period'!$D$149:D200)),'Sim Period'!D200-AVERAGE('Sim Period'!$D$149:D200),"")</f>
        <v>-0.0159865384615385</v>
      </c>
      <c r="J200" s="19" t="n">
        <f aca="false">IF('Sim Period'!D200&lt;(AVERAGE('Sim Period'!$D$172:D200)),'Sim Period'!D200-AVERAGE('Sim Period'!$D$172:D200),"")</f>
        <v>-0.0153724137931034</v>
      </c>
      <c r="K200" s="19" t="n">
        <f aca="false">IF('Sim Period'!D200&lt;(AVERAGE('Sim Period'!$D$192:D200)),'Sim Period'!D200-AVERAGE('Sim Period'!$D$192:D200),"")</f>
        <v>-0.0142333333333333</v>
      </c>
      <c r="P200" s="19" t="n">
        <f aca="false">IF('Sim Period'!D200&lt;(AVERAGE('Sim Period'!$D$85:D200)),'Sim Period'!D200-AVERAGE('Sim Period'!$D$85:D200),"")</f>
        <v>-0.0158129310344828</v>
      </c>
      <c r="Q200" s="19" t="n">
        <f aca="false">IF('Sim Period'!D200&lt;(AVERAGE('Sim Period'!$D$107:D200)),'Sim Period'!D200-AVERAGE('Sim Period'!$D$107:D200),"")</f>
        <v>-0.0141978723404255</v>
      </c>
      <c r="R200" s="19" t="n">
        <f aca="false">IF('Sim Period'!D200&lt;(AVERAGE('Sim Period'!$D$129:D200)),'Sim Period'!D200-AVERAGE('Sim Period'!$D$129:D200),"")</f>
        <v>-0.0173083333333333</v>
      </c>
      <c r="S200" s="0" t="n">
        <v>1</v>
      </c>
    </row>
    <row r="201" customFormat="false" ht="14.1" hidden="false" customHeight="false" outlineLevel="0" collapsed="false">
      <c r="A201" s="0" t="n">
        <v>0</v>
      </c>
      <c r="I201" s="0" t="str">
        <f aca="false">IF('Sim Period'!D201&lt;(AVERAGE('Sim Period'!$D$149:D201)),'Sim Period'!D201-AVERAGE('Sim Period'!$D$149:D201),"")</f>
        <v/>
      </c>
      <c r="J201" s="0" t="str">
        <f aca="false">IF('Sim Period'!D201&lt;(AVERAGE('Sim Period'!$D$172:D201)),'Sim Period'!D201-AVERAGE('Sim Period'!$D$172:D201),"")</f>
        <v/>
      </c>
      <c r="K201" s="0" t="str">
        <f aca="false">IF('Sim Period'!D201&lt;(AVERAGE('Sim Period'!$D$192:D201)),'Sim Period'!D201-AVERAGE('Sim Period'!$D$192:D201),"")</f>
        <v/>
      </c>
      <c r="P201" s="0" t="str">
        <f aca="false">IF('Sim Period'!D201&lt;(AVERAGE('Sim Period'!$D$85:D201)),'Sim Period'!D201-AVERAGE('Sim Period'!$D$85:D201),"")</f>
        <v/>
      </c>
      <c r="Q201" s="0" t="str">
        <f aca="false">IF('Sim Period'!D201&lt;(AVERAGE('Sim Period'!$D$107:D201)),'Sim Period'!D201-AVERAGE('Sim Period'!$D$107:D201),"")</f>
        <v/>
      </c>
      <c r="R201" s="0" t="str">
        <f aca="false">IF('Sim Period'!D201&lt;(AVERAGE('Sim Period'!$D$129:D201)),'Sim Period'!D201-AVERAGE('Sim Period'!$D$129:D201),"")</f>
        <v/>
      </c>
      <c r="S201" s="0" t="n">
        <v>1</v>
      </c>
    </row>
    <row r="202" customFormat="false" ht="14.1" hidden="false" customHeight="false" outlineLevel="0" collapsed="false">
      <c r="A202" s="0" t="n">
        <v>0</v>
      </c>
      <c r="I202" s="0" t="str">
        <f aca="false">IF('Sim Period'!D202&lt;(AVERAGE('Sim Period'!$D$149:D202)),'Sim Period'!D202-AVERAGE('Sim Period'!$D$149:D202),"")</f>
        <v/>
      </c>
      <c r="J202" s="0" t="str">
        <f aca="false">IF('Sim Period'!D202&lt;(AVERAGE('Sim Period'!$D$172:D202)),'Sim Period'!D202-AVERAGE('Sim Period'!$D$172:D202),"")</f>
        <v/>
      </c>
      <c r="K202" s="0" t="str">
        <f aca="false">IF('Sim Period'!D202&lt;(AVERAGE('Sim Period'!$D$192:D202)),'Sim Period'!D202-AVERAGE('Sim Period'!$D$192:D202),"")</f>
        <v/>
      </c>
      <c r="P202" s="0" t="str">
        <f aca="false">IF('Sim Period'!D202&lt;(AVERAGE('Sim Period'!$D$85:D202)),'Sim Period'!D202-AVERAGE('Sim Period'!$D$85:D202),"")</f>
        <v/>
      </c>
      <c r="Q202" s="0" t="str">
        <f aca="false">IF('Sim Period'!D202&lt;(AVERAGE('Sim Period'!$D$107:D202)),'Sim Period'!D202-AVERAGE('Sim Period'!$D$107:D202),"")</f>
        <v/>
      </c>
      <c r="R202" s="0" t="str">
        <f aca="false">IF('Sim Period'!D202&lt;(AVERAGE('Sim Period'!$D$129:D202)),'Sim Period'!D202-AVERAGE('Sim Period'!$D$129:D202),"")</f>
        <v/>
      </c>
      <c r="S202" s="0" t="n">
        <v>1</v>
      </c>
    </row>
    <row r="203" customFormat="false" ht="14.1" hidden="false" customHeight="false" outlineLevel="0" collapsed="false">
      <c r="A203" s="0" t="n">
        <v>0</v>
      </c>
      <c r="I203" s="19" t="n">
        <f aca="false">IF('Sim Period'!D203&lt;(AVERAGE('Sim Period'!$D$149:D203)),'Sim Period'!D203-AVERAGE('Sim Period'!$D$149:D203),"")</f>
        <v>-0.0165927272727273</v>
      </c>
      <c r="J203" s="19" t="n">
        <f aca="false">IF('Sim Period'!D203&lt;(AVERAGE('Sim Period'!$D$172:D203)),'Sim Period'!D203-AVERAGE('Sim Period'!$D$172:D203),"")</f>
        <v>-0.0166875</v>
      </c>
      <c r="K203" s="19" t="n">
        <f aca="false">IF('Sim Period'!D203&lt;(AVERAGE('Sim Period'!$D$192:D203)),'Sim Period'!D203-AVERAGE('Sim Period'!$D$192:D203),"")</f>
        <v>-0.018525</v>
      </c>
      <c r="P203" s="19" t="n">
        <f aca="false">IF('Sim Period'!D203&lt;(AVERAGE('Sim Period'!$D$85:D203)),'Sim Period'!D203-AVERAGE('Sim Period'!$D$85:D203),"")</f>
        <v>-0.0159361344537815</v>
      </c>
      <c r="Q203" s="19" t="n">
        <f aca="false">IF('Sim Period'!D203&lt;(AVERAGE('Sim Period'!$D$107:D203)),'Sim Period'!D203-AVERAGE('Sim Period'!$D$107:D203),"")</f>
        <v>-0.0144670103092784</v>
      </c>
      <c r="R203" s="19" t="n">
        <f aca="false">IF('Sim Period'!D203&lt;(AVERAGE('Sim Period'!$D$129:D203)),'Sim Period'!D203-AVERAGE('Sim Period'!$D$129:D203),"")</f>
        <v>-0.01762</v>
      </c>
      <c r="S203" s="0" t="n">
        <v>1</v>
      </c>
    </row>
    <row r="204" customFormat="false" ht="14.1" hidden="false" customHeight="false" outlineLevel="0" collapsed="false">
      <c r="A204" s="0" t="n">
        <v>0</v>
      </c>
      <c r="I204" s="0" t="str">
        <f aca="false">IF('Sim Period'!D204&lt;(AVERAGE('Sim Period'!$D$149:D204)),'Sim Period'!D204-AVERAGE('Sim Period'!$D$149:D204),"")</f>
        <v/>
      </c>
      <c r="J204" s="0" t="str">
        <f aca="false">IF('Sim Period'!D204&lt;(AVERAGE('Sim Period'!$D$172:D204)),'Sim Period'!D204-AVERAGE('Sim Period'!$D$172:D204),"")</f>
        <v/>
      </c>
      <c r="K204" s="0" t="str">
        <f aca="false">IF('Sim Period'!D204&lt;(AVERAGE('Sim Period'!$D$192:D204)),'Sim Period'!D204-AVERAGE('Sim Period'!$D$192:D204),"")</f>
        <v/>
      </c>
      <c r="P204" s="0" t="str">
        <f aca="false">IF('Sim Period'!D204&lt;(AVERAGE('Sim Period'!$D$85:D204)),'Sim Period'!D204-AVERAGE('Sim Period'!$D$85:D204),"")</f>
        <v/>
      </c>
      <c r="Q204" s="0" t="str">
        <f aca="false">IF('Sim Period'!D204&lt;(AVERAGE('Sim Period'!$D$107:D204)),'Sim Period'!D204-AVERAGE('Sim Period'!$D$107:D204),"")</f>
        <v/>
      </c>
      <c r="R204" s="0" t="str">
        <f aca="false">IF('Sim Period'!D204&lt;(AVERAGE('Sim Period'!$D$129:D204)),'Sim Period'!D204-AVERAGE('Sim Period'!$D$129:D204),"")</f>
        <v/>
      </c>
      <c r="S204" s="0" t="n">
        <v>1</v>
      </c>
    </row>
    <row r="205" customFormat="false" ht="14.1" hidden="false" customHeight="false" outlineLevel="0" collapsed="false">
      <c r="A205" s="0" t="n">
        <v>0</v>
      </c>
      <c r="I205" s="0" t="str">
        <f aca="false">IF('Sim Period'!D205&lt;(AVERAGE('Sim Period'!$D$149:D205)),'Sim Period'!D205-AVERAGE('Sim Period'!$D$149:D205),"")</f>
        <v/>
      </c>
      <c r="J205" s="0" t="str">
        <f aca="false">IF('Sim Period'!D205&lt;(AVERAGE('Sim Period'!$D$172:D205)),'Sim Period'!D205-AVERAGE('Sim Period'!$D$172:D205),"")</f>
        <v/>
      </c>
      <c r="K205" s="0" t="str">
        <f aca="false">IF('Sim Period'!D205&lt;(AVERAGE('Sim Period'!$D$192:D205)),'Sim Period'!D205-AVERAGE('Sim Period'!$D$192:D205),"")</f>
        <v/>
      </c>
      <c r="P205" s="0" t="str">
        <f aca="false">IF('Sim Period'!D205&lt;(AVERAGE('Sim Period'!$D$85:D205)),'Sim Period'!D205-AVERAGE('Sim Period'!$D$85:D205),"")</f>
        <v/>
      </c>
      <c r="Q205" s="0" t="str">
        <f aca="false">IF('Sim Period'!D205&lt;(AVERAGE('Sim Period'!$D$107:D205)),'Sim Period'!D205-AVERAGE('Sim Period'!$D$107:D205),"")</f>
        <v/>
      </c>
      <c r="R205" s="0" t="str">
        <f aca="false">IF('Sim Period'!D205&lt;(AVERAGE('Sim Period'!$D$129:D205)),'Sim Period'!D205-AVERAGE('Sim Period'!$D$129:D205),"")</f>
        <v/>
      </c>
      <c r="S205" s="0" t="n">
        <v>1</v>
      </c>
    </row>
    <row r="206" customFormat="false" ht="14.1" hidden="false" customHeight="false" outlineLevel="0" collapsed="false">
      <c r="A206" s="0" t="n">
        <v>0</v>
      </c>
      <c r="I206" s="19" t="n">
        <f aca="false">IF('Sim Period'!D206&lt;(AVERAGE('Sim Period'!$D$149:D206)),'Sim Period'!D206-AVERAGE('Sim Period'!$D$149:D206),"")</f>
        <v>-0.0393586206896552</v>
      </c>
      <c r="J206" s="19" t="n">
        <f aca="false">IF('Sim Period'!D206&lt;(AVERAGE('Sim Period'!$D$172:D206)),'Sim Period'!D206-AVERAGE('Sim Period'!$D$172:D206),"")</f>
        <v>-0.0397514285714286</v>
      </c>
      <c r="K206" s="19" t="n">
        <f aca="false">IF('Sim Period'!D206&lt;(AVERAGE('Sim Period'!$D$192:D206)),'Sim Period'!D206-AVERAGE('Sim Period'!$D$192:D206),"")</f>
        <v>-0.04224</v>
      </c>
      <c r="P206" s="19" t="n">
        <f aca="false">IF('Sim Period'!D206&lt;(AVERAGE('Sim Period'!$D$85:D206)),'Sim Period'!D206-AVERAGE('Sim Period'!$D$85:D206),"")</f>
        <v>-0.0384737704918033</v>
      </c>
      <c r="Q206" s="19" t="n">
        <f aca="false">IF('Sim Period'!D206&lt;(AVERAGE('Sim Period'!$D$107:D206)),'Sim Period'!D206-AVERAGE('Sim Period'!$D$107:D206),"")</f>
        <v>-0.037101</v>
      </c>
      <c r="R206" s="19" t="n">
        <f aca="false">IF('Sim Period'!D206&lt;(AVERAGE('Sim Period'!$D$129:D206)),'Sim Period'!D206-AVERAGE('Sim Period'!$D$129:D206),"")</f>
        <v>-0.0402269230769231</v>
      </c>
      <c r="S206" s="0" t="n">
        <v>1</v>
      </c>
    </row>
    <row r="207" customFormat="false" ht="14.1" hidden="false" customHeight="false" outlineLevel="0" collapsed="false">
      <c r="A207" s="0" t="n">
        <v>0</v>
      </c>
      <c r="I207" s="0" t="str">
        <f aca="false">IF('Sim Period'!D207&lt;(AVERAGE('Sim Period'!$D$149:D207)),'Sim Period'!D207-AVERAGE('Sim Period'!$D$149:D207),"")</f>
        <v/>
      </c>
      <c r="J207" s="0" t="str">
        <f aca="false">IF('Sim Period'!D207&lt;(AVERAGE('Sim Period'!$D$172:D207)),'Sim Period'!D207-AVERAGE('Sim Period'!$D$172:D207),"")</f>
        <v/>
      </c>
      <c r="K207" s="0" t="str">
        <f aca="false">IF('Sim Period'!D207&lt;(AVERAGE('Sim Period'!$D$192:D207)),'Sim Period'!D207-AVERAGE('Sim Period'!$D$192:D207),"")</f>
        <v/>
      </c>
      <c r="P207" s="0" t="str">
        <f aca="false">IF('Sim Period'!D207&lt;(AVERAGE('Sim Period'!$D$85:D207)),'Sim Period'!D207-AVERAGE('Sim Period'!$D$85:D207),"")</f>
        <v/>
      </c>
      <c r="Q207" s="0" t="str">
        <f aca="false">IF('Sim Period'!D207&lt;(AVERAGE('Sim Period'!$D$107:D207)),'Sim Period'!D207-AVERAGE('Sim Period'!$D$107:D207),"")</f>
        <v/>
      </c>
      <c r="R207" s="0" t="str">
        <f aca="false">IF('Sim Period'!D207&lt;(AVERAGE('Sim Period'!$D$129:D207)),'Sim Period'!D207-AVERAGE('Sim Period'!$D$129:D207),"")</f>
        <v/>
      </c>
      <c r="S207" s="0" t="n">
        <v>1</v>
      </c>
    </row>
    <row r="208" customFormat="false" ht="14.1" hidden="false" customHeight="false" outlineLevel="0" collapsed="false">
      <c r="A208" s="0" t="n">
        <v>0</v>
      </c>
      <c r="I208" s="19" t="n">
        <f aca="false">IF('Sim Period'!D208&lt;(AVERAGE('Sim Period'!$D$149:D208)),'Sim Period'!D208-AVERAGE('Sim Period'!$D$149:D208),"")</f>
        <v>-0.0453916666666667</v>
      </c>
      <c r="J208" s="19" t="n">
        <f aca="false">IF('Sim Period'!D208&lt;(AVERAGE('Sim Period'!$D$172:D208)),'Sim Period'!D208-AVERAGE('Sim Period'!$D$172:D208),"")</f>
        <v>-0.0457837837837838</v>
      </c>
      <c r="K208" s="19" t="n">
        <f aca="false">IF('Sim Period'!D208&lt;(AVERAGE('Sim Period'!$D$192:D208)),'Sim Period'!D208-AVERAGE('Sim Period'!$D$192:D208),"")</f>
        <v>-0.0480176470588235</v>
      </c>
      <c r="P208" s="19" t="n">
        <f aca="false">IF('Sim Period'!D208&lt;(AVERAGE('Sim Period'!$D$85:D208)),'Sim Period'!D208-AVERAGE('Sim Period'!$D$85:D208),"")</f>
        <v>-0.0445040322580645</v>
      </c>
      <c r="Q208" s="19" t="n">
        <f aca="false">IF('Sim Period'!D208&lt;(AVERAGE('Sim Period'!$D$107:D208)),'Sim Period'!D208-AVERAGE('Sim Period'!$D$107:D208),"")</f>
        <v>-0.0431647058823529</v>
      </c>
      <c r="R208" s="19" t="n">
        <f aca="false">IF('Sim Period'!D208&lt;(AVERAGE('Sim Period'!$D$129:D208)),'Sim Period'!D208-AVERAGE('Sim Period'!$D$129:D208),"")</f>
        <v>-0.04623</v>
      </c>
      <c r="S208" s="0" t="n">
        <v>1</v>
      </c>
    </row>
    <row r="209" customFormat="false" ht="14.1" hidden="false" customHeight="false" outlineLevel="0" collapsed="false">
      <c r="A209" s="0" t="n">
        <v>0</v>
      </c>
      <c r="I209" s="19" t="n">
        <f aca="false">IF('Sim Period'!D209&lt;(AVERAGE('Sim Period'!$D$149:D209)),'Sim Period'!D209-AVERAGE('Sim Period'!$D$149:D209),"")</f>
        <v>-0.0285163934426229</v>
      </c>
      <c r="J209" s="19" t="n">
        <f aca="false">IF('Sim Period'!D209&lt;(AVERAGE('Sim Period'!$D$172:D209)),'Sim Period'!D209-AVERAGE('Sim Period'!$D$172:D209),"")</f>
        <v>-0.0286105263157894</v>
      </c>
      <c r="K209" s="19" t="n">
        <f aca="false">IF('Sim Period'!D209&lt;(AVERAGE('Sim Period'!$D$192:D209)),'Sim Period'!D209-AVERAGE('Sim Period'!$D$192:D209),"")</f>
        <v>-0.029861111111111</v>
      </c>
      <c r="P209" s="19" t="n">
        <f aca="false">IF('Sim Period'!D209&lt;(AVERAGE('Sim Period'!$D$85:D209)),'Sim Period'!D209-AVERAGE('Sim Period'!$D$85:D209),"")</f>
        <v>-0.0278791999999999</v>
      </c>
      <c r="Q209" s="19" t="n">
        <f aca="false">IF('Sim Period'!D209&lt;(AVERAGE('Sim Period'!$D$107:D209)),'Sim Period'!D209-AVERAGE('Sim Period'!$D$107:D209),"")</f>
        <v>-0.0265048543689319</v>
      </c>
      <c r="R209" s="19" t="n">
        <f aca="false">IF('Sim Period'!D209&lt;(AVERAGE('Sim Period'!$D$129:D209)),'Sim Period'!D209-AVERAGE('Sim Period'!$D$129:D209),"")</f>
        <v>-0.0294617283950616</v>
      </c>
      <c r="S209" s="0" t="n">
        <v>1</v>
      </c>
    </row>
    <row r="210" customFormat="false" ht="14.1" hidden="false" customHeight="false" outlineLevel="0" collapsed="false">
      <c r="A210" s="0" t="n">
        <v>0</v>
      </c>
      <c r="I210" s="19" t="n">
        <f aca="false">IF('Sim Period'!D210&lt;(AVERAGE('Sim Period'!$D$149:D210)),'Sim Period'!D210-AVERAGE('Sim Period'!$D$149:D210),"")</f>
        <v>-0.00395161290322581</v>
      </c>
      <c r="J210" s="19" t="n">
        <f aca="false">IF('Sim Period'!D210&lt;(AVERAGE('Sim Period'!$D$172:D210)),'Sim Period'!D210-AVERAGE('Sim Period'!$D$172:D210),"")</f>
        <v>-0.00400512820512821</v>
      </c>
      <c r="K210" s="19" t="n">
        <f aca="false">IF('Sim Period'!D210&lt;(AVERAGE('Sim Period'!$D$192:D210)),'Sim Period'!D210-AVERAGE('Sim Period'!$D$192:D210),"")</f>
        <v>-0.00507894736842106</v>
      </c>
      <c r="P210" s="19" t="n">
        <f aca="false">IF('Sim Period'!D210&lt;(AVERAGE('Sim Period'!$D$85:D210)),'Sim Period'!D210-AVERAGE('Sim Period'!$D$85:D210),"")</f>
        <v>-0.00335238095238096</v>
      </c>
      <c r="Q210" s="19" t="n">
        <f aca="false">IF('Sim Period'!D210&lt;(AVERAGE('Sim Period'!$D$107:D210)),'Sim Period'!D210-AVERAGE('Sim Period'!$D$107:D210),"")</f>
        <v>-0.00198557692307693</v>
      </c>
      <c r="R210" s="19" t="n">
        <f aca="false">IF('Sim Period'!D210&lt;(AVERAGE('Sim Period'!$D$129:D210)),'Sim Period'!D210-AVERAGE('Sim Period'!$D$129:D210),"")</f>
        <v>-0.00490121951219513</v>
      </c>
      <c r="S210" s="0" t="n">
        <v>1</v>
      </c>
    </row>
    <row r="211" customFormat="false" ht="14.1" hidden="false" customHeight="false" outlineLevel="0" collapsed="false">
      <c r="A211" s="0" t="n">
        <v>0</v>
      </c>
      <c r="I211" s="0" t="str">
        <f aca="false">IF('Sim Period'!D211&lt;(AVERAGE('Sim Period'!$D$149:D211)),'Sim Period'!D211-AVERAGE('Sim Period'!$D$149:D211),"")</f>
        <v/>
      </c>
      <c r="J211" s="0" t="str">
        <f aca="false">IF('Sim Period'!D211&lt;(AVERAGE('Sim Period'!$D$172:D211)),'Sim Period'!D211-AVERAGE('Sim Period'!$D$172:D211),"")</f>
        <v/>
      </c>
      <c r="K211" s="0" t="str">
        <f aca="false">IF('Sim Period'!D211&lt;(AVERAGE('Sim Period'!$D$192:D211)),'Sim Period'!D211-AVERAGE('Sim Period'!$D$192:D211),"")</f>
        <v/>
      </c>
      <c r="P211" s="0" t="str">
        <f aca="false">IF('Sim Period'!D211&lt;(AVERAGE('Sim Period'!$D$85:D211)),'Sim Period'!D211-AVERAGE('Sim Period'!$D$85:D211),"")</f>
        <v/>
      </c>
      <c r="Q211" s="0" t="str">
        <f aca="false">IF('Sim Period'!D211&lt;(AVERAGE('Sim Period'!$D$107:D211)),'Sim Period'!D211-AVERAGE('Sim Period'!$D$107:D211),"")</f>
        <v/>
      </c>
      <c r="R211" s="0" t="str">
        <f aca="false">IF('Sim Period'!D211&lt;(AVERAGE('Sim Period'!$D$129:D211)),'Sim Period'!D211-AVERAGE('Sim Period'!$D$129:D211),"")</f>
        <v/>
      </c>
      <c r="S211" s="0" t="n">
        <v>1</v>
      </c>
    </row>
    <row r="212" customFormat="false" ht="14.1" hidden="false" customHeight="false" outlineLevel="0" collapsed="false">
      <c r="A212" s="0" t="n">
        <v>0</v>
      </c>
      <c r="I212" s="0" t="str">
        <f aca="false">IF('Sim Period'!D212&lt;(AVERAGE('Sim Period'!$D$149:D212)),'Sim Period'!D212-AVERAGE('Sim Period'!$D$149:D212),"")</f>
        <v/>
      </c>
      <c r="J212" s="0" t="str">
        <f aca="false">IF('Sim Period'!D212&lt;(AVERAGE('Sim Period'!$D$172:D212)),'Sim Period'!D212-AVERAGE('Sim Period'!$D$172:D212),"")</f>
        <v/>
      </c>
      <c r="K212" s="0" t="str">
        <f aca="false">IF('Sim Period'!D212&lt;(AVERAGE('Sim Period'!$D$192:D212)),'Sim Period'!D212-AVERAGE('Sim Period'!$D$192:D212),"")</f>
        <v/>
      </c>
      <c r="P212" s="0" t="str">
        <f aca="false">IF('Sim Period'!D212&lt;(AVERAGE('Sim Period'!$D$85:D212)),'Sim Period'!D212-AVERAGE('Sim Period'!$D$85:D212),"")</f>
        <v/>
      </c>
      <c r="Q212" s="0" t="str">
        <f aca="false">IF('Sim Period'!D212&lt;(AVERAGE('Sim Period'!$D$107:D212)),'Sim Period'!D212-AVERAGE('Sim Period'!$D$107:D212),"")</f>
        <v/>
      </c>
      <c r="R212" s="0" t="str">
        <f aca="false">IF('Sim Period'!D212&lt;(AVERAGE('Sim Period'!$D$129:D212)),'Sim Period'!D212-AVERAGE('Sim Period'!$D$129:D212),"")</f>
        <v/>
      </c>
      <c r="S212" s="0" t="n">
        <v>1</v>
      </c>
    </row>
    <row r="213" customFormat="false" ht="14.1" hidden="false" customHeight="false" outlineLevel="0" collapsed="false">
      <c r="A213" s="0" t="n">
        <v>10</v>
      </c>
      <c r="I213" s="0" t="str">
        <f aca="false">IF('Sim Period'!D213&lt;(AVERAGE('Sim Period'!$D$149:D213)),'Sim Period'!D213-AVERAGE('Sim Period'!$D$149:D213),"")</f>
        <v/>
      </c>
      <c r="J213" s="0" t="str">
        <f aca="false">IF('Sim Period'!D213&lt;(AVERAGE('Sim Period'!$D$172:D213)),'Sim Period'!D213-AVERAGE('Sim Period'!$D$172:D213),"")</f>
        <v/>
      </c>
      <c r="K213" s="0" t="str">
        <f aca="false">IF('Sim Period'!D213&lt;(AVERAGE('Sim Period'!$D$192:D213)),'Sim Period'!D213-AVERAGE('Sim Period'!$D$192:D213),"")</f>
        <v/>
      </c>
      <c r="P213" s="0" t="str">
        <f aca="false">IF('Sim Period'!D213&lt;(AVERAGE('Sim Period'!$D$85:D213)),'Sim Period'!D213-AVERAGE('Sim Period'!$D$85:D213),"")</f>
        <v/>
      </c>
      <c r="Q213" s="0" t="str">
        <f aca="false">IF('Sim Period'!D213&lt;(AVERAGE('Sim Period'!$D$107:D213)),'Sim Period'!D213-AVERAGE('Sim Period'!$D$107:D213),"")</f>
        <v/>
      </c>
      <c r="R213" s="0" t="str">
        <f aca="false">IF('Sim Period'!D213&lt;(AVERAGE('Sim Period'!$D$129:D213)),'Sim Period'!D213-AVERAGE('Sim Period'!$D$129:D213),"")</f>
        <v/>
      </c>
      <c r="S213" s="0" t="n">
        <v>1</v>
      </c>
    </row>
    <row r="214" customFormat="false" ht="14.1" hidden="false" customHeight="false" outlineLevel="0" collapsed="false">
      <c r="A214" s="0" t="n">
        <v>0</v>
      </c>
      <c r="J214" s="0" t="str">
        <f aca="false">IF('Sim Period'!D214&lt;(AVERAGE('Sim Period'!$D$172:D214)),'Sim Period'!D214-AVERAGE('Sim Period'!$D$172:D214),"")</f>
        <v/>
      </c>
      <c r="K214" s="0" t="str">
        <f aca="false">IF('Sim Period'!D214&lt;(AVERAGE('Sim Period'!$D$192:D214)),'Sim Period'!D214-AVERAGE('Sim Period'!$D$192:D214),"")</f>
        <v/>
      </c>
      <c r="Q214" s="0" t="str">
        <f aca="false">IF('Sim Period'!D214&lt;(AVERAGE('Sim Period'!$D$107:D214)),'Sim Period'!D214-AVERAGE('Sim Period'!$D$107:D214),"")</f>
        <v/>
      </c>
      <c r="R214" s="0" t="str">
        <f aca="false">IF('Sim Period'!D214&lt;(AVERAGE('Sim Period'!$D$129:D214)),'Sim Period'!D214-AVERAGE('Sim Period'!$D$129:D214),"")</f>
        <v/>
      </c>
      <c r="S214" s="0" t="n">
        <v>1</v>
      </c>
    </row>
    <row r="215" customFormat="false" ht="14.1" hidden="false" customHeight="false" outlineLevel="0" collapsed="false">
      <c r="A215" s="0" t="n">
        <v>0</v>
      </c>
      <c r="J215" s="0" t="str">
        <f aca="false">IF('Sim Period'!D215&lt;(AVERAGE('Sim Period'!$D$172:D215)),'Sim Period'!D215-AVERAGE('Sim Period'!$D$172:D215),"")</f>
        <v/>
      </c>
      <c r="K215" s="0" t="str">
        <f aca="false">IF('Sim Period'!D215&lt;(AVERAGE('Sim Period'!$D$192:D215)),'Sim Period'!D215-AVERAGE('Sim Period'!$D$192:D215),"")</f>
        <v/>
      </c>
      <c r="Q215" s="0" t="str">
        <f aca="false">IF('Sim Period'!D215&lt;(AVERAGE('Sim Period'!$D$107:D215)),'Sim Period'!D215-AVERAGE('Sim Period'!$D$107:D215),"")</f>
        <v/>
      </c>
      <c r="R215" s="0" t="str">
        <f aca="false">IF('Sim Period'!D215&lt;(AVERAGE('Sim Period'!$D$129:D215)),'Sim Period'!D215-AVERAGE('Sim Period'!$D$129:D215),"")</f>
        <v/>
      </c>
      <c r="S215" s="0" t="n">
        <v>1</v>
      </c>
    </row>
    <row r="216" customFormat="false" ht="14.1" hidden="false" customHeight="false" outlineLevel="0" collapsed="false">
      <c r="A216" s="0" t="n">
        <v>0</v>
      </c>
      <c r="J216" s="19" t="n">
        <f aca="false">IF('Sim Period'!D216&lt;(AVERAGE('Sim Period'!$D$172:D216)),'Sim Period'!D216-AVERAGE('Sim Period'!$D$172:D216),"")</f>
        <v>-0.00118222222222218</v>
      </c>
      <c r="K216" s="19" t="n">
        <f aca="false">IF('Sim Period'!D216&lt;(AVERAGE('Sim Period'!$D$192:D216)),'Sim Period'!D216-AVERAGE('Sim Period'!$D$192:D216),"")</f>
        <v>-0.00397999999999996</v>
      </c>
      <c r="Q216" s="0" t="str">
        <f aca="false">IF('Sim Period'!D216&lt;(AVERAGE('Sim Period'!$D$107:D216)),'Sim Period'!D216-AVERAGE('Sim Period'!$D$107:D216),"")</f>
        <v/>
      </c>
      <c r="R216" s="19" t="n">
        <f aca="false">IF('Sim Period'!D216&lt;(AVERAGE('Sim Period'!$D$129:D216)),'Sim Period'!D216-AVERAGE('Sim Period'!$D$129:D216),"")</f>
        <v>-0.000806818181818147</v>
      </c>
      <c r="S216" s="0" t="n">
        <v>1</v>
      </c>
    </row>
    <row r="217" customFormat="false" ht="14.1" hidden="false" customHeight="false" outlineLevel="0" collapsed="false">
      <c r="A217" s="0" t="n">
        <v>0</v>
      </c>
      <c r="J217" s="0" t="str">
        <f aca="false">IF('Sim Period'!D217&lt;(AVERAGE('Sim Period'!$D$172:D217)),'Sim Period'!D217-AVERAGE('Sim Period'!$D$172:D217),"")</f>
        <v/>
      </c>
      <c r="K217" s="0" t="str">
        <f aca="false">IF('Sim Period'!D217&lt;(AVERAGE('Sim Period'!$D$192:D217)),'Sim Period'!D217-AVERAGE('Sim Period'!$D$192:D217),"")</f>
        <v/>
      </c>
      <c r="Q217" s="0" t="str">
        <f aca="false">IF('Sim Period'!D217&lt;(AVERAGE('Sim Period'!$D$107:D217)),'Sim Period'!D217-AVERAGE('Sim Period'!$D$107:D217),"")</f>
        <v/>
      </c>
      <c r="R217" s="0" t="str">
        <f aca="false">IF('Sim Period'!D217&lt;(AVERAGE('Sim Period'!$D$129:D217)),'Sim Period'!D217-AVERAGE('Sim Period'!$D$129:D217),"")</f>
        <v/>
      </c>
      <c r="S217" s="0" t="n">
        <v>1</v>
      </c>
    </row>
    <row r="218" customFormat="false" ht="14.1" hidden="false" customHeight="false" outlineLevel="0" collapsed="false">
      <c r="A218" s="0" t="n">
        <v>0</v>
      </c>
      <c r="J218" s="19" t="n">
        <f aca="false">IF('Sim Period'!D218&lt;(AVERAGE('Sim Period'!$D$172:D218)),'Sim Period'!D218-AVERAGE('Sim Period'!$D$172:D218),"")</f>
        <v>-0.0184042553191489</v>
      </c>
      <c r="K218" s="19" t="n">
        <f aca="false">IF('Sim Period'!D218&lt;(AVERAGE('Sim Period'!$D$192:D218)),'Sim Period'!D218-AVERAGE('Sim Period'!$D$192:D218),"")</f>
        <v>-0.0210851851851852</v>
      </c>
      <c r="Q218" s="19" t="n">
        <f aca="false">IF('Sim Period'!D218&lt;(AVERAGE('Sim Period'!$D$107:D218)),'Sim Period'!D218-AVERAGE('Sim Period'!$D$107:D218),"")</f>
        <v>-0.0150205357142857</v>
      </c>
      <c r="R218" s="19" t="n">
        <f aca="false">IF('Sim Period'!D218&lt;(AVERAGE('Sim Period'!$D$129:D218)),'Sim Period'!D218-AVERAGE('Sim Period'!$D$129:D218),"")</f>
        <v>-0.0179788888888889</v>
      </c>
      <c r="S218" s="0" t="n">
        <v>1</v>
      </c>
    </row>
    <row r="219" customFormat="false" ht="14.1" hidden="false" customHeight="false" outlineLevel="0" collapsed="false">
      <c r="A219" s="0" t="n">
        <v>0</v>
      </c>
      <c r="J219" s="19" t="n">
        <f aca="false">IF('Sim Period'!D219&lt;(AVERAGE('Sim Period'!$D$172:D219)),'Sim Period'!D219-AVERAGE('Sim Period'!$D$172:D219),"")</f>
        <v>-0.02928125</v>
      </c>
      <c r="K219" s="19" t="n">
        <f aca="false">IF('Sim Period'!D219&lt;(AVERAGE('Sim Period'!$D$192:D219)),'Sim Period'!D219-AVERAGE('Sim Period'!$D$192:D219),"")</f>
        <v>-0.0314214285714286</v>
      </c>
      <c r="Q219" s="19" t="n">
        <f aca="false">IF('Sim Period'!D219&lt;(AVERAGE('Sim Period'!$D$107:D219)),'Sim Period'!D219-AVERAGE('Sim Period'!$D$107:D219),"")</f>
        <v>-0.0262858407079646</v>
      </c>
      <c r="R219" s="19" t="n">
        <f aca="false">IF('Sim Period'!D219&lt;(AVERAGE('Sim Period'!$D$129:D219)),'Sim Period'!D219-AVERAGE('Sim Period'!$D$129:D219),"")</f>
        <v>-0.0291549450549451</v>
      </c>
      <c r="S219" s="0" t="n">
        <v>1</v>
      </c>
    </row>
    <row r="220" customFormat="false" ht="14.1" hidden="false" customHeight="false" outlineLevel="0" collapsed="false">
      <c r="A220" s="0" t="n">
        <v>0</v>
      </c>
      <c r="J220" s="0" t="str">
        <f aca="false">IF('Sim Period'!D220&lt;(AVERAGE('Sim Period'!$D$172:D220)),'Sim Period'!D220-AVERAGE('Sim Period'!$D$172:D220),"")</f>
        <v/>
      </c>
      <c r="K220" s="0" t="str">
        <f aca="false">IF('Sim Period'!D220&lt;(AVERAGE('Sim Period'!$D$192:D220)),'Sim Period'!D220-AVERAGE('Sim Period'!$D$192:D220),"")</f>
        <v/>
      </c>
      <c r="Q220" s="0" t="str">
        <f aca="false">IF('Sim Period'!D220&lt;(AVERAGE('Sim Period'!$D$107:D220)),'Sim Period'!D220-AVERAGE('Sim Period'!$D$107:D220),"")</f>
        <v/>
      </c>
      <c r="R220" s="0" t="str">
        <f aca="false">IF('Sim Period'!D220&lt;(AVERAGE('Sim Period'!$D$129:D220)),'Sim Period'!D220-AVERAGE('Sim Period'!$D$129:D220),"")</f>
        <v/>
      </c>
      <c r="S220" s="0" t="n">
        <v>1</v>
      </c>
    </row>
    <row r="221" customFormat="false" ht="14.1" hidden="false" customHeight="false" outlineLevel="0" collapsed="false">
      <c r="A221" s="0" t="n">
        <v>0</v>
      </c>
      <c r="J221" s="0" t="str">
        <f aca="false">IF('Sim Period'!D221&lt;(AVERAGE('Sim Period'!$D$172:D221)),'Sim Period'!D221-AVERAGE('Sim Period'!$D$172:D221),"")</f>
        <v/>
      </c>
      <c r="K221" s="0" t="str">
        <f aca="false">IF('Sim Period'!D221&lt;(AVERAGE('Sim Period'!$D$192:D221)),'Sim Period'!D221-AVERAGE('Sim Period'!$D$192:D221),"")</f>
        <v/>
      </c>
      <c r="Q221" s="0" t="str">
        <f aca="false">IF('Sim Period'!D221&lt;(AVERAGE('Sim Period'!$D$107:D221)),'Sim Period'!D221-AVERAGE('Sim Period'!$D$107:D221),"")</f>
        <v/>
      </c>
      <c r="R221" s="0" t="str">
        <f aca="false">IF('Sim Period'!D221&lt;(AVERAGE('Sim Period'!$D$129:D221)),'Sim Period'!D221-AVERAGE('Sim Period'!$D$129:D221),"")</f>
        <v/>
      </c>
      <c r="S221" s="0" t="n">
        <v>1</v>
      </c>
    </row>
    <row r="222" customFormat="false" ht="14.1" hidden="false" customHeight="false" outlineLevel="0" collapsed="false">
      <c r="A222" s="0" t="n">
        <v>0</v>
      </c>
      <c r="J222" s="19" t="n">
        <f aca="false">IF('Sim Period'!D222&lt;(AVERAGE('Sim Period'!$D$172:D222)),'Sim Period'!D222-AVERAGE('Sim Period'!$D$172:D222),"")</f>
        <v>-0.00384509803921579</v>
      </c>
      <c r="K222" s="19" t="n">
        <f aca="false">IF('Sim Period'!D222&lt;(AVERAGE('Sim Period'!$D$192:D222)),'Sim Period'!D222-AVERAGE('Sim Period'!$D$192:D222),"")</f>
        <v>-0.00620645161290333</v>
      </c>
      <c r="Q222" s="19" t="n">
        <f aca="false">IF('Sim Period'!D222&lt;(AVERAGE('Sim Period'!$D$107:D222)),'Sim Period'!D222-AVERAGE('Sim Period'!$D$107:D222),"")</f>
        <v>-0.000555172413793212</v>
      </c>
      <c r="R222" s="19" t="n">
        <f aca="false">IF('Sim Period'!D222&lt;(AVERAGE('Sim Period'!$D$129:D222)),'Sim Period'!D222-AVERAGE('Sim Period'!$D$129:D222),"")</f>
        <v>-0.00341914893617032</v>
      </c>
      <c r="S222" s="0" t="n">
        <v>1</v>
      </c>
    </row>
    <row r="223" customFormat="false" ht="14.1" hidden="false" customHeight="false" outlineLevel="0" collapsed="false">
      <c r="A223" s="0" t="n">
        <v>0</v>
      </c>
      <c r="J223" s="0" t="str">
        <f aca="false">IF('Sim Period'!D223&lt;(AVERAGE('Sim Period'!$D$172:D223)),'Sim Period'!D223-AVERAGE('Sim Period'!$D$172:D223),"")</f>
        <v/>
      </c>
      <c r="K223" s="0" t="str">
        <f aca="false">IF('Sim Period'!D223&lt;(AVERAGE('Sim Period'!$D$192:D223)),'Sim Period'!D223-AVERAGE('Sim Period'!$D$192:D223),"")</f>
        <v/>
      </c>
      <c r="Q223" s="0" t="str">
        <f aca="false">IF('Sim Period'!D223&lt;(AVERAGE('Sim Period'!$D$107:D223)),'Sim Period'!D223-AVERAGE('Sim Period'!$D$107:D223),"")</f>
        <v/>
      </c>
      <c r="R223" s="0" t="str">
        <f aca="false">IF('Sim Period'!D223&lt;(AVERAGE('Sim Period'!$D$129:D223)),'Sim Period'!D223-AVERAGE('Sim Period'!$D$129:D223),"")</f>
        <v/>
      </c>
      <c r="S223" s="0" t="n">
        <v>1</v>
      </c>
    </row>
    <row r="224" customFormat="false" ht="14.1" hidden="false" customHeight="false" outlineLevel="0" collapsed="false">
      <c r="A224" s="0" t="n">
        <v>0</v>
      </c>
      <c r="J224" s="19" t="n">
        <f aca="false">IF('Sim Period'!D224&lt;(AVERAGE('Sim Period'!$D$172:D224)),'Sim Period'!D224-AVERAGE('Sim Period'!$D$172:D224),"")</f>
        <v>-0.00324905660377359</v>
      </c>
      <c r="K224" s="19" t="n">
        <f aca="false">IF('Sim Period'!D224&lt;(AVERAGE('Sim Period'!$D$192:D224)),'Sim Period'!D224-AVERAGE('Sim Period'!$D$192:D224),"")</f>
        <v>-0.00565151515151515</v>
      </c>
      <c r="Q224" s="0" t="str">
        <f aca="false">IF('Sim Period'!D224&lt;(AVERAGE('Sim Period'!$D$107:D224)),'Sim Period'!D224-AVERAGE('Sim Period'!$D$107:D224),"")</f>
        <v/>
      </c>
      <c r="R224" s="19" t="n">
        <f aca="false">IF('Sim Period'!D224&lt;(AVERAGE('Sim Period'!$D$129:D224)),'Sim Period'!D224-AVERAGE('Sim Period'!$D$129:D224),"")</f>
        <v>-0.00269583333333334</v>
      </c>
      <c r="S224" s="0" t="n">
        <v>1</v>
      </c>
    </row>
    <row r="225" customFormat="false" ht="14.1" hidden="false" customHeight="false" outlineLevel="0" collapsed="false">
      <c r="A225" s="0" t="n">
        <v>0</v>
      </c>
      <c r="J225" s="0" t="str">
        <f aca="false">IF('Sim Period'!D225&lt;(AVERAGE('Sim Period'!$D$172:D225)),'Sim Period'!D225-AVERAGE('Sim Period'!$D$172:D225),"")</f>
        <v/>
      </c>
      <c r="K225" s="0" t="str">
        <f aca="false">IF('Sim Period'!D225&lt;(AVERAGE('Sim Period'!$D$192:D225)),'Sim Period'!D225-AVERAGE('Sim Period'!$D$192:D225),"")</f>
        <v/>
      </c>
      <c r="Q225" s="0" t="str">
        <f aca="false">IF('Sim Period'!D225&lt;(AVERAGE('Sim Period'!$D$107:D225)),'Sim Period'!D225-AVERAGE('Sim Period'!$D$107:D225),"")</f>
        <v/>
      </c>
      <c r="R225" s="0" t="str">
        <f aca="false">IF('Sim Period'!D225&lt;(AVERAGE('Sim Period'!$D$129:D225)),'Sim Period'!D225-AVERAGE('Sim Period'!$D$129:D225),"")</f>
        <v/>
      </c>
      <c r="S225" s="0" t="n">
        <v>1</v>
      </c>
    </row>
    <row r="226" customFormat="false" ht="14.1" hidden="false" customHeight="false" outlineLevel="0" collapsed="false">
      <c r="A226" s="0" t="n">
        <v>0</v>
      </c>
      <c r="J226" s="0" t="str">
        <f aca="false">IF('Sim Period'!D226&lt;(AVERAGE('Sim Period'!$D$172:D226)),'Sim Period'!D226-AVERAGE('Sim Period'!$D$172:D226),"")</f>
        <v/>
      </c>
      <c r="K226" s="0" t="str">
        <f aca="false">IF('Sim Period'!D226&lt;(AVERAGE('Sim Period'!$D$192:D226)),'Sim Period'!D226-AVERAGE('Sim Period'!$D$192:D226),"")</f>
        <v/>
      </c>
      <c r="Q226" s="0" t="str">
        <f aca="false">IF('Sim Period'!D226&lt;(AVERAGE('Sim Period'!$D$107:D226)),'Sim Period'!D226-AVERAGE('Sim Period'!$D$107:D226),"")</f>
        <v/>
      </c>
      <c r="R226" s="0" t="str">
        <f aca="false">IF('Sim Period'!D226&lt;(AVERAGE('Sim Period'!$D$129:D226)),'Sim Period'!D226-AVERAGE('Sim Period'!$D$129:D226),"")</f>
        <v/>
      </c>
      <c r="S226" s="0" t="n">
        <v>1</v>
      </c>
    </row>
    <row r="227" customFormat="false" ht="14.1" hidden="false" customHeight="false" outlineLevel="0" collapsed="false">
      <c r="A227" s="0" t="n">
        <v>0</v>
      </c>
      <c r="J227" s="19" t="n">
        <f aca="false">IF('Sim Period'!D227&lt;(AVERAGE('Sim Period'!$D$172:D227)),'Sim Period'!D227-AVERAGE('Sim Period'!$D$172:D227),"")</f>
        <v>-0.0415624999999999</v>
      </c>
      <c r="K227" s="19" t="n">
        <f aca="false">IF('Sim Period'!D227&lt;(AVERAGE('Sim Period'!$D$192:D227)),'Sim Period'!D227-AVERAGE('Sim Period'!$D$192:D227),"")</f>
        <v>-0.0438277777777777</v>
      </c>
      <c r="Q227" s="19" t="n">
        <f aca="false">IF('Sim Period'!D227&lt;(AVERAGE('Sim Period'!$D$107:D227)),'Sim Period'!D227-AVERAGE('Sim Period'!$D$107:D227),"")</f>
        <v>-0.0381842975206611</v>
      </c>
      <c r="R227" s="19" t="n">
        <f aca="false">IF('Sim Period'!D227&lt;(AVERAGE('Sim Period'!$D$129:D227)),'Sim Period'!D227-AVERAGE('Sim Period'!$D$129:D227),"")</f>
        <v>-0.0409767676767676</v>
      </c>
      <c r="S227" s="0" t="n">
        <v>1</v>
      </c>
    </row>
    <row r="228" customFormat="false" ht="14.1" hidden="false" customHeight="false" outlineLevel="0" collapsed="false">
      <c r="A228" s="0" t="n">
        <v>0</v>
      </c>
      <c r="J228" s="0" t="str">
        <f aca="false">IF('Sim Period'!D228&lt;(AVERAGE('Sim Period'!$D$172:D228)),'Sim Period'!D228-AVERAGE('Sim Period'!$D$172:D228),"")</f>
        <v/>
      </c>
      <c r="K228" s="0" t="str">
        <f aca="false">IF('Sim Period'!D228&lt;(AVERAGE('Sim Period'!$D$192:D228)),'Sim Period'!D228-AVERAGE('Sim Period'!$D$192:D228),"")</f>
        <v/>
      </c>
      <c r="Q228" s="0" t="str">
        <f aca="false">IF('Sim Period'!D228&lt;(AVERAGE('Sim Period'!$D$107:D228)),'Sim Period'!D228-AVERAGE('Sim Period'!$D$107:D228),"")</f>
        <v/>
      </c>
      <c r="R228" s="0" t="str">
        <f aca="false">IF('Sim Period'!D228&lt;(AVERAGE('Sim Period'!$D$129:D228)),'Sim Period'!D228-AVERAGE('Sim Period'!$D$129:D228),"")</f>
        <v/>
      </c>
      <c r="S228" s="0" t="n">
        <v>1</v>
      </c>
    </row>
    <row r="229" customFormat="false" ht="14.1" hidden="false" customHeight="false" outlineLevel="0" collapsed="false">
      <c r="A229" s="0" t="n">
        <v>0</v>
      </c>
      <c r="J229" s="19" t="n">
        <f aca="false">IF('Sim Period'!D229&lt;(AVERAGE('Sim Period'!$D$172:D229)),'Sim Period'!D229-AVERAGE('Sim Period'!$D$172:D229),"")</f>
        <v>-0.0258189655172415</v>
      </c>
      <c r="K229" s="19" t="n">
        <f aca="false">IF('Sim Period'!D229&lt;(AVERAGE('Sim Period'!$D$192:D229)),'Sim Period'!D229-AVERAGE('Sim Period'!$D$192:D229),"")</f>
        <v>-0.0281526315789475</v>
      </c>
      <c r="Q229" s="19" t="n">
        <f aca="false">IF('Sim Period'!D229&lt;(AVERAGE('Sim Period'!$D$107:D229)),'Sim Period'!D229-AVERAGE('Sim Period'!$D$107:D229),"")</f>
        <v>-0.0223073170731708</v>
      </c>
      <c r="R229" s="19" t="n">
        <f aca="false">IF('Sim Period'!D229&lt;(AVERAGE('Sim Period'!$D$129:D229)),'Sim Period'!D229-AVERAGE('Sim Period'!$D$129:D229),"")</f>
        <v>-0.0250930693069308</v>
      </c>
      <c r="S229" s="0" t="n">
        <v>1</v>
      </c>
    </row>
    <row r="230" customFormat="false" ht="14.1" hidden="false" customHeight="false" outlineLevel="0" collapsed="false">
      <c r="A230" s="0" t="n">
        <v>0</v>
      </c>
      <c r="J230" s="19" t="n">
        <f aca="false">IF('Sim Period'!D230&lt;(AVERAGE('Sim Period'!$D$172:D230)),'Sim Period'!D230-AVERAGE('Sim Period'!$D$172:D230),"")</f>
        <v>-0.0359983050847458</v>
      </c>
      <c r="K230" s="19" t="n">
        <f aca="false">IF('Sim Period'!D230&lt;(AVERAGE('Sim Period'!$D$192:D230)),'Sim Period'!D230-AVERAGE('Sim Period'!$D$192:D230),"")</f>
        <v>-0.0379538461538462</v>
      </c>
      <c r="Q230" s="19" t="n">
        <f aca="false">IF('Sim Period'!D230&lt;(AVERAGE('Sim Period'!$D$107:D230)),'Sim Period'!D230-AVERAGE('Sim Period'!$D$107:D230),"")</f>
        <v>-0.0328403225806452</v>
      </c>
      <c r="R230" s="19" t="n">
        <f aca="false">IF('Sim Period'!D230&lt;(AVERAGE('Sim Period'!$D$129:D230)),'Sim Period'!D230-AVERAGE('Sim Period'!$D$129:D230),"")</f>
        <v>-0.0355411764705882</v>
      </c>
      <c r="S230" s="0" t="n">
        <v>1</v>
      </c>
    </row>
    <row r="231" customFormat="false" ht="14.1" hidden="false" customHeight="false" outlineLevel="0" collapsed="false">
      <c r="A231" s="0" t="n">
        <v>0</v>
      </c>
      <c r="J231" s="19" t="n">
        <f aca="false">IF('Sim Period'!D231&lt;(AVERAGE('Sim Period'!$D$172:D231)),'Sim Period'!D231-AVERAGE('Sim Period'!$D$172:D231),"")</f>
        <v>-0.00629166666666664</v>
      </c>
      <c r="K231" s="19" t="n">
        <f aca="false">IF('Sim Period'!D231&lt;(AVERAGE('Sim Period'!$D$192:D231)),'Sim Period'!D231-AVERAGE('Sim Period'!$D$192:D231),"")</f>
        <v>-0.00814499999999997</v>
      </c>
      <c r="Q231" s="19" t="n">
        <f aca="false">IF('Sim Period'!D231&lt;(AVERAGE('Sim Period'!$D$107:D231)),'Sim Period'!D231-AVERAGE('Sim Period'!$D$107:D231),"")</f>
        <v>-0.00321439999999998</v>
      </c>
      <c r="R231" s="19" t="n">
        <f aca="false">IF('Sim Period'!D231&lt;(AVERAGE('Sim Period'!$D$129:D231)),'Sim Period'!D231-AVERAGE('Sim Period'!$D$129:D231),"")</f>
        <v>-0.00588349514563104</v>
      </c>
      <c r="S231" s="0" t="n">
        <v>1</v>
      </c>
    </row>
    <row r="232" customFormat="false" ht="14.1" hidden="false" customHeight="false" outlineLevel="0" collapsed="false">
      <c r="A232" s="0" t="n">
        <v>0</v>
      </c>
      <c r="J232" s="19" t="n">
        <f aca="false">IF('Sim Period'!D232&lt;(AVERAGE('Sim Period'!$D$172:D232)),'Sim Period'!D232-AVERAGE('Sim Period'!$D$172:D232),"")</f>
        <v>-0.0116967213114754</v>
      </c>
      <c r="K232" s="19" t="n">
        <f aca="false">IF('Sim Period'!D232&lt;(AVERAGE('Sim Period'!$D$192:D232)),'Sim Period'!D232-AVERAGE('Sim Period'!$D$192:D232),"")</f>
        <v>-0.013409756097561</v>
      </c>
      <c r="Q232" s="19" t="n">
        <f aca="false">IF('Sim Period'!D232&lt;(AVERAGE('Sim Period'!$D$107:D232)),'Sim Period'!D232-AVERAGE('Sim Period'!$D$107:D232),"")</f>
        <v>-0.00874444444444442</v>
      </c>
      <c r="R232" s="19" t="n">
        <f aca="false">IF('Sim Period'!D232&lt;(AVERAGE('Sim Period'!$D$129:D232)),'Sim Period'!D232-AVERAGE('Sim Period'!$D$129:D232),"")</f>
        <v>-0.0113730769230769</v>
      </c>
      <c r="S232" s="0" t="n">
        <v>1</v>
      </c>
    </row>
    <row r="233" customFormat="false" ht="14.1" hidden="false" customHeight="false" outlineLevel="0" collapsed="false">
      <c r="A233" s="0" t="n">
        <v>0</v>
      </c>
      <c r="J233" s="19" t="n">
        <f aca="false">IF('Sim Period'!D233&lt;(AVERAGE('Sim Period'!$D$172:D233)),'Sim Period'!D233-AVERAGE('Sim Period'!$D$172:D233),"")</f>
        <v>-0.0154435483870969</v>
      </c>
      <c r="K233" s="19" t="n">
        <f aca="false">IF('Sim Period'!D233&lt;(AVERAGE('Sim Period'!$D$192:D233)),'Sim Period'!D233-AVERAGE('Sim Period'!$D$192:D233),"")</f>
        <v>-0.0169952380952382</v>
      </c>
      <c r="Q233" s="19" t="n">
        <f aca="false">IF('Sim Period'!D233&lt;(AVERAGE('Sim Period'!$D$107:D233)),'Sim Period'!D233-AVERAGE('Sim Period'!$D$107:D233),"")</f>
        <v>-0.0126440944881891</v>
      </c>
      <c r="R233" s="19" t="n">
        <f aca="false">IF('Sim Period'!D233&lt;(AVERAGE('Sim Period'!$D$129:D233)),'Sim Period'!D233-AVERAGE('Sim Period'!$D$129:D233),"")</f>
        <v>-0.0152266666666668</v>
      </c>
      <c r="S233" s="0" t="n">
        <v>1</v>
      </c>
    </row>
    <row r="234" customFormat="false" ht="14.1" hidden="false" customHeight="false" outlineLevel="0" collapsed="false">
      <c r="A234" s="0" t="n">
        <v>11</v>
      </c>
      <c r="J234" s="19" t="n">
        <f aca="false">IF('Sim Period'!D234&lt;(AVERAGE('Sim Period'!$D$172:D234)),'Sim Period'!D234-AVERAGE('Sim Period'!$D$172:D234),"")</f>
        <v>-0.0273031746031746</v>
      </c>
      <c r="K234" s="19" t="n">
        <f aca="false">IF('Sim Period'!D234&lt;(AVERAGE('Sim Period'!$D$192:D234)),'Sim Period'!D234-AVERAGE('Sim Period'!$D$192:D234),"")</f>
        <v>-0.0286139534883721</v>
      </c>
      <c r="Q234" s="19" t="n">
        <f aca="false">IF('Sim Period'!D234&lt;(AVERAGE('Sim Period'!$D$107:D234)),'Sim Period'!D234-AVERAGE('Sim Period'!$D$107:D234),"")</f>
        <v>-0.02474921875</v>
      </c>
      <c r="R234" s="19" t="n">
        <f aca="false">IF('Sim Period'!D234&lt;(AVERAGE('Sim Period'!$D$129:D234)),'Sim Period'!D234-AVERAGE('Sim Period'!$D$129:D234),"")</f>
        <v>-0.0272669811320755</v>
      </c>
      <c r="S234" s="0" t="n">
        <v>1</v>
      </c>
    </row>
    <row r="235" customFormat="false" ht="14.1" hidden="false" customHeight="false" outlineLevel="0" collapsed="false">
      <c r="A235" s="0" t="n">
        <v>0</v>
      </c>
      <c r="K235" s="0" t="str">
        <f aca="false">IF('Sim Period'!D235&lt;(AVERAGE('Sim Period'!$D$192:D235)),'Sim Period'!D235-AVERAGE('Sim Period'!$D$192:D235),"")</f>
        <v/>
      </c>
      <c r="R235" s="0" t="str">
        <f aca="false">IF('Sim Period'!D235&lt;(AVERAGE('Sim Period'!$D$129:D235)),'Sim Period'!D235-AVERAGE('Sim Period'!$D$129:D235),"")</f>
        <v/>
      </c>
      <c r="S235" s="0" t="n">
        <v>1</v>
      </c>
    </row>
    <row r="236" customFormat="false" ht="14.1" hidden="false" customHeight="false" outlineLevel="0" collapsed="false">
      <c r="A236" s="0" t="n">
        <v>0</v>
      </c>
      <c r="K236" s="19" t="n">
        <f aca="false">IF('Sim Period'!D236&lt;(AVERAGE('Sim Period'!$D$192:D236)),'Sim Period'!D236-AVERAGE('Sim Period'!$D$192:D236),"")</f>
        <v>-0.0343466666666667</v>
      </c>
      <c r="R236" s="19" t="n">
        <f aca="false">IF('Sim Period'!D236&lt;(AVERAGE('Sim Period'!$D$129:D236)),'Sim Period'!D236-AVERAGE('Sim Period'!$D$129:D236),"")</f>
        <v>-0.0328888888888889</v>
      </c>
      <c r="S236" s="0" t="n">
        <v>1</v>
      </c>
    </row>
    <row r="237" customFormat="false" ht="14.1" hidden="false" customHeight="false" outlineLevel="0" collapsed="false">
      <c r="A237" s="0" t="n">
        <v>0</v>
      </c>
      <c r="K237" s="19" t="n">
        <f aca="false">IF('Sim Period'!D237&lt;(AVERAGE('Sim Period'!$D$192:D237)),'Sim Period'!D237-AVERAGE('Sim Period'!$D$192:D237),"")</f>
        <v>-0.0384913043478261</v>
      </c>
      <c r="R237" s="19" t="n">
        <f aca="false">IF('Sim Period'!D237&lt;(AVERAGE('Sim Period'!$D$129:D237)),'Sim Period'!D237-AVERAGE('Sim Period'!$D$129:D237),"")</f>
        <v>-0.0375412844036697</v>
      </c>
      <c r="S237" s="0" t="n">
        <v>1</v>
      </c>
    </row>
    <row r="238" customFormat="false" ht="14.1" hidden="false" customHeight="false" outlineLevel="0" collapsed="false">
      <c r="A238" s="0" t="n">
        <v>0</v>
      </c>
      <c r="K238" s="0" t="str">
        <f aca="false">IF('Sim Period'!D238&lt;(AVERAGE('Sim Period'!$D$192:D238)),'Sim Period'!D238-AVERAGE('Sim Period'!$D$192:D238),"")</f>
        <v/>
      </c>
      <c r="R238" s="0" t="str">
        <f aca="false">IF('Sim Period'!D238&lt;(AVERAGE('Sim Period'!$D$129:D238)),'Sim Period'!D238-AVERAGE('Sim Period'!$D$129:D238),"")</f>
        <v/>
      </c>
      <c r="S238" s="0" t="n">
        <v>1</v>
      </c>
    </row>
    <row r="239" customFormat="false" ht="14.1" hidden="false" customHeight="false" outlineLevel="0" collapsed="false">
      <c r="A239" s="0" t="n">
        <v>0</v>
      </c>
      <c r="K239" s="19" t="n">
        <f aca="false">IF('Sim Period'!D239&lt;(AVERAGE('Sim Period'!$D$192:D239)),'Sim Period'!D239-AVERAGE('Sim Period'!$D$192:D239),"")</f>
        <v>-0.0430854166666667</v>
      </c>
      <c r="R239" s="19" t="n">
        <f aca="false">IF('Sim Period'!D239&lt;(AVERAGE('Sim Period'!$D$129:D239)),'Sim Period'!D239-AVERAGE('Sim Period'!$D$129:D239),"")</f>
        <v>-0.0426666666666667</v>
      </c>
      <c r="S239" s="0" t="n">
        <v>1</v>
      </c>
    </row>
    <row r="240" customFormat="false" ht="14.1" hidden="false" customHeight="false" outlineLevel="0" collapsed="false">
      <c r="A240" s="0" t="n">
        <v>0</v>
      </c>
      <c r="K240" s="19" t="n">
        <f aca="false">IF('Sim Period'!D240&lt;(AVERAGE('Sim Period'!$D$192:D240)),'Sim Period'!D240-AVERAGE('Sim Period'!$D$192:D240),"")</f>
        <v>-0.0417163265306122</v>
      </c>
      <c r="R240" s="19" t="n">
        <f aca="false">IF('Sim Period'!D240&lt;(AVERAGE('Sim Period'!$D$129:D240)),'Sim Period'!D240-AVERAGE('Sim Period'!$D$129:D240),"")</f>
        <v>-0.0417901785714286</v>
      </c>
      <c r="S240" s="0" t="n">
        <v>1</v>
      </c>
    </row>
    <row r="241" customFormat="false" ht="14.1" hidden="false" customHeight="false" outlineLevel="0" collapsed="false">
      <c r="A241" s="0" t="n">
        <v>0</v>
      </c>
      <c r="K241" s="0" t="str">
        <f aca="false">IF('Sim Period'!D241&lt;(AVERAGE('Sim Period'!$D$192:D241)),'Sim Period'!D241-AVERAGE('Sim Period'!$D$192:D241),"")</f>
        <v/>
      </c>
      <c r="R241" s="0" t="str">
        <f aca="false">IF('Sim Period'!D241&lt;(AVERAGE('Sim Period'!$D$129:D241)),'Sim Period'!D241-AVERAGE('Sim Period'!$D$129:D241),"")</f>
        <v/>
      </c>
      <c r="S241" s="0" t="n">
        <v>1</v>
      </c>
    </row>
    <row r="242" customFormat="false" ht="14.1" hidden="false" customHeight="false" outlineLevel="0" collapsed="false">
      <c r="A242" s="0" t="n">
        <v>0</v>
      </c>
      <c r="K242" s="0" t="str">
        <f aca="false">IF('Sim Period'!D242&lt;(AVERAGE('Sim Period'!$D$192:D242)),'Sim Period'!D242-AVERAGE('Sim Period'!$D$192:D242),"")</f>
        <v/>
      </c>
      <c r="R242" s="0" t="str">
        <f aca="false">IF('Sim Period'!D242&lt;(AVERAGE('Sim Period'!$D$129:D242)),'Sim Period'!D242-AVERAGE('Sim Period'!$D$129:D242),"")</f>
        <v/>
      </c>
      <c r="S242" s="0" t="n">
        <v>1</v>
      </c>
    </row>
    <row r="243" customFormat="false" ht="14.1" hidden="false" customHeight="false" outlineLevel="0" collapsed="false">
      <c r="A243" s="0" t="n">
        <v>0</v>
      </c>
      <c r="K243" s="19" t="n">
        <f aca="false">IF('Sim Period'!D243&lt;(AVERAGE('Sim Period'!$D$192:D243)),'Sim Period'!D243-AVERAGE('Sim Period'!$D$192:D243),"")</f>
        <v>-0.00714038461538471</v>
      </c>
      <c r="R243" s="19" t="n">
        <f aca="false">IF('Sim Period'!D243&lt;(AVERAGE('Sim Period'!$D$129:D243)),'Sim Period'!D243-AVERAGE('Sim Period'!$D$129:D243),"")</f>
        <v>-0.00665130434782619</v>
      </c>
      <c r="S243" s="0" t="n">
        <v>1</v>
      </c>
    </row>
    <row r="244" customFormat="false" ht="14.1" hidden="false" customHeight="false" outlineLevel="0" collapsed="false">
      <c r="A244" s="0" t="n">
        <v>0</v>
      </c>
      <c r="K244" s="19" t="n">
        <f aca="false">IF('Sim Period'!D244&lt;(AVERAGE('Sim Period'!$D$192:D244)),'Sim Period'!D244-AVERAGE('Sim Period'!$D$192:D244),"")</f>
        <v>-0.0288849056603774</v>
      </c>
      <c r="R244" s="19" t="n">
        <f aca="false">IF('Sim Period'!D244&lt;(AVERAGE('Sim Period'!$D$129:D244)),'Sim Period'!D244-AVERAGE('Sim Period'!$D$129:D244),"")</f>
        <v>-0.028701724137931</v>
      </c>
      <c r="S244" s="0" t="n">
        <v>1</v>
      </c>
    </row>
    <row r="245" customFormat="false" ht="14.1" hidden="false" customHeight="false" outlineLevel="0" collapsed="false">
      <c r="A245" s="0" t="n">
        <v>0</v>
      </c>
      <c r="K245" s="19" t="n">
        <f aca="false">IF('Sim Period'!D245&lt;(AVERAGE('Sim Period'!$D$192:D245)),'Sim Period'!D245-AVERAGE('Sim Period'!$D$192:D245),"")</f>
        <v>-0.0223629629629629</v>
      </c>
      <c r="R245" s="19" t="n">
        <f aca="false">IF('Sim Period'!D245&lt;(AVERAGE('Sim Period'!$D$129:D245)),'Sim Period'!D245-AVERAGE('Sim Period'!$D$129:D245),"")</f>
        <v>-0.0224085470085469</v>
      </c>
      <c r="S245" s="0" t="n">
        <v>1</v>
      </c>
    </row>
    <row r="246" customFormat="false" ht="14.1" hidden="false" customHeight="false" outlineLevel="0" collapsed="false">
      <c r="A246" s="0" t="n">
        <v>0</v>
      </c>
      <c r="K246" s="0" t="str">
        <f aca="false">IF('Sim Period'!D246&lt;(AVERAGE('Sim Period'!$D$192:D246)),'Sim Period'!D246-AVERAGE('Sim Period'!$D$192:D246),"")</f>
        <v/>
      </c>
      <c r="R246" s="0" t="str">
        <f aca="false">IF('Sim Period'!D246&lt;(AVERAGE('Sim Period'!$D$129:D246)),'Sim Period'!D246-AVERAGE('Sim Period'!$D$129:D246),"")</f>
        <v/>
      </c>
      <c r="S246" s="0" t="n">
        <v>1</v>
      </c>
    </row>
    <row r="247" customFormat="false" ht="14.1" hidden="false" customHeight="false" outlineLevel="0" collapsed="false">
      <c r="A247" s="0" t="n">
        <v>0</v>
      </c>
      <c r="K247" s="0" t="str">
        <f aca="false">IF('Sim Period'!D247&lt;(AVERAGE('Sim Period'!$D$192:D247)),'Sim Period'!D247-AVERAGE('Sim Period'!$D$192:D247),"")</f>
        <v/>
      </c>
      <c r="R247" s="0" t="str">
        <f aca="false">IF('Sim Period'!D247&lt;(AVERAGE('Sim Period'!$D$129:D247)),'Sim Period'!D247-AVERAGE('Sim Period'!$D$129:D247),"")</f>
        <v/>
      </c>
      <c r="S247" s="0" t="n">
        <v>1</v>
      </c>
    </row>
    <row r="248" customFormat="false" ht="14.1" hidden="false" customHeight="false" outlineLevel="0" collapsed="false">
      <c r="A248" s="0" t="n">
        <v>0</v>
      </c>
      <c r="K248" s="19" t="n">
        <f aca="false">IF('Sim Period'!D248&lt;(AVERAGE('Sim Period'!$D$192:D248)),'Sim Period'!D248-AVERAGE('Sim Period'!$D$192:D248),"")</f>
        <v>-0.0388666666666667</v>
      </c>
      <c r="R248" s="19" t="n">
        <f aca="false">IF('Sim Period'!D248&lt;(AVERAGE('Sim Period'!$D$129:D248)),'Sim Period'!D248-AVERAGE('Sim Period'!$D$129:D248),"")</f>
        <v>-0.0389091666666667</v>
      </c>
      <c r="S248" s="0" t="n">
        <v>1</v>
      </c>
    </row>
    <row r="249" customFormat="false" ht="14.1" hidden="false" customHeight="false" outlineLevel="0" collapsed="false">
      <c r="A249" s="0" t="n">
        <v>0</v>
      </c>
      <c r="K249" s="0" t="str">
        <f aca="false">IF('Sim Period'!D249&lt;(AVERAGE('Sim Period'!$D$192:D249)),'Sim Period'!D249-AVERAGE('Sim Period'!$D$192:D249),"")</f>
        <v/>
      </c>
      <c r="R249" s="0" t="str">
        <f aca="false">IF('Sim Period'!D249&lt;(AVERAGE('Sim Period'!$D$129:D249)),'Sim Period'!D249-AVERAGE('Sim Period'!$D$129:D249),"")</f>
        <v/>
      </c>
      <c r="S249" s="0" t="n">
        <v>1</v>
      </c>
    </row>
    <row r="250" customFormat="false" ht="14.1" hidden="false" customHeight="false" outlineLevel="0" collapsed="false">
      <c r="A250" s="0" t="n">
        <v>0</v>
      </c>
      <c r="K250" s="0" t="str">
        <f aca="false">IF('Sim Period'!D250&lt;(AVERAGE('Sim Period'!$D$192:D250)),'Sim Period'!D250-AVERAGE('Sim Period'!$D$192:D250),"")</f>
        <v/>
      </c>
      <c r="R250" s="0" t="str">
        <f aca="false">IF('Sim Period'!D250&lt;(AVERAGE('Sim Period'!$D$129:D250)),'Sim Period'!D250-AVERAGE('Sim Period'!$D$129:D250),"")</f>
        <v/>
      </c>
      <c r="S250" s="0" t="n">
        <v>1</v>
      </c>
    </row>
    <row r="251" customFormat="false" ht="14.1" hidden="false" customHeight="false" outlineLevel="0" collapsed="false">
      <c r="A251" s="0" t="n">
        <v>0</v>
      </c>
      <c r="K251" s="19" t="n">
        <f aca="false">IF('Sim Period'!D251&lt;(AVERAGE('Sim Period'!$D$192:D251)),'Sim Period'!D251-AVERAGE('Sim Period'!$D$192:D251),"")</f>
        <v>-0.0113916666666667</v>
      </c>
      <c r="R251" s="19" t="n">
        <f aca="false">IF('Sim Period'!D251&lt;(AVERAGE('Sim Period'!$D$129:D251)),'Sim Period'!D251-AVERAGE('Sim Period'!$D$129:D251),"")</f>
        <v>-0.011420325203252</v>
      </c>
      <c r="S251" s="0" t="n">
        <v>1</v>
      </c>
    </row>
    <row r="252" customFormat="false" ht="14.1" hidden="false" customHeight="false" outlineLevel="0" collapsed="false">
      <c r="A252" s="0" t="n">
        <v>0</v>
      </c>
      <c r="K252" s="19" t="n">
        <f aca="false">IF('Sim Period'!D252&lt;(AVERAGE('Sim Period'!$D$192:D252)),'Sim Period'!D252-AVERAGE('Sim Period'!$D$192:D252),"")</f>
        <v>-0.00471311475409839</v>
      </c>
      <c r="R252" s="19" t="n">
        <f aca="false">IF('Sim Period'!D252&lt;(AVERAGE('Sim Period'!$D$129:D252)),'Sim Period'!D252-AVERAGE('Sim Period'!$D$129:D252),"")</f>
        <v>-0.00478145161290326</v>
      </c>
      <c r="S252" s="0" t="n">
        <v>1</v>
      </c>
    </row>
    <row r="253" customFormat="false" ht="14.1" hidden="false" customHeight="false" outlineLevel="0" collapsed="false">
      <c r="A253" s="0" t="n">
        <v>0</v>
      </c>
      <c r="K253" s="0" t="str">
        <f aca="false">IF('Sim Period'!D253&lt;(AVERAGE('Sim Period'!$D$192:D253)),'Sim Period'!D253-AVERAGE('Sim Period'!$D$192:D253),"")</f>
        <v/>
      </c>
      <c r="R253" s="0" t="str">
        <f aca="false">IF('Sim Period'!D253&lt;(AVERAGE('Sim Period'!$D$129:D253)),'Sim Period'!D253-AVERAGE('Sim Period'!$D$129:D253),"")</f>
        <v/>
      </c>
      <c r="S253" s="0" t="n">
        <v>1</v>
      </c>
    </row>
    <row r="254" customFormat="false" ht="14.1" hidden="false" customHeight="false" outlineLevel="0" collapsed="false">
      <c r="A254" s="0" t="n">
        <v>12</v>
      </c>
      <c r="K254" s="19" t="n">
        <f aca="false">IF('Sim Period'!D254&lt;(AVERAGE('Sim Period'!$D$192:D254)),'Sim Period'!D254-AVERAGE('Sim Period'!$D$192:D254),"")</f>
        <v>-0.0290984126984127</v>
      </c>
      <c r="R254" s="19" t="n">
        <f aca="false">IF('Sim Period'!D254&lt;(AVERAGE('Sim Period'!$D$129:D254)),'Sim Period'!D254-AVERAGE('Sim Period'!$D$129:D254),"")</f>
        <v>-0.0290230158730159</v>
      </c>
      <c r="S254" s="0" t="n">
        <v>1</v>
      </c>
    </row>
    <row r="255" customFormat="false" ht="14.1" hidden="false" customHeight="false" outlineLevel="0" collapsed="false">
      <c r="A255" s="0" t="s">
        <v>515</v>
      </c>
      <c r="B255" s="0" t="n">
        <f aca="false">STDEV(B4:B254)</f>
        <v>0.0164899541738841</v>
      </c>
      <c r="C255" s="0" t="n">
        <f aca="false">STDEV(C4:C254)</f>
        <v>0.0146019542074392</v>
      </c>
      <c r="D255" s="0" t="n">
        <f aca="false">STDEV(D4:D254)</f>
        <v>0.014023416877571</v>
      </c>
      <c r="E255" s="0" t="n">
        <f aca="false">STDEV(E4:E254)</f>
        <v>0.0139812260809134</v>
      </c>
      <c r="F255" s="0" t="n">
        <f aca="false">STDEV(F4:F254)</f>
        <v>0.0129191394353955</v>
      </c>
      <c r="G255" s="0" t="n">
        <f aca="false">STDEV(G4:G254)</f>
        <v>0.0129979526235906</v>
      </c>
      <c r="H255" s="0" t="n">
        <f aca="false">STDEV(H4:H254)</f>
        <v>0.01423709061369</v>
      </c>
      <c r="I255" s="0" t="n">
        <f aca="false">STDEV(I4:I254)</f>
        <v>0.013583233580025</v>
      </c>
      <c r="J255" s="0" t="n">
        <f aca="false">STDEV(J4:J254)</f>
        <v>0.0137538755435525</v>
      </c>
      <c r="K255" s="0" t="n">
        <f aca="false">STDEV(K4:K254)</f>
        <v>0.0139277060838812</v>
      </c>
      <c r="L255" s="0" t="n">
        <f aca="false">STDEV(L4:L254)</f>
        <v>0.0153650187788551</v>
      </c>
      <c r="M255" s="0" t="n">
        <f aca="false">STDEV(M4:M254)</f>
        <v>0.0141619215929046</v>
      </c>
      <c r="N255" s="0" t="n">
        <f aca="false">STDEV(N4:N254)</f>
        <v>0.0147025714833418</v>
      </c>
      <c r="O255" s="0" t="n">
        <f aca="false">STDEV(O4:O254)</f>
        <v>0.0144517555226826</v>
      </c>
      <c r="P255" s="0" t="n">
        <f aca="false">STDEV(P4:P254)</f>
        <v>0.0142257514165993</v>
      </c>
      <c r="Q255" s="0" t="n">
        <f aca="false">STDEV(Q4:Q254)</f>
        <v>0.0127902449106448</v>
      </c>
      <c r="R255" s="0" t="n">
        <f aca="false">STDEV(R4:R254)</f>
        <v>0.0141214714368784</v>
      </c>
    </row>
    <row r="256" customFormat="false" ht="14.1" hidden="false" customHeight="false" outlineLevel="0" collapsed="false">
      <c r="A256" s="0" t="s">
        <v>516</v>
      </c>
      <c r="B256" s="0" t="n">
        <f aca="false">COUNT(S4:S65)</f>
        <v>62</v>
      </c>
      <c r="C256" s="0" t="n">
        <f aca="false">COUNT(S24:S84)</f>
        <v>61</v>
      </c>
      <c r="D256" s="0" t="n">
        <f aca="false">COUNT(S43:S106)</f>
        <v>64</v>
      </c>
      <c r="E256" s="0" t="n">
        <f aca="false">COUNT(S66:S128)</f>
        <v>63</v>
      </c>
      <c r="F256" s="0" t="n">
        <f aca="false">COUNT(S85:S148)</f>
        <v>64</v>
      </c>
      <c r="G256" s="0" t="n">
        <f aca="false">COUNT(S107:S171)</f>
        <v>65</v>
      </c>
      <c r="H256" s="0" t="n">
        <f aca="false">COUNT(S129:S191)</f>
        <v>63</v>
      </c>
      <c r="I256" s="0" t="n">
        <f aca="false">COUNT(S149:S213)</f>
        <v>65</v>
      </c>
      <c r="J256" s="0" t="n">
        <f aca="false">COUNT(S172:S234)</f>
        <v>63</v>
      </c>
      <c r="K256" s="0" t="n">
        <f aca="false">COUNT(S192:S254)</f>
        <v>63</v>
      </c>
      <c r="L256" s="0" t="n">
        <f aca="false">COUNT(S4:S128)</f>
        <v>125</v>
      </c>
      <c r="M256" s="0" t="n">
        <f aca="false">COUNT(S24:S148)</f>
        <v>125</v>
      </c>
      <c r="N256" s="0" t="n">
        <f aca="false">COUNT(S43:S171)</f>
        <v>129</v>
      </c>
      <c r="O256" s="0" t="n">
        <f aca="false">COUNT(S66:S191)</f>
        <v>126</v>
      </c>
      <c r="P256" s="0" t="n">
        <f aca="false">COUNT(S85:S213)</f>
        <v>129</v>
      </c>
      <c r="Q256" s="0" t="n">
        <f aca="false">COUNT(S107:S234)</f>
        <v>128</v>
      </c>
      <c r="R256" s="0" t="n">
        <f aca="false">COUNT(S129:S254)</f>
        <v>126</v>
      </c>
    </row>
    <row r="257" customFormat="false" ht="14.1" hidden="false" customHeight="false" outlineLevel="0" collapsed="false">
      <c r="A257" s="0" t="s">
        <v>517</v>
      </c>
      <c r="B257" s="0" t="n">
        <f aca="false">B255*SQRT(B256)</f>
        <v>0.129842029007257</v>
      </c>
      <c r="C257" s="0" t="n">
        <f aca="false">C255*SQRT(C256)</f>
        <v>0.114044908116256</v>
      </c>
      <c r="D257" s="0" t="n">
        <f aca="false">D255*SQRT(D256)</f>
        <v>0.112187335020568</v>
      </c>
      <c r="E257" s="0" t="n">
        <f aca="false">E255*SQRT(E256)</f>
        <v>0.110972541701601</v>
      </c>
      <c r="F257" s="0" t="n">
        <f aca="false">F255*SQRT(F256)</f>
        <v>0.103353115483164</v>
      </c>
      <c r="G257" s="0" t="n">
        <f aca="false">G255*SQRT(G256)</f>
        <v>0.10479284425156</v>
      </c>
      <c r="H257" s="0" t="n">
        <f aca="false">H255*SQRT(H256)</f>
        <v>0.113003403470747</v>
      </c>
      <c r="I257" s="0" t="n">
        <f aca="false">I255*SQRT(I256)</f>
        <v>0.109511530177505</v>
      </c>
      <c r="J257" s="0" t="n">
        <f aca="false">J255*SQRT(J256)</f>
        <v>0.10916800275472</v>
      </c>
      <c r="K257" s="0" t="n">
        <f aca="false">K255*SQRT(K256)</f>
        <v>0.110547739894653</v>
      </c>
      <c r="L257" s="0" t="n">
        <f aca="false">L255*SQRT(L256)</f>
        <v>0.171786132325404</v>
      </c>
      <c r="M257" s="0" t="n">
        <f aca="false">M255*SQRT(M256)</f>
        <v>0.158335096868784</v>
      </c>
      <c r="N257" s="0" t="n">
        <f aca="false">N255*SQRT(N256)</f>
        <v>0.16698911180295</v>
      </c>
      <c r="O257" s="0" t="n">
        <f aca="false">O255*SQRT(O256)</f>
        <v>0.16222055340989</v>
      </c>
      <c r="P257" s="0" t="n">
        <f aca="false">P255*SQRT(P256)</f>
        <v>0.161573476890012</v>
      </c>
      <c r="Q257" s="0" t="n">
        <f aca="false">Q255*SQRT(Q256)</f>
        <v>0.144705102549659</v>
      </c>
      <c r="R257" s="0" t="n">
        <f aca="false">R255*SQRT(R256)</f>
        <v>0.15851312374174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2:E3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7" activeCellId="0" sqref="K17"/>
    </sheetView>
  </sheetViews>
  <sheetFormatPr defaultRowHeight="14.1"/>
  <cols>
    <col collapsed="false" hidden="false" max="1" min="1" style="0" width="26.0510204081633"/>
    <col collapsed="false" hidden="false" max="2" min="2" style="0" width="21.780612244898"/>
    <col collapsed="false" hidden="false" max="3" min="3" style="0" width="16.2704081632653"/>
    <col collapsed="false" hidden="false" max="4" min="4" style="0" width="53.3469387755102"/>
    <col collapsed="false" hidden="false" max="5" min="5" style="0" width="64.2448979591837"/>
    <col collapsed="false" hidden="false" max="1025" min="6" style="0" width="11.4489795918367"/>
  </cols>
  <sheetData>
    <row r="2" customFormat="false" ht="14.1" hidden="false" customHeight="true" outlineLevel="0" collapsed="false">
      <c r="A2" s="105" t="s">
        <v>518</v>
      </c>
      <c r="B2" s="105"/>
      <c r="C2" s="105"/>
      <c r="D2" s="105"/>
      <c r="E2" s="105"/>
    </row>
    <row r="3" customFormat="false" ht="14.1" hidden="false" customHeight="false" outlineLevel="0" collapsed="false">
      <c r="A3" s="105"/>
      <c r="B3" s="105"/>
      <c r="C3" s="105"/>
      <c r="D3" s="105"/>
      <c r="E3" s="105"/>
    </row>
    <row r="4" customFormat="false" ht="14.1" hidden="false" customHeight="false" outlineLevel="0" collapsed="false">
      <c r="A4" s="105"/>
      <c r="B4" s="105"/>
      <c r="C4" s="105"/>
      <c r="D4" s="105"/>
      <c r="E4" s="105"/>
    </row>
    <row r="5" customFormat="false" ht="33" hidden="false" customHeight="true" outlineLevel="0" collapsed="false">
      <c r="A5" s="105"/>
      <c r="B5" s="105"/>
      <c r="C5" s="105"/>
      <c r="D5" s="105"/>
      <c r="E5" s="105"/>
    </row>
    <row r="7" customFormat="false" ht="15.95" hidden="false" customHeight="false" outlineLevel="0" collapsed="false">
      <c r="C7" s="0" t="s">
        <v>519</v>
      </c>
      <c r="D7" s="106" t="s">
        <v>520</v>
      </c>
      <c r="E7" s="106" t="s">
        <v>521</v>
      </c>
    </row>
    <row r="8" customFormat="false" ht="15.95" hidden="false" customHeight="false" outlineLevel="0" collapsed="false">
      <c r="A8" s="107" t="s">
        <v>522</v>
      </c>
      <c r="B8" s="107"/>
      <c r="C8" s="107"/>
      <c r="D8" s="107"/>
      <c r="E8" s="107"/>
    </row>
    <row r="9" customFormat="false" ht="15.95" hidden="false" customHeight="false" outlineLevel="0" collapsed="false">
      <c r="A9" s="107"/>
      <c r="B9" s="107" t="s">
        <v>523</v>
      </c>
      <c r="C9" s="108" t="n">
        <v>41738</v>
      </c>
      <c r="D9" s="107" t="s">
        <v>524</v>
      </c>
      <c r="E9" s="107" t="s">
        <v>524</v>
      </c>
    </row>
    <row r="10" customFormat="false" ht="15.95" hidden="false" customHeight="false" outlineLevel="0" collapsed="false">
      <c r="A10" s="107"/>
      <c r="C10" s="107"/>
      <c r="D10" s="107"/>
      <c r="E10" s="107"/>
    </row>
    <row r="11" customFormat="false" ht="15.95" hidden="false" customHeight="false" outlineLevel="0" collapsed="false">
      <c r="A11" s="107"/>
      <c r="B11" s="107" t="s">
        <v>525</v>
      </c>
      <c r="C11" s="108" t="n">
        <v>41738</v>
      </c>
      <c r="D11" s="107" t="s">
        <v>526</v>
      </c>
      <c r="E11" s="107" t="s">
        <v>524</v>
      </c>
    </row>
    <row r="12" customFormat="false" ht="15.95" hidden="false" customHeight="false" outlineLevel="0" collapsed="false">
      <c r="A12" s="107"/>
      <c r="B12" s="107"/>
      <c r="C12" s="107"/>
      <c r="D12" s="107"/>
      <c r="E12" s="107"/>
    </row>
    <row r="13" customFormat="false" ht="15.95" hidden="false" customHeight="false" outlineLevel="0" collapsed="false">
      <c r="A13" s="107"/>
      <c r="B13" s="107" t="s">
        <v>527</v>
      </c>
      <c r="C13" s="108" t="n">
        <v>41738</v>
      </c>
      <c r="D13" s="107" t="s">
        <v>524</v>
      </c>
      <c r="E13" s="107" t="s">
        <v>524</v>
      </c>
    </row>
    <row r="14" customFormat="false" ht="15.95" hidden="false" customHeight="false" outlineLevel="0" collapsed="false">
      <c r="A14" s="107"/>
      <c r="B14" s="107"/>
      <c r="C14" s="107"/>
      <c r="D14" s="107" t="s">
        <v>528</v>
      </c>
      <c r="E14" s="107" t="s">
        <v>528</v>
      </c>
    </row>
    <row r="15" customFormat="false" ht="63.95" hidden="false" customHeight="false" outlineLevel="0" collapsed="false">
      <c r="A15" s="107"/>
      <c r="B15" s="107"/>
      <c r="C15" s="107"/>
      <c r="D15" s="109" t="s">
        <v>529</v>
      </c>
      <c r="E15" s="109"/>
    </row>
    <row r="16" customFormat="false" ht="15.95" hidden="false" customHeight="false" outlineLevel="0" collapsed="false">
      <c r="A16" s="107" t="s">
        <v>530</v>
      </c>
      <c r="B16" s="107"/>
      <c r="C16" s="107"/>
      <c r="D16" s="107"/>
      <c r="E16" s="107"/>
    </row>
    <row r="17" customFormat="false" ht="15.95" hidden="false" customHeight="false" outlineLevel="0" collapsed="false">
      <c r="A17" s="107"/>
      <c r="B17" s="107" t="s">
        <v>523</v>
      </c>
      <c r="C17" s="108" t="n">
        <v>41738</v>
      </c>
      <c r="D17" s="107" t="s">
        <v>524</v>
      </c>
      <c r="E17" s="107" t="s">
        <v>524</v>
      </c>
    </row>
    <row r="18" customFormat="false" ht="15.95" hidden="false" customHeight="false" outlineLevel="0" collapsed="false">
      <c r="A18" s="107"/>
      <c r="C18" s="107"/>
      <c r="D18" s="107"/>
      <c r="E18" s="107"/>
    </row>
    <row r="19" customFormat="false" ht="15.95" hidden="false" customHeight="false" outlineLevel="0" collapsed="false">
      <c r="A19" s="107"/>
      <c r="B19" s="107" t="s">
        <v>525</v>
      </c>
      <c r="C19" s="108" t="n">
        <v>41738</v>
      </c>
      <c r="D19" s="107" t="s">
        <v>526</v>
      </c>
      <c r="E19" s="107" t="s">
        <v>524</v>
      </c>
    </row>
    <row r="20" customFormat="false" ht="15.95" hidden="false" customHeight="false" outlineLevel="0" collapsed="false">
      <c r="A20" s="107"/>
      <c r="B20" s="107"/>
      <c r="C20" s="107"/>
      <c r="D20" s="107"/>
      <c r="E20" s="107"/>
    </row>
    <row r="21" customFormat="false" ht="15.95" hidden="false" customHeight="false" outlineLevel="0" collapsed="false">
      <c r="A21" s="107"/>
      <c r="B21" s="107" t="s">
        <v>527</v>
      </c>
      <c r="C21" s="108" t="n">
        <v>41738</v>
      </c>
      <c r="D21" s="107" t="s">
        <v>524</v>
      </c>
      <c r="E21" s="107" t="s">
        <v>524</v>
      </c>
    </row>
    <row r="22" customFormat="false" ht="15.95" hidden="false" customHeight="false" outlineLevel="0" collapsed="false">
      <c r="A22" s="107"/>
      <c r="B22" s="107"/>
      <c r="C22" s="107"/>
      <c r="D22" s="107" t="s">
        <v>528</v>
      </c>
      <c r="E22" s="107" t="s">
        <v>528</v>
      </c>
    </row>
    <row r="23" customFormat="false" ht="63.95" hidden="false" customHeight="false" outlineLevel="0" collapsed="false">
      <c r="A23" s="107"/>
      <c r="B23" s="107"/>
      <c r="C23" s="107"/>
      <c r="D23" s="109" t="s">
        <v>529</v>
      </c>
      <c r="E23" s="109"/>
    </row>
    <row r="24" customFormat="false" ht="15.95" hidden="false" customHeight="false" outlineLevel="0" collapsed="false">
      <c r="A24" s="107" t="s">
        <v>531</v>
      </c>
      <c r="B24" s="107"/>
      <c r="C24" s="107"/>
      <c r="D24" s="107"/>
      <c r="E24" s="107"/>
    </row>
    <row r="25" customFormat="false" ht="15.95" hidden="false" customHeight="false" outlineLevel="0" collapsed="false">
      <c r="A25" s="107"/>
      <c r="B25" s="107" t="s">
        <v>523</v>
      </c>
      <c r="C25" s="108" t="n">
        <v>41738</v>
      </c>
      <c r="D25" s="107" t="s">
        <v>524</v>
      </c>
      <c r="E25" s="107" t="s">
        <v>524</v>
      </c>
    </row>
    <row r="26" customFormat="false" ht="15.95" hidden="false" customHeight="false" outlineLevel="0" collapsed="false">
      <c r="A26" s="107"/>
      <c r="C26" s="107"/>
      <c r="D26" s="107"/>
      <c r="E26" s="107"/>
    </row>
    <row r="27" customFormat="false" ht="15.95" hidden="false" customHeight="false" outlineLevel="0" collapsed="false">
      <c r="A27" s="107"/>
      <c r="B27" s="107" t="s">
        <v>525</v>
      </c>
      <c r="C27" s="108" t="n">
        <v>41738</v>
      </c>
      <c r="D27" s="107" t="s">
        <v>524</v>
      </c>
      <c r="E27" s="107" t="s">
        <v>524</v>
      </c>
    </row>
    <row r="28" customFormat="false" ht="15.95" hidden="false" customHeight="false" outlineLevel="0" collapsed="false">
      <c r="A28" s="107"/>
      <c r="B28" s="107"/>
      <c r="D28" s="107"/>
      <c r="E28" s="107"/>
    </row>
    <row r="29" customFormat="false" ht="15.95" hidden="false" customHeight="false" outlineLevel="0" collapsed="false">
      <c r="A29" s="107"/>
      <c r="B29" s="107" t="s">
        <v>527</v>
      </c>
      <c r="C29" s="108" t="n">
        <v>41738</v>
      </c>
      <c r="D29" s="107" t="s">
        <v>524</v>
      </c>
      <c r="E29" s="107" t="s">
        <v>524</v>
      </c>
    </row>
    <row r="30" customFormat="false" ht="15.95" hidden="false" customHeight="false" outlineLevel="0" collapsed="false">
      <c r="A30" s="107"/>
      <c r="B30" s="107"/>
      <c r="C30" s="107"/>
      <c r="D30" s="107" t="s">
        <v>532</v>
      </c>
      <c r="E30" s="107" t="s">
        <v>532</v>
      </c>
    </row>
    <row r="31" customFormat="false" ht="48" hidden="false" customHeight="false" outlineLevel="0" collapsed="false">
      <c r="A31" s="107"/>
      <c r="B31" s="107"/>
      <c r="C31" s="107"/>
      <c r="D31" s="109" t="s">
        <v>533</v>
      </c>
      <c r="E31" s="109"/>
    </row>
    <row r="32" customFormat="false" ht="15.95" hidden="false" customHeight="false" outlineLevel="0" collapsed="false">
      <c r="A32" s="107" t="s">
        <v>534</v>
      </c>
      <c r="B32" s="107"/>
      <c r="C32" s="107"/>
      <c r="D32" s="107"/>
      <c r="E32" s="107"/>
    </row>
    <row r="33" customFormat="false" ht="15.95" hidden="false" customHeight="false" outlineLevel="0" collapsed="false">
      <c r="A33" s="107"/>
      <c r="B33" s="107" t="s">
        <v>523</v>
      </c>
      <c r="C33" s="108" t="n">
        <v>41738</v>
      </c>
      <c r="D33" s="107" t="s">
        <v>524</v>
      </c>
      <c r="E33" s="107" t="s">
        <v>524</v>
      </c>
    </row>
    <row r="34" customFormat="false" ht="15.95" hidden="false" customHeight="false" outlineLevel="0" collapsed="false">
      <c r="A34" s="107"/>
      <c r="C34" s="107"/>
      <c r="D34" s="107"/>
      <c r="E34" s="107"/>
    </row>
    <row r="35" customFormat="false" ht="15.95" hidden="false" customHeight="false" outlineLevel="0" collapsed="false">
      <c r="A35" s="107"/>
      <c r="B35" s="107" t="s">
        <v>525</v>
      </c>
      <c r="C35" s="108" t="n">
        <v>41738</v>
      </c>
      <c r="D35" s="107" t="s">
        <v>524</v>
      </c>
      <c r="E35" s="107" t="s">
        <v>524</v>
      </c>
    </row>
    <row r="36" customFormat="false" ht="15.95" hidden="false" customHeight="false" outlineLevel="0" collapsed="false">
      <c r="A36" s="107"/>
      <c r="B36" s="107"/>
      <c r="C36" s="107"/>
      <c r="D36" s="107"/>
      <c r="E36" s="107"/>
    </row>
    <row r="37" customFormat="false" ht="15.95" hidden="false" customHeight="false" outlineLevel="0" collapsed="false">
      <c r="A37" s="107"/>
      <c r="B37" s="107" t="s">
        <v>527</v>
      </c>
      <c r="C37" s="108" t="n">
        <v>41738</v>
      </c>
      <c r="D37" s="107" t="s">
        <v>524</v>
      </c>
      <c r="E37" s="107" t="s">
        <v>524</v>
      </c>
    </row>
    <row r="38" customFormat="false" ht="15.95" hidden="false" customHeight="false" outlineLevel="0" collapsed="false">
      <c r="A38" s="107"/>
      <c r="B38" s="107"/>
      <c r="C38" s="107"/>
      <c r="D38" s="107" t="s">
        <v>535</v>
      </c>
      <c r="E38" s="107" t="s">
        <v>535</v>
      </c>
    </row>
    <row r="39" customFormat="false" ht="53.1" hidden="false" customHeight="true" outlineLevel="0" collapsed="false">
      <c r="A39" s="107"/>
      <c r="B39" s="107"/>
      <c r="C39" s="107"/>
      <c r="D39" s="109" t="s">
        <v>536</v>
      </c>
      <c r="E39" s="107"/>
    </row>
  </sheetData>
  <mergeCells count="1">
    <mergeCell ref="A2:E5"/>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1274</TotalTime>
  <Application>LibreOffice/5.1.3.2$MacOSX_X86_64 LibreOffice_project/644e4637d1d8544fd9f56425bd6cec110e49301b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2011-06-28T23:35:53Z</dcterms:created>
  <dc:creator>Kunj</dc:creator>
  <dc:description/>
  <dc:language>en-US</dc:language>
  <cp:lastModifiedBy/>
  <dcterms:modified xsi:type="dcterms:W3CDTF">2016-07-01T13:44:12Z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