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4\RiskServiceVba\"/>
    </mc:Choice>
  </mc:AlternateContent>
  <bookViews>
    <workbookView xWindow="0" yWindow="0" windowWidth="28800" windowHeight="11520" tabRatio="538"/>
  </bookViews>
  <sheets>
    <sheet name="Bond_Risk_IMM" sheetId="3" r:id="rId1"/>
    <sheet name="Bond_Risk_PAR" sheetId="1" r:id="rId2"/>
    <sheet name="Swap_PnL" sheetId="2" r:id="rId3"/>
    <sheet name="Bond_PnL" sheetId="11" r:id="rId4"/>
    <sheet name="Future_PnL" sheetId="8" r:id="rId5"/>
    <sheet name="Swap_Risk_IMM" sheetId="4" r:id="rId6"/>
    <sheet name="Swap_Risk_PAR" sheetId="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Bond_Risk_IMM!$A$3:$N$22</definedName>
  </definedNames>
  <calcPr calcId="152511" calcOnSave="0"/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4" i="8"/>
  <c r="F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4" i="8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4" i="2"/>
  <c r="Z29" i="11" l="1"/>
  <c r="Z30" i="11"/>
  <c r="Z31" i="11"/>
  <c r="Z32" i="11"/>
  <c r="Z33" i="11"/>
  <c r="Z34" i="11"/>
  <c r="Z35" i="11"/>
  <c r="Z36" i="11"/>
  <c r="Z37" i="11"/>
  <c r="Z38" i="11"/>
  <c r="Z39" i="11"/>
  <c r="J39" i="11" s="1"/>
  <c r="Z40" i="11"/>
  <c r="Z41" i="11"/>
  <c r="Z42" i="11"/>
  <c r="Z43" i="11"/>
  <c r="J43" i="11" s="1"/>
  <c r="Z44" i="11"/>
  <c r="Z45" i="11"/>
  <c r="Y29" i="11"/>
  <c r="Y30" i="11"/>
  <c r="I30" i="11" s="1"/>
  <c r="Y31" i="11"/>
  <c r="I31" i="11" s="1"/>
  <c r="Y32" i="11"/>
  <c r="Y33" i="11"/>
  <c r="Y34" i="11"/>
  <c r="I34" i="11" s="1"/>
  <c r="Y35" i="11"/>
  <c r="Y36" i="11"/>
  <c r="Y37" i="11"/>
  <c r="Y38" i="11"/>
  <c r="I38" i="11" s="1"/>
  <c r="Y39" i="11"/>
  <c r="Y40" i="11"/>
  <c r="Y41" i="11"/>
  <c r="Y42" i="11"/>
  <c r="I42" i="11" s="1"/>
  <c r="Y43" i="11"/>
  <c r="I43" i="11" s="1"/>
  <c r="Y44" i="11"/>
  <c r="Y45" i="11"/>
  <c r="X29" i="11"/>
  <c r="H29" i="11" s="1"/>
  <c r="X30" i="11"/>
  <c r="H30" i="11" s="1"/>
  <c r="X31" i="11"/>
  <c r="X32" i="11"/>
  <c r="X33" i="11"/>
  <c r="X34" i="11"/>
  <c r="H34" i="11" s="1"/>
  <c r="X35" i="11"/>
  <c r="X36" i="11"/>
  <c r="X37" i="11"/>
  <c r="H37" i="11" s="1"/>
  <c r="X38" i="11"/>
  <c r="X39" i="11"/>
  <c r="X40" i="11"/>
  <c r="X41" i="11"/>
  <c r="H41" i="11" s="1"/>
  <c r="X42" i="11"/>
  <c r="H42" i="11" s="1"/>
  <c r="X43" i="11"/>
  <c r="X44" i="11"/>
  <c r="X45" i="11"/>
  <c r="H45" i="11" s="1"/>
  <c r="W29" i="11"/>
  <c r="W30" i="11"/>
  <c r="W31" i="11"/>
  <c r="G31" i="11" s="1"/>
  <c r="W32" i="11"/>
  <c r="G32" i="11" s="1"/>
  <c r="W33" i="11"/>
  <c r="W34" i="11"/>
  <c r="W35" i="11"/>
  <c r="G35" i="11" s="1"/>
  <c r="W36" i="11"/>
  <c r="G36" i="11" s="1"/>
  <c r="W37" i="11"/>
  <c r="W38" i="11"/>
  <c r="W39" i="11"/>
  <c r="G39" i="11" s="1"/>
  <c r="W40" i="11"/>
  <c r="W41" i="11"/>
  <c r="W42" i="11"/>
  <c r="W43" i="11"/>
  <c r="G43" i="11" s="1"/>
  <c r="W44" i="11"/>
  <c r="G44" i="11" s="1"/>
  <c r="W45" i="11"/>
  <c r="V29" i="11"/>
  <c r="V30" i="11"/>
  <c r="V31" i="11"/>
  <c r="F31" i="11" s="1"/>
  <c r="V32" i="11"/>
  <c r="F32" i="11" s="1"/>
  <c r="V33" i="11"/>
  <c r="V34" i="11"/>
  <c r="V35" i="11"/>
  <c r="F35" i="11" s="1"/>
  <c r="V36" i="11"/>
  <c r="F36" i="11" s="1"/>
  <c r="V37" i="11"/>
  <c r="V38" i="11"/>
  <c r="V39" i="11"/>
  <c r="F39" i="11" s="1"/>
  <c r="V40" i="11"/>
  <c r="F40" i="11" s="1"/>
  <c r="V41" i="11"/>
  <c r="V42" i="11"/>
  <c r="V43" i="11"/>
  <c r="F43" i="11" s="1"/>
  <c r="V44" i="11"/>
  <c r="F44" i="11" s="1"/>
  <c r="V45" i="11"/>
  <c r="U29" i="11"/>
  <c r="U30" i="11"/>
  <c r="E30" i="11" s="1"/>
  <c r="U31" i="11"/>
  <c r="E31" i="11" s="1"/>
  <c r="U32" i="11"/>
  <c r="U33" i="11"/>
  <c r="U34" i="11"/>
  <c r="E34" i="11" s="1"/>
  <c r="U35" i="11"/>
  <c r="E35" i="11" s="1"/>
  <c r="U36" i="11"/>
  <c r="U37" i="11"/>
  <c r="U38" i="11"/>
  <c r="E38" i="11" s="1"/>
  <c r="U39" i="11"/>
  <c r="E39" i="11" s="1"/>
  <c r="U40" i="11"/>
  <c r="U41" i="11"/>
  <c r="E41" i="11" s="1"/>
  <c r="U42" i="11"/>
  <c r="E42" i="11" s="1"/>
  <c r="U43" i="11"/>
  <c r="E43" i="11" s="1"/>
  <c r="U44" i="11"/>
  <c r="U45" i="11"/>
  <c r="E45" i="11" s="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S29" i="11"/>
  <c r="S30" i="11"/>
  <c r="S31" i="11"/>
  <c r="S32" i="11"/>
  <c r="D32" i="11" s="1"/>
  <c r="S33" i="11"/>
  <c r="S34" i="11"/>
  <c r="S35" i="11"/>
  <c r="S36" i="11"/>
  <c r="D36" i="11" s="1"/>
  <c r="S37" i="11"/>
  <c r="S38" i="11"/>
  <c r="S39" i="11"/>
  <c r="S40" i="11"/>
  <c r="D40" i="11" s="1"/>
  <c r="S41" i="11"/>
  <c r="S42" i="11"/>
  <c r="S43" i="11"/>
  <c r="S44" i="11"/>
  <c r="D44" i="11" s="1"/>
  <c r="S45" i="11"/>
  <c r="D45" i="11" s="1"/>
  <c r="R29" i="11"/>
  <c r="R30" i="11"/>
  <c r="R31" i="11"/>
  <c r="R32" i="11"/>
  <c r="R33" i="11"/>
  <c r="R34" i="11"/>
  <c r="R35" i="11"/>
  <c r="J35" i="11" s="1"/>
  <c r="R36" i="11"/>
  <c r="R37" i="11"/>
  <c r="R38" i="11"/>
  <c r="R39" i="11"/>
  <c r="R40" i="11"/>
  <c r="R41" i="11"/>
  <c r="R42" i="11"/>
  <c r="R43" i="11"/>
  <c r="R44" i="11"/>
  <c r="R45" i="11"/>
  <c r="Q29" i="11"/>
  <c r="Q30" i="11"/>
  <c r="Q31" i="11"/>
  <c r="Q32" i="11"/>
  <c r="Q33" i="11"/>
  <c r="Q34" i="11"/>
  <c r="Q35" i="11"/>
  <c r="I35" i="11" s="1"/>
  <c r="Q36" i="11"/>
  <c r="Q37" i="11"/>
  <c r="Q38" i="11"/>
  <c r="Q39" i="11"/>
  <c r="Q40" i="11"/>
  <c r="Q41" i="11"/>
  <c r="Q42" i="11"/>
  <c r="Q43" i="11"/>
  <c r="Q44" i="11"/>
  <c r="Q45" i="11"/>
  <c r="P29" i="11"/>
  <c r="P30" i="11"/>
  <c r="P31" i="11"/>
  <c r="P32" i="11"/>
  <c r="P33" i="11"/>
  <c r="P34" i="11"/>
  <c r="P35" i="11"/>
  <c r="H35" i="11" s="1"/>
  <c r="P36" i="11"/>
  <c r="P37" i="11"/>
  <c r="P38" i="11"/>
  <c r="P39" i="11"/>
  <c r="H39" i="11" s="1"/>
  <c r="P40" i="11"/>
  <c r="P41" i="11"/>
  <c r="P42" i="11"/>
  <c r="P43" i="11"/>
  <c r="P44" i="11"/>
  <c r="P45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K29" i="11"/>
  <c r="K30" i="11"/>
  <c r="D30" i="11" s="1"/>
  <c r="K31" i="11"/>
  <c r="K32" i="11"/>
  <c r="K33" i="11"/>
  <c r="K34" i="11"/>
  <c r="D34" i="11" s="1"/>
  <c r="K35" i="11"/>
  <c r="K36" i="11"/>
  <c r="K37" i="11"/>
  <c r="K38" i="11"/>
  <c r="D38" i="11" s="1"/>
  <c r="K39" i="11"/>
  <c r="K40" i="11"/>
  <c r="K41" i="11"/>
  <c r="K42" i="11"/>
  <c r="D42" i="11" s="1"/>
  <c r="K43" i="11"/>
  <c r="K44" i="11"/>
  <c r="K45" i="11"/>
  <c r="J29" i="11"/>
  <c r="J30" i="11"/>
  <c r="J31" i="11"/>
  <c r="J32" i="11"/>
  <c r="J33" i="11"/>
  <c r="J34" i="11"/>
  <c r="J36" i="11"/>
  <c r="J37" i="11"/>
  <c r="J38" i="11"/>
  <c r="J40" i="11"/>
  <c r="J41" i="11"/>
  <c r="J42" i="11"/>
  <c r="J44" i="11"/>
  <c r="J45" i="11"/>
  <c r="I29" i="11"/>
  <c r="I32" i="11"/>
  <c r="I33" i="11"/>
  <c r="I36" i="11"/>
  <c r="I37" i="11"/>
  <c r="I40" i="11"/>
  <c r="I41" i="11"/>
  <c r="I44" i="11"/>
  <c r="I45" i="11"/>
  <c r="H31" i="11"/>
  <c r="H32" i="11"/>
  <c r="H33" i="11"/>
  <c r="H36" i="11"/>
  <c r="H38" i="11"/>
  <c r="H40" i="11"/>
  <c r="H43" i="11"/>
  <c r="H44" i="11"/>
  <c r="G29" i="11"/>
  <c r="G30" i="11"/>
  <c r="G33" i="11"/>
  <c r="G34" i="11"/>
  <c r="G37" i="11"/>
  <c r="G38" i="11"/>
  <c r="G40" i="11"/>
  <c r="G41" i="11"/>
  <c r="G42" i="11"/>
  <c r="G45" i="11"/>
  <c r="F29" i="11"/>
  <c r="F30" i="11"/>
  <c r="F33" i="11"/>
  <c r="F34" i="11"/>
  <c r="F37" i="11"/>
  <c r="F38" i="11"/>
  <c r="F41" i="11"/>
  <c r="F42" i="11"/>
  <c r="F45" i="11"/>
  <c r="E29" i="11"/>
  <c r="E32" i="11"/>
  <c r="E33" i="11"/>
  <c r="E36" i="11"/>
  <c r="E37" i="11"/>
  <c r="E40" i="11"/>
  <c r="E44" i="11"/>
  <c r="D29" i="11"/>
  <c r="D31" i="11"/>
  <c r="D33" i="11"/>
  <c r="D35" i="11"/>
  <c r="D37" i="11"/>
  <c r="D39" i="11"/>
  <c r="D41" i="11"/>
  <c r="D43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4" i="11"/>
  <c r="R4" i="11"/>
  <c r="Q4" i="11"/>
  <c r="P4" i="11"/>
  <c r="O4" i="11"/>
  <c r="N4" i="11"/>
  <c r="M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4" i="11"/>
  <c r="I39" i="11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4" i="4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4" i="3"/>
  <c r="J5" i="11" l="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J4" i="11"/>
  <c r="I4" i="11"/>
  <c r="H4" i="11"/>
  <c r="G4" i="11"/>
  <c r="F4" i="11"/>
  <c r="E4" i="11"/>
  <c r="D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4" i="11"/>
  <c r="L22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" i="8"/>
  <c r="M19" i="8" l="1"/>
  <c r="K19" i="8"/>
  <c r="N19" i="8"/>
  <c r="L19" i="8"/>
  <c r="I19" i="8"/>
  <c r="G19" i="8"/>
  <c r="J19" i="8"/>
  <c r="H19" i="8"/>
  <c r="M15" i="8"/>
  <c r="K15" i="8"/>
  <c r="N15" i="8"/>
  <c r="L15" i="8"/>
  <c r="I15" i="8"/>
  <c r="G15" i="8"/>
  <c r="J15" i="8"/>
  <c r="H15" i="8"/>
  <c r="M11" i="8"/>
  <c r="K11" i="8"/>
  <c r="N11" i="8"/>
  <c r="L11" i="8"/>
  <c r="I11" i="8"/>
  <c r="G11" i="8"/>
  <c r="J11" i="8"/>
  <c r="H11" i="8"/>
  <c r="M7" i="8"/>
  <c r="K7" i="8"/>
  <c r="N7" i="8"/>
  <c r="L7" i="8"/>
  <c r="I7" i="8"/>
  <c r="G7" i="8"/>
  <c r="J7" i="8"/>
  <c r="H7" i="8"/>
  <c r="N18" i="8"/>
  <c r="L18" i="8"/>
  <c r="M18" i="8"/>
  <c r="K18" i="8"/>
  <c r="I18" i="8"/>
  <c r="G18" i="8"/>
  <c r="H18" i="8"/>
  <c r="J18" i="8"/>
  <c r="N14" i="8"/>
  <c r="L14" i="8"/>
  <c r="M14" i="8"/>
  <c r="K14" i="8"/>
  <c r="I14" i="8"/>
  <c r="G14" i="8"/>
  <c r="J14" i="8"/>
  <c r="H14" i="8"/>
  <c r="N6" i="8"/>
  <c r="L6" i="8"/>
  <c r="M6" i="8"/>
  <c r="K6" i="8"/>
  <c r="I6" i="8"/>
  <c r="G6" i="8"/>
  <c r="H6" i="8"/>
  <c r="J6" i="8"/>
  <c r="N21" i="8"/>
  <c r="L21" i="8"/>
  <c r="M21" i="8"/>
  <c r="K21" i="8"/>
  <c r="J21" i="8"/>
  <c r="H21" i="8"/>
  <c r="I21" i="8"/>
  <c r="G21" i="8"/>
  <c r="N17" i="8"/>
  <c r="L17" i="8"/>
  <c r="M17" i="8"/>
  <c r="K17" i="8"/>
  <c r="J17" i="8"/>
  <c r="H17" i="8"/>
  <c r="I17" i="8"/>
  <c r="G17" i="8"/>
  <c r="N13" i="8"/>
  <c r="L13" i="8"/>
  <c r="M13" i="8"/>
  <c r="K13" i="8"/>
  <c r="J13" i="8"/>
  <c r="H13" i="8"/>
  <c r="I13" i="8"/>
  <c r="G13" i="8"/>
  <c r="N9" i="8"/>
  <c r="L9" i="8"/>
  <c r="M9" i="8"/>
  <c r="K9" i="8"/>
  <c r="J9" i="8"/>
  <c r="H9" i="8"/>
  <c r="I9" i="8"/>
  <c r="G9" i="8"/>
  <c r="N5" i="8"/>
  <c r="L5" i="8"/>
  <c r="M5" i="8"/>
  <c r="K5" i="8"/>
  <c r="J5" i="8"/>
  <c r="H5" i="8"/>
  <c r="I5" i="8"/>
  <c r="G5" i="8"/>
  <c r="N10" i="8"/>
  <c r="L10" i="8"/>
  <c r="M10" i="8"/>
  <c r="K10" i="8"/>
  <c r="I10" i="8"/>
  <c r="G10" i="8"/>
  <c r="J10" i="8"/>
  <c r="H10" i="8"/>
  <c r="N4" i="8"/>
  <c r="L4" i="8"/>
  <c r="M4" i="8"/>
  <c r="K4" i="8"/>
  <c r="I4" i="8"/>
  <c r="G4" i="8"/>
  <c r="J4" i="8"/>
  <c r="H4" i="8"/>
  <c r="M20" i="8"/>
  <c r="K20" i="8"/>
  <c r="N20" i="8"/>
  <c r="L20" i="8"/>
  <c r="J20" i="8"/>
  <c r="H20" i="8"/>
  <c r="G20" i="8"/>
  <c r="I20" i="8"/>
  <c r="M16" i="8"/>
  <c r="K16" i="8"/>
  <c r="N16" i="8"/>
  <c r="L16" i="8"/>
  <c r="J16" i="8"/>
  <c r="H16" i="8"/>
  <c r="I16" i="8"/>
  <c r="G16" i="8"/>
  <c r="M12" i="8"/>
  <c r="K12" i="8"/>
  <c r="N12" i="8"/>
  <c r="L12" i="8"/>
  <c r="J12" i="8"/>
  <c r="H12" i="8"/>
  <c r="I12" i="8"/>
  <c r="G12" i="8"/>
  <c r="M8" i="8"/>
  <c r="K8" i="8"/>
  <c r="N8" i="8"/>
  <c r="L8" i="8"/>
  <c r="J8" i="8"/>
  <c r="H8" i="8"/>
  <c r="I8" i="8"/>
  <c r="G8" i="8"/>
  <c r="E14" i="5"/>
  <c r="E8" i="5"/>
  <c r="E12" i="5"/>
  <c r="E16" i="5"/>
  <c r="E20" i="5"/>
  <c r="D6" i="5"/>
  <c r="D9" i="5"/>
  <c r="D10" i="5"/>
  <c r="D14" i="5"/>
  <c r="D18" i="5"/>
  <c r="D22" i="5"/>
  <c r="C12" i="5"/>
  <c r="E14" i="4"/>
  <c r="E20" i="4"/>
  <c r="D18" i="4"/>
  <c r="C6" i="4"/>
  <c r="C8" i="4"/>
  <c r="C9" i="4" l="1"/>
  <c r="C13" i="4"/>
  <c r="E17" i="4"/>
  <c r="E9" i="4"/>
  <c r="E5" i="4"/>
  <c r="C10" i="5"/>
  <c r="E6" i="5"/>
  <c r="C17" i="4"/>
  <c r="C5" i="4"/>
  <c r="D4" i="4"/>
  <c r="C13" i="5"/>
  <c r="D15" i="5"/>
  <c r="E5" i="5"/>
  <c r="D12" i="4"/>
  <c r="C18" i="5"/>
  <c r="C14" i="5"/>
  <c r="C6" i="5"/>
  <c r="D8" i="5"/>
  <c r="E18" i="5"/>
  <c r="E10" i="5"/>
  <c r="C14" i="4"/>
  <c r="D20" i="4"/>
  <c r="D16" i="4"/>
  <c r="D8" i="4"/>
  <c r="E18" i="4"/>
  <c r="E10" i="4"/>
  <c r="E6" i="4"/>
  <c r="C20" i="4"/>
  <c r="C16" i="4"/>
  <c r="C12" i="4"/>
  <c r="D14" i="4"/>
  <c r="D6" i="4"/>
  <c r="E16" i="4"/>
  <c r="E8" i="4"/>
  <c r="C21" i="5"/>
  <c r="C17" i="5"/>
  <c r="C9" i="5"/>
  <c r="C5" i="5"/>
  <c r="D11" i="5"/>
  <c r="D7" i="5"/>
  <c r="E17" i="5"/>
  <c r="E13" i="5"/>
  <c r="E9" i="5"/>
  <c r="D20" i="5"/>
  <c r="D16" i="5"/>
  <c r="D12" i="5"/>
  <c r="C11" i="5"/>
  <c r="D21" i="5"/>
  <c r="D13" i="5"/>
  <c r="D5" i="5"/>
  <c r="D13" i="4"/>
  <c r="D9" i="4"/>
  <c r="D5" i="4"/>
  <c r="E19" i="4"/>
  <c r="E15" i="4"/>
  <c r="E7" i="4"/>
  <c r="D10" i="4"/>
  <c r="C20" i="5"/>
  <c r="C16" i="5"/>
  <c r="C8" i="5"/>
  <c r="E22" i="4"/>
  <c r="C22" i="5"/>
  <c r="C21" i="4"/>
  <c r="D19" i="5"/>
  <c r="E19" i="5"/>
  <c r="E15" i="5"/>
  <c r="E11" i="5"/>
  <c r="E7" i="5"/>
  <c r="E21" i="5"/>
  <c r="E22" i="5"/>
  <c r="D17" i="5"/>
  <c r="C15" i="5"/>
  <c r="C7" i="5"/>
  <c r="C19" i="5"/>
  <c r="D4" i="5"/>
  <c r="E4" i="5"/>
  <c r="C4" i="5"/>
  <c r="E11" i="4"/>
  <c r="C11" i="4"/>
  <c r="C7" i="4"/>
  <c r="E21" i="4"/>
  <c r="E13" i="4"/>
  <c r="E12" i="4"/>
  <c r="D15" i="4"/>
  <c r="D21" i="4"/>
  <c r="D22" i="4"/>
  <c r="D7" i="4"/>
  <c r="D11" i="4"/>
  <c r="D17" i="4"/>
  <c r="D19" i="4"/>
  <c r="C10" i="4"/>
  <c r="C22" i="4"/>
  <c r="C4" i="4"/>
  <c r="C18" i="4"/>
  <c r="C19" i="4"/>
  <c r="C15" i="4"/>
  <c r="E4" i="4"/>
  <c r="A73" i="2" l="1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I10" i="2" l="1"/>
  <c r="G10" i="2"/>
  <c r="H10" i="2"/>
  <c r="H18" i="2"/>
  <c r="I18" i="2"/>
  <c r="G18" i="2"/>
  <c r="H26" i="2"/>
  <c r="I26" i="2"/>
  <c r="G26" i="2"/>
  <c r="I34" i="2"/>
  <c r="G34" i="2"/>
  <c r="H34" i="2"/>
  <c r="H42" i="2"/>
  <c r="I42" i="2"/>
  <c r="G42" i="2"/>
  <c r="I50" i="2"/>
  <c r="G50" i="2"/>
  <c r="H50" i="2"/>
  <c r="I58" i="2"/>
  <c r="G58" i="2"/>
  <c r="H58" i="2"/>
  <c r="I66" i="2"/>
  <c r="G66" i="2"/>
  <c r="H66" i="2"/>
  <c r="I7" i="2"/>
  <c r="G7" i="2"/>
  <c r="H7" i="2"/>
  <c r="I15" i="2"/>
  <c r="G15" i="2"/>
  <c r="H15" i="2"/>
  <c r="I23" i="2"/>
  <c r="G23" i="2"/>
  <c r="H23" i="2"/>
  <c r="I31" i="2"/>
  <c r="G31" i="2"/>
  <c r="H31" i="2"/>
  <c r="I39" i="2"/>
  <c r="G39" i="2"/>
  <c r="H39" i="2"/>
  <c r="I47" i="2"/>
  <c r="G47" i="2"/>
  <c r="H47" i="2"/>
  <c r="I55" i="2"/>
  <c r="G55" i="2"/>
  <c r="H55" i="2"/>
  <c r="I59" i="2"/>
  <c r="G59" i="2"/>
  <c r="H59" i="2"/>
  <c r="I63" i="2"/>
  <c r="G63" i="2"/>
  <c r="H63" i="2"/>
  <c r="I67" i="2"/>
  <c r="G67" i="2"/>
  <c r="H67" i="2"/>
  <c r="I71" i="2"/>
  <c r="G71" i="2"/>
  <c r="H71" i="2"/>
  <c r="I4" i="2"/>
  <c r="G4" i="2"/>
  <c r="H4" i="2"/>
  <c r="I8" i="2"/>
  <c r="H8" i="2"/>
  <c r="G8" i="2"/>
  <c r="H12" i="2"/>
  <c r="I12" i="2"/>
  <c r="G12" i="2"/>
  <c r="I16" i="2"/>
  <c r="H16" i="2"/>
  <c r="G16" i="2"/>
  <c r="I20" i="2"/>
  <c r="H20" i="2"/>
  <c r="G20" i="2"/>
  <c r="H24" i="2"/>
  <c r="I24" i="2"/>
  <c r="G24" i="2"/>
  <c r="I28" i="2"/>
  <c r="H28" i="2"/>
  <c r="G28" i="2"/>
  <c r="I32" i="2"/>
  <c r="H32" i="2"/>
  <c r="G32" i="2"/>
  <c r="H36" i="2"/>
  <c r="I36" i="2"/>
  <c r="G36" i="2"/>
  <c r="I40" i="2"/>
  <c r="H40" i="2"/>
  <c r="G40" i="2"/>
  <c r="I44" i="2"/>
  <c r="H44" i="2"/>
  <c r="G44" i="2"/>
  <c r="H48" i="2"/>
  <c r="I48" i="2"/>
  <c r="G48" i="2"/>
  <c r="I52" i="2"/>
  <c r="H52" i="2"/>
  <c r="G52" i="2"/>
  <c r="I56" i="2"/>
  <c r="H56" i="2"/>
  <c r="G56" i="2"/>
  <c r="H60" i="2"/>
  <c r="I60" i="2"/>
  <c r="G60" i="2"/>
  <c r="I64" i="2"/>
  <c r="H64" i="2"/>
  <c r="G64" i="2"/>
  <c r="H68" i="2"/>
  <c r="I68" i="2"/>
  <c r="G68" i="2"/>
  <c r="I72" i="2"/>
  <c r="H72" i="2"/>
  <c r="G72" i="2"/>
  <c r="H6" i="2"/>
  <c r="I6" i="2"/>
  <c r="G6" i="2"/>
  <c r="H14" i="2"/>
  <c r="I14" i="2"/>
  <c r="G14" i="2"/>
  <c r="I22" i="2"/>
  <c r="G22" i="2"/>
  <c r="H22" i="2"/>
  <c r="H30" i="2"/>
  <c r="I30" i="2"/>
  <c r="G30" i="2"/>
  <c r="H38" i="2"/>
  <c r="I38" i="2"/>
  <c r="G38" i="2"/>
  <c r="I46" i="2"/>
  <c r="G46" i="2"/>
  <c r="H46" i="2"/>
  <c r="I54" i="2"/>
  <c r="G54" i="2"/>
  <c r="H54" i="2"/>
  <c r="I62" i="2"/>
  <c r="G62" i="2"/>
  <c r="H62" i="2"/>
  <c r="I70" i="2"/>
  <c r="G70" i="2"/>
  <c r="H70" i="2"/>
  <c r="I11" i="2"/>
  <c r="G11" i="2"/>
  <c r="F11" i="2"/>
  <c r="H11" i="2"/>
  <c r="I19" i="2"/>
  <c r="G19" i="2"/>
  <c r="H19" i="2"/>
  <c r="I27" i="2"/>
  <c r="G27" i="2"/>
  <c r="H27" i="2"/>
  <c r="I35" i="2"/>
  <c r="G35" i="2"/>
  <c r="H35" i="2"/>
  <c r="I43" i="2"/>
  <c r="G43" i="2"/>
  <c r="H43" i="2"/>
  <c r="I51" i="2"/>
  <c r="G51" i="2"/>
  <c r="H51" i="2"/>
  <c r="H5" i="2"/>
  <c r="I5" i="2"/>
  <c r="G5" i="2"/>
  <c r="H9" i="2"/>
  <c r="I9" i="2"/>
  <c r="G9" i="2"/>
  <c r="H13" i="2"/>
  <c r="I13" i="2"/>
  <c r="G13" i="2"/>
  <c r="H17" i="2"/>
  <c r="I17" i="2"/>
  <c r="G17" i="2"/>
  <c r="H21" i="2"/>
  <c r="I21" i="2"/>
  <c r="G21" i="2"/>
  <c r="H25" i="2"/>
  <c r="I25" i="2"/>
  <c r="G25" i="2"/>
  <c r="H29" i="2"/>
  <c r="I29" i="2"/>
  <c r="G29" i="2"/>
  <c r="H33" i="2"/>
  <c r="I33" i="2"/>
  <c r="G33" i="2"/>
  <c r="H37" i="2"/>
  <c r="I37" i="2"/>
  <c r="G37" i="2"/>
  <c r="H41" i="2"/>
  <c r="I41" i="2"/>
  <c r="G41" i="2"/>
  <c r="H45" i="2"/>
  <c r="I45" i="2"/>
  <c r="G45" i="2"/>
  <c r="H49" i="2"/>
  <c r="I49" i="2"/>
  <c r="G49" i="2"/>
  <c r="H53" i="2"/>
  <c r="I53" i="2"/>
  <c r="G53" i="2"/>
  <c r="H57" i="2"/>
  <c r="I57" i="2"/>
  <c r="G57" i="2"/>
  <c r="H61" i="2"/>
  <c r="I61" i="2"/>
  <c r="G61" i="2"/>
  <c r="H65" i="2"/>
  <c r="I65" i="2"/>
  <c r="G65" i="2"/>
  <c r="H69" i="2"/>
  <c r="I69" i="2"/>
  <c r="G69" i="2"/>
  <c r="H73" i="2"/>
  <c r="I73" i="2"/>
  <c r="G73" i="2"/>
  <c r="E27" i="2"/>
  <c r="E44" i="2"/>
  <c r="E57" i="2" l="1"/>
  <c r="F58" i="2"/>
  <c r="F32" i="2"/>
  <c r="F48" i="2"/>
  <c r="F69" i="2"/>
  <c r="E36" i="2"/>
  <c r="F21" i="2"/>
  <c r="E68" i="2"/>
  <c r="F55" i="2"/>
  <c r="F45" i="2"/>
  <c r="F15" i="2"/>
  <c r="F4" i="2"/>
  <c r="F61" i="2"/>
  <c r="E72" i="2"/>
  <c r="F59" i="2"/>
  <c r="E35" i="2"/>
  <c r="E20" i="2"/>
  <c r="F29" i="2"/>
  <c r="F14" i="2"/>
  <c r="F37" i="2"/>
  <c r="E66" i="2"/>
  <c r="F53" i="2"/>
  <c r="E33" i="2"/>
  <c r="E8" i="2"/>
  <c r="E52" i="2"/>
  <c r="E65" i="2"/>
  <c r="E28" i="2"/>
  <c r="F23" i="2"/>
  <c r="E18" i="2"/>
  <c r="F6" i="2"/>
  <c r="E41" i="2"/>
  <c r="E26" i="2"/>
  <c r="E11" i="2"/>
  <c r="E60" i="2"/>
  <c r="F51" i="2"/>
  <c r="F25" i="2"/>
  <c r="E21" i="2"/>
  <c r="F16" i="2"/>
  <c r="F73" i="2"/>
  <c r="F50" i="2"/>
  <c r="F40" i="2"/>
  <c r="E15" i="2"/>
  <c r="F10" i="2"/>
  <c r="E61" i="2"/>
  <c r="F12" i="2"/>
  <c r="F72" i="2"/>
  <c r="F49" i="2"/>
  <c r="F9" i="2"/>
  <c r="F42" i="2"/>
  <c r="F67" i="2"/>
  <c r="E54" i="2"/>
  <c r="F34" i="2"/>
  <c r="E29" i="2"/>
  <c r="E37" i="2"/>
  <c r="F66" i="2"/>
  <c r="F57" i="2"/>
  <c r="E53" i="2"/>
  <c r="F8" i="2"/>
  <c r="F65" i="2"/>
  <c r="E38" i="2"/>
  <c r="F18" i="2"/>
  <c r="E7" i="2"/>
  <c r="E6" i="2"/>
  <c r="E69" i="2"/>
  <c r="F26" i="2"/>
  <c r="E22" i="2"/>
  <c r="F17" i="2"/>
  <c r="E51" i="2"/>
  <c r="F56" i="2"/>
  <c r="E64" i="2"/>
  <c r="F44" i="2"/>
  <c r="E34" i="2"/>
  <c r="F24" i="2"/>
  <c r="F43" i="2"/>
  <c r="F31" i="2"/>
  <c r="E5" i="2"/>
  <c r="F39" i="2"/>
  <c r="F71" i="2"/>
  <c r="F62" i="2"/>
  <c r="F38" i="2"/>
  <c r="E39" i="2"/>
  <c r="E14" i="2"/>
  <c r="E71" i="2"/>
  <c r="F19" i="2"/>
  <c r="E62" i="2"/>
  <c r="E46" i="2"/>
  <c r="F5" i="2"/>
  <c r="E73" i="2"/>
  <c r="E45" i="2"/>
  <c r="E59" i="2"/>
  <c r="F35" i="2"/>
  <c r="F54" i="2"/>
  <c r="F70" i="2"/>
  <c r="E42" i="2"/>
  <c r="E63" i="2"/>
  <c r="E17" i="2"/>
  <c r="E70" i="2"/>
  <c r="E40" i="2"/>
  <c r="F30" i="2"/>
  <c r="F13" i="2"/>
  <c r="F47" i="2"/>
  <c r="E50" i="2"/>
  <c r="E10" i="2"/>
  <c r="E30" i="2"/>
  <c r="E9" i="2"/>
  <c r="E67" i="2"/>
  <c r="E23" i="2"/>
  <c r="E47" i="2"/>
  <c r="E58" i="2"/>
  <c r="F27" i="2"/>
  <c r="F36" i="2"/>
  <c r="E43" i="2"/>
  <c r="E13" i="2"/>
  <c r="F60" i="2"/>
  <c r="F46" i="2"/>
  <c r="E32" i="2"/>
  <c r="F68" i="2"/>
  <c r="F20" i="2"/>
  <c r="E48" i="2"/>
  <c r="E19" i="2"/>
  <c r="F22" i="2"/>
  <c r="F28" i="2"/>
  <c r="E31" i="2"/>
  <c r="F63" i="2"/>
  <c r="E24" i="2"/>
  <c r="F52" i="2"/>
  <c r="F64" i="2"/>
  <c r="E55" i="2"/>
  <c r="E56" i="2"/>
  <c r="F41" i="2"/>
  <c r="E12" i="2"/>
  <c r="F33" i="2"/>
  <c r="F7" i="2"/>
  <c r="E25" i="2"/>
  <c r="E49" i="2"/>
  <c r="E4" i="2"/>
  <c r="E16" i="2"/>
  <c r="F6" i="1"/>
  <c r="F10" i="1"/>
  <c r="F14" i="1"/>
  <c r="F18" i="1"/>
  <c r="E8" i="1"/>
  <c r="E12" i="1"/>
  <c r="E16" i="1"/>
  <c r="D6" i="1"/>
  <c r="D9" i="1"/>
  <c r="D10" i="1"/>
  <c r="D12" i="1"/>
  <c r="D14" i="1"/>
  <c r="D18" i="1"/>
  <c r="C8" i="1"/>
  <c r="C12" i="1"/>
  <c r="C16" i="1"/>
  <c r="M23" i="1"/>
  <c r="F22" i="1"/>
  <c r="F21" i="1"/>
  <c r="D20" i="1"/>
  <c r="F17" i="1"/>
  <c r="F13" i="1"/>
  <c r="F9" i="1"/>
  <c r="E6" i="1"/>
  <c r="F5" i="1"/>
  <c r="D5" i="1"/>
  <c r="D16" i="1" l="1"/>
  <c r="D8" i="1"/>
  <c r="E10" i="1"/>
  <c r="C6" i="1"/>
  <c r="F19" i="1"/>
  <c r="E21" i="1"/>
  <c r="E13" i="1"/>
  <c r="E9" i="1"/>
  <c r="F11" i="1"/>
  <c r="F7" i="1"/>
  <c r="E17" i="1"/>
  <c r="E5" i="1"/>
  <c r="C21" i="1"/>
  <c r="C13" i="1"/>
  <c r="C9" i="1"/>
  <c r="C5" i="1"/>
  <c r="E4" i="1"/>
  <c r="C20" i="1"/>
  <c r="C4" i="1"/>
  <c r="F16" i="1"/>
  <c r="F12" i="1"/>
  <c r="F8" i="1"/>
  <c r="C17" i="1"/>
  <c r="D7" i="1"/>
  <c r="F15" i="1"/>
  <c r="E20" i="1"/>
  <c r="F20" i="1"/>
  <c r="E14" i="1"/>
  <c r="E18" i="1"/>
  <c r="E22" i="1"/>
  <c r="E7" i="1"/>
  <c r="E11" i="1"/>
  <c r="E15" i="1"/>
  <c r="E19" i="1"/>
  <c r="D22" i="1"/>
  <c r="D11" i="1"/>
  <c r="D13" i="1"/>
  <c r="D15" i="1"/>
  <c r="D17" i="1"/>
  <c r="D19" i="1"/>
  <c r="D21" i="1"/>
  <c r="D4" i="1"/>
  <c r="F4" i="1"/>
  <c r="C10" i="1"/>
  <c r="C14" i="1"/>
  <c r="C18" i="1"/>
  <c r="C22" i="1"/>
  <c r="C7" i="1"/>
  <c r="C11" i="1"/>
  <c r="C15" i="1"/>
  <c r="C19" i="1"/>
  <c r="C4" i="3" l="1"/>
  <c r="C14" i="3"/>
  <c r="D16" i="3"/>
  <c r="D8" i="3"/>
  <c r="E14" i="3"/>
  <c r="F20" i="3"/>
  <c r="F16" i="3"/>
  <c r="F12" i="3"/>
  <c r="F8" i="3"/>
  <c r="D4" i="3"/>
  <c r="C21" i="3"/>
  <c r="C17" i="3"/>
  <c r="C13" i="3"/>
  <c r="C9" i="3"/>
  <c r="C5" i="3"/>
  <c r="D19" i="3"/>
  <c r="D15" i="3"/>
  <c r="D11" i="3"/>
  <c r="D7" i="3"/>
  <c r="E21" i="3"/>
  <c r="E17" i="3"/>
  <c r="E13" i="3"/>
  <c r="E9" i="3"/>
  <c r="E5" i="3"/>
  <c r="F19" i="3"/>
  <c r="F15" i="3"/>
  <c r="F11" i="3"/>
  <c r="F7" i="3"/>
  <c r="C22" i="3"/>
  <c r="C10" i="3"/>
  <c r="C6" i="3"/>
  <c r="D12" i="3"/>
  <c r="E18" i="3"/>
  <c r="E6" i="3"/>
  <c r="E4" i="3"/>
  <c r="C20" i="3"/>
  <c r="C16" i="3"/>
  <c r="C12" i="3"/>
  <c r="C8" i="3"/>
  <c r="D22" i="3"/>
  <c r="D18" i="3"/>
  <c r="D14" i="3"/>
  <c r="D10" i="3"/>
  <c r="D6" i="3"/>
  <c r="E20" i="3"/>
  <c r="E16" i="3"/>
  <c r="E12" i="3"/>
  <c r="E8" i="3"/>
  <c r="F22" i="3"/>
  <c r="F18" i="3"/>
  <c r="F14" i="3"/>
  <c r="F10" i="3"/>
  <c r="F6" i="3"/>
  <c r="C18" i="3"/>
  <c r="D20" i="3"/>
  <c r="E22" i="3"/>
  <c r="E10" i="3"/>
  <c r="F4" i="3"/>
  <c r="C19" i="3"/>
  <c r="C15" i="3"/>
  <c r="C11" i="3"/>
  <c r="C7" i="3"/>
  <c r="D21" i="3"/>
  <c r="D17" i="3"/>
  <c r="D13" i="3"/>
  <c r="D9" i="3"/>
  <c r="D5" i="3"/>
  <c r="E19" i="3"/>
  <c r="E15" i="3"/>
  <c r="E11" i="3"/>
  <c r="E7" i="3"/>
  <c r="F21" i="3"/>
  <c r="F17" i="3"/>
  <c r="F13" i="3"/>
  <c r="F9" i="3"/>
  <c r="F5" i="3"/>
</calcChain>
</file>

<file path=xl/sharedStrings.xml><?xml version="1.0" encoding="utf-8"?>
<sst xmlns="http://schemas.openxmlformats.org/spreadsheetml/2006/main" count="575" uniqueCount="131">
  <si>
    <t>Portfolio</t>
  </si>
  <si>
    <t>Curve Type</t>
  </si>
  <si>
    <t>CGB</t>
  </si>
  <si>
    <t>CDB</t>
  </si>
  <si>
    <t>ADB</t>
  </si>
  <si>
    <t>EXIM</t>
  </si>
  <si>
    <t>LM</t>
  </si>
  <si>
    <t>MMA</t>
  </si>
  <si>
    <t>BMH</t>
  </si>
  <si>
    <t>BMR</t>
  </si>
  <si>
    <t>SPR</t>
  </si>
  <si>
    <t>SPQ</t>
  </si>
  <si>
    <t>SPH</t>
  </si>
  <si>
    <t>SPL</t>
  </si>
  <si>
    <t>MMB</t>
  </si>
  <si>
    <t>MMC</t>
  </si>
  <si>
    <t>SPG</t>
  </si>
  <si>
    <t>MME</t>
  </si>
  <si>
    <t>Strat</t>
  </si>
  <si>
    <t>ASW</t>
  </si>
  <si>
    <t>SPC</t>
  </si>
  <si>
    <t>Curve</t>
  </si>
  <si>
    <t>BMY</t>
  </si>
  <si>
    <t>BMC</t>
  </si>
  <si>
    <t>BMG</t>
  </si>
  <si>
    <t>DIFF %</t>
    <phoneticPr fontId="1" type="noConversion"/>
  </si>
  <si>
    <t>FO EXCEL</t>
    <phoneticPr fontId="1" type="noConversion"/>
  </si>
  <si>
    <t>IMM</t>
    <phoneticPr fontId="1" type="noConversion"/>
  </si>
  <si>
    <t>BOND RISK IMM</t>
    <phoneticPr fontId="1" type="noConversion"/>
  </si>
  <si>
    <t>FO EXCEL</t>
    <phoneticPr fontId="1" type="noConversion"/>
  </si>
  <si>
    <t>DIFF %</t>
    <phoneticPr fontId="1" type="noConversion"/>
  </si>
  <si>
    <t>PAR</t>
  </si>
  <si>
    <t>BOND RISK PAR</t>
    <phoneticPr fontId="1" type="noConversion"/>
  </si>
  <si>
    <t>FO</t>
    <phoneticPr fontId="1" type="noConversion"/>
  </si>
  <si>
    <t>Key</t>
    <phoneticPr fontId="1" type="noConversion"/>
  </si>
  <si>
    <t>Index</t>
  </si>
  <si>
    <t>Leg</t>
  </si>
  <si>
    <t>YDayPV</t>
  </si>
  <si>
    <t>EodPV</t>
  </si>
  <si>
    <t>FR007</t>
  </si>
  <si>
    <t>POS_FIXED</t>
  </si>
  <si>
    <t>POS_FLOAT</t>
  </si>
  <si>
    <t>SHB3M</t>
  </si>
  <si>
    <t>SWAP RISK IMM</t>
    <phoneticPr fontId="1" type="noConversion"/>
  </si>
  <si>
    <t>DISC</t>
  </si>
  <si>
    <t>r7d</t>
  </si>
  <si>
    <t>s3m</t>
  </si>
  <si>
    <t>disc</t>
  </si>
  <si>
    <t>IMM</t>
  </si>
  <si>
    <t>STRAT</t>
  </si>
  <si>
    <t>EMZ</t>
  </si>
  <si>
    <t>Bond</t>
  </si>
  <si>
    <t>Qty</t>
  </si>
  <si>
    <t>Start Price</t>
  </si>
  <si>
    <t>End Price</t>
  </si>
  <si>
    <t>EOD PnL</t>
  </si>
  <si>
    <t>TF1712</t>
  </si>
  <si>
    <t>T1712</t>
  </si>
  <si>
    <t>T1803</t>
  </si>
  <si>
    <t>TF1803</t>
  </si>
  <si>
    <t>Key</t>
    <phoneticPr fontId="1" type="noConversion"/>
  </si>
  <si>
    <t>Future</t>
    <phoneticPr fontId="1" type="noConversion"/>
  </si>
  <si>
    <t>IT</t>
    <phoneticPr fontId="1" type="noConversion"/>
  </si>
  <si>
    <t>FUTURE PNL</t>
    <phoneticPr fontId="1" type="noConversion"/>
  </si>
  <si>
    <t>FO</t>
    <phoneticPr fontId="1" type="noConversion"/>
  </si>
  <si>
    <t>Qty</t>
    <phoneticPr fontId="1" type="noConversion"/>
  </si>
  <si>
    <t>DIFF %</t>
    <phoneticPr fontId="1" type="noConversion"/>
  </si>
  <si>
    <t>Type</t>
  </si>
  <si>
    <t>Acc int today</t>
  </si>
  <si>
    <t>Acc int Yday</t>
  </si>
  <si>
    <t>Acc int diff</t>
  </si>
  <si>
    <t>PreyClose</t>
  </si>
  <si>
    <t>EODPrice</t>
  </si>
  <si>
    <t>EODPnL</t>
  </si>
  <si>
    <t xml:space="preserve">IT </t>
    <phoneticPr fontId="1" type="noConversion"/>
  </si>
  <si>
    <t>BOND PnL</t>
    <phoneticPr fontId="1" type="noConversion"/>
  </si>
  <si>
    <t>Qty</t>
    <phoneticPr fontId="1" type="noConversion"/>
  </si>
  <si>
    <t>DIFF %</t>
    <phoneticPr fontId="1" type="noConversion"/>
  </si>
  <si>
    <t>MMA_101505.SZ</t>
  </si>
  <si>
    <t>LM_170009.IB</t>
  </si>
  <si>
    <t>MMA_170210.IB</t>
  </si>
  <si>
    <t>MMA_170206.IB</t>
  </si>
  <si>
    <t>MMA_160218.IB</t>
  </si>
  <si>
    <t>BMH_170208.IB</t>
  </si>
  <si>
    <t>BMH_170303.IB</t>
  </si>
  <si>
    <t>BMH_170309.IB</t>
  </si>
  <si>
    <t>BMH_170404.IB</t>
  </si>
  <si>
    <t>BMR_170210.IB</t>
  </si>
  <si>
    <t>BMR_170405.IB</t>
  </si>
  <si>
    <t>SWAP RISK PAR</t>
    <phoneticPr fontId="1" type="noConversion"/>
  </si>
  <si>
    <t>IT</t>
    <phoneticPr fontId="1" type="noConversion"/>
  </si>
  <si>
    <t>SWAP RISK PAR</t>
    <phoneticPr fontId="1" type="noConversion"/>
  </si>
  <si>
    <t>IT</t>
    <phoneticPr fontId="1" type="noConversion"/>
  </si>
  <si>
    <t>SWAP RISK IMM</t>
    <phoneticPr fontId="1" type="noConversion"/>
  </si>
  <si>
    <t xml:space="preserve">SWAP PNL </t>
    <phoneticPr fontId="1" type="noConversion"/>
  </si>
  <si>
    <t>SWAP PNL</t>
    <phoneticPr fontId="1" type="noConversion"/>
  </si>
  <si>
    <t>IT</t>
    <phoneticPr fontId="1" type="noConversion"/>
  </si>
  <si>
    <t>BOND RISK PAR</t>
    <phoneticPr fontId="1" type="noConversion"/>
  </si>
  <si>
    <t>BOND RISK IMM</t>
    <phoneticPr fontId="1" type="noConversion"/>
  </si>
  <si>
    <t>BMH_019569.SH</t>
  </si>
  <si>
    <t>BMH_170020.IB</t>
  </si>
  <si>
    <t>BMH_170215.IB</t>
  </si>
  <si>
    <t>BMR_019568.SH</t>
  </si>
  <si>
    <t>BMR_019569.SH</t>
  </si>
  <si>
    <t>BMR_019575.SH</t>
  </si>
  <si>
    <t>BMR_1700003.IB</t>
  </si>
  <si>
    <t>BMR_170014.IB</t>
  </si>
  <si>
    <t>BMR_170020.IB</t>
  </si>
  <si>
    <t>BMR_170303.IB</t>
  </si>
  <si>
    <t>BMR_170309.IB</t>
  </si>
  <si>
    <t>BMR_170310.IB</t>
  </si>
  <si>
    <t>BMR_170415.IB</t>
  </si>
  <si>
    <t>BMZ_170205.IB</t>
  </si>
  <si>
    <t>BMZ_170215.IB</t>
  </si>
  <si>
    <t>MMA_019569.SH</t>
  </si>
  <si>
    <t>MMA_170020.IB</t>
  </si>
  <si>
    <t>MMA_170215.IB</t>
  </si>
  <si>
    <t>Strat_019567.SH</t>
  </si>
  <si>
    <t>Strat_140227.IB</t>
  </si>
  <si>
    <t>Strat_160206.IB</t>
  </si>
  <si>
    <t>Strat_160208.IB</t>
  </si>
  <si>
    <t>Strat_160215.IB</t>
  </si>
  <si>
    <t>Strat_170004.IB</t>
  </si>
  <si>
    <t>Strat_170013.IB</t>
  </si>
  <si>
    <t>Strat_170201.IB</t>
  </si>
  <si>
    <t>Strat_170205.IB</t>
  </si>
  <si>
    <t>Strat_170210.IB</t>
  </si>
  <si>
    <t>Strat_170215.IB</t>
  </si>
  <si>
    <t>Strat_170405.IB</t>
  </si>
  <si>
    <t>Strat_170415.IB</t>
  </si>
  <si>
    <t>PAR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</si>
</sst>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176" formatCode="_(* #,##0.00_);_(* \(#,##0.00\);_(* &quot;-&quot;??_);_(@_)"/>
    <numFmt numFmtId="177" formatCode="0.00000_);[Red]\(0.00000\)"/>
    <numFmt numFmtId="178" formatCode="0.000000_);[Red]\(0.000000\)"/>
    <numFmt numFmtId="179" formatCode="0.0000000_);[Red]\(0.0000000\)"/>
    <numFmt numFmtId="180" formatCode="0.00_);[Red]\(0.00\)"/>
    <numFmt numFmtId="181" formatCode="0.0000%"/>
    <numFmt numFmtId="182" formatCode="0.000%"/>
    <numFmt numFmtId="183" formatCode="[$-409]dd\-mmm\-yy;@"/>
    <numFmt numFmtId="184" formatCode="0.000%;[Red]\-0.000%;\-"/>
    <numFmt numFmtId="185" formatCode="[Black]\+#,##0.0;[Red]\-#,##0.0;\-"/>
    <numFmt numFmtId="186" formatCode="dmmmyy"/>
    <numFmt numFmtId="187" formatCode="_-* #,##0.00_-;\-* #,##0.00_-;_-* &quot;-&quot;??_-;_-@_-"/>
    <numFmt numFmtId="188" formatCode="d\.mmm\.yy;[Red]\-d\.mmm\.yy;\-"/>
    <numFmt numFmtId="189" formatCode="dmmmyy;[Red]\-dmmmyy;\-"/>
    <numFmt numFmtId="190" formatCode="ddd\ dmmmyy"/>
    <numFmt numFmtId="191" formatCode="ddd\ d\-mmm\-yy;[Red]\-d\-mmm\-yy;\-"/>
    <numFmt numFmtId="192" formatCode="dmmmyy\ \ h:mm:ss;[Red]dmmmyy\ \ h:mm:ss;\-"/>
    <numFmt numFmtId="193" formatCode="d\-mm\-yy"/>
    <numFmt numFmtId="194" formatCode="#,##0;[Red]\-#,##0;\-"/>
    <numFmt numFmtId="195" formatCode="#,##0.00;[Red]\-#,##0.00;\-"/>
    <numFmt numFmtId="196" formatCode="#,##0_ "/>
    <numFmt numFmtId="197" formatCode="hh:mm:ss.00"/>
    <numFmt numFmtId="198" formatCode="h:mm:ss.00"/>
    <numFmt numFmtId="199" formatCode="h:mm:ss;[Red]\-h:mm:ss;\-"/>
    <numFmt numFmtId="200" formatCode="hh:mm:ss;@"/>
    <numFmt numFmtId="201" formatCode="h:mm:ss;@"/>
    <numFmt numFmtId="202" formatCode="h:mm:ss;[Red]h:mm:ss;\-"/>
    <numFmt numFmtId="203" formatCode="#,##0.0&quot;-y&quot;;[Red]\-#,##0.0&quot;-y&quot;;\-\ &quot;-y&quot;"/>
    <numFmt numFmtId="204" formatCode="#,##0.000;[Red]\-#,##0.000;\-"/>
  </numFmts>
  <fonts count="5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0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indexed="9"/>
      <name val="Calibri"/>
      <family val="2"/>
    </font>
    <font>
      <sz val="10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0"/>
      <color rgb="FFFA7D00"/>
      <name val="Courier New"/>
      <family val="3"/>
    </font>
    <font>
      <sz val="14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color rgb="FF7030A0"/>
      <name val="Lucida Sans Typewriter"/>
      <family val="3"/>
    </font>
    <font>
      <sz val="10"/>
      <color rgb="FF3F3F76"/>
      <name val="Calibri"/>
      <family val="2"/>
    </font>
    <font>
      <sz val="10"/>
      <color rgb="FF3F3F76"/>
      <name val="宋体"/>
      <family val="2"/>
      <scheme val="minor"/>
    </font>
    <font>
      <sz val="10"/>
      <color rgb="FF9C0006"/>
      <name val="Calibri"/>
      <family val="2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sz val="10"/>
      <color rgb="FF006100"/>
      <name val="Calibri"/>
      <family val="2"/>
    </font>
    <font>
      <sz val="10"/>
      <color rgb="FF006100"/>
      <name val="Courier New"/>
      <family val="3"/>
    </font>
    <font>
      <b/>
      <sz val="10"/>
      <color theme="9" tint="-0.499984740745262"/>
      <name val="宋体"/>
      <family val="2"/>
      <scheme val="minor"/>
    </font>
    <font>
      <sz val="10"/>
      <color theme="9" tint="-0.499984740745262"/>
      <name val="宋体"/>
      <family val="2"/>
      <scheme val="minor"/>
    </font>
    <font>
      <b/>
      <sz val="10"/>
      <color theme="9" tint="-0.499984740745262"/>
      <name val="Californian FB"/>
      <family val="1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color theme="2" tint="-0.89996032593768116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sz val="10"/>
      <color rgb="FF3F3F76"/>
      <name val="Courier New"/>
      <family val="3"/>
    </font>
    <font>
      <sz val="10"/>
      <color rgb="FF000066"/>
      <name val="Courier New"/>
      <family val="3"/>
    </font>
    <font>
      <i/>
      <sz val="10"/>
      <color theme="9" tint="-0.499984740745262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sz val="12"/>
      <name val="宋体"/>
      <family val="3"/>
      <charset val="134"/>
    </font>
    <font>
      <sz val="8"/>
      <name val="Arial"/>
      <family val="2"/>
    </font>
    <font>
      <b/>
      <sz val="10"/>
      <color rgb="FF3F3F3F"/>
      <name val="Courier New"/>
      <family val="3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theme="0" tint="-0.34998626667073579"/>
      <name val="Lucida Sans Typewriter"/>
      <family val="3"/>
    </font>
    <font>
      <sz val="9"/>
      <color theme="1"/>
      <name val="Calibri"/>
      <family val="2"/>
    </font>
    <font>
      <sz val="8"/>
      <color rgb="FF3F3F76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8"/>
      <color theme="3"/>
      <name val="宋体"/>
      <family val="1"/>
      <scheme val="major"/>
    </font>
    <font>
      <sz val="11"/>
      <color rgb="FFFF0000"/>
      <name val="宋体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indexed="64"/>
      </patternFill>
    </fill>
    <fill>
      <patternFill patternType="solid">
        <fgColor rgb="FF99FFCC"/>
        <bgColor theme="5" tint="0.79995117038483843"/>
      </patternFill>
    </fill>
    <fill>
      <patternFill patternType="solid">
        <fgColor rgb="FF66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theme="0" tint="-0.14996795556505021"/>
      </patternFill>
    </fill>
    <fill>
      <patternFill patternType="solid">
        <fgColor rgb="FF3399FF"/>
        <bgColor indexed="64"/>
      </patternFill>
    </fill>
    <fill>
      <gradientFill degree="90">
        <stop position="0">
          <color theme="0"/>
        </stop>
        <stop position="1">
          <color theme="5" tint="0.40000610370189521"/>
        </stop>
      </gradient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83" fontId="4" fillId="0" borderId="0" applyNumberFormat="0" applyFill="0" applyBorder="0" applyAlignment="0" applyProtection="0"/>
    <xf numFmtId="10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14" borderId="0" applyNumberFormat="0" applyBorder="0" applyAlignment="0" applyProtection="0"/>
    <xf numFmtId="183" fontId="5" fillId="14" borderId="0" applyNumberFormat="0" applyBorder="0" applyAlignment="0" applyProtection="0">
      <alignment vertical="center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Alignment="0" applyProtection="0">
      <alignment vertical="center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183" fontId="5" fillId="14" borderId="0" applyNumberFormat="0" applyBorder="0" applyProtection="0">
      <alignment horizontal="centerContinuous"/>
    </xf>
    <xf numFmtId="0" fontId="5" fillId="18" borderId="0" applyNumberFormat="0" applyBorder="0" applyAlignment="0" applyProtection="0"/>
    <xf numFmtId="183" fontId="5" fillId="18" borderId="0" applyNumberFormat="0" applyBorder="0" applyAlignment="0" applyProtection="0">
      <alignment vertical="center"/>
    </xf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/>
    <xf numFmtId="183" fontId="5" fillId="18" borderId="0" applyNumberFormat="0" applyBorder="0" applyAlignment="0" applyProtection="0">
      <alignment vertical="center"/>
    </xf>
    <xf numFmtId="183" fontId="5" fillId="18" borderId="0" applyNumberFormat="0" applyBorder="0" applyAlignment="0" applyProtection="0">
      <alignment vertical="center"/>
    </xf>
    <xf numFmtId="183" fontId="5" fillId="18" borderId="0" applyNumberFormat="0" applyBorder="0" applyAlignment="0" applyProtection="0">
      <alignment vertical="center"/>
    </xf>
    <xf numFmtId="183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/>
    <xf numFmtId="183" fontId="6" fillId="22" borderId="0" applyNumberFormat="0" applyBorder="0" applyAlignment="0" applyProtection="0"/>
    <xf numFmtId="183" fontId="5" fillId="22" borderId="0" applyNumberFormat="0" applyBorder="0" applyAlignment="0" applyProtection="0">
      <alignment vertical="center"/>
    </xf>
    <xf numFmtId="183" fontId="5" fillId="22" borderId="0" applyNumberFormat="0" applyBorder="0" applyAlignment="0" applyProtection="0">
      <alignment vertical="center"/>
    </xf>
    <xf numFmtId="183" fontId="5" fillId="22" borderId="0" applyNumberFormat="0" applyBorder="0" applyAlignment="0" applyProtection="0"/>
    <xf numFmtId="0" fontId="5" fillId="26" borderId="0" applyNumberFormat="0" applyBorder="0" applyAlignment="0" applyProtection="0"/>
    <xf numFmtId="183" fontId="5" fillId="26" borderId="0" applyNumberFormat="0" applyBorder="0" applyAlignment="0" applyProtection="0">
      <alignment vertical="center"/>
    </xf>
    <xf numFmtId="183" fontId="5" fillId="26" borderId="0" applyNumberFormat="0" applyBorder="0" applyAlignment="0" applyProtection="0">
      <alignment vertical="center"/>
    </xf>
    <xf numFmtId="183" fontId="5" fillId="26" borderId="0" applyNumberFormat="0" applyBorder="0" applyAlignment="0" applyProtection="0">
      <alignment vertical="center"/>
    </xf>
    <xf numFmtId="183" fontId="5" fillId="26" borderId="0" applyNumberFormat="0" applyBorder="0" applyAlignment="0" applyProtection="0"/>
    <xf numFmtId="0" fontId="5" fillId="30" borderId="0" applyNumberFormat="0" applyBorder="0" applyAlignment="0" applyProtection="0"/>
    <xf numFmtId="183" fontId="5" fillId="30" borderId="0" applyNumberFormat="0" applyBorder="0" applyAlignment="0" applyProtection="0">
      <alignment vertical="center"/>
    </xf>
    <xf numFmtId="183" fontId="5" fillId="30" borderId="0" applyNumberFormat="0" applyBorder="0" applyAlignment="0" applyProtection="0">
      <alignment vertical="center"/>
    </xf>
    <xf numFmtId="183" fontId="5" fillId="30" borderId="0" applyNumberFormat="0" applyBorder="0" applyAlignment="0" applyProtection="0">
      <alignment vertical="center"/>
    </xf>
    <xf numFmtId="183" fontId="5" fillId="30" borderId="0" applyNumberFormat="0" applyBorder="0" applyAlignment="0" applyProtection="0"/>
    <xf numFmtId="0" fontId="5" fillId="34" borderId="0" applyNumberFormat="0" applyBorder="0" applyAlignment="0" applyProtection="0"/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/>
    <xf numFmtId="183" fontId="5" fillId="34" borderId="0" applyNumberFormat="0" applyBorder="0" applyAlignment="0" applyProtection="0"/>
    <xf numFmtId="183" fontId="5" fillId="34" borderId="0" applyNumberFormat="0" applyBorder="0" applyAlignment="0" applyProtection="0"/>
    <xf numFmtId="183" fontId="5" fillId="34" borderId="0" applyNumberFormat="0" applyBorder="0" applyAlignment="0" applyProtection="0"/>
    <xf numFmtId="183" fontId="5" fillId="34" borderId="0" applyNumberFormat="0" applyBorder="0" applyAlignment="0" applyProtection="0"/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183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183" fontId="5" fillId="15" borderId="0" applyNumberFormat="0" applyBorder="0" applyAlignment="0" applyProtection="0">
      <alignment vertical="center"/>
    </xf>
    <xf numFmtId="183" fontId="5" fillId="15" borderId="0" applyNumberFormat="0" applyBorder="0" applyAlignment="0" applyProtection="0">
      <alignment vertical="center"/>
    </xf>
    <xf numFmtId="183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/>
    <xf numFmtId="183" fontId="5" fillId="19" borderId="0" applyNumberFormat="0" applyBorder="0" applyAlignment="0" applyProtection="0">
      <alignment vertical="center"/>
    </xf>
    <xf numFmtId="183" fontId="5" fillId="19" borderId="0" applyNumberFormat="0" applyBorder="0" applyAlignment="0" applyProtection="0">
      <alignment vertical="center"/>
    </xf>
    <xf numFmtId="183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/>
    <xf numFmtId="183" fontId="5" fillId="23" borderId="0" applyNumberFormat="0" applyBorder="0" applyAlignment="0" applyProtection="0">
      <alignment vertical="center"/>
    </xf>
    <xf numFmtId="183" fontId="5" fillId="23" borderId="0" applyNumberFormat="0" applyBorder="0" applyAlignment="0" applyProtection="0">
      <alignment vertical="center"/>
    </xf>
    <xf numFmtId="183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183" fontId="5" fillId="27" borderId="0" applyNumberFormat="0" applyBorder="0" applyAlignment="0" applyProtection="0">
      <alignment vertical="center"/>
    </xf>
    <xf numFmtId="183" fontId="5" fillId="27" borderId="0" applyNumberFormat="0" applyBorder="0" applyAlignment="0" applyProtection="0">
      <alignment vertical="center"/>
    </xf>
    <xf numFmtId="183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/>
    <xf numFmtId="183" fontId="5" fillId="31" borderId="0" applyNumberFormat="0" applyBorder="0" applyAlignment="0" applyProtection="0">
      <alignment vertical="center"/>
    </xf>
    <xf numFmtId="183" fontId="5" fillId="31" borderId="0" applyNumberFormat="0" applyBorder="0" applyAlignment="0" applyProtection="0">
      <alignment vertical="center"/>
    </xf>
    <xf numFmtId="183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/>
    <xf numFmtId="183" fontId="5" fillId="35" borderId="0" applyNumberFormat="0" applyBorder="0" applyAlignment="0" applyProtection="0">
      <alignment vertical="center"/>
    </xf>
    <xf numFmtId="183" fontId="5" fillId="35" borderId="0" applyNumberFormat="0" applyBorder="0" applyAlignment="0" applyProtection="0">
      <alignment vertical="center"/>
    </xf>
    <xf numFmtId="183" fontId="5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183" fontId="7" fillId="16" borderId="0" applyNumberFormat="0" applyBorder="0" applyAlignment="0" applyProtection="0">
      <alignment vertical="center"/>
    </xf>
    <xf numFmtId="183" fontId="7" fillId="16" borderId="0" applyNumberFormat="0" applyBorder="0" applyAlignment="0" applyProtection="0">
      <alignment vertical="center"/>
    </xf>
    <xf numFmtId="183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/>
    <xf numFmtId="183" fontId="7" fillId="20" borderId="0" applyNumberFormat="0" applyBorder="0" applyAlignment="0" applyProtection="0">
      <alignment vertical="center"/>
    </xf>
    <xf numFmtId="183" fontId="7" fillId="20" borderId="0" applyNumberFormat="0" applyBorder="0" applyAlignment="0" applyProtection="0">
      <alignment vertical="center"/>
    </xf>
    <xf numFmtId="183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/>
    <xf numFmtId="183" fontId="7" fillId="24" borderId="0" applyNumberFormat="0" applyBorder="0" applyAlignment="0" applyProtection="0">
      <alignment vertical="center"/>
    </xf>
    <xf numFmtId="183" fontId="7" fillId="24" borderId="0" applyNumberFormat="0" applyBorder="0" applyAlignment="0" applyProtection="0">
      <alignment vertical="center"/>
    </xf>
    <xf numFmtId="183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/>
    <xf numFmtId="183" fontId="7" fillId="28" borderId="0" applyNumberFormat="0" applyBorder="0" applyAlignment="0" applyProtection="0">
      <alignment vertical="center"/>
    </xf>
    <xf numFmtId="183" fontId="7" fillId="28" borderId="0" applyNumberFormat="0" applyBorder="0" applyAlignment="0" applyProtection="0">
      <alignment vertical="center"/>
    </xf>
    <xf numFmtId="183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/>
    <xf numFmtId="183" fontId="7" fillId="32" borderId="0" applyNumberFormat="0" applyBorder="0" applyAlignment="0" applyProtection="0">
      <alignment vertical="center"/>
    </xf>
    <xf numFmtId="183" fontId="7" fillId="32" borderId="0" applyNumberFormat="0" applyBorder="0" applyAlignment="0" applyProtection="0">
      <alignment vertical="center"/>
    </xf>
    <xf numFmtId="183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/>
    <xf numFmtId="183" fontId="7" fillId="36" borderId="0" applyNumberFormat="0" applyBorder="0" applyAlignment="0" applyProtection="0">
      <alignment vertical="center"/>
    </xf>
    <xf numFmtId="183" fontId="7" fillId="36" borderId="0" applyNumberFormat="0" applyBorder="0" applyAlignment="0" applyProtection="0">
      <alignment vertical="center"/>
    </xf>
    <xf numFmtId="183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>
      <alignment vertical="center"/>
    </xf>
    <xf numFmtId="183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/>
    <xf numFmtId="183" fontId="7" fillId="17" borderId="0" applyNumberFormat="0" applyBorder="0" applyAlignment="0" applyProtection="0">
      <alignment vertical="center"/>
    </xf>
    <xf numFmtId="183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/>
    <xf numFmtId="183" fontId="7" fillId="21" borderId="0" applyNumberFormat="0" applyBorder="0" applyAlignment="0" applyProtection="0">
      <alignment vertical="center"/>
    </xf>
    <xf numFmtId="183" fontId="7" fillId="21" borderId="0" applyNumberFormat="0" applyBorder="0" applyAlignment="0" applyProtection="0">
      <alignment vertical="center"/>
    </xf>
    <xf numFmtId="183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/>
    <xf numFmtId="183" fontId="7" fillId="25" borderId="0" applyNumberFormat="0" applyBorder="0" applyAlignment="0" applyProtection="0">
      <alignment vertical="center"/>
    </xf>
    <xf numFmtId="183" fontId="7" fillId="25" borderId="0" applyNumberFormat="0" applyBorder="0" applyAlignment="0" applyProtection="0">
      <alignment vertical="center"/>
    </xf>
    <xf numFmtId="183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/>
    <xf numFmtId="183" fontId="7" fillId="29" borderId="0" applyNumberFormat="0" applyBorder="0" applyAlignment="0" applyProtection="0">
      <alignment vertical="center"/>
    </xf>
    <xf numFmtId="183" fontId="7" fillId="29" borderId="0" applyNumberFormat="0" applyBorder="0" applyAlignment="0" applyProtection="0">
      <alignment vertical="center"/>
    </xf>
    <xf numFmtId="183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83" fontId="7" fillId="33" borderId="0" applyNumberFormat="0" applyBorder="0" applyAlignment="0" applyProtection="0">
      <alignment vertical="center"/>
    </xf>
    <xf numFmtId="183" fontId="7" fillId="33" borderId="0" applyNumberFormat="0" applyBorder="0" applyAlignment="0" applyProtection="0">
      <alignment vertical="center"/>
    </xf>
    <xf numFmtId="183" fontId="7" fillId="33" borderId="0" applyNumberFormat="0" applyBorder="0" applyAlignment="0" applyProtection="0">
      <alignment vertical="center"/>
    </xf>
    <xf numFmtId="183" fontId="8" fillId="37" borderId="5">
      <alignment horizontal="center" vertical="center"/>
    </xf>
    <xf numFmtId="0" fontId="9" fillId="7" borderId="0" applyNumberFormat="0" applyBorder="0" applyAlignment="0" applyProtection="0"/>
    <xf numFmtId="183" fontId="9" fillId="7" borderId="0" applyNumberFormat="0" applyBorder="0" applyAlignment="0" applyProtection="0"/>
    <xf numFmtId="183" fontId="9" fillId="7" borderId="0" applyNumberFormat="0" applyBorder="0" applyAlignment="0" applyProtection="0">
      <alignment vertical="center"/>
    </xf>
    <xf numFmtId="183" fontId="9" fillId="7" borderId="0" applyNumberFormat="0" applyBorder="0" applyAlignment="0" applyProtection="0">
      <alignment vertical="center"/>
    </xf>
    <xf numFmtId="183" fontId="9" fillId="7" borderId="0" applyNumberFormat="0" applyBorder="0" applyAlignment="0" applyProtection="0">
      <alignment vertical="center"/>
    </xf>
    <xf numFmtId="183" fontId="10" fillId="38" borderId="0"/>
    <xf numFmtId="186" fontId="5" fillId="39" borderId="0" applyNumberFormat="0" applyFont="0" applyAlignment="0" applyProtection="0">
      <alignment vertical="center"/>
    </xf>
    <xf numFmtId="40" fontId="11" fillId="39" borderId="5" applyNumberFormat="0" applyFont="0" applyBorder="0" applyAlignment="0" applyProtection="0"/>
    <xf numFmtId="0" fontId="12" fillId="10" borderId="4" applyNumberFormat="0" applyAlignment="0" applyProtection="0"/>
    <xf numFmtId="183" fontId="13" fillId="10" borderId="0" applyNumberFormat="0" applyAlignment="0" applyProtection="0"/>
    <xf numFmtId="183" fontId="12" fillId="10" borderId="4" applyNumberFormat="0" applyAlignment="0" applyProtection="0"/>
    <xf numFmtId="183" fontId="14" fillId="10" borderId="4" applyNumberFormat="0" applyAlignment="0" applyProtection="0"/>
    <xf numFmtId="183" fontId="14" fillId="10" borderId="4" applyNumberFormat="0" applyAlignment="0" applyProtection="0"/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2" fillId="10" borderId="4" applyNumberFormat="0" applyAlignment="0" applyProtection="0">
      <alignment vertical="center"/>
    </xf>
    <xf numFmtId="183" fontId="12" fillId="10" borderId="4" applyNumberFormat="0" applyAlignment="0" applyProtection="0">
      <alignment vertical="center"/>
    </xf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3" fillId="10" borderId="0" applyNumberFormat="0" applyAlignment="0" applyProtection="0"/>
    <xf numFmtId="183" fontId="15" fillId="40" borderId="10" applyNumberFormat="0" applyFont="0" applyFill="0" applyBorder="0" applyProtection="0">
      <alignment horizontal="centerContinuous" vertical="center"/>
    </xf>
    <xf numFmtId="0" fontId="16" fillId="11" borderId="7" applyNumberFormat="0" applyAlignment="0" applyProtection="0"/>
    <xf numFmtId="183" fontId="16" fillId="11" borderId="7" applyNumberFormat="0" applyAlignment="0" applyProtection="0">
      <alignment vertical="center"/>
    </xf>
    <xf numFmtId="183" fontId="16" fillId="11" borderId="7" applyNumberFormat="0" applyAlignment="0" applyProtection="0">
      <alignment vertical="center"/>
    </xf>
    <xf numFmtId="183" fontId="16" fillId="11" borderId="7" applyNumberFormat="0" applyAlignment="0" applyProtection="0">
      <alignment vertical="center"/>
    </xf>
    <xf numFmtId="183" fontId="17" fillId="41" borderId="4" applyNumberFormat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8" fontId="18" fillId="42" borderId="4" applyFont="0" applyFill="0" applyBorder="0" applyAlignment="0" applyProtection="0"/>
    <xf numFmtId="189" fontId="18" fillId="42" borderId="4" applyFont="0" applyFill="0" applyBorder="0" applyAlignment="0" applyProtection="0"/>
    <xf numFmtId="186" fontId="18" fillId="42" borderId="4" applyFont="0" applyFill="0" applyBorder="0" applyAlignment="0" applyProtection="0"/>
    <xf numFmtId="186" fontId="18" fillId="42" borderId="4" applyFont="0" applyFill="0" applyBorder="0" applyAlignment="0" applyProtection="0"/>
    <xf numFmtId="190" fontId="5" fillId="0" borderId="0" applyFont="0" applyFill="0" applyBorder="0" applyAlignment="0" applyProtection="0">
      <alignment vertical="center"/>
    </xf>
    <xf numFmtId="188" fontId="18" fillId="42" borderId="4" applyFont="0" applyFill="0" applyBorder="0" applyAlignment="0" applyProtection="0"/>
    <xf numFmtId="188" fontId="18" fillId="42" borderId="4" applyFont="0" applyFill="0" applyBorder="0" applyAlignment="0" applyProtection="0"/>
    <xf numFmtId="191" fontId="18" fillId="42" borderId="4" applyFont="0" applyFill="0" applyBorder="0" applyAlignment="0" applyProtection="0"/>
    <xf numFmtId="189" fontId="18" fillId="42" borderId="4" applyFont="0" applyFill="0" applyBorder="0" applyAlignment="0" applyProtection="0"/>
    <xf numFmtId="192" fontId="19" fillId="43" borderId="4" applyFont="0" applyFill="0" applyBorder="0" applyAlignment="0" applyProtection="0"/>
    <xf numFmtId="183" fontId="20" fillId="44" borderId="0" applyBorder="0" applyAlignment="0" applyProtection="0"/>
    <xf numFmtId="0" fontId="21" fillId="0" borderId="0" applyNumberFormat="0" applyFill="0" applyBorder="0" applyAlignment="0" applyProtection="0"/>
    <xf numFmtId="183" fontId="21" fillId="0" borderId="0" applyNumberFormat="0" applyFill="0" applyBorder="0" applyAlignment="0" applyProtection="0">
      <alignment vertical="center"/>
    </xf>
    <xf numFmtId="183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/>
    <xf numFmtId="183" fontId="23" fillId="6" borderId="0" applyNumberFormat="0" applyBorder="0" applyAlignment="0" applyProtection="0"/>
    <xf numFmtId="183" fontId="24" fillId="6" borderId="0" applyNumberFormat="0" applyBorder="0" applyAlignment="0" applyProtection="0"/>
    <xf numFmtId="183" fontId="24" fillId="6" borderId="0" applyNumberFormat="0" applyBorder="0" applyAlignment="0" applyProtection="0"/>
    <xf numFmtId="183" fontId="22" fillId="6" borderId="0" applyNumberFormat="0" applyBorder="0" applyAlignment="0" applyProtection="0">
      <alignment vertical="center"/>
    </xf>
    <xf numFmtId="183" fontId="22" fillId="6" borderId="0" applyNumberFormat="0" applyBorder="0" applyAlignment="0" applyProtection="0">
      <alignment vertical="center"/>
    </xf>
    <xf numFmtId="183" fontId="22" fillId="6" borderId="0" applyNumberFormat="0" applyBorder="0" applyAlignment="0" applyProtection="0">
      <alignment vertical="center"/>
    </xf>
    <xf numFmtId="183" fontId="25" fillId="45" borderId="4" applyNumberFormat="0" applyFont="0" applyFill="0" applyBorder="0" applyProtection="0">
      <alignment horizontal="centerContinuous"/>
    </xf>
    <xf numFmtId="183" fontId="26" fillId="46" borderId="4" applyBorder="0" applyAlignment="0" applyProtection="0"/>
    <xf numFmtId="183" fontId="26" fillId="45" borderId="4" applyProtection="0">
      <alignment horizontal="centerContinuous"/>
    </xf>
    <xf numFmtId="183" fontId="26" fillId="45" borderId="4" applyBorder="0" applyProtection="0">
      <alignment horizontal="centerContinuous"/>
    </xf>
    <xf numFmtId="183" fontId="25" fillId="45" borderId="4" applyBorder="0" applyProtection="0">
      <alignment horizontal="centerContinuous"/>
    </xf>
    <xf numFmtId="183" fontId="26" fillId="45" borderId="4" applyBorder="0" applyProtection="0">
      <alignment horizontal="centerContinuous"/>
    </xf>
    <xf numFmtId="183" fontId="26" fillId="45" borderId="4" applyBorder="0" applyProtection="0">
      <alignment horizontal="centerContinuous"/>
    </xf>
    <xf numFmtId="183" fontId="27" fillId="45" borderId="4" applyBorder="0" applyProtection="0">
      <alignment horizontal="centerContinuous"/>
    </xf>
    <xf numFmtId="183" fontId="26" fillId="45" borderId="4" applyProtection="0">
      <alignment horizontal="centerContinuous"/>
    </xf>
    <xf numFmtId="183" fontId="26" fillId="45" borderId="4" applyProtection="0">
      <alignment horizontal="centerContinuous"/>
    </xf>
    <xf numFmtId="0" fontId="28" fillId="0" borderId="1" applyNumberFormat="0" applyFill="0" applyAlignment="0" applyProtection="0"/>
    <xf numFmtId="183" fontId="28" fillId="0" borderId="1" applyNumberFormat="0" applyFill="0" applyAlignment="0" applyProtection="0">
      <alignment vertical="center"/>
    </xf>
    <xf numFmtId="183" fontId="28" fillId="0" borderId="1" applyNumberFormat="0" applyFill="0" applyAlignment="0" applyProtection="0">
      <alignment vertical="center"/>
    </xf>
    <xf numFmtId="183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/>
    <xf numFmtId="183" fontId="29" fillId="0" borderId="2" applyNumberFormat="0" applyFill="0" applyAlignment="0" applyProtection="0">
      <alignment vertical="center"/>
    </xf>
    <xf numFmtId="183" fontId="29" fillId="0" borderId="2" applyNumberFormat="0" applyFill="0" applyAlignment="0" applyProtection="0">
      <alignment vertical="center"/>
    </xf>
    <xf numFmtId="183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/>
    <xf numFmtId="183" fontId="30" fillId="0" borderId="3" applyNumberFormat="0" applyFill="0" applyAlignment="0" applyProtection="0">
      <alignment vertical="center"/>
    </xf>
    <xf numFmtId="183" fontId="30" fillId="0" borderId="3" applyNumberFormat="0" applyFill="0" applyAlignment="0" applyProtection="0">
      <alignment vertical="center"/>
    </xf>
    <xf numFmtId="183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>
      <alignment vertical="center"/>
    </xf>
    <xf numFmtId="183" fontId="30" fillId="0" borderId="0" applyNumberFormat="0" applyFill="0" applyBorder="0" applyAlignment="0" applyProtection="0">
      <alignment vertical="center"/>
    </xf>
    <xf numFmtId="183" fontId="30" fillId="0" borderId="0" applyNumberFormat="0" applyFill="0" applyBorder="0" applyAlignment="0" applyProtection="0">
      <alignment vertical="center"/>
    </xf>
    <xf numFmtId="183" fontId="31" fillId="0" borderId="0" applyNumberFormat="0" applyFill="0" applyBorder="0" applyAlignment="0" applyProtection="0"/>
    <xf numFmtId="183" fontId="32" fillId="0" borderId="0" applyNumberFormat="0" applyFill="0" applyBorder="0" applyAlignment="0" applyProtection="0">
      <alignment vertical="top"/>
      <protection locked="0"/>
    </xf>
    <xf numFmtId="183" fontId="19" fillId="43" borderId="4" applyNumberFormat="0" applyFont="0" applyBorder="0" applyAlignment="0" applyProtection="0"/>
    <xf numFmtId="183" fontId="33" fillId="43" borderId="4" applyNumberFormat="0" applyBorder="0" applyAlignment="0" applyProtection="0"/>
    <xf numFmtId="183" fontId="34" fillId="43" borderId="4" applyBorder="0" applyAlignment="0" applyProtection="0"/>
    <xf numFmtId="183" fontId="19" fillId="43" borderId="4" applyNumberFormat="0" applyFont="0" applyBorder="0" applyAlignment="0" applyProtection="0"/>
    <xf numFmtId="183" fontId="19" fillId="43" borderId="4" applyNumberFormat="0" applyFont="0" applyBorder="0" applyAlignment="0" applyProtection="0"/>
    <xf numFmtId="183" fontId="19" fillId="43" borderId="4" applyNumberFormat="0" applyBorder="0" applyAlignment="0" applyProtection="0"/>
    <xf numFmtId="183" fontId="19" fillId="43" borderId="4" applyNumberFormat="0" applyBorder="0" applyAlignment="0" applyProtection="0"/>
    <xf numFmtId="0" fontId="35" fillId="9" borderId="4" applyNumberFormat="0" applyAlignment="0" applyProtection="0"/>
    <xf numFmtId="183" fontId="35" fillId="9" borderId="4" applyNumberFormat="0" applyAlignment="0" applyProtection="0"/>
    <xf numFmtId="183" fontId="35" fillId="9" borderId="4" applyNumberFormat="0" applyAlignment="0" applyProtection="0"/>
    <xf numFmtId="183" fontId="19" fillId="43" borderId="0" applyNumberFormat="0" applyAlignment="0" applyProtection="0"/>
    <xf numFmtId="183" fontId="18" fillId="9" borderId="4" applyNumberFormat="0" applyAlignment="0" applyProtection="0"/>
    <xf numFmtId="183" fontId="18" fillId="9" borderId="4" applyNumberFormat="0" applyAlignment="0" applyProtection="0"/>
    <xf numFmtId="183" fontId="19" fillId="43" borderId="0" applyNumberFormat="0" applyAlignment="0" applyProtection="0"/>
    <xf numFmtId="40" fontId="36" fillId="43" borderId="4" applyFont="0" applyAlignment="0" applyProtection="0"/>
    <xf numFmtId="40" fontId="36" fillId="43" borderId="4" applyFont="0" applyAlignment="0" applyProtection="0"/>
    <xf numFmtId="183" fontId="19" fillId="43" borderId="0" applyNumberFormat="0" applyAlignment="0" applyProtection="0"/>
    <xf numFmtId="183" fontId="35" fillId="9" borderId="4" applyNumberFormat="0" applyAlignment="0" applyProtection="0"/>
    <xf numFmtId="183" fontId="18" fillId="47" borderId="4" applyNumberFormat="0" applyFont="0" applyBorder="0" applyAlignment="0" applyProtection="0"/>
    <xf numFmtId="183" fontId="19" fillId="43" borderId="0" applyNumberFormat="0" applyAlignment="0" applyProtection="0"/>
    <xf numFmtId="183" fontId="19" fillId="43" borderId="0" applyNumberFormat="0" applyAlignment="0" applyProtection="0"/>
    <xf numFmtId="40" fontId="37" fillId="48" borderId="4" applyAlignment="0" applyProtection="0"/>
    <xf numFmtId="186" fontId="36" fillId="43" borderId="4" applyFont="0" applyAlignment="0" applyProtection="0"/>
    <xf numFmtId="21" fontId="36" fillId="43" borderId="4" applyFont="0" applyAlignment="0" applyProtection="0"/>
    <xf numFmtId="0" fontId="13" fillId="0" borderId="6" applyNumberFormat="0" applyFill="0" applyAlignment="0" applyProtection="0"/>
    <xf numFmtId="183" fontId="13" fillId="0" borderId="6" applyNumberFormat="0" applyFill="0" applyAlignment="0" applyProtection="0">
      <alignment vertical="center"/>
    </xf>
    <xf numFmtId="183" fontId="13" fillId="0" borderId="6" applyNumberFormat="0" applyFill="0" applyAlignment="0" applyProtection="0">
      <alignment vertical="center"/>
    </xf>
    <xf numFmtId="183" fontId="13" fillId="0" borderId="6" applyNumberFormat="0" applyFill="0" applyAlignment="0" applyProtection="0">
      <alignment vertical="center"/>
    </xf>
    <xf numFmtId="183" fontId="38" fillId="49" borderId="0" applyBorder="0" applyAlignment="0" applyProtection="0"/>
    <xf numFmtId="183" fontId="39" fillId="50" borderId="0" applyNumberFormat="0" applyBorder="0" applyAlignment="0" applyProtection="0">
      <alignment vertical="center"/>
    </xf>
    <xf numFmtId="183" fontId="38" fillId="49" borderId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187" fontId="5" fillId="51" borderId="0" applyNumberFormat="0" applyFont="0" applyBorder="0" applyAlignment="0" applyProtection="0"/>
    <xf numFmtId="40" fontId="36" fillId="46" borderId="4" applyFont="0" applyAlignment="0" applyProtection="0"/>
    <xf numFmtId="193" fontId="36" fillId="46" borderId="4" applyFont="0" applyAlignment="0" applyProtection="0"/>
    <xf numFmtId="21" fontId="36" fillId="46" borderId="4" applyFont="0" applyAlignment="0" applyProtection="0"/>
    <xf numFmtId="183" fontId="38" fillId="49" borderId="0" applyBorder="0" applyAlignment="0" applyProtection="0"/>
    <xf numFmtId="0" fontId="40" fillId="8" borderId="0" applyNumberFormat="0" applyBorder="0" applyAlignment="0" applyProtection="0"/>
    <xf numFmtId="183" fontId="40" fillId="8" borderId="0" applyNumberFormat="0" applyBorder="0" applyAlignment="0" applyProtection="0"/>
    <xf numFmtId="183" fontId="40" fillId="8" borderId="0" applyNumberFormat="0" applyBorder="0" applyAlignment="0" applyProtection="0">
      <alignment vertical="center"/>
    </xf>
    <xf numFmtId="183" fontId="40" fillId="8" borderId="0" applyNumberFormat="0" applyBorder="0" applyAlignment="0" applyProtection="0">
      <alignment vertical="center"/>
    </xf>
    <xf numFmtId="183" fontId="40" fillId="8" borderId="0" applyNumberFormat="0" applyBorder="0" applyAlignment="0" applyProtection="0">
      <alignment vertical="center"/>
    </xf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/>
    <xf numFmtId="183" fontId="6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/>
    <xf numFmtId="183" fontId="4" fillId="0" borderId="0"/>
    <xf numFmtId="183" fontId="6" fillId="0" borderId="0"/>
    <xf numFmtId="183" fontId="5" fillId="0" borderId="0"/>
    <xf numFmtId="183" fontId="5" fillId="0" borderId="0"/>
    <xf numFmtId="183" fontId="6" fillId="0" borderId="0"/>
    <xf numFmtId="183" fontId="5" fillId="0" borderId="0">
      <alignment vertical="center"/>
    </xf>
    <xf numFmtId="183" fontId="5" fillId="0" borderId="0">
      <alignment vertical="center"/>
    </xf>
    <xf numFmtId="183" fontId="5" fillId="0" borderId="0">
      <alignment vertical="center"/>
    </xf>
    <xf numFmtId="183" fontId="5" fillId="0" borderId="0"/>
    <xf numFmtId="183" fontId="41" fillId="0" borderId="0"/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3" fontId="5" fillId="0" borderId="0">
      <alignment vertical="center"/>
    </xf>
    <xf numFmtId="183" fontId="6" fillId="0" borderId="0"/>
    <xf numFmtId="183" fontId="6" fillId="0" borderId="0"/>
    <xf numFmtId="183" fontId="5" fillId="0" borderId="0"/>
    <xf numFmtId="183" fontId="5" fillId="0" borderId="0">
      <alignment vertical="center"/>
    </xf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>
      <alignment vertical="center"/>
    </xf>
    <xf numFmtId="183" fontId="5" fillId="0" borderId="0"/>
    <xf numFmtId="183" fontId="5" fillId="0" borderId="0"/>
    <xf numFmtId="183" fontId="5" fillId="0" borderId="0">
      <alignment vertical="center"/>
    </xf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42" fillId="0" borderId="0"/>
    <xf numFmtId="183" fontId="5" fillId="0" borderId="0"/>
    <xf numFmtId="183" fontId="5" fillId="0" borderId="0"/>
    <xf numFmtId="183" fontId="5" fillId="0" borderId="0"/>
    <xf numFmtId="0" fontId="5" fillId="12" borderId="8" applyNumberFormat="0" applyFont="0" applyAlignment="0" applyProtection="0"/>
    <xf numFmtId="183" fontId="5" fillId="12" borderId="8" applyNumberFormat="0" applyFont="0" applyAlignment="0" applyProtection="0"/>
    <xf numFmtId="183" fontId="5" fillId="12" borderId="8" applyNumberFormat="0" applyFont="0" applyAlignment="0" applyProtection="0"/>
    <xf numFmtId="183" fontId="5" fillId="12" borderId="8" applyNumberFormat="0" applyFont="0" applyAlignment="0" applyProtection="0"/>
    <xf numFmtId="183" fontId="5" fillId="12" borderId="8" applyNumberFormat="0" applyFont="0" applyAlignment="0" applyProtection="0"/>
    <xf numFmtId="183" fontId="6" fillId="12" borderId="8" applyNumberFormat="0" applyFont="0" applyAlignment="0" applyProtection="0"/>
    <xf numFmtId="183" fontId="5" fillId="12" borderId="8" applyNumberFormat="0" applyFont="0" applyAlignment="0" applyProtection="0"/>
    <xf numFmtId="183" fontId="6" fillId="12" borderId="8" applyNumberFormat="0" applyFont="0" applyAlignment="0" applyProtection="0"/>
    <xf numFmtId="194" fontId="5" fillId="0" borderId="0" applyFont="0" applyFill="0" applyBorder="0" applyAlignment="0" applyProtection="0"/>
    <xf numFmtId="40" fontId="11" fillId="52" borderId="5" applyNumberFormat="0" applyFont="0" applyBorder="0" applyAlignment="0" applyProtection="0"/>
    <xf numFmtId="40" fontId="11" fillId="10" borderId="5" applyNumberFormat="0" applyFont="0" applyBorder="0" applyAlignment="0" applyProtection="0"/>
    <xf numFmtId="0" fontId="8" fillId="10" borderId="5" applyNumberFormat="0" applyAlignment="0" applyProtection="0"/>
    <xf numFmtId="183" fontId="8" fillId="10" borderId="5" applyNumberFormat="0" applyAlignment="0" applyProtection="0"/>
    <xf numFmtId="183" fontId="8" fillId="10" borderId="5" applyNumberFormat="0" applyAlignment="0" applyProtection="0"/>
    <xf numFmtId="183" fontId="8" fillId="10" borderId="5" applyNumberFormat="0" applyAlignment="0" applyProtection="0">
      <alignment vertical="center"/>
    </xf>
    <xf numFmtId="183" fontId="43" fillId="10" borderId="5" applyNumberFormat="0" applyAlignment="0" applyProtection="0"/>
    <xf numFmtId="193" fontId="36" fillId="42" borderId="4" applyFont="0" applyAlignment="0" applyProtection="0"/>
    <xf numFmtId="21" fontId="36" fillId="42" borderId="4" applyFont="0" applyAlignment="0" applyProtection="0"/>
    <xf numFmtId="21" fontId="44" fillId="10" borderId="11">
      <alignment horizontal="center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40" fontId="11" fillId="53" borderId="5" applyNumberFormat="0" applyFont="0" applyBorder="0" applyAlignment="0" applyProtection="0"/>
    <xf numFmtId="196" fontId="45" fillId="39" borderId="0">
      <alignment horizontal="center" vertical="center"/>
    </xf>
    <xf numFmtId="183" fontId="6" fillId="46" borderId="0" applyNumberFormat="0" applyFont="0" applyBorder="0" applyAlignment="0" applyProtection="0"/>
    <xf numFmtId="40" fontId="36" fillId="51" borderId="4" applyFont="0" applyAlignment="0" applyProtection="0"/>
    <xf numFmtId="183" fontId="46" fillId="54" borderId="4" applyNumberFormat="0" applyFont="0" applyBorder="0" applyAlignment="0" applyProtection="0"/>
    <xf numFmtId="193" fontId="36" fillId="51" borderId="4" applyFont="0" applyAlignment="0" applyProtection="0"/>
    <xf numFmtId="21" fontId="36" fillId="51" borderId="4" applyFont="0" applyAlignment="0" applyProtection="0"/>
    <xf numFmtId="183" fontId="47" fillId="39" borderId="0" applyNumberFormat="0" applyFont="0" applyFill="0" applyBorder="0" applyProtection="0">
      <alignment shrinkToFit="1"/>
    </xf>
    <xf numFmtId="197" fontId="48" fillId="43" borderId="4" applyNumberFormat="0" applyFont="0" applyFill="0" applyBorder="0" applyProtection="0">
      <alignment shrinkToFit="1"/>
    </xf>
    <xf numFmtId="21" fontId="19" fillId="43" borderId="4" applyFont="0" applyFill="0" applyBorder="0" applyAlignment="0" applyProtection="0"/>
    <xf numFmtId="21" fontId="19" fillId="43" borderId="4" applyFont="0" applyFill="0" applyBorder="0" applyAlignment="0" applyProtection="0"/>
    <xf numFmtId="198" fontId="19" fillId="43" borderId="4" applyFont="0" applyFill="0" applyBorder="0" applyAlignment="0" applyProtection="0"/>
    <xf numFmtId="197" fontId="19" fillId="43" borderId="4" applyFont="0" applyFill="0" applyBorder="0" applyAlignment="0" applyProtection="0"/>
    <xf numFmtId="199" fontId="19" fillId="43" borderId="0" applyFont="0" applyFill="0" applyBorder="0" applyAlignment="0" applyProtection="0"/>
    <xf numFmtId="197" fontId="19" fillId="43" borderId="4" applyFont="0" applyFill="0" applyBorder="0" applyAlignment="0" applyProtection="0"/>
    <xf numFmtId="200" fontId="19" fillId="43" borderId="4" applyFont="0" applyFill="0" applyBorder="0" applyAlignment="0" applyProtection="0"/>
    <xf numFmtId="201" fontId="19" fillId="43" borderId="4" applyFont="0" applyFill="0" applyBorder="0" applyAlignment="0" applyProtection="0"/>
    <xf numFmtId="200" fontId="19" fillId="43" borderId="4" applyFont="0" applyFill="0" applyBorder="0" applyAlignment="0" applyProtection="0"/>
    <xf numFmtId="202" fontId="19" fillId="43" borderId="4" applyFont="0" applyFill="0" applyBorder="0" applyAlignment="0" applyProtection="0"/>
    <xf numFmtId="201" fontId="19" fillId="43" borderId="4" applyFont="0" applyFill="0" applyBorder="0" applyAlignment="0" applyProtection="0"/>
    <xf numFmtId="202" fontId="19" fillId="43" borderId="4" applyFont="0" applyFill="0" applyBorder="0" applyAlignment="0" applyProtection="0"/>
    <xf numFmtId="200" fontId="19" fillId="43" borderId="4" applyFont="0" applyFill="0" applyBorder="0" applyAlignment="0" applyProtection="0"/>
    <xf numFmtId="197" fontId="19" fillId="43" borderId="4" applyFont="0" applyFill="0" applyBorder="0" applyAlignment="0" applyProtection="0"/>
    <xf numFmtId="0" fontId="49" fillId="0" borderId="0" applyNumberFormat="0" applyFill="0" applyBorder="0" applyAlignment="0" applyProtection="0"/>
    <xf numFmtId="183" fontId="50" fillId="0" borderId="0" applyNumberFormat="0" applyFill="0" applyBorder="0" applyAlignment="0" applyProtection="0">
      <alignment vertical="center"/>
    </xf>
    <xf numFmtId="0" fontId="45" fillId="0" borderId="9" applyNumberFormat="0" applyFill="0" applyAlignment="0" applyProtection="0"/>
    <xf numFmtId="183" fontId="45" fillId="0" borderId="9" applyNumberFormat="0" applyFill="0" applyAlignment="0" applyProtection="0">
      <alignment vertical="center"/>
    </xf>
    <xf numFmtId="183" fontId="45" fillId="0" borderId="9" applyNumberFormat="0" applyFill="0" applyAlignment="0" applyProtection="0">
      <alignment vertical="center"/>
    </xf>
    <xf numFmtId="183" fontId="45" fillId="0" borderId="9" applyNumberFormat="0" applyFill="0" applyAlignment="0" applyProtection="0">
      <alignment vertical="center"/>
    </xf>
    <xf numFmtId="0" fontId="51" fillId="0" borderId="0" applyNumberFormat="0" applyFill="0" applyBorder="0" applyAlignment="0" applyProtection="0"/>
    <xf numFmtId="183" fontId="51" fillId="0" borderId="0" applyNumberFormat="0" applyFill="0" applyBorder="0" applyAlignment="0" applyProtection="0">
      <alignment vertical="center"/>
    </xf>
    <xf numFmtId="183" fontId="51" fillId="0" borderId="0" applyNumberFormat="0" applyFill="0" applyBorder="0" applyAlignment="0" applyProtection="0">
      <alignment vertical="center"/>
    </xf>
    <xf numFmtId="183" fontId="51" fillId="0" borderId="0" applyNumberFormat="0" applyFill="0" applyBorder="0" applyAlignment="0" applyProtection="0">
      <alignment vertical="center"/>
    </xf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183" fontId="5" fillId="0" borderId="0">
      <alignment vertical="center"/>
    </xf>
    <xf numFmtId="183" fontId="41" fillId="0" borderId="0" applyNumberFormat="0" applyFill="0" applyBorder="0" applyAlignment="0" applyProtection="0"/>
    <xf numFmtId="0" fontId="22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 applyAlignment="1"/>
    <xf numFmtId="180" fontId="0" fillId="0" borderId="0" xfId="0" applyNumberFormat="1">
      <alignment vertical="center"/>
    </xf>
    <xf numFmtId="180" fontId="0" fillId="0" borderId="0" xfId="0" applyNumberFormat="1" applyAlignment="1"/>
    <xf numFmtId="181" fontId="0" fillId="0" borderId="0" xfId="1" applyNumberFormat="1" applyFont="1">
      <alignment vertical="center"/>
    </xf>
    <xf numFmtId="182" fontId="0" fillId="0" borderId="0" xfId="1" applyNumberFormat="1" applyFont="1">
      <alignment vertical="center"/>
    </xf>
    <xf numFmtId="177" fontId="0" fillId="0" borderId="0" xfId="0" applyNumberFormat="1" applyAlignment="1"/>
    <xf numFmtId="182" fontId="0" fillId="0" borderId="0" xfId="1" applyNumberFormat="1" applyFont="1" applyAlignment="1"/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484">
    <cellStyle name=" 1" xfId="2"/>
    <cellStyle name="%age 2dp" xfId="3"/>
    <cellStyle name="%age 3dp" xfId="4"/>
    <cellStyle name="+/-  . 1bp" xfId="5"/>
    <cellStyle name="+/-  .. 1bp" xfId="6"/>
    <cellStyle name="20% - Accent1" xfId="7"/>
    <cellStyle name="20% - Accent1 10" xfId="8"/>
    <cellStyle name="20% - Accent1 11" xfId="9"/>
    <cellStyle name="20% - Accent1 2" xfId="10"/>
    <cellStyle name="20% - Accent1 2 2" xfId="11"/>
    <cellStyle name="20% - Accent1 2 2 2" xfId="12"/>
    <cellStyle name="20% - Accent1 2 3" xfId="13"/>
    <cellStyle name="20% - Accent1 2_AdjZSpread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1 9" xfId="21"/>
    <cellStyle name="20% - Accent2" xfId="22"/>
    <cellStyle name="20% - Accent2 10" xfId="23"/>
    <cellStyle name="20% - Accent2 2" xfId="24"/>
    <cellStyle name="20% - Accent2 2 2" xfId="25"/>
    <cellStyle name="20% - Accent2 2 2 2" xfId="26"/>
    <cellStyle name="20% - Accent2 2 2 2 2" xfId="27"/>
    <cellStyle name="20% - Accent2 2 2 2 2 2" xfId="28"/>
    <cellStyle name="20% - Accent2 2 2 2 3" xfId="29"/>
    <cellStyle name="20% - Accent2 2 2 2_BlotterTemplate" xfId="30"/>
    <cellStyle name="20% - Accent2 2 2 3" xfId="31"/>
    <cellStyle name="20% - Accent2 2 2 3 2" xfId="32"/>
    <cellStyle name="20% - Accent2 2 2 4" xfId="33"/>
    <cellStyle name="20% - Accent2 2 2_BlotterTemplate" xfId="34"/>
    <cellStyle name="20% - Accent2 2 3" xfId="35"/>
    <cellStyle name="20% - Accent2 2 3 2" xfId="36"/>
    <cellStyle name="20% - Accent2 2 3 2 2" xfId="37"/>
    <cellStyle name="20% - Accent2 2 3 3" xfId="38"/>
    <cellStyle name="20% - Accent2 2 3_BlotterTemplate" xfId="39"/>
    <cellStyle name="20% - Accent2 2 4" xfId="40"/>
    <cellStyle name="20% - Accent2 2 4 2" xfId="41"/>
    <cellStyle name="20% - Accent2 2 5" xfId="42"/>
    <cellStyle name="20% - Accent2 2_BlotterTemplate" xfId="43"/>
    <cellStyle name="20% - Accent2 3" xfId="44"/>
    <cellStyle name="20% - Accent2 3 2" xfId="45"/>
    <cellStyle name="20% - Accent2 3 2 2" xfId="46"/>
    <cellStyle name="20% - Accent2 3 2 2 2" xfId="47"/>
    <cellStyle name="20% - Accent2 3 2 3" xfId="48"/>
    <cellStyle name="20% - Accent2 3 2_BlotterTemplate" xfId="49"/>
    <cellStyle name="20% - Accent2 3 3" xfId="50"/>
    <cellStyle name="20% - Accent2 3 3 2" xfId="51"/>
    <cellStyle name="20% - Accent2 3 4" xfId="52"/>
    <cellStyle name="20% - Accent2 3_BlotterTemplate" xfId="53"/>
    <cellStyle name="20% - Accent2 4" xfId="54"/>
    <cellStyle name="20% - Accent2 4 2" xfId="55"/>
    <cellStyle name="20% - Accent2 4 2 2" xfId="56"/>
    <cellStyle name="20% - Accent2 4 3" xfId="57"/>
    <cellStyle name="20% - Accent2 4_BlotterTemplate" xfId="58"/>
    <cellStyle name="20% - Accent2 5" xfId="59"/>
    <cellStyle name="20% - Accent2 5 2" xfId="60"/>
    <cellStyle name="20% - Accent2 5 2 2" xfId="61"/>
    <cellStyle name="20% - Accent2 5 2 2 2" xfId="62"/>
    <cellStyle name="20% - Accent2 5 2 3" xfId="63"/>
    <cellStyle name="20% - Accent2 5 2_BlotterTemplate" xfId="64"/>
    <cellStyle name="20% - Accent2 5 3" xfId="65"/>
    <cellStyle name="20% - Accent2 5 3 2" xfId="66"/>
    <cellStyle name="20% - Accent2 5 4" xfId="67"/>
    <cellStyle name="20% - Accent2 5_BlotterTemplate" xfId="68"/>
    <cellStyle name="20% - Accent2 6" xfId="69"/>
    <cellStyle name="20% - Accent2 7" xfId="70"/>
    <cellStyle name="20% - Accent2 8" xfId="71"/>
    <cellStyle name="20% - Accent2 9" xfId="72"/>
    <cellStyle name="20% - Accent3" xfId="73"/>
    <cellStyle name="20% - Accent3 2" xfId="74"/>
    <cellStyle name="20% - Accent3 3" xfId="75"/>
    <cellStyle name="20% - Accent3 4" xfId="76"/>
    <cellStyle name="20% - Accent3 5" xfId="77"/>
    <cellStyle name="20% - Accent4" xfId="78"/>
    <cellStyle name="20% - Accent4 2" xfId="79"/>
    <cellStyle name="20% - Accent4 3" xfId="80"/>
    <cellStyle name="20% - Accent4 4" xfId="81"/>
    <cellStyle name="20% - Accent4 5" xfId="82"/>
    <cellStyle name="20% - Accent5" xfId="83"/>
    <cellStyle name="20% - Accent5 2" xfId="84"/>
    <cellStyle name="20% - Accent5 3" xfId="85"/>
    <cellStyle name="20% - Accent5 4" xfId="86"/>
    <cellStyle name="20% - Accent5 5" xfId="87"/>
    <cellStyle name="20% - Accent6" xfId="88"/>
    <cellStyle name="20% - Accent6 10" xfId="89"/>
    <cellStyle name="20% - Accent6 2" xfId="90"/>
    <cellStyle name="20% - Accent6 2 2" xfId="91"/>
    <cellStyle name="20% - Accent6 2 2 2" xfId="92"/>
    <cellStyle name="20% - Accent6 2 3" xfId="93"/>
    <cellStyle name="20% - Accent6 2_BlotterTemplate" xfId="94"/>
    <cellStyle name="20% - Accent6 3" xfId="95"/>
    <cellStyle name="20% - Accent6 4" xfId="96"/>
    <cellStyle name="20% - Accent6 5" xfId="97"/>
    <cellStyle name="20% - Accent6 6" xfId="98"/>
    <cellStyle name="20% - Accent6 7" xfId="99"/>
    <cellStyle name="20% - Accent6 8" xfId="100"/>
    <cellStyle name="20% - Accent6 9" xfId="101"/>
    <cellStyle name="40% - Accent1" xfId="102"/>
    <cellStyle name="40% - Accent1 2" xfId="103"/>
    <cellStyle name="40% - Accent1 3" xfId="104"/>
    <cellStyle name="40% - Accent1 4" xfId="105"/>
    <cellStyle name="40% - Accent2" xfId="106"/>
    <cellStyle name="40% - Accent2 2" xfId="107"/>
    <cellStyle name="40% - Accent2 3" xfId="108"/>
    <cellStyle name="40% - Accent2 4" xfId="109"/>
    <cellStyle name="40% - Accent3" xfId="110"/>
    <cellStyle name="40% - Accent3 2" xfId="111"/>
    <cellStyle name="40% - Accent3 3" xfId="112"/>
    <cellStyle name="40% - Accent3 4" xfId="113"/>
    <cellStyle name="40% - Accent4" xfId="114"/>
    <cellStyle name="40% - Accent4 2" xfId="115"/>
    <cellStyle name="40% - Accent4 3" xfId="116"/>
    <cellStyle name="40% - Accent4 4" xfId="117"/>
    <cellStyle name="40% - Accent5" xfId="118"/>
    <cellStyle name="40% - Accent5 2" xfId="119"/>
    <cellStyle name="40% - Accent5 3" xfId="120"/>
    <cellStyle name="40% - Accent5 4" xfId="121"/>
    <cellStyle name="40% - Accent6" xfId="122"/>
    <cellStyle name="40% - Accent6 2" xfId="123"/>
    <cellStyle name="40% - Accent6 3" xfId="124"/>
    <cellStyle name="40% - Accent6 4" xfId="125"/>
    <cellStyle name="60% - Accent1" xfId="126"/>
    <cellStyle name="60% - Accent1 2" xfId="127"/>
    <cellStyle name="60% - Accent1 3" xfId="128"/>
    <cellStyle name="60% - Accent1 4" xfId="129"/>
    <cellStyle name="60% - Accent2" xfId="130"/>
    <cellStyle name="60% - Accent2 2" xfId="131"/>
    <cellStyle name="60% - Accent2 3" xfId="132"/>
    <cellStyle name="60% - Accent2 4" xfId="133"/>
    <cellStyle name="60% - Accent3" xfId="134"/>
    <cellStyle name="60% - Accent3 2" xfId="135"/>
    <cellStyle name="60% - Accent3 3" xfId="136"/>
    <cellStyle name="60% - Accent3 4" xfId="137"/>
    <cellStyle name="60% - Accent4" xfId="138"/>
    <cellStyle name="60% - Accent4 2" xfId="139"/>
    <cellStyle name="60% - Accent4 3" xfId="140"/>
    <cellStyle name="60% - Accent4 4" xfId="141"/>
    <cellStyle name="60% - Accent5" xfId="142"/>
    <cellStyle name="60% - Accent5 2" xfId="143"/>
    <cellStyle name="60% - Accent5 3" xfId="144"/>
    <cellStyle name="60% - Accent5 4" xfId="145"/>
    <cellStyle name="60% - Accent6" xfId="146"/>
    <cellStyle name="60% - Accent6 2" xfId="147"/>
    <cellStyle name="60% - Accent6 3" xfId="148"/>
    <cellStyle name="60% - Accent6 4" xfId="149"/>
    <cellStyle name="Accent1" xfId="150"/>
    <cellStyle name="Accent1 2" xfId="151"/>
    <cellStyle name="Accent1 3" xfId="152"/>
    <cellStyle name="Accent1 4" xfId="153"/>
    <cellStyle name="Accent2" xfId="154"/>
    <cellStyle name="Accent2 2" xfId="155"/>
    <cellStyle name="Accent2 3" xfId="156"/>
    <cellStyle name="Accent3" xfId="157"/>
    <cellStyle name="Accent3 2" xfId="158"/>
    <cellStyle name="Accent3 3" xfId="159"/>
    <cellStyle name="Accent3 4" xfId="160"/>
    <cellStyle name="Accent4" xfId="161"/>
    <cellStyle name="Accent4 2" xfId="162"/>
    <cellStyle name="Accent4 3" xfId="163"/>
    <cellStyle name="Accent4 4" xfId="164"/>
    <cellStyle name="Accent5" xfId="165"/>
    <cellStyle name="Accent5 2" xfId="166"/>
    <cellStyle name="Accent5 3" xfId="167"/>
    <cellStyle name="Accent5 4" xfId="168"/>
    <cellStyle name="Accent6" xfId="169"/>
    <cellStyle name="Accent6 2" xfId="170"/>
    <cellStyle name="Accent6 3" xfId="171"/>
    <cellStyle name="Accent6 4" xfId="172"/>
    <cellStyle name="ArrayFormula" xfId="173"/>
    <cellStyle name="Bad" xfId="174"/>
    <cellStyle name="Bad 2" xfId="175"/>
    <cellStyle name="Bad 3" xfId="176"/>
    <cellStyle name="Bad 4" xfId="177"/>
    <cellStyle name="Bad 5" xfId="178"/>
    <cellStyle name="blp_column_header" xfId="179"/>
    <cellStyle name="Calc" xfId="180"/>
    <cellStyle name="Calculated" xfId="181"/>
    <cellStyle name="Calculation" xfId="182"/>
    <cellStyle name="Calculation 10" xfId="183"/>
    <cellStyle name="Calculation 2" xfId="184"/>
    <cellStyle name="Calculation 2 2" xfId="185"/>
    <cellStyle name="Calculation 2_Futures" xfId="186"/>
    <cellStyle name="Calculation 3" xfId="187"/>
    <cellStyle name="Calculation 3 2" xfId="188"/>
    <cellStyle name="Calculation 3 3" xfId="189"/>
    <cellStyle name="Calculation 3_AdjZSpread" xfId="190"/>
    <cellStyle name="Calculation 4" xfId="191"/>
    <cellStyle name="Calculation 5" xfId="192"/>
    <cellStyle name="Calculation 6" xfId="193"/>
    <cellStyle name="Calculation 7" xfId="194"/>
    <cellStyle name="Calculation 8" xfId="195"/>
    <cellStyle name="Calculation 9" xfId="196"/>
    <cellStyle name="Centre" xfId="197"/>
    <cellStyle name="Check Cell" xfId="198"/>
    <cellStyle name="Check Cell 2" xfId="199"/>
    <cellStyle name="Check Cell 3" xfId="200"/>
    <cellStyle name="Check Cell 4" xfId="201"/>
    <cellStyle name="Code" xfId="202"/>
    <cellStyle name="Comma 10" xfId="203"/>
    <cellStyle name="Comma 11" xfId="204"/>
    <cellStyle name="Comma 2" xfId="205"/>
    <cellStyle name="Comma 2 2" xfId="206"/>
    <cellStyle name="Comma 2 2 2" xfId="207"/>
    <cellStyle name="Comma 2 2 2 2" xfId="208"/>
    <cellStyle name="Comma 2 2 3" xfId="209"/>
    <cellStyle name="Comma 2 2 3 2" xfId="210"/>
    <cellStyle name="Comma 2 2 4" xfId="211"/>
    <cellStyle name="Comma 2 3" xfId="212"/>
    <cellStyle name="Comma 2 3 2" xfId="213"/>
    <cellStyle name="Comma 2 3 2 2" xfId="214"/>
    <cellStyle name="Comma 2 3 3" xfId="215"/>
    <cellStyle name="Comma 2 4" xfId="216"/>
    <cellStyle name="Comma 2 5" xfId="217"/>
    <cellStyle name="Comma 2_Futures" xfId="218"/>
    <cellStyle name="Comma 3" xfId="219"/>
    <cellStyle name="Comma 3 2" xfId="220"/>
    <cellStyle name="Comma 3 2 2" xfId="221"/>
    <cellStyle name="Comma 3 3" xfId="222"/>
    <cellStyle name="Comma 4" xfId="223"/>
    <cellStyle name="Comma 4 2" xfId="224"/>
    <cellStyle name="Comma 4 2 2" xfId="225"/>
    <cellStyle name="Comma 4 3" xfId="226"/>
    <cellStyle name="Comma 5" xfId="227"/>
    <cellStyle name="Comma 5 2" xfId="228"/>
    <cellStyle name="Comma 5 2 2" xfId="229"/>
    <cellStyle name="Comma 5 3" xfId="230"/>
    <cellStyle name="Comma 6" xfId="231"/>
    <cellStyle name="Comma 6 2" xfId="232"/>
    <cellStyle name="Comma 6 2 2" xfId="233"/>
    <cellStyle name="Comma 6 3" xfId="234"/>
    <cellStyle name="Comma 7" xfId="235"/>
    <cellStyle name="Comma 8" xfId="236"/>
    <cellStyle name="Comma 8 2" xfId="237"/>
    <cellStyle name="Comma 9" xfId="238"/>
    <cellStyle name="Comma 9 2" xfId="239"/>
    <cellStyle name="Date" xfId="240"/>
    <cellStyle name="Date 2" xfId="241"/>
    <cellStyle name="Date 2 2" xfId="242"/>
    <cellStyle name="Date 2_AdjZSpread" xfId="243"/>
    <cellStyle name="Date 3" xfId="244"/>
    <cellStyle name="Date 3 2" xfId="245"/>
    <cellStyle name="Date 3_AdjZSpread" xfId="246"/>
    <cellStyle name="Date w day" xfId="247"/>
    <cellStyle name="Date_AdjZSpread" xfId="248"/>
    <cellStyle name="DateTime" xfId="249"/>
    <cellStyle name="Error" xfId="250"/>
    <cellStyle name="Explanatory Text" xfId="251"/>
    <cellStyle name="Explanatory Text 2" xfId="252"/>
    <cellStyle name="Explanatory Text 3" xfId="253"/>
    <cellStyle name="Good" xfId="254"/>
    <cellStyle name="Good 2" xfId="255"/>
    <cellStyle name="Good 2 2" xfId="256"/>
    <cellStyle name="Good 2_AdjZSpread" xfId="257"/>
    <cellStyle name="Good 3" xfId="258"/>
    <cellStyle name="Good 4" xfId="259"/>
    <cellStyle name="Good 5" xfId="260"/>
    <cellStyle name="Header" xfId="261"/>
    <cellStyle name="Header 2" xfId="262"/>
    <cellStyle name="Header 3" xfId="263"/>
    <cellStyle name="Header 4" xfId="264"/>
    <cellStyle name="Header 5" xfId="265"/>
    <cellStyle name="Header 5 2" xfId="266"/>
    <cellStyle name="Header 5_AdjZSpread" xfId="267"/>
    <cellStyle name="Header 6" xfId="268"/>
    <cellStyle name="Header 7" xfId="269"/>
    <cellStyle name="Header_AdjZSpread" xfId="270"/>
    <cellStyle name="Heading 1" xfId="271"/>
    <cellStyle name="Heading 1 2" xfId="272"/>
    <cellStyle name="Heading 1 3" xfId="273"/>
    <cellStyle name="Heading 1 4" xfId="274"/>
    <cellStyle name="Heading 2" xfId="275"/>
    <cellStyle name="Heading 2 2" xfId="276"/>
    <cellStyle name="Heading 2 3" xfId="277"/>
    <cellStyle name="Heading 2 4" xfId="278"/>
    <cellStyle name="Heading 3" xfId="279"/>
    <cellStyle name="Heading 3 2" xfId="280"/>
    <cellStyle name="Heading 3 3" xfId="281"/>
    <cellStyle name="Heading 3 4" xfId="282"/>
    <cellStyle name="Heading 4" xfId="283"/>
    <cellStyle name="Heading 4 2" xfId="284"/>
    <cellStyle name="Heading 4 3" xfId="285"/>
    <cellStyle name="Heading 4 4" xfId="286"/>
    <cellStyle name="Hyperlink 2" xfId="287"/>
    <cellStyle name="Hyperlink 3" xfId="288"/>
    <cellStyle name="In" xfId="289"/>
    <cellStyle name="In 2" xfId="290"/>
    <cellStyle name="In 3" xfId="291"/>
    <cellStyle name="In 3 2" xfId="292"/>
    <cellStyle name="In 3_AdjZSpread" xfId="293"/>
    <cellStyle name="In 4" xfId="294"/>
    <cellStyle name="In_AdjZSpread" xfId="295"/>
    <cellStyle name="Input" xfId="296"/>
    <cellStyle name="Input 2" xfId="297"/>
    <cellStyle name="Input 2 2" xfId="298"/>
    <cellStyle name="Input 2 3" xfId="299"/>
    <cellStyle name="Input 2 4" xfId="300"/>
    <cellStyle name="Input 2_AdjZSpread" xfId="301"/>
    <cellStyle name="Input 3" xfId="302"/>
    <cellStyle name="Input 3 2" xfId="303"/>
    <cellStyle name="Input 3_AdjZSpread" xfId="304"/>
    <cellStyle name="Input 4" xfId="305"/>
    <cellStyle name="Input 5" xfId="306"/>
    <cellStyle name="Input 6" xfId="307"/>
    <cellStyle name="Input 6 2" xfId="308"/>
    <cellStyle name="Input 6_AdjZSpread" xfId="309"/>
    <cellStyle name="InputBbg" xfId="310"/>
    <cellStyle name="InputDate" xfId="311"/>
    <cellStyle name="InputTime" xfId="312"/>
    <cellStyle name="Linked Cell" xfId="313"/>
    <cellStyle name="Linked Cell 2" xfId="314"/>
    <cellStyle name="Linked Cell 3" xfId="315"/>
    <cellStyle name="Linked Cell 4" xfId="316"/>
    <cellStyle name="List" xfId="317"/>
    <cellStyle name="List 4" xfId="318"/>
    <cellStyle name="List_Consts" xfId="319"/>
    <cellStyle name="Live" xfId="320"/>
    <cellStyle name="Live 2" xfId="321"/>
    <cellStyle name="Live 2 2" xfId="322"/>
    <cellStyle name="Live 3" xfId="323"/>
    <cellStyle name="Live 3 2" xfId="324"/>
    <cellStyle name="Live 4" xfId="325"/>
    <cellStyle name="Live 4 2" xfId="326"/>
    <cellStyle name="Live 5" xfId="327"/>
    <cellStyle name="Live 5 2" xfId="328"/>
    <cellStyle name="Live 6" xfId="329"/>
    <cellStyle name="Live 6 2" xfId="330"/>
    <cellStyle name="Live 7" xfId="331"/>
    <cellStyle name="Live 8" xfId="332"/>
    <cellStyle name="LiveOut" xfId="333"/>
    <cellStyle name="LiveOutDate" xfId="334"/>
    <cellStyle name="LiveOutTime" xfId="335"/>
    <cellStyle name="MenuOptions" xfId="336"/>
    <cellStyle name="Neutral" xfId="337"/>
    <cellStyle name="Neutral 2" xfId="338"/>
    <cellStyle name="Neutral 3" xfId="339"/>
    <cellStyle name="Neutral 4" xfId="340"/>
    <cellStyle name="Neutral 5" xfId="341"/>
    <cellStyle name="Normal 10" xfId="342"/>
    <cellStyle name="Normal 11" xfId="343"/>
    <cellStyle name="Normal 11 2" xfId="344"/>
    <cellStyle name="Normal 11_BondFuture" xfId="345"/>
    <cellStyle name="Normal 12" xfId="346"/>
    <cellStyle name="Normal 13" xfId="347"/>
    <cellStyle name="Normal 13 2" xfId="348"/>
    <cellStyle name="Normal 13_BondFuture" xfId="349"/>
    <cellStyle name="Normal 14" xfId="350"/>
    <cellStyle name="Normal 14 2" xfId="351"/>
    <cellStyle name="Normal 14_BondFuture" xfId="352"/>
    <cellStyle name="Normal 15" xfId="353"/>
    <cellStyle name="Normal 16" xfId="354"/>
    <cellStyle name="Normal 17" xfId="355"/>
    <cellStyle name="Normal 18" xfId="356"/>
    <cellStyle name="Normal 2" xfId="357"/>
    <cellStyle name="Normal 2 2" xfId="358"/>
    <cellStyle name="Normal 2 2 2" xfId="359"/>
    <cellStyle name="Normal 2 2 5" xfId="360"/>
    <cellStyle name="Normal 2 3" xfId="361"/>
    <cellStyle name="Normal 2 5" xfId="362"/>
    <cellStyle name="Normal 2 7" xfId="363"/>
    <cellStyle name="Normal 2_AdjZSpread" xfId="364"/>
    <cellStyle name="Normal 21" xfId="365"/>
    <cellStyle name="Normal 27" xfId="366"/>
    <cellStyle name="Normal 3" xfId="367"/>
    <cellStyle name="Normal 3 2" xfId="368"/>
    <cellStyle name="Normal 3 2 2" xfId="369"/>
    <cellStyle name="Normal 3 2 2 2" xfId="370"/>
    <cellStyle name="Normal 3 2 2_BondFuture" xfId="371"/>
    <cellStyle name="Normal 3 2 3" xfId="372"/>
    <cellStyle name="Normal 3 2_BondFuture" xfId="373"/>
    <cellStyle name="Normal 3 3" xfId="374"/>
    <cellStyle name="Normal 3 4" xfId="375"/>
    <cellStyle name="Normal 3_BondFuture" xfId="376"/>
    <cellStyle name="Normal 37" xfId="377"/>
    <cellStyle name="Normal 39" xfId="378"/>
    <cellStyle name="Normal 39 2" xfId="379"/>
    <cellStyle name="Normal 4" xfId="380"/>
    <cellStyle name="Normal 4 2" xfId="381"/>
    <cellStyle name="Normal 4_Aggregate" xfId="382"/>
    <cellStyle name="Normal 40" xfId="383"/>
    <cellStyle name="Normal 43" xfId="384"/>
    <cellStyle name="Normal 5" xfId="385"/>
    <cellStyle name="Normal 5 2" xfId="386"/>
    <cellStyle name="Normal 5_BondFuture" xfId="387"/>
    <cellStyle name="Normal 6" xfId="388"/>
    <cellStyle name="Normal 6 2" xfId="389"/>
    <cellStyle name="Normal 6_BondFuture" xfId="390"/>
    <cellStyle name="Normal 7" xfId="391"/>
    <cellStyle name="Normal 8" xfId="392"/>
    <cellStyle name="Normal 8 2" xfId="393"/>
    <cellStyle name="Normal 8 2 2" xfId="394"/>
    <cellStyle name="Normal 8 3" xfId="395"/>
    <cellStyle name="Normal 8_Futures" xfId="396"/>
    <cellStyle name="Normal 9" xfId="397"/>
    <cellStyle name="Normal 9 2" xfId="398"/>
    <cellStyle name="Normal 9_BondFuture" xfId="399"/>
    <cellStyle name="Note" xfId="400"/>
    <cellStyle name="Note 2" xfId="401"/>
    <cellStyle name="Note 2 2" xfId="402"/>
    <cellStyle name="Note 2 2 2" xfId="403"/>
    <cellStyle name="Note 2 3" xfId="404"/>
    <cellStyle name="Note 3" xfId="405"/>
    <cellStyle name="Note 4" xfId="406"/>
    <cellStyle name="Note 5" xfId="407"/>
    <cellStyle name="Notional 0dp" xfId="408"/>
    <cellStyle name="ouput grey" xfId="409"/>
    <cellStyle name="Out" xfId="410"/>
    <cellStyle name="Output" xfId="411"/>
    <cellStyle name="Output 2" xfId="412"/>
    <cellStyle name="Output 2 2" xfId="413"/>
    <cellStyle name="Output 2 3" xfId="414"/>
    <cellStyle name="Output 3" xfId="415"/>
    <cellStyle name="OutputDate" xfId="416"/>
    <cellStyle name="OutputTime" xfId="417"/>
    <cellStyle name="OutTimeCentered" xfId="418"/>
    <cellStyle name="Percent 2" xfId="419"/>
    <cellStyle name="Percent 3" xfId="420"/>
    <cellStyle name="Percent 3 2" xfId="421"/>
    <cellStyle name="Percent 3 2 2" xfId="422"/>
    <cellStyle name="Percent 3 3" xfId="423"/>
    <cellStyle name="Percent 4" xfId="424"/>
    <cellStyle name="Percent 5" xfId="425"/>
    <cellStyle name="Percent 6" xfId="426"/>
    <cellStyle name="Price 2bp" xfId="427"/>
    <cellStyle name="Price 2bp 2" xfId="428"/>
    <cellStyle name="Price 2bp 2 2" xfId="429"/>
    <cellStyle name="Price 2bp 2 2 2" xfId="430"/>
    <cellStyle name="Price 2bp 2 3" xfId="431"/>
    <cellStyle name="Price 2bp 3" xfId="432"/>
    <cellStyle name="Price 2bp 3 2" xfId="433"/>
    <cellStyle name="Price 2bp 4" xfId="434"/>
    <cellStyle name="Price 2bp 4 2" xfId="435"/>
    <cellStyle name="Price 2bp 5" xfId="436"/>
    <cellStyle name="Price 2bp 5 2" xfId="437"/>
    <cellStyle name="Price 2bp 6" xfId="438"/>
    <cellStyle name="Price 2bp 7" xfId="439"/>
    <cellStyle name="qlOutput" xfId="440"/>
    <cellStyle name="QuoteSize" xfId="441"/>
    <cellStyle name="Realtime" xfId="442"/>
    <cellStyle name="Routput" xfId="443"/>
    <cellStyle name="R-output" xfId="444"/>
    <cellStyle name="RoutputDate" xfId="445"/>
    <cellStyle name="RoutputTime" xfId="446"/>
    <cellStyle name="shrink to fit" xfId="447"/>
    <cellStyle name="Small" xfId="448"/>
    <cellStyle name="Time" xfId="449"/>
    <cellStyle name="Time 2" xfId="450"/>
    <cellStyle name="Time 2 2" xfId="451"/>
    <cellStyle name="Time 3" xfId="452"/>
    <cellStyle name="Time h:mm:ss" xfId="453"/>
    <cellStyle name="Time s-100ths" xfId="454"/>
    <cellStyle name="Time sec" xfId="455"/>
    <cellStyle name="Time sec 2" xfId="456"/>
    <cellStyle name="Time sec 2 2" xfId="457"/>
    <cellStyle name="Time sec 3" xfId="458"/>
    <cellStyle name="Time sec 4" xfId="459"/>
    <cellStyle name="Time sec 5" xfId="460"/>
    <cellStyle name="Time sec_Aggregate" xfId="461"/>
    <cellStyle name="Time_AdjZSpread" xfId="462"/>
    <cellStyle name="Title" xfId="463"/>
    <cellStyle name="Title 2" xfId="464"/>
    <cellStyle name="Total" xfId="465"/>
    <cellStyle name="Total 2" xfId="466"/>
    <cellStyle name="Total 3" xfId="467"/>
    <cellStyle name="Total 4" xfId="468"/>
    <cellStyle name="Warning Text" xfId="469"/>
    <cellStyle name="Warning Text 2" xfId="470"/>
    <cellStyle name="Warning Text 3" xfId="471"/>
    <cellStyle name="Warning Text 4" xfId="472"/>
    <cellStyle name="years" xfId="473"/>
    <cellStyle name="years 2" xfId="474"/>
    <cellStyle name="years 2 2" xfId="475"/>
    <cellStyle name="years 3" xfId="476"/>
    <cellStyle name="years 4" xfId="477"/>
    <cellStyle name="Yield 3dp" xfId="478"/>
    <cellStyle name="Yld chng 1bp" xfId="479"/>
    <cellStyle name="百分比" xfId="1" builtinId="5"/>
    <cellStyle name="差_Sheet1" xfId="480"/>
    <cellStyle name="常规" xfId="0" builtinId="0"/>
    <cellStyle name="常规 10" xfId="481"/>
    <cellStyle name="常规 15 3 3 4 5 5" xfId="482"/>
    <cellStyle name="好_Sheet1" xfId="4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BOND_RISK_IMM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FUTURE_PN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SWAP_RISK_IM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SWAP_RISK_IMM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SWAP_RISK_P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SWAP_RISK_P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BOND_RISK_IM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BOND_RISK_P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BOND_RISK_P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SWAP_PN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SWAP_PN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BOND_PN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FO_BOND_PN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omp/IT_FUTURE_P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Curve Type</v>
          </cell>
          <cell r="C1" t="str">
            <v>CGB</v>
          </cell>
          <cell r="D1" t="str">
            <v>CDB</v>
          </cell>
          <cell r="E1" t="str">
            <v>ADB</v>
          </cell>
          <cell r="F1" t="str">
            <v>EXIM</v>
          </cell>
          <cell r="G1" t="str">
            <v>CB</v>
          </cell>
        </row>
        <row r="2">
          <cell r="A2" t="str">
            <v>MMA</v>
          </cell>
          <cell r="B2" t="str">
            <v>IMM</v>
          </cell>
          <cell r="C2">
            <v>-127906.63289193055</v>
          </cell>
          <cell r="D2">
            <v>-291105.78214969963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STRAT</v>
          </cell>
          <cell r="B3" t="str">
            <v>IMM</v>
          </cell>
          <cell r="C3">
            <v>19439.205087894603</v>
          </cell>
          <cell r="D3">
            <v>356703.95364404249</v>
          </cell>
          <cell r="E3">
            <v>-463955.60162478307</v>
          </cell>
          <cell r="F3">
            <v>0</v>
          </cell>
          <cell r="G3">
            <v>0</v>
          </cell>
        </row>
        <row r="4">
          <cell r="A4" t="str">
            <v>EMZ</v>
          </cell>
          <cell r="B4" t="str">
            <v>IMM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BMR</v>
          </cell>
          <cell r="B5" t="str">
            <v>IMM</v>
          </cell>
          <cell r="C5">
            <v>-552581.2625220631</v>
          </cell>
          <cell r="D5">
            <v>406239.71610543207</v>
          </cell>
          <cell r="E5">
            <v>-239508.48956417659</v>
          </cell>
          <cell r="F5">
            <v>-449919.27362789144</v>
          </cell>
          <cell r="G5">
            <v>0</v>
          </cell>
        </row>
        <row r="6">
          <cell r="A6" t="str">
            <v>SPH</v>
          </cell>
          <cell r="B6" t="str">
            <v>IMM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ASW</v>
          </cell>
          <cell r="B7" t="str">
            <v>IMM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SPR</v>
          </cell>
          <cell r="B8" t="str">
            <v>IMM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BMH</v>
          </cell>
          <cell r="B9" t="str">
            <v>IMM</v>
          </cell>
          <cell r="C9">
            <v>-146391.27466516654</v>
          </cell>
          <cell r="D9">
            <v>-19606.177033585933</v>
          </cell>
          <cell r="E9">
            <v>-22598.960109121435</v>
          </cell>
          <cell r="F9">
            <v>-137191.11543515793</v>
          </cell>
          <cell r="G9">
            <v>0</v>
          </cell>
        </row>
        <row r="10">
          <cell r="A10" t="str">
            <v>LM</v>
          </cell>
          <cell r="B10" t="str">
            <v>IMM</v>
          </cell>
          <cell r="C10">
            <v>-2872.6198697555105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BMZ</v>
          </cell>
          <cell r="B11" t="str">
            <v>IMM</v>
          </cell>
          <cell r="C11">
            <v>0</v>
          </cell>
          <cell r="D11">
            <v>72853.928765444929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SPL</v>
          </cell>
          <cell r="B12" t="str">
            <v>IMM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SPQ</v>
          </cell>
          <cell r="B13" t="str">
            <v>IMM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FUT</v>
          </cell>
          <cell r="D1" t="str">
            <v>Qty</v>
          </cell>
          <cell r="E1" t="str">
            <v>Notional</v>
          </cell>
          <cell r="F1" t="str">
            <v>YDay Close</v>
          </cell>
          <cell r="G1" t="str">
            <v>EOD Price</v>
          </cell>
          <cell r="H1" t="str">
            <v>EOD PnL</v>
          </cell>
        </row>
        <row r="2">
          <cell r="A2" t="str">
            <v>MMA_T1712</v>
          </cell>
          <cell r="B2" t="str">
            <v>MMA</v>
          </cell>
          <cell r="C2" t="str">
            <v>T1712</v>
          </cell>
          <cell r="D2">
            <v>-39</v>
          </cell>
          <cell r="E2">
            <v>-39000000</v>
          </cell>
          <cell r="F2">
            <v>95.21</v>
          </cell>
          <cell r="G2">
            <v>94.905000000000001</v>
          </cell>
          <cell r="H2">
            <v>118949.99999999712</v>
          </cell>
        </row>
        <row r="3">
          <cell r="A3" t="str">
            <v>MMA_T1803</v>
          </cell>
          <cell r="B3" t="str">
            <v>MMA</v>
          </cell>
          <cell r="C3" t="str">
            <v>T1803</v>
          </cell>
          <cell r="D3">
            <v>-17</v>
          </cell>
          <cell r="E3">
            <v>-17000000</v>
          </cell>
          <cell r="F3">
            <v>95.45</v>
          </cell>
          <cell r="G3">
            <v>95.194999999999993</v>
          </cell>
          <cell r="H3">
            <v>43350.000000001637</v>
          </cell>
        </row>
        <row r="4">
          <cell r="A4" t="str">
            <v>MMA_TF1712</v>
          </cell>
          <cell r="B4" t="str">
            <v>MMA</v>
          </cell>
          <cell r="C4" t="str">
            <v>TF1712</v>
          </cell>
          <cell r="D4">
            <v>-348</v>
          </cell>
          <cell r="E4">
            <v>-348000000</v>
          </cell>
          <cell r="F4">
            <v>97.694999999999993</v>
          </cell>
          <cell r="G4">
            <v>97.49</v>
          </cell>
          <cell r="H4">
            <v>713399.99999999406</v>
          </cell>
        </row>
        <row r="5">
          <cell r="A5" t="str">
            <v>MMA_TF1803</v>
          </cell>
          <cell r="B5" t="str">
            <v>MMA</v>
          </cell>
          <cell r="C5" t="str">
            <v>TF1803</v>
          </cell>
          <cell r="D5">
            <v>-12</v>
          </cell>
          <cell r="E5">
            <v>-12000000</v>
          </cell>
          <cell r="F5">
            <v>97.93</v>
          </cell>
          <cell r="G5">
            <v>97.76</v>
          </cell>
          <cell r="H5">
            <v>20400.000000000204</v>
          </cell>
        </row>
        <row r="6">
          <cell r="A6" t="str">
            <v>Strat_T1712</v>
          </cell>
          <cell r="B6" t="str">
            <v>Strat</v>
          </cell>
          <cell r="C6" t="str">
            <v>T1712</v>
          </cell>
          <cell r="D6">
            <v>-100</v>
          </cell>
          <cell r="E6">
            <v>-100000000</v>
          </cell>
          <cell r="F6">
            <v>95.21</v>
          </cell>
          <cell r="G6">
            <v>94.905000000000001</v>
          </cell>
          <cell r="H6">
            <v>304999.99999999261</v>
          </cell>
        </row>
        <row r="7">
          <cell r="A7" t="str">
            <v>Strat_TF1712</v>
          </cell>
          <cell r="B7" t="str">
            <v>Strat</v>
          </cell>
          <cell r="C7" t="str">
            <v>TF1712</v>
          </cell>
          <cell r="D7">
            <v>-100</v>
          </cell>
          <cell r="E7">
            <v>-100000000</v>
          </cell>
          <cell r="F7">
            <v>97.694999999999993</v>
          </cell>
          <cell r="G7">
            <v>97.49</v>
          </cell>
          <cell r="H7">
            <v>204999.99999999828</v>
          </cell>
        </row>
        <row r="8">
          <cell r="A8" t="str">
            <v>BMR_T1712</v>
          </cell>
          <cell r="B8" t="str">
            <v>BMR</v>
          </cell>
          <cell r="C8" t="str">
            <v>T1712</v>
          </cell>
          <cell r="D8">
            <v>-534</v>
          </cell>
          <cell r="E8">
            <v>-534000000</v>
          </cell>
          <cell r="F8">
            <v>95.21</v>
          </cell>
          <cell r="G8">
            <v>94.905000000000001</v>
          </cell>
          <cell r="H8">
            <v>1628699.9999999607</v>
          </cell>
        </row>
        <row r="9">
          <cell r="A9" t="str">
            <v>BMR_T1803</v>
          </cell>
          <cell r="B9" t="str">
            <v>BMR</v>
          </cell>
          <cell r="C9" t="str">
            <v>T1803</v>
          </cell>
          <cell r="D9">
            <v>34</v>
          </cell>
          <cell r="E9">
            <v>34000000</v>
          </cell>
          <cell r="F9">
            <v>95.45</v>
          </cell>
          <cell r="G9">
            <v>95.194999999999993</v>
          </cell>
          <cell r="H9">
            <v>-86700.000000003274</v>
          </cell>
        </row>
        <row r="10">
          <cell r="A10" t="str">
            <v>BMR_TF1712</v>
          </cell>
          <cell r="B10" t="str">
            <v>BMR</v>
          </cell>
          <cell r="C10" t="str">
            <v>TF1712</v>
          </cell>
          <cell r="D10">
            <v>-296</v>
          </cell>
          <cell r="E10">
            <v>-296000000</v>
          </cell>
          <cell r="F10">
            <v>97.694999999999993</v>
          </cell>
          <cell r="G10">
            <v>97.49</v>
          </cell>
          <cell r="H10">
            <v>606799.99999999488</v>
          </cell>
        </row>
        <row r="11">
          <cell r="A11" t="str">
            <v>BMR_TF1803</v>
          </cell>
          <cell r="B11" t="str">
            <v>BMR</v>
          </cell>
          <cell r="C11" t="str">
            <v>TF1803</v>
          </cell>
          <cell r="D11">
            <v>6</v>
          </cell>
          <cell r="E11">
            <v>6000000</v>
          </cell>
          <cell r="F11">
            <v>97.93</v>
          </cell>
          <cell r="G11">
            <v>97.76</v>
          </cell>
          <cell r="H11">
            <v>-10200.000000000102</v>
          </cell>
        </row>
        <row r="12">
          <cell r="A12" t="str">
            <v>BMH_T1712</v>
          </cell>
          <cell r="B12" t="str">
            <v>BMH</v>
          </cell>
          <cell r="C12" t="str">
            <v>T1712</v>
          </cell>
          <cell r="D12">
            <v>-215</v>
          </cell>
          <cell r="E12">
            <v>-215000000</v>
          </cell>
          <cell r="F12">
            <v>95.21</v>
          </cell>
          <cell r="G12">
            <v>94.905000000000001</v>
          </cell>
          <cell r="H12">
            <v>655749.99999998417</v>
          </cell>
        </row>
        <row r="13">
          <cell r="A13" t="str">
            <v>BMH_T1806</v>
          </cell>
          <cell r="B13" t="str">
            <v>BMH</v>
          </cell>
          <cell r="C13" t="str">
            <v>T1806</v>
          </cell>
          <cell r="D13">
            <v>1</v>
          </cell>
          <cell r="E13">
            <v>1000000</v>
          </cell>
          <cell r="F13">
            <v>95.504999999999995</v>
          </cell>
          <cell r="G13">
            <v>95.29</v>
          </cell>
          <cell r="H13">
            <v>-2149.9999999998922</v>
          </cell>
        </row>
        <row r="14">
          <cell r="A14" t="str">
            <v>BMH_TF1712</v>
          </cell>
          <cell r="B14" t="str">
            <v>BMH</v>
          </cell>
          <cell r="C14" t="str">
            <v>TF1712</v>
          </cell>
          <cell r="D14">
            <v>-147</v>
          </cell>
          <cell r="E14">
            <v>-147000000</v>
          </cell>
          <cell r="F14">
            <v>97.694999999999993</v>
          </cell>
          <cell r="G14">
            <v>97.49</v>
          </cell>
          <cell r="H14">
            <v>301349.9999999975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Curve Type</v>
          </cell>
          <cell r="C1" t="str">
            <v>FR007</v>
          </cell>
          <cell r="D1" t="str">
            <v>SHB3M</v>
          </cell>
          <cell r="E1" t="str">
            <v>DISC</v>
          </cell>
        </row>
        <row r="2">
          <cell r="A2" t="str">
            <v>MMA</v>
          </cell>
          <cell r="B2" t="str">
            <v>IMM</v>
          </cell>
          <cell r="C2">
            <v>231908.86699828506</v>
          </cell>
          <cell r="D2">
            <v>304488.55251580477</v>
          </cell>
          <cell r="E2">
            <v>28352.965401552618</v>
          </cell>
        </row>
        <row r="3">
          <cell r="A3" t="str">
            <v>STRAT</v>
          </cell>
          <cell r="B3" t="str">
            <v>IMM</v>
          </cell>
          <cell r="C3">
            <v>259269.95937886834</v>
          </cell>
          <cell r="D3">
            <v>25163.36902666837</v>
          </cell>
          <cell r="E3">
            <v>-11365.3875579983</v>
          </cell>
        </row>
        <row r="4">
          <cell r="A4" t="str">
            <v>EMZ</v>
          </cell>
          <cell r="B4" t="str">
            <v>IMM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BMR</v>
          </cell>
          <cell r="B5" t="str">
            <v>IMM</v>
          </cell>
          <cell r="C5">
            <v>322683.51042521</v>
          </cell>
          <cell r="D5">
            <v>114075.72477470338</v>
          </cell>
          <cell r="E5">
            <v>23331.105342686176</v>
          </cell>
        </row>
        <row r="6">
          <cell r="A6" t="str">
            <v>SPH</v>
          </cell>
          <cell r="B6" t="str">
            <v>IMM</v>
          </cell>
          <cell r="C6">
            <v>31585.553927546367</v>
          </cell>
          <cell r="D6">
            <v>0</v>
          </cell>
          <cell r="E6">
            <v>3368.368039037101</v>
          </cell>
        </row>
        <row r="7">
          <cell r="A7" t="str">
            <v>ASW</v>
          </cell>
          <cell r="B7" t="str">
            <v>IMM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SPR</v>
          </cell>
          <cell r="B8" t="str">
            <v>IMM</v>
          </cell>
          <cell r="C8">
            <v>16679.886642841622</v>
          </cell>
          <cell r="D8">
            <v>15122.429017374292</v>
          </cell>
          <cell r="E8">
            <v>5822.0975344311446</v>
          </cell>
        </row>
        <row r="9">
          <cell r="A9" t="str">
            <v>BMH</v>
          </cell>
          <cell r="B9" t="str">
            <v>IMM</v>
          </cell>
          <cell r="C9">
            <v>214067.61041293293</v>
          </cell>
          <cell r="D9">
            <v>0</v>
          </cell>
          <cell r="E9">
            <v>21596.112055405974</v>
          </cell>
        </row>
        <row r="10">
          <cell r="A10" t="str">
            <v>LM</v>
          </cell>
          <cell r="B10" t="str">
            <v>IMM</v>
          </cell>
          <cell r="C10">
            <v>73869.254598181695</v>
          </cell>
          <cell r="D10">
            <v>12485.619630320929</v>
          </cell>
          <cell r="E10">
            <v>1438.1117980824783</v>
          </cell>
        </row>
        <row r="11">
          <cell r="A11" t="str">
            <v>BMZ</v>
          </cell>
          <cell r="B11" t="str">
            <v>IMM</v>
          </cell>
          <cell r="C11">
            <v>-2710.3651806449052</v>
          </cell>
          <cell r="D11">
            <v>0</v>
          </cell>
          <cell r="E11">
            <v>1656.4119619638659</v>
          </cell>
        </row>
        <row r="12">
          <cell r="A12" t="str">
            <v>SPL</v>
          </cell>
          <cell r="B12" t="str">
            <v>IMM</v>
          </cell>
          <cell r="C12">
            <v>33051.380790593103</v>
          </cell>
          <cell r="D12">
            <v>0</v>
          </cell>
          <cell r="E12">
            <v>3515.8968755220994</v>
          </cell>
        </row>
        <row r="13">
          <cell r="A13" t="str">
            <v>SPQ</v>
          </cell>
          <cell r="B13" t="str">
            <v>IMM</v>
          </cell>
          <cell r="C13">
            <v>17.240236751633347</v>
          </cell>
          <cell r="D13">
            <v>0</v>
          </cell>
          <cell r="E13">
            <v>-13.883875113446265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Risk Type</v>
          </cell>
          <cell r="C1" t="str">
            <v>r7d</v>
          </cell>
          <cell r="D1" t="str">
            <v>s3m</v>
          </cell>
          <cell r="E1" t="str">
            <v>disc</v>
          </cell>
        </row>
        <row r="2">
          <cell r="A2" t="str">
            <v>MMA</v>
          </cell>
          <cell r="B2" t="str">
            <v>IMM</v>
          </cell>
          <cell r="C2">
            <v>249915.06824690104</v>
          </cell>
          <cell r="D2">
            <v>315009.56743744016</v>
          </cell>
          <cell r="E2">
            <v>-7879.4877850115299</v>
          </cell>
        </row>
        <row r="3">
          <cell r="A3" t="str">
            <v>MMB</v>
          </cell>
          <cell r="B3" t="str">
            <v>IMM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MMC</v>
          </cell>
          <cell r="B4" t="str">
            <v>IMM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SPG</v>
          </cell>
          <cell r="B5" t="str">
            <v>IMM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MME</v>
          </cell>
          <cell r="B6" t="str">
            <v>IMM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Strat</v>
          </cell>
          <cell r="B7" t="str">
            <v>IMM</v>
          </cell>
          <cell r="C7">
            <v>245894.66919463873</v>
          </cell>
          <cell r="D7">
            <v>21162.148510105908</v>
          </cell>
          <cell r="E7">
            <v>4519.1289631649852</v>
          </cell>
        </row>
        <row r="8">
          <cell r="A8" t="str">
            <v>ASW</v>
          </cell>
          <cell r="B8" t="str">
            <v>IMM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SPH</v>
          </cell>
          <cell r="B9" t="str">
            <v>IMM</v>
          </cell>
          <cell r="C9">
            <v>34075.238830406219</v>
          </cell>
          <cell r="D9">
            <v>0</v>
          </cell>
          <cell r="E9">
            <v>118.16322983428836</v>
          </cell>
        </row>
        <row r="10">
          <cell r="A10" t="str">
            <v>SPL</v>
          </cell>
          <cell r="B10" t="str">
            <v>IMM</v>
          </cell>
          <cell r="C10">
            <v>35903.721752779558</v>
          </cell>
          <cell r="D10">
            <v>0</v>
          </cell>
          <cell r="E10">
            <v>-146.41067260317504</v>
          </cell>
        </row>
        <row r="11">
          <cell r="A11" t="str">
            <v>SPQ</v>
          </cell>
          <cell r="B11" t="str">
            <v>IMM</v>
          </cell>
          <cell r="C11">
            <v>19.053262417088263</v>
          </cell>
          <cell r="D11">
            <v>0</v>
          </cell>
          <cell r="E11">
            <v>-15.717242744343821</v>
          </cell>
        </row>
        <row r="12">
          <cell r="A12" t="str">
            <v>SPC</v>
          </cell>
          <cell r="B12" t="str">
            <v>IMM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SPR</v>
          </cell>
          <cell r="B13" t="str">
            <v>IMM</v>
          </cell>
          <cell r="C13">
            <v>19799.809479124844</v>
          </cell>
          <cell r="D13">
            <v>15308.963707553223</v>
          </cell>
          <cell r="E13">
            <v>1722.6050020670518</v>
          </cell>
        </row>
        <row r="14">
          <cell r="A14" t="str">
            <v>LM</v>
          </cell>
          <cell r="B14" t="str">
            <v>IMM</v>
          </cell>
          <cell r="C14">
            <v>74714.955499283969</v>
          </cell>
          <cell r="D14">
            <v>12564.652127200738</v>
          </cell>
          <cell r="E14">
            <v>-12.501661477610469</v>
          </cell>
        </row>
        <row r="15">
          <cell r="A15" t="str">
            <v>Curve</v>
          </cell>
          <cell r="B15" t="str">
            <v>IMM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BMR</v>
          </cell>
          <cell r="B16" t="str">
            <v>IMM</v>
          </cell>
          <cell r="C16">
            <v>337422.66755846143</v>
          </cell>
          <cell r="D16">
            <v>117296.00096637756</v>
          </cell>
          <cell r="E16">
            <v>-758.37559816986322</v>
          </cell>
        </row>
        <row r="17">
          <cell r="A17" t="str">
            <v>BMY</v>
          </cell>
          <cell r="B17" t="str">
            <v>IMM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BMH</v>
          </cell>
          <cell r="B18" t="str">
            <v>IMM</v>
          </cell>
          <cell r="C18">
            <v>231527.85382220149</v>
          </cell>
          <cell r="D18">
            <v>0</v>
          </cell>
          <cell r="E18">
            <v>-931.26210674643517</v>
          </cell>
        </row>
        <row r="19">
          <cell r="A19" t="str">
            <v>BMC</v>
          </cell>
          <cell r="B19" t="str">
            <v>IMM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BMG</v>
          </cell>
          <cell r="B20" t="str">
            <v>IMM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Curve Type</v>
          </cell>
          <cell r="C1" t="str">
            <v>FR007</v>
          </cell>
          <cell r="D1" t="str">
            <v>SHB3M</v>
          </cell>
          <cell r="E1" t="str">
            <v>DISC</v>
          </cell>
        </row>
        <row r="2">
          <cell r="A2" t="str">
            <v>MMA</v>
          </cell>
          <cell r="B2" t="str">
            <v>PAR</v>
          </cell>
          <cell r="C2">
            <v>318654.23674228787</v>
          </cell>
          <cell r="D2">
            <v>348916.61490353942</v>
          </cell>
          <cell r="E2">
            <v>34709.272397451103</v>
          </cell>
        </row>
        <row r="3">
          <cell r="A3" t="str">
            <v>STRAT</v>
          </cell>
          <cell r="B3" t="str">
            <v>PAR</v>
          </cell>
          <cell r="C3">
            <v>209335.19785806537</v>
          </cell>
          <cell r="D3">
            <v>124502.02524583042</v>
          </cell>
          <cell r="E3">
            <v>-7898.757895514369</v>
          </cell>
        </row>
        <row r="4">
          <cell r="A4" t="str">
            <v>EMZ</v>
          </cell>
          <cell r="B4" t="str">
            <v>PAR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BMR</v>
          </cell>
          <cell r="B5" t="str">
            <v>PAR</v>
          </cell>
          <cell r="C5">
            <v>343590.54698675871</v>
          </cell>
          <cell r="D5">
            <v>156219.39463114738</v>
          </cell>
          <cell r="E5">
            <v>27679.581424109638</v>
          </cell>
        </row>
        <row r="6">
          <cell r="A6" t="str">
            <v>SPH</v>
          </cell>
          <cell r="B6" t="str">
            <v>PAR</v>
          </cell>
          <cell r="C6">
            <v>29034.039757028222</v>
          </cell>
          <cell r="D6">
            <v>0</v>
          </cell>
          <cell r="E6">
            <v>3493.7579210475087</v>
          </cell>
        </row>
        <row r="7">
          <cell r="A7" t="str">
            <v>ASW</v>
          </cell>
          <cell r="B7" t="str">
            <v>PAR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SPR</v>
          </cell>
          <cell r="B8" t="str">
            <v>PAR</v>
          </cell>
          <cell r="C8">
            <v>18515.826002130285</v>
          </cell>
          <cell r="D8">
            <v>32256.645313886926</v>
          </cell>
          <cell r="E8">
            <v>6067.5218411516398</v>
          </cell>
        </row>
        <row r="9">
          <cell r="A9" t="str">
            <v>BMH</v>
          </cell>
          <cell r="B9" t="str">
            <v>PAR</v>
          </cell>
          <cell r="C9">
            <v>216552.58936235309</v>
          </cell>
          <cell r="D9">
            <v>0</v>
          </cell>
          <cell r="E9">
            <v>22809.204880639911</v>
          </cell>
        </row>
        <row r="10">
          <cell r="A10" t="str">
            <v>LM</v>
          </cell>
          <cell r="B10" t="str">
            <v>PAR</v>
          </cell>
          <cell r="C10">
            <v>80492.636235065758</v>
          </cell>
          <cell r="D10">
            <v>25187.998581156135</v>
          </cell>
          <cell r="E10">
            <v>2143.3282183557749</v>
          </cell>
        </row>
        <row r="11">
          <cell r="A11" t="str">
            <v>BMZ</v>
          </cell>
          <cell r="B11" t="str">
            <v>PAR</v>
          </cell>
          <cell r="C11">
            <v>-4991.023478811665</v>
          </cell>
          <cell r="D11">
            <v>0</v>
          </cell>
          <cell r="E11">
            <v>1641.6227630202193</v>
          </cell>
        </row>
        <row r="12">
          <cell r="A12" t="str">
            <v>SPL</v>
          </cell>
          <cell r="B12" t="str">
            <v>PAR</v>
          </cell>
          <cell r="C12">
            <v>33000.262261740863</v>
          </cell>
          <cell r="D12">
            <v>0</v>
          </cell>
          <cell r="E12">
            <v>3707.226788893342</v>
          </cell>
        </row>
        <row r="13">
          <cell r="A13" t="str">
            <v>SPQ</v>
          </cell>
          <cell r="B13" t="str">
            <v>PAR</v>
          </cell>
          <cell r="C13">
            <v>133.08218123941333</v>
          </cell>
          <cell r="D13">
            <v>0</v>
          </cell>
          <cell r="E13">
            <v>-15.007334148336668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Risk Type</v>
          </cell>
          <cell r="C1" t="str">
            <v>r7d</v>
          </cell>
          <cell r="D1" t="str">
            <v>s3m</v>
          </cell>
          <cell r="E1" t="str">
            <v>disc</v>
          </cell>
        </row>
        <row r="2">
          <cell r="A2" t="str">
            <v>MMA</v>
          </cell>
          <cell r="B2" t="str">
            <v>PAR</v>
          </cell>
          <cell r="C2">
            <v>254164.90068906546</v>
          </cell>
          <cell r="D2">
            <v>318937.8651240766</v>
          </cell>
          <cell r="E2">
            <v>-8229.5595504641533</v>
          </cell>
        </row>
        <row r="3">
          <cell r="A3" t="str">
            <v>MMB</v>
          </cell>
          <cell r="B3" t="str">
            <v>PAR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MMC</v>
          </cell>
          <cell r="B4" t="str">
            <v>PAR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SPG</v>
          </cell>
          <cell r="B5" t="str">
            <v>PAR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MME</v>
          </cell>
          <cell r="B6" t="str">
            <v>PAR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Strat</v>
          </cell>
          <cell r="B7" t="str">
            <v>PAR</v>
          </cell>
          <cell r="C7">
            <v>244119.67132458091</v>
          </cell>
          <cell r="D7">
            <v>19555.033200524747</v>
          </cell>
          <cell r="E7">
            <v>4153.4805012270808</v>
          </cell>
        </row>
        <row r="8">
          <cell r="A8" t="str">
            <v>ASW</v>
          </cell>
          <cell r="B8" t="str">
            <v>PAR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SPH</v>
          </cell>
          <cell r="B9" t="str">
            <v>PAR</v>
          </cell>
          <cell r="C9">
            <v>34495.677418805659</v>
          </cell>
          <cell r="D9">
            <v>-2.0489096641540527E-8</v>
          </cell>
          <cell r="E9">
            <v>211.5279021281749</v>
          </cell>
        </row>
        <row r="10">
          <cell r="A10" t="str">
            <v>SPL</v>
          </cell>
          <cell r="B10" t="str">
            <v>PAR</v>
          </cell>
          <cell r="C10">
            <v>36369.405983015895</v>
          </cell>
          <cell r="D10">
            <v>4.0978193283081055E-8</v>
          </cell>
          <cell r="E10">
            <v>-40.305105347186327</v>
          </cell>
        </row>
        <row r="11">
          <cell r="A11" t="str">
            <v>SPQ</v>
          </cell>
          <cell r="B11" t="str">
            <v>PAR</v>
          </cell>
          <cell r="C11">
            <v>19.474281237111427</v>
          </cell>
          <cell r="D11">
            <v>-6.9441739469766617E-8</v>
          </cell>
          <cell r="E11">
            <v>-15.946507202257635</v>
          </cell>
        </row>
        <row r="12">
          <cell r="A12" t="str">
            <v>SPC</v>
          </cell>
          <cell r="B12" t="str">
            <v>PAR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SPR</v>
          </cell>
          <cell r="B13" t="str">
            <v>PAR</v>
          </cell>
          <cell r="C13">
            <v>20261.165186789818</v>
          </cell>
          <cell r="D13">
            <v>15286.279236277565</v>
          </cell>
          <cell r="E13">
            <v>1902.1456644879654</v>
          </cell>
        </row>
        <row r="14">
          <cell r="A14" t="str">
            <v>LM</v>
          </cell>
          <cell r="B14" t="str">
            <v>PAR</v>
          </cell>
          <cell r="C14">
            <v>74506.295287219808</v>
          </cell>
          <cell r="D14">
            <v>12665.316042626277</v>
          </cell>
          <cell r="E14">
            <v>-6.999418443068862</v>
          </cell>
        </row>
        <row r="15">
          <cell r="A15" t="str">
            <v>Curve</v>
          </cell>
          <cell r="B15" t="str">
            <v>PAR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BMR</v>
          </cell>
          <cell r="B16" t="str">
            <v>PAR</v>
          </cell>
          <cell r="C16">
            <v>339116.66583728045</v>
          </cell>
          <cell r="D16">
            <v>117298.87305465341</v>
          </cell>
          <cell r="E16">
            <v>-282.27151343971491</v>
          </cell>
        </row>
        <row r="17">
          <cell r="A17" t="str">
            <v>BMY</v>
          </cell>
          <cell r="B17" t="str">
            <v>PAR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BMH</v>
          </cell>
          <cell r="B18" t="str">
            <v>PAR</v>
          </cell>
          <cell r="C18">
            <v>234389.95639145374</v>
          </cell>
          <cell r="D18">
            <v>-1.2367963790893555E-6</v>
          </cell>
          <cell r="E18">
            <v>-295.45681561529636</v>
          </cell>
        </row>
        <row r="19">
          <cell r="A19" t="str">
            <v>BMC</v>
          </cell>
          <cell r="B19" t="str">
            <v>PAR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BMG</v>
          </cell>
          <cell r="B20" t="str">
            <v>PAR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Risk Type</v>
          </cell>
          <cell r="C1" t="str">
            <v>CGB</v>
          </cell>
          <cell r="D1" t="str">
            <v>CDB</v>
          </cell>
          <cell r="E1" t="str">
            <v>ADB</v>
          </cell>
          <cell r="F1" t="str">
            <v>EXIM</v>
          </cell>
          <cell r="G1" t="str">
            <v>CB</v>
          </cell>
        </row>
        <row r="2">
          <cell r="A2" t="str">
            <v>MMA</v>
          </cell>
          <cell r="B2" t="str">
            <v>IMM</v>
          </cell>
          <cell r="C2">
            <v>-117675.60872703791</v>
          </cell>
          <cell r="D2">
            <v>-278199.68435519934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MMB</v>
          </cell>
          <cell r="B3" t="str">
            <v>IMM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MMC</v>
          </cell>
          <cell r="B4" t="str">
            <v>IMM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SPG</v>
          </cell>
          <cell r="B5" t="str">
            <v>IMM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MME</v>
          </cell>
          <cell r="B6" t="str">
            <v>IMM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Strat</v>
          </cell>
          <cell r="B7" t="str">
            <v>IMM</v>
          </cell>
          <cell r="C7">
            <v>16450.666114121675</v>
          </cell>
          <cell r="D7">
            <v>326397.36490869522</v>
          </cell>
          <cell r="E7">
            <v>-439851.6760969162</v>
          </cell>
          <cell r="F7">
            <v>0</v>
          </cell>
          <cell r="G7">
            <v>0</v>
          </cell>
        </row>
        <row r="8">
          <cell r="A8" t="str">
            <v>ASW</v>
          </cell>
          <cell r="B8" t="str">
            <v>IMM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SPH</v>
          </cell>
          <cell r="B9" t="str">
            <v>IMM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SPL</v>
          </cell>
          <cell r="B10" t="str">
            <v>IMM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SPQ</v>
          </cell>
          <cell r="B11" t="str">
            <v>IMM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SPC</v>
          </cell>
          <cell r="B12" t="str">
            <v>IMM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SPR</v>
          </cell>
          <cell r="B13" t="str">
            <v>IMM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 t="str">
            <v>LM</v>
          </cell>
          <cell r="B14" t="str">
            <v>IMM</v>
          </cell>
          <cell r="C14">
            <v>-2851.9761478677392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Curve</v>
          </cell>
          <cell r="B15" t="str">
            <v>IMM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BMR</v>
          </cell>
          <cell r="B16" t="str">
            <v>IMM</v>
          </cell>
          <cell r="C16">
            <v>-521528.58996617794</v>
          </cell>
          <cell r="D16">
            <v>384869.43428599834</v>
          </cell>
          <cell r="E16">
            <v>-227077.13096231222</v>
          </cell>
          <cell r="F16">
            <v>-428677.01082611084</v>
          </cell>
          <cell r="G16">
            <v>0</v>
          </cell>
        </row>
        <row r="17">
          <cell r="A17" t="str">
            <v>BMY</v>
          </cell>
          <cell r="B17" t="str">
            <v>IMM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BMH</v>
          </cell>
          <cell r="B18" t="str">
            <v>IMM</v>
          </cell>
          <cell r="C18">
            <v>-135367.59705927968</v>
          </cell>
          <cell r="D18">
            <v>-19571.239416100085</v>
          </cell>
          <cell r="E18">
            <v>-21690.654455468059</v>
          </cell>
          <cell r="F18">
            <v>-131551.4874945879</v>
          </cell>
          <cell r="G18">
            <v>0</v>
          </cell>
        </row>
        <row r="19">
          <cell r="A19" t="str">
            <v>BMC</v>
          </cell>
          <cell r="B19" t="str">
            <v>IMM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BMG</v>
          </cell>
          <cell r="B20" t="str">
            <v>IMM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Curve Type</v>
          </cell>
          <cell r="C1" t="str">
            <v>CGB</v>
          </cell>
          <cell r="D1" t="str">
            <v>CDB</v>
          </cell>
          <cell r="E1" t="str">
            <v>ADB</v>
          </cell>
          <cell r="F1" t="str">
            <v>EXIM</v>
          </cell>
          <cell r="G1" t="str">
            <v>CB</v>
          </cell>
        </row>
        <row r="2">
          <cell r="A2" t="str">
            <v>MMA</v>
          </cell>
          <cell r="B2" t="str">
            <v>PAR</v>
          </cell>
          <cell r="C2">
            <v>-129219.82495115952</v>
          </cell>
          <cell r="D2">
            <v>-297072.54724784777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STRAT</v>
          </cell>
          <cell r="B3" t="str">
            <v>PAR</v>
          </cell>
          <cell r="C3">
            <v>18609.333684835845</v>
          </cell>
          <cell r="D3">
            <v>346417.8163121175</v>
          </cell>
          <cell r="E3">
            <v>-470497.60327952588</v>
          </cell>
          <cell r="F3">
            <v>0</v>
          </cell>
          <cell r="G3">
            <v>0</v>
          </cell>
        </row>
        <row r="4">
          <cell r="A4" t="str">
            <v>EMZ</v>
          </cell>
          <cell r="B4" t="str">
            <v>PAR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BMR</v>
          </cell>
          <cell r="B5" t="str">
            <v>PAR</v>
          </cell>
          <cell r="C5">
            <v>-562773.67092308728</v>
          </cell>
          <cell r="D5">
            <v>411880.29522686522</v>
          </cell>
          <cell r="E5">
            <v>-242892.58809629644</v>
          </cell>
          <cell r="F5">
            <v>-458536.62074012507</v>
          </cell>
          <cell r="G5">
            <v>0</v>
          </cell>
        </row>
        <row r="6">
          <cell r="A6" t="str">
            <v>SPH</v>
          </cell>
          <cell r="B6" t="str">
            <v>PAR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ASW</v>
          </cell>
          <cell r="B7" t="str">
            <v>PAR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SPR</v>
          </cell>
          <cell r="B8" t="str">
            <v>PAR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BMH</v>
          </cell>
          <cell r="B9" t="str">
            <v>PAR</v>
          </cell>
          <cell r="C9">
            <v>-148051.55391052694</v>
          </cell>
          <cell r="D9">
            <v>-20404.988157378059</v>
          </cell>
          <cell r="E9">
            <v>-23087.565702235224</v>
          </cell>
          <cell r="F9">
            <v>-140286.75957290773</v>
          </cell>
          <cell r="G9">
            <v>0</v>
          </cell>
        </row>
        <row r="10">
          <cell r="A10" t="str">
            <v>LM</v>
          </cell>
          <cell r="B10" t="str">
            <v>PAR</v>
          </cell>
          <cell r="C10">
            <v>-3638.2017719702731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BMZ</v>
          </cell>
          <cell r="B11" t="str">
            <v>PAR</v>
          </cell>
          <cell r="C11">
            <v>0</v>
          </cell>
          <cell r="D11">
            <v>72173.107821610931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SPL</v>
          </cell>
          <cell r="B12" t="str">
            <v>PAR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SPQ</v>
          </cell>
          <cell r="B13" t="str">
            <v>PAR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Portfolio</v>
          </cell>
          <cell r="B1" t="str">
            <v>Risk Type</v>
          </cell>
          <cell r="C1" t="str">
            <v>CGB</v>
          </cell>
          <cell r="D1" t="str">
            <v>CDB</v>
          </cell>
          <cell r="E1" t="str">
            <v>ADB</v>
          </cell>
          <cell r="F1" t="str">
            <v>EXIM</v>
          </cell>
          <cell r="G1" t="str">
            <v>CB</v>
          </cell>
        </row>
        <row r="2">
          <cell r="A2" t="str">
            <v>MMA</v>
          </cell>
          <cell r="B2" t="str">
            <v>PAR</v>
          </cell>
          <cell r="C2">
            <v>-126858.01936781406</v>
          </cell>
          <cell r="D2">
            <v>-289142.41844666004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MMB</v>
          </cell>
          <cell r="B3" t="str">
            <v>PAR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MMC</v>
          </cell>
          <cell r="B4" t="str">
            <v>PAR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SPG</v>
          </cell>
          <cell r="B5" t="str">
            <v>PAR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MME</v>
          </cell>
          <cell r="B6" t="str">
            <v>PAR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Strat</v>
          </cell>
          <cell r="B7" t="str">
            <v>PAR</v>
          </cell>
          <cell r="C7">
            <v>19537.933885216713</v>
          </cell>
          <cell r="D7">
            <v>355568.26378035545</v>
          </cell>
          <cell r="E7">
            <v>-461208.44507730007</v>
          </cell>
          <cell r="F7">
            <v>0</v>
          </cell>
          <cell r="G7">
            <v>0</v>
          </cell>
        </row>
        <row r="8">
          <cell r="A8" t="str">
            <v>ASW</v>
          </cell>
          <cell r="B8" t="str">
            <v>PAR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SPH</v>
          </cell>
          <cell r="B9" t="str">
            <v>PAR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SPL</v>
          </cell>
          <cell r="B10" t="str">
            <v>PAR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SPQ</v>
          </cell>
          <cell r="B11" t="str">
            <v>PAR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SPC</v>
          </cell>
          <cell r="B12" t="str">
            <v>PAR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SPR</v>
          </cell>
          <cell r="B13" t="str">
            <v>PAR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 t="str">
            <v>LM</v>
          </cell>
          <cell r="B14" t="str">
            <v>PAR</v>
          </cell>
          <cell r="C14">
            <v>-2847.8288436681032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Curve</v>
          </cell>
          <cell r="B15" t="str">
            <v>PAR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BMR</v>
          </cell>
          <cell r="B16" t="str">
            <v>PAR</v>
          </cell>
          <cell r="C16">
            <v>-548399.51586019993</v>
          </cell>
          <cell r="D16">
            <v>403772.48753225803</v>
          </cell>
          <cell r="E16">
            <v>-238090.18673163652</v>
          </cell>
          <cell r="F16">
            <v>-447003.26549863815</v>
          </cell>
          <cell r="G16">
            <v>0</v>
          </cell>
        </row>
        <row r="17">
          <cell r="A17" t="str">
            <v>BMY</v>
          </cell>
          <cell r="B17" t="str">
            <v>PAR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BMH</v>
          </cell>
          <cell r="B18" t="str">
            <v>PAR</v>
          </cell>
          <cell r="C18">
            <v>-145215.66389930248</v>
          </cell>
          <cell r="D18">
            <v>-19445.235391035676</v>
          </cell>
          <cell r="E18">
            <v>-22436.962861217558</v>
          </cell>
          <cell r="F18">
            <v>-136238.99917075038</v>
          </cell>
          <cell r="G18">
            <v>0</v>
          </cell>
        </row>
        <row r="19">
          <cell r="A19" t="str">
            <v>BMC</v>
          </cell>
          <cell r="B19" t="str">
            <v>PAR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BMG</v>
          </cell>
          <cell r="B20" t="str">
            <v>PAR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Index</v>
          </cell>
          <cell r="D1" t="str">
            <v>Leg</v>
          </cell>
          <cell r="E1" t="str">
            <v>YDayPV</v>
          </cell>
          <cell r="F1" t="str">
            <v>EodPV</v>
          </cell>
        </row>
        <row r="2">
          <cell r="A2" t="str">
            <v>MMA_FR007_POS_FIXED</v>
          </cell>
          <cell r="B2" t="str">
            <v>MMA</v>
          </cell>
          <cell r="C2" t="str">
            <v>FR007</v>
          </cell>
          <cell r="D2" t="str">
            <v>POS_FIXED</v>
          </cell>
          <cell r="E2">
            <v>-61265912.687835</v>
          </cell>
          <cell r="F2">
            <v>-46152333.934471898</v>
          </cell>
        </row>
        <row r="3">
          <cell r="A3" t="str">
            <v>MMA_FR007_POS_FLOAT</v>
          </cell>
          <cell r="B3" t="str">
            <v>MMA</v>
          </cell>
          <cell r="C3" t="str">
            <v>FR007</v>
          </cell>
          <cell r="D3" t="str">
            <v>POS_FLOAT</v>
          </cell>
          <cell r="E3">
            <v>142751003.16289401</v>
          </cell>
          <cell r="F3">
            <v>130976000.33454753</v>
          </cell>
        </row>
        <row r="4">
          <cell r="A4" t="str">
            <v>STRAT_FR007_POS_FIXED</v>
          </cell>
          <cell r="B4" t="str">
            <v>STRAT</v>
          </cell>
          <cell r="C4" t="str">
            <v>FR007</v>
          </cell>
          <cell r="D4" t="str">
            <v>POS_FIXED</v>
          </cell>
          <cell r="E4">
            <v>-149773185.839421</v>
          </cell>
          <cell r="F4">
            <v>-140289390.33818778</v>
          </cell>
        </row>
        <row r="5">
          <cell r="A5" t="str">
            <v>STRAT_FR007_POS_FLOAT</v>
          </cell>
          <cell r="B5" t="str">
            <v>STRAT</v>
          </cell>
          <cell r="C5" t="str">
            <v>FR007</v>
          </cell>
          <cell r="D5" t="str">
            <v>POS_FLOAT</v>
          </cell>
          <cell r="E5">
            <v>97095787.264017999</v>
          </cell>
          <cell r="F5">
            <v>86936028.197549522</v>
          </cell>
        </row>
        <row r="6">
          <cell r="A6" t="str">
            <v>EMZ_FR007_POS_FIXED</v>
          </cell>
          <cell r="B6" t="str">
            <v>EMZ</v>
          </cell>
          <cell r="C6" t="str">
            <v>FR007</v>
          </cell>
          <cell r="D6" t="str">
            <v>POS_FIXED</v>
          </cell>
          <cell r="E6">
            <v>0</v>
          </cell>
          <cell r="F6">
            <v>0</v>
          </cell>
        </row>
        <row r="7">
          <cell r="A7" t="str">
            <v>EMZ_FR007_POS_FLOAT</v>
          </cell>
          <cell r="B7" t="str">
            <v>EMZ</v>
          </cell>
          <cell r="C7" t="str">
            <v>FR007</v>
          </cell>
          <cell r="D7" t="str">
            <v>POS_FLOAT</v>
          </cell>
          <cell r="E7">
            <v>0</v>
          </cell>
          <cell r="F7">
            <v>0</v>
          </cell>
        </row>
        <row r="8">
          <cell r="A8" t="str">
            <v>BMR_FR007_POS_FIXED</v>
          </cell>
          <cell r="B8" t="str">
            <v>BMR</v>
          </cell>
          <cell r="C8" t="str">
            <v>FR007</v>
          </cell>
          <cell r="D8" t="str">
            <v>POS_FIXED</v>
          </cell>
          <cell r="E8">
            <v>-140652494.448531</v>
          </cell>
          <cell r="F8">
            <v>-140355921.72108555</v>
          </cell>
        </row>
        <row r="9">
          <cell r="A9" t="str">
            <v>BMR_FR007_POS_FLOAT</v>
          </cell>
          <cell r="B9" t="str">
            <v>BMR</v>
          </cell>
          <cell r="C9" t="str">
            <v>FR007</v>
          </cell>
          <cell r="D9" t="str">
            <v>POS_FLOAT</v>
          </cell>
          <cell r="E9">
            <v>142211538.203118</v>
          </cell>
          <cell r="F9">
            <v>142392850.69734854</v>
          </cell>
        </row>
        <row r="10">
          <cell r="A10" t="str">
            <v>SPH_FR007_POS_FIXED</v>
          </cell>
          <cell r="B10" t="str">
            <v>SPH</v>
          </cell>
          <cell r="C10" t="str">
            <v>FR007</v>
          </cell>
          <cell r="D10" t="str">
            <v>POS_FIXED</v>
          </cell>
          <cell r="E10">
            <v>-11484935.634896001</v>
          </cell>
          <cell r="F10">
            <v>-11488198.275065761</v>
          </cell>
        </row>
        <row r="11">
          <cell r="A11" t="str">
            <v>SPH_FR007_POS_FLOAT</v>
          </cell>
          <cell r="B11" t="str">
            <v>SPH</v>
          </cell>
          <cell r="C11" t="str">
            <v>FR007</v>
          </cell>
          <cell r="D11" t="str">
            <v>POS_FLOAT</v>
          </cell>
          <cell r="E11">
            <v>11075316.08608</v>
          </cell>
          <cell r="F11">
            <v>11140579.144671019</v>
          </cell>
        </row>
        <row r="12">
          <cell r="A12" t="str">
            <v>ASW_FR007_POS_FIXED</v>
          </cell>
          <cell r="B12" t="str">
            <v>ASW</v>
          </cell>
          <cell r="C12" t="str">
            <v>FR007</v>
          </cell>
          <cell r="D12" t="str">
            <v>POS_FIXED</v>
          </cell>
          <cell r="E12">
            <v>0</v>
          </cell>
          <cell r="F12">
            <v>0</v>
          </cell>
        </row>
        <row r="13">
          <cell r="A13" t="str">
            <v>ASW_FR007_POS_FLOAT</v>
          </cell>
          <cell r="B13" t="str">
            <v>ASW</v>
          </cell>
          <cell r="C13" t="str">
            <v>FR007</v>
          </cell>
          <cell r="D13" t="str">
            <v>POS_FLOAT</v>
          </cell>
          <cell r="E13">
            <v>0</v>
          </cell>
          <cell r="F13">
            <v>0</v>
          </cell>
        </row>
        <row r="14">
          <cell r="A14" t="str">
            <v>SPR_FR007_POS_FIXED</v>
          </cell>
          <cell r="B14" t="str">
            <v>SPR</v>
          </cell>
          <cell r="C14" t="str">
            <v>FR007</v>
          </cell>
          <cell r="D14" t="str">
            <v>POS_FIXED</v>
          </cell>
          <cell r="E14">
            <v>-17555166.660259999</v>
          </cell>
          <cell r="F14">
            <v>-17557519.569003928</v>
          </cell>
        </row>
        <row r="15">
          <cell r="A15" t="str">
            <v>SPR_FR007_POS_FLOAT</v>
          </cell>
          <cell r="B15" t="str">
            <v>SPR</v>
          </cell>
          <cell r="C15" t="str">
            <v>FR007</v>
          </cell>
          <cell r="D15" t="str">
            <v>POS_FLOAT</v>
          </cell>
          <cell r="E15">
            <v>7235149.5475920001</v>
          </cell>
          <cell r="F15">
            <v>7227739.1087136352</v>
          </cell>
        </row>
        <row r="16">
          <cell r="A16" t="str">
            <v>BMH_FR007_POS_FIXED</v>
          </cell>
          <cell r="B16" t="str">
            <v>BMH</v>
          </cell>
          <cell r="C16" t="str">
            <v>FR007</v>
          </cell>
          <cell r="D16" t="str">
            <v>POS_FIXED</v>
          </cell>
          <cell r="E16">
            <v>-89818710.494828999</v>
          </cell>
          <cell r="F16">
            <v>-89851930.519611552</v>
          </cell>
        </row>
        <row r="17">
          <cell r="A17" t="str">
            <v>BMH_FR007_POS_FLOAT</v>
          </cell>
          <cell r="B17" t="str">
            <v>BMH</v>
          </cell>
          <cell r="C17" t="str">
            <v>FR007</v>
          </cell>
          <cell r="D17" t="str">
            <v>POS_FLOAT</v>
          </cell>
          <cell r="E17">
            <v>90297348.263720006</v>
          </cell>
          <cell r="F17">
            <v>90741003.672500014</v>
          </cell>
        </row>
        <row r="18">
          <cell r="A18" t="str">
            <v>LM_FR007_POS_FIXED</v>
          </cell>
          <cell r="B18" t="str">
            <v>LM</v>
          </cell>
          <cell r="C18" t="str">
            <v>FR007</v>
          </cell>
          <cell r="D18" t="str">
            <v>POS_FIXED</v>
          </cell>
          <cell r="E18">
            <v>-38591407.778160997</v>
          </cell>
          <cell r="F18">
            <v>-38621469.526231185</v>
          </cell>
        </row>
        <row r="19">
          <cell r="A19" t="str">
            <v>LM_FR007_POS_FLOAT</v>
          </cell>
          <cell r="B19" t="str">
            <v>LM</v>
          </cell>
          <cell r="C19" t="str">
            <v>FR007</v>
          </cell>
          <cell r="D19" t="str">
            <v>POS_FLOAT</v>
          </cell>
          <cell r="E19">
            <v>38816248.695288002</v>
          </cell>
          <cell r="F19">
            <v>38761611.557014093</v>
          </cell>
        </row>
        <row r="20">
          <cell r="A20" t="str">
            <v>BMZ_FR007_POS_FIXED</v>
          </cell>
          <cell r="B20" t="str">
            <v>BMZ</v>
          </cell>
          <cell r="C20" t="str">
            <v>FR007</v>
          </cell>
          <cell r="D20" t="str">
            <v>POS_FIXED</v>
          </cell>
          <cell r="E20">
            <v>-17146.267376</v>
          </cell>
          <cell r="F20">
            <v>-13661.947315996804</v>
          </cell>
        </row>
        <row r="21">
          <cell r="A21" t="str">
            <v>BMZ_FR007_POS_FLOAT</v>
          </cell>
          <cell r="B21" t="str">
            <v>BMZ</v>
          </cell>
          <cell r="C21" t="str">
            <v>FR007</v>
          </cell>
          <cell r="D21" t="str">
            <v>POS_FLOAT</v>
          </cell>
          <cell r="E21">
            <v>60064.407571000003</v>
          </cell>
          <cell r="F21">
            <v>77951.634014350711</v>
          </cell>
        </row>
        <row r="22">
          <cell r="A22" t="str">
            <v>SPL_FR007_POS_FIXED</v>
          </cell>
          <cell r="B22" t="str">
            <v>SPL</v>
          </cell>
          <cell r="C22" t="str">
            <v>FR007</v>
          </cell>
          <cell r="D22" t="str">
            <v>POS_FIXED</v>
          </cell>
          <cell r="E22">
            <v>-14303519.458067</v>
          </cell>
          <cell r="F22">
            <v>-14308596.540376702</v>
          </cell>
        </row>
        <row r="23">
          <cell r="A23" t="str">
            <v>SPL_FR007_POS_FLOAT</v>
          </cell>
          <cell r="B23" t="str">
            <v>SPL</v>
          </cell>
          <cell r="C23" t="str">
            <v>FR007</v>
          </cell>
          <cell r="D23" t="str">
            <v>POS_FLOAT</v>
          </cell>
          <cell r="E23">
            <v>14362951.03231</v>
          </cell>
          <cell r="F23">
            <v>14428915.220600856</v>
          </cell>
        </row>
        <row r="24">
          <cell r="A24" t="str">
            <v>SPQ_FR007_POS_FIXED</v>
          </cell>
          <cell r="B24" t="str">
            <v>SPQ</v>
          </cell>
          <cell r="C24" t="str">
            <v>FR007</v>
          </cell>
          <cell r="D24" t="str">
            <v>POS_FIXED</v>
          </cell>
          <cell r="E24">
            <v>81657.954461000001</v>
          </cell>
          <cell r="F24">
            <v>81699.119461740076</v>
          </cell>
        </row>
        <row r="25">
          <cell r="A25" t="str">
            <v>SPQ_FR007_POS_FLOAT</v>
          </cell>
          <cell r="B25" t="str">
            <v>SPQ</v>
          </cell>
          <cell r="C25" t="str">
            <v>FR007</v>
          </cell>
          <cell r="D25" t="str">
            <v>POS_FLOAT</v>
          </cell>
          <cell r="E25">
            <v>-6420.5400289999998</v>
          </cell>
          <cell r="F25">
            <v>-5961.4411895925878</v>
          </cell>
        </row>
        <row r="26">
          <cell r="A26" t="str">
            <v>MMA_SHB3M_POS_FIXED</v>
          </cell>
          <cell r="B26" t="str">
            <v>MMA</v>
          </cell>
          <cell r="C26" t="str">
            <v>SHB3M</v>
          </cell>
          <cell r="D26" t="str">
            <v>POS_FIXED</v>
          </cell>
          <cell r="E26">
            <v>-197896102.30275801</v>
          </cell>
          <cell r="F26">
            <v>-203422440.65224829</v>
          </cell>
        </row>
        <row r="27">
          <cell r="A27" t="str">
            <v>MMA_SHB3M_POS_FLOAT</v>
          </cell>
          <cell r="B27" t="str">
            <v>MMA</v>
          </cell>
          <cell r="C27" t="str">
            <v>SHB3M</v>
          </cell>
          <cell r="D27" t="str">
            <v>POS_FLOAT</v>
          </cell>
          <cell r="E27">
            <v>190657352.65017101</v>
          </cell>
          <cell r="F27">
            <v>197940089.53812665</v>
          </cell>
        </row>
        <row r="28">
          <cell r="A28" t="str">
            <v>STRAT_SHB3M_POS_FIXED</v>
          </cell>
          <cell r="B28" t="str">
            <v>STRAT</v>
          </cell>
          <cell r="C28" t="str">
            <v>SHB3M</v>
          </cell>
          <cell r="D28" t="str">
            <v>POS_FIXED</v>
          </cell>
          <cell r="E28">
            <v>-79946295.446431994</v>
          </cell>
          <cell r="F28">
            <v>-80806446.961709991</v>
          </cell>
        </row>
        <row r="29">
          <cell r="A29" t="str">
            <v>STRAT_SHB3M_POS_FLOAT</v>
          </cell>
          <cell r="B29" t="str">
            <v>STRAT</v>
          </cell>
          <cell r="C29" t="str">
            <v>SHB3M</v>
          </cell>
          <cell r="D29" t="str">
            <v>POS_FLOAT</v>
          </cell>
          <cell r="E29">
            <v>68985245.039887995</v>
          </cell>
          <cell r="F29">
            <v>70034581.223869011</v>
          </cell>
        </row>
        <row r="30">
          <cell r="A30" t="str">
            <v>EMZ_SHB3M_POS_FIXED</v>
          </cell>
          <cell r="B30" t="str">
            <v>EMZ</v>
          </cell>
          <cell r="C30" t="str">
            <v>SHB3M</v>
          </cell>
          <cell r="D30" t="str">
            <v>POS_FIXED</v>
          </cell>
          <cell r="E30">
            <v>0</v>
          </cell>
          <cell r="F30">
            <v>0</v>
          </cell>
        </row>
        <row r="31">
          <cell r="A31" t="str">
            <v>EMZ_SHB3M_POS_FLOAT</v>
          </cell>
          <cell r="B31" t="str">
            <v>EMZ</v>
          </cell>
          <cell r="C31" t="str">
            <v>SHB3M</v>
          </cell>
          <cell r="D31" t="str">
            <v>POS_FLOAT</v>
          </cell>
          <cell r="E31">
            <v>0</v>
          </cell>
          <cell r="F31">
            <v>0</v>
          </cell>
        </row>
        <row r="32">
          <cell r="A32" t="str">
            <v>BMR_SHB3M_POS_FIXED</v>
          </cell>
          <cell r="B32" t="str">
            <v>BMR</v>
          </cell>
          <cell r="C32" t="str">
            <v>SHB3M</v>
          </cell>
          <cell r="D32" t="str">
            <v>POS_FIXED</v>
          </cell>
          <cell r="E32">
            <v>-59927432.843460001</v>
          </cell>
          <cell r="F32">
            <v>-59990912.84485817</v>
          </cell>
        </row>
        <row r="33">
          <cell r="A33" t="str">
            <v>BMR_SHB3M_POS_FLOAT</v>
          </cell>
          <cell r="B33" t="str">
            <v>BMR</v>
          </cell>
          <cell r="C33" t="str">
            <v>SHB3M</v>
          </cell>
          <cell r="D33" t="str">
            <v>POS_FLOAT</v>
          </cell>
          <cell r="E33">
            <v>61312282.710928999</v>
          </cell>
          <cell r="F33">
            <v>61405481.642247893</v>
          </cell>
        </row>
        <row r="34">
          <cell r="A34" t="str">
            <v>SPH_SHB3M_POS_FIXED</v>
          </cell>
          <cell r="B34" t="str">
            <v>SPH</v>
          </cell>
          <cell r="C34" t="str">
            <v>SHB3M</v>
          </cell>
          <cell r="D34" t="str">
            <v>POS_FIXED</v>
          </cell>
          <cell r="E34">
            <v>0</v>
          </cell>
          <cell r="F34">
            <v>0</v>
          </cell>
        </row>
        <row r="35">
          <cell r="A35" t="str">
            <v>SPH_SHB3M_POS_FLOAT</v>
          </cell>
          <cell r="B35" t="str">
            <v>SPH</v>
          </cell>
          <cell r="C35" t="str">
            <v>SHB3M</v>
          </cell>
          <cell r="D35" t="str">
            <v>POS_FLOAT</v>
          </cell>
          <cell r="E35">
            <v>0</v>
          </cell>
          <cell r="F35">
            <v>0</v>
          </cell>
        </row>
        <row r="36">
          <cell r="A36" t="str">
            <v>ASW_SHB3M_POS_FIXED</v>
          </cell>
          <cell r="B36" t="str">
            <v>ASW</v>
          </cell>
          <cell r="C36" t="str">
            <v>SHB3M</v>
          </cell>
          <cell r="D36" t="str">
            <v>POS_FIXED</v>
          </cell>
          <cell r="E36">
            <v>0</v>
          </cell>
          <cell r="F36">
            <v>0</v>
          </cell>
        </row>
        <row r="37">
          <cell r="A37" t="str">
            <v>ASW_SHB3M_POS_FLOAT</v>
          </cell>
          <cell r="B37" t="str">
            <v>ASW</v>
          </cell>
          <cell r="C37" t="str">
            <v>SHB3M</v>
          </cell>
          <cell r="D37" t="str">
            <v>POS_FLOAT</v>
          </cell>
          <cell r="E37">
            <v>0</v>
          </cell>
          <cell r="F37">
            <v>0</v>
          </cell>
        </row>
        <row r="38">
          <cell r="A38" t="str">
            <v>SPR_SHB3M_POS_FIXED</v>
          </cell>
          <cell r="B38" t="str">
            <v>SPR</v>
          </cell>
          <cell r="C38" t="str">
            <v>SHB3M</v>
          </cell>
          <cell r="D38" t="str">
            <v>POS_FIXED</v>
          </cell>
          <cell r="E38">
            <v>-7116940.3655679999</v>
          </cell>
          <cell r="F38">
            <v>-7124412.4701540526</v>
          </cell>
        </row>
        <row r="39">
          <cell r="A39" t="str">
            <v>SPR_SHB3M_POS_FLOAT</v>
          </cell>
          <cell r="B39" t="str">
            <v>SPR</v>
          </cell>
          <cell r="C39" t="str">
            <v>SHB3M</v>
          </cell>
          <cell r="D39" t="str">
            <v>POS_FLOAT</v>
          </cell>
          <cell r="E39">
            <v>8781956.2269930001</v>
          </cell>
          <cell r="F39">
            <v>8795777.6713953651</v>
          </cell>
        </row>
        <row r="40">
          <cell r="A40" t="str">
            <v>BMH_SHB3M_POS_FIXED</v>
          </cell>
          <cell r="B40" t="str">
            <v>BMH</v>
          </cell>
          <cell r="C40" t="str">
            <v>SHB3M</v>
          </cell>
          <cell r="D40" t="str">
            <v>POS_FIXED</v>
          </cell>
          <cell r="E40">
            <v>0</v>
          </cell>
          <cell r="F40">
            <v>0</v>
          </cell>
        </row>
        <row r="41">
          <cell r="A41" t="str">
            <v>BMH_SHB3M_POS_FLOAT</v>
          </cell>
          <cell r="B41" t="str">
            <v>BMH</v>
          </cell>
          <cell r="C41" t="str">
            <v>SHB3M</v>
          </cell>
          <cell r="D41" t="str">
            <v>POS_FLOAT</v>
          </cell>
          <cell r="E41">
            <v>0</v>
          </cell>
          <cell r="F41">
            <v>0</v>
          </cell>
        </row>
        <row r="42">
          <cell r="A42" t="str">
            <v>LM_SHB3M_POS_FIXED</v>
          </cell>
          <cell r="B42" t="str">
            <v>LM</v>
          </cell>
          <cell r="C42" t="str">
            <v>SHB3M</v>
          </cell>
          <cell r="D42" t="str">
            <v>POS_FIXED</v>
          </cell>
          <cell r="E42">
            <v>-10977259.45184</v>
          </cell>
          <cell r="F42">
            <v>-10989203.073409665</v>
          </cell>
        </row>
        <row r="43">
          <cell r="A43" t="str">
            <v>LM_SHB3M_POS_FLOAT</v>
          </cell>
          <cell r="B43" t="str">
            <v>LM</v>
          </cell>
          <cell r="C43" t="str">
            <v>SHB3M</v>
          </cell>
          <cell r="D43" t="str">
            <v>POS_FLOAT</v>
          </cell>
          <cell r="E43">
            <v>11035337.625670001</v>
          </cell>
          <cell r="F43">
            <v>11042914.375573261</v>
          </cell>
        </row>
        <row r="44">
          <cell r="A44" t="str">
            <v>BMZ_SHB3M_POS_FIXED</v>
          </cell>
          <cell r="B44" t="str">
            <v>BMZ</v>
          </cell>
          <cell r="C44" t="str">
            <v>SHB3M</v>
          </cell>
          <cell r="D44" t="str">
            <v>POS_FIXED</v>
          </cell>
          <cell r="E44">
            <v>0</v>
          </cell>
          <cell r="F44">
            <v>0</v>
          </cell>
        </row>
        <row r="45">
          <cell r="A45" t="str">
            <v>BMZ_SHB3M_POS_FLOAT</v>
          </cell>
          <cell r="B45" t="str">
            <v>BMZ</v>
          </cell>
          <cell r="C45" t="str">
            <v>SHB3M</v>
          </cell>
          <cell r="D45" t="str">
            <v>POS_FLOAT</v>
          </cell>
          <cell r="E45">
            <v>0</v>
          </cell>
          <cell r="F45">
            <v>0</v>
          </cell>
        </row>
        <row r="46">
          <cell r="A46" t="str">
            <v>SPL_SHB3M_POS_FIXED</v>
          </cell>
          <cell r="B46" t="str">
            <v>SPL</v>
          </cell>
          <cell r="C46" t="str">
            <v>SHB3M</v>
          </cell>
          <cell r="D46" t="str">
            <v>POS_FIXED</v>
          </cell>
          <cell r="E46">
            <v>0</v>
          </cell>
          <cell r="F46">
            <v>0</v>
          </cell>
        </row>
        <row r="47">
          <cell r="A47" t="str">
            <v>SPL_SHB3M_POS_FLOAT</v>
          </cell>
          <cell r="B47" t="str">
            <v>SPL</v>
          </cell>
          <cell r="C47" t="str">
            <v>SHB3M</v>
          </cell>
          <cell r="D47" t="str">
            <v>POS_FLOAT</v>
          </cell>
          <cell r="E47">
            <v>0</v>
          </cell>
          <cell r="F47">
            <v>0</v>
          </cell>
        </row>
        <row r="48">
          <cell r="A48" t="str">
            <v>SPQ_SHB3M_POS_FIXED</v>
          </cell>
          <cell r="B48" t="str">
            <v>SPQ</v>
          </cell>
          <cell r="C48" t="str">
            <v>SHB3M</v>
          </cell>
          <cell r="D48" t="str">
            <v>POS_FIXED</v>
          </cell>
          <cell r="E48">
            <v>0</v>
          </cell>
          <cell r="F48">
            <v>0</v>
          </cell>
        </row>
        <row r="49">
          <cell r="A49" t="str">
            <v>SPQ_SHB3M_POS_FLOAT</v>
          </cell>
          <cell r="B49" t="str">
            <v>SPQ</v>
          </cell>
          <cell r="C49" t="str">
            <v>SHB3M</v>
          </cell>
          <cell r="D49" t="str">
            <v>POS_FLOAT</v>
          </cell>
          <cell r="E49">
            <v>0</v>
          </cell>
          <cell r="F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Index</v>
          </cell>
          <cell r="D1" t="str">
            <v>Leg</v>
          </cell>
          <cell r="E1" t="str">
            <v>YDayPV</v>
          </cell>
          <cell r="F1" t="str">
            <v>EodPV</v>
          </cell>
        </row>
        <row r="2">
          <cell r="A2" t="str">
            <v>MMA_FR007_POS_FIXED</v>
          </cell>
          <cell r="B2" t="str">
            <v>MMA</v>
          </cell>
          <cell r="C2" t="str">
            <v>FR007</v>
          </cell>
          <cell r="D2" t="str">
            <v>POS_FIXED</v>
          </cell>
          <cell r="E2">
            <v>-26097119.023686904</v>
          </cell>
          <cell r="F2">
            <v>-26137357.665127438</v>
          </cell>
        </row>
        <row r="3">
          <cell r="A3" t="str">
            <v>MMA_FR007_POS_FLOAT</v>
          </cell>
          <cell r="B3" t="str">
            <v>MMA</v>
          </cell>
          <cell r="C3" t="str">
            <v>FR007</v>
          </cell>
          <cell r="D3" t="str">
            <v>POS_FLOAT</v>
          </cell>
          <cell r="E3">
            <v>110235551.51664813</v>
          </cell>
          <cell r="F3">
            <v>110543601.17853153</v>
          </cell>
        </row>
        <row r="4">
          <cell r="A4" t="str">
            <v>MMA_SHB3M_POS_FIXED</v>
          </cell>
          <cell r="B4" t="str">
            <v>MMA</v>
          </cell>
          <cell r="C4" t="str">
            <v>SHB3M</v>
          </cell>
          <cell r="D4" t="str">
            <v>POS_FIXED</v>
          </cell>
          <cell r="E4">
            <v>-198564077.04863736</v>
          </cell>
          <cell r="F4">
            <v>-198803174.03592059</v>
          </cell>
        </row>
        <row r="5">
          <cell r="A5" t="str">
            <v>MMA_SHB3M_POS_FLOAT</v>
          </cell>
          <cell r="B5" t="str">
            <v>MMA</v>
          </cell>
          <cell r="C5" t="str">
            <v>SHB3M</v>
          </cell>
          <cell r="D5" t="str">
            <v>POS_FLOAT</v>
          </cell>
          <cell r="E5">
            <v>192459591.57098493</v>
          </cell>
          <cell r="F5">
            <v>193075455.25718182</v>
          </cell>
        </row>
        <row r="6">
          <cell r="A6" t="str">
            <v>MMB_FR007_POS_FIXED</v>
          </cell>
          <cell r="B6" t="str">
            <v>MMB</v>
          </cell>
          <cell r="C6" t="str">
            <v>FR007</v>
          </cell>
          <cell r="D6" t="str">
            <v>POS_FIXED</v>
          </cell>
          <cell r="E6">
            <v>0</v>
          </cell>
          <cell r="F6">
            <v>0</v>
          </cell>
        </row>
        <row r="7">
          <cell r="A7" t="str">
            <v>MMB_FR007_POS_FLOAT</v>
          </cell>
          <cell r="B7" t="str">
            <v>MMB</v>
          </cell>
          <cell r="C7" t="str">
            <v>FR007</v>
          </cell>
          <cell r="D7" t="str">
            <v>POS_FLOAT</v>
          </cell>
          <cell r="E7">
            <v>0</v>
          </cell>
          <cell r="F7">
            <v>0</v>
          </cell>
        </row>
        <row r="8">
          <cell r="A8" t="str">
            <v>MMB_SHB3M_POS_FIXED</v>
          </cell>
          <cell r="B8" t="str">
            <v>MMB</v>
          </cell>
          <cell r="C8" t="str">
            <v>SHB3M</v>
          </cell>
          <cell r="D8" t="str">
            <v>POS_FIXED</v>
          </cell>
          <cell r="E8">
            <v>0</v>
          </cell>
          <cell r="F8">
            <v>0</v>
          </cell>
        </row>
        <row r="9">
          <cell r="A9" t="str">
            <v>MMB_SHB3M_POS_FLOAT</v>
          </cell>
          <cell r="B9" t="str">
            <v>MMB</v>
          </cell>
          <cell r="C9" t="str">
            <v>SHB3M</v>
          </cell>
          <cell r="D9" t="str">
            <v>POS_FLOAT</v>
          </cell>
          <cell r="E9">
            <v>0</v>
          </cell>
          <cell r="F9">
            <v>0</v>
          </cell>
        </row>
        <row r="10">
          <cell r="A10" t="str">
            <v>MMC_FR007_POS_FIXED</v>
          </cell>
          <cell r="B10" t="str">
            <v>MMC</v>
          </cell>
          <cell r="C10" t="str">
            <v>FR007</v>
          </cell>
          <cell r="D10" t="str">
            <v>POS_FIXED</v>
          </cell>
          <cell r="E10">
            <v>0</v>
          </cell>
          <cell r="F10">
            <v>0</v>
          </cell>
        </row>
        <row r="11">
          <cell r="A11" t="str">
            <v>MMC_FR007_POS_FLOAT</v>
          </cell>
          <cell r="B11" t="str">
            <v>MMC</v>
          </cell>
          <cell r="C11" t="str">
            <v>FR007</v>
          </cell>
          <cell r="D11" t="str">
            <v>POS_FLOAT</v>
          </cell>
          <cell r="E11">
            <v>0</v>
          </cell>
          <cell r="F11">
            <v>0</v>
          </cell>
        </row>
        <row r="12">
          <cell r="A12" t="str">
            <v>MMC_SHB3M_POS_FIXED</v>
          </cell>
          <cell r="B12" t="str">
            <v>MMC</v>
          </cell>
          <cell r="C12" t="str">
            <v>SHB3M</v>
          </cell>
          <cell r="D12" t="str">
            <v>POS_FIXED</v>
          </cell>
          <cell r="E12">
            <v>0</v>
          </cell>
          <cell r="F12">
            <v>0</v>
          </cell>
        </row>
        <row r="13">
          <cell r="A13" t="str">
            <v>MMC_SHB3M_POS_FLOAT</v>
          </cell>
          <cell r="B13" t="str">
            <v>MMC</v>
          </cell>
          <cell r="C13" t="str">
            <v>SHB3M</v>
          </cell>
          <cell r="D13" t="str">
            <v>POS_FLOAT</v>
          </cell>
          <cell r="E13">
            <v>0</v>
          </cell>
          <cell r="F13">
            <v>0</v>
          </cell>
        </row>
        <row r="14">
          <cell r="A14" t="str">
            <v>SPG_FR007_POS_FIXED</v>
          </cell>
          <cell r="B14" t="str">
            <v>SPG</v>
          </cell>
          <cell r="C14" t="str">
            <v>FR007</v>
          </cell>
          <cell r="D14" t="str">
            <v>POS_FIXED</v>
          </cell>
          <cell r="E14">
            <v>0</v>
          </cell>
          <cell r="F14">
            <v>0</v>
          </cell>
        </row>
        <row r="15">
          <cell r="A15" t="str">
            <v>SPG_FR007_POS_FLOAT</v>
          </cell>
          <cell r="B15" t="str">
            <v>SPG</v>
          </cell>
          <cell r="C15" t="str">
            <v>FR007</v>
          </cell>
          <cell r="D15" t="str">
            <v>POS_FLOAT</v>
          </cell>
          <cell r="E15">
            <v>0</v>
          </cell>
          <cell r="F15">
            <v>0</v>
          </cell>
        </row>
        <row r="16">
          <cell r="A16" t="str">
            <v>SPG_SHB3M_POS_FIXED</v>
          </cell>
          <cell r="B16" t="str">
            <v>SPG</v>
          </cell>
          <cell r="C16" t="str">
            <v>SHB3M</v>
          </cell>
          <cell r="D16" t="str">
            <v>POS_FIXED</v>
          </cell>
          <cell r="E16">
            <v>0</v>
          </cell>
          <cell r="F16">
            <v>0</v>
          </cell>
        </row>
        <row r="17">
          <cell r="A17" t="str">
            <v>SPG_SHB3M_POS_FLOAT</v>
          </cell>
          <cell r="B17" t="str">
            <v>SPG</v>
          </cell>
          <cell r="C17" t="str">
            <v>SHB3M</v>
          </cell>
          <cell r="D17" t="str">
            <v>POS_FLOAT</v>
          </cell>
          <cell r="E17">
            <v>0</v>
          </cell>
          <cell r="F17">
            <v>0</v>
          </cell>
        </row>
        <row r="18">
          <cell r="A18" t="str">
            <v>MME_FR007_POS_FIXED</v>
          </cell>
          <cell r="B18" t="str">
            <v>MME</v>
          </cell>
          <cell r="C18" t="str">
            <v>FR007</v>
          </cell>
          <cell r="D18" t="str">
            <v>POS_FIXED</v>
          </cell>
          <cell r="E18">
            <v>0</v>
          </cell>
          <cell r="F18">
            <v>0</v>
          </cell>
        </row>
        <row r="19">
          <cell r="A19" t="str">
            <v>MME_FR007_POS_FLOAT</v>
          </cell>
          <cell r="B19" t="str">
            <v>MME</v>
          </cell>
          <cell r="C19" t="str">
            <v>FR007</v>
          </cell>
          <cell r="D19" t="str">
            <v>POS_FLOAT</v>
          </cell>
          <cell r="E19">
            <v>0</v>
          </cell>
          <cell r="F19">
            <v>0</v>
          </cell>
        </row>
        <row r="20">
          <cell r="A20" t="str">
            <v>MME_SHB3M_POS_FIXED</v>
          </cell>
          <cell r="B20" t="str">
            <v>MME</v>
          </cell>
          <cell r="C20" t="str">
            <v>SHB3M</v>
          </cell>
          <cell r="D20" t="str">
            <v>POS_FIXED</v>
          </cell>
          <cell r="E20">
            <v>0</v>
          </cell>
          <cell r="F20">
            <v>0</v>
          </cell>
        </row>
        <row r="21">
          <cell r="A21" t="str">
            <v>MME_SHB3M_POS_FLOAT</v>
          </cell>
          <cell r="B21" t="str">
            <v>MME</v>
          </cell>
          <cell r="C21" t="str">
            <v>SHB3M</v>
          </cell>
          <cell r="D21" t="str">
            <v>POS_FLOAT</v>
          </cell>
          <cell r="E21">
            <v>0</v>
          </cell>
          <cell r="F21">
            <v>0</v>
          </cell>
        </row>
        <row r="22">
          <cell r="A22" t="str">
            <v>Strat_FR007_POS_FIXED</v>
          </cell>
          <cell r="B22" t="str">
            <v>Strat</v>
          </cell>
          <cell r="C22" t="str">
            <v>FR007</v>
          </cell>
          <cell r="D22" t="str">
            <v>POS_FIXED</v>
          </cell>
          <cell r="E22">
            <v>-156048043.86294734</v>
          </cell>
          <cell r="F22">
            <v>-156202437.32475099</v>
          </cell>
        </row>
        <row r="23">
          <cell r="A23" t="str">
            <v>Strat_FR007_POS_FLOAT</v>
          </cell>
          <cell r="B23" t="str">
            <v>Strat</v>
          </cell>
          <cell r="C23" t="str">
            <v>FR007</v>
          </cell>
          <cell r="D23" t="str">
            <v>POS_FLOAT</v>
          </cell>
          <cell r="E23">
            <v>101975736.03958341</v>
          </cell>
          <cell r="F23">
            <v>102674384.63880551</v>
          </cell>
        </row>
        <row r="24">
          <cell r="A24" t="str">
            <v>Strat_SHB3M_POS_FIXED</v>
          </cell>
          <cell r="B24" t="str">
            <v>Strat</v>
          </cell>
          <cell r="C24" t="str">
            <v>SHB3M</v>
          </cell>
          <cell r="D24" t="str">
            <v>POS_FIXED</v>
          </cell>
          <cell r="E24">
            <v>-80946999.969416767</v>
          </cell>
          <cell r="F24">
            <v>-81057557.631220952</v>
          </cell>
        </row>
        <row r="25">
          <cell r="A25" t="str">
            <v>Strat_SHB3M_POS_FLOAT</v>
          </cell>
          <cell r="B25" t="str">
            <v>Strat</v>
          </cell>
          <cell r="C25" t="str">
            <v>SHB3M</v>
          </cell>
          <cell r="D25" t="str">
            <v>POS_FLOAT</v>
          </cell>
          <cell r="E25">
            <v>70347422.878510088</v>
          </cell>
          <cell r="F25">
            <v>70377147.232039094</v>
          </cell>
        </row>
        <row r="26">
          <cell r="A26" t="str">
            <v>ASW_FR007_POS_FIXED</v>
          </cell>
          <cell r="B26" t="str">
            <v>ASW</v>
          </cell>
          <cell r="C26" t="str">
            <v>FR007</v>
          </cell>
          <cell r="D26" t="str">
            <v>POS_FIXED</v>
          </cell>
          <cell r="E26">
            <v>0</v>
          </cell>
          <cell r="F26">
            <v>0</v>
          </cell>
        </row>
        <row r="27">
          <cell r="A27" t="str">
            <v>ASW_FR007_POS_FLOAT</v>
          </cell>
          <cell r="B27" t="str">
            <v>ASW</v>
          </cell>
          <cell r="C27" t="str">
            <v>FR007</v>
          </cell>
          <cell r="D27" t="str">
            <v>POS_FLOAT</v>
          </cell>
          <cell r="E27">
            <v>0</v>
          </cell>
          <cell r="F27">
            <v>0</v>
          </cell>
        </row>
        <row r="28">
          <cell r="A28" t="str">
            <v>ASW_SHB3M_POS_FIXED</v>
          </cell>
          <cell r="B28" t="str">
            <v>ASW</v>
          </cell>
          <cell r="C28" t="str">
            <v>SHB3M</v>
          </cell>
          <cell r="D28" t="str">
            <v>POS_FIXED</v>
          </cell>
          <cell r="E28">
            <v>0</v>
          </cell>
          <cell r="F28">
            <v>0</v>
          </cell>
        </row>
        <row r="29">
          <cell r="A29" t="str">
            <v>ASW_SHB3M_POS_FLOAT</v>
          </cell>
          <cell r="B29" t="str">
            <v>ASW</v>
          </cell>
          <cell r="C29" t="str">
            <v>SHB3M</v>
          </cell>
          <cell r="D29" t="str">
            <v>POS_FLOAT</v>
          </cell>
          <cell r="E29">
            <v>0</v>
          </cell>
          <cell r="F29">
            <v>0</v>
          </cell>
        </row>
        <row r="30">
          <cell r="A30" t="str">
            <v>SPH_FR007_POS_FIXED</v>
          </cell>
          <cell r="B30" t="str">
            <v>SPH</v>
          </cell>
          <cell r="C30" t="str">
            <v>FR007</v>
          </cell>
          <cell r="D30" t="str">
            <v>POS_FIXED</v>
          </cell>
          <cell r="E30">
            <v>-11485555.681065409</v>
          </cell>
          <cell r="F30">
            <v>-11488198.275065761</v>
          </cell>
        </row>
        <row r="31">
          <cell r="A31" t="str">
            <v>SPH_FR007_POS_FLOAT</v>
          </cell>
          <cell r="B31" t="str">
            <v>SPH</v>
          </cell>
          <cell r="C31" t="str">
            <v>FR007</v>
          </cell>
          <cell r="D31" t="str">
            <v>POS_FLOAT</v>
          </cell>
          <cell r="E31">
            <v>11050355.319115611</v>
          </cell>
          <cell r="F31">
            <v>11142975.000711247</v>
          </cell>
        </row>
        <row r="32">
          <cell r="A32" t="str">
            <v>SPH_SHB3M_POS_FIXED</v>
          </cell>
          <cell r="B32" t="str">
            <v>SPH</v>
          </cell>
          <cell r="C32" t="str">
            <v>SHB3M</v>
          </cell>
          <cell r="D32" t="str">
            <v>POS_FIXED</v>
          </cell>
          <cell r="E32">
            <v>0</v>
          </cell>
          <cell r="F32">
            <v>0</v>
          </cell>
        </row>
        <row r="33">
          <cell r="A33" t="str">
            <v>SPH_SHB3M_POS_FLOAT</v>
          </cell>
          <cell r="B33" t="str">
            <v>SPH</v>
          </cell>
          <cell r="C33" t="str">
            <v>SHB3M</v>
          </cell>
          <cell r="D33" t="str">
            <v>POS_FLOAT</v>
          </cell>
          <cell r="E33">
            <v>0</v>
          </cell>
          <cell r="F33">
            <v>0</v>
          </cell>
        </row>
        <row r="34">
          <cell r="A34" t="str">
            <v>SPL_FR007_POS_FIXED</v>
          </cell>
          <cell r="B34" t="str">
            <v>SPL</v>
          </cell>
          <cell r="C34" t="str">
            <v>FR007</v>
          </cell>
          <cell r="D34" t="str">
            <v>POS_FIXED</v>
          </cell>
          <cell r="E34">
            <v>-14304207.184594335</v>
          </cell>
          <cell r="F34">
            <v>-14308596.540376702</v>
          </cell>
        </row>
        <row r="35">
          <cell r="A35" t="str">
            <v>SPL_FR007_POS_FLOAT</v>
          </cell>
          <cell r="B35" t="str">
            <v>SPL</v>
          </cell>
          <cell r="C35" t="str">
            <v>FR007</v>
          </cell>
          <cell r="D35" t="str">
            <v>POS_FLOAT</v>
          </cell>
          <cell r="E35">
            <v>14326022.394653598</v>
          </cell>
          <cell r="F35">
            <v>14433378.597993096</v>
          </cell>
        </row>
        <row r="36">
          <cell r="A36" t="str">
            <v>SPL_SHB3M_POS_FIXED</v>
          </cell>
          <cell r="B36" t="str">
            <v>SPL</v>
          </cell>
          <cell r="C36" t="str">
            <v>SHB3M</v>
          </cell>
          <cell r="D36" t="str">
            <v>POS_FIXED</v>
          </cell>
          <cell r="E36">
            <v>0</v>
          </cell>
          <cell r="F36">
            <v>0</v>
          </cell>
        </row>
        <row r="37">
          <cell r="A37" t="str">
            <v>SPL_SHB3M_POS_FLOAT</v>
          </cell>
          <cell r="B37" t="str">
            <v>SPL</v>
          </cell>
          <cell r="C37" t="str">
            <v>SHB3M</v>
          </cell>
          <cell r="D37" t="str">
            <v>POS_FLOAT</v>
          </cell>
          <cell r="E37">
            <v>0</v>
          </cell>
          <cell r="F37">
            <v>0</v>
          </cell>
        </row>
        <row r="38">
          <cell r="A38" t="str">
            <v>SPQ_FR007_POS_FIXED</v>
          </cell>
          <cell r="B38" t="str">
            <v>SPQ</v>
          </cell>
          <cell r="C38" t="str">
            <v>FR007</v>
          </cell>
          <cell r="D38" t="str">
            <v>POS_FIXED</v>
          </cell>
          <cell r="E38">
            <v>81655.963707314251</v>
          </cell>
          <cell r="F38">
            <v>81699.119461740076</v>
          </cell>
        </row>
        <row r="39">
          <cell r="A39" t="str">
            <v>SPQ_FR007_POS_FLOAT</v>
          </cell>
          <cell r="B39" t="str">
            <v>SPQ</v>
          </cell>
          <cell r="C39" t="str">
            <v>FR007</v>
          </cell>
          <cell r="D39" t="str">
            <v>POS_FLOAT</v>
          </cell>
          <cell r="E39">
            <v>-6254.4320637382916</v>
          </cell>
          <cell r="F39">
            <v>-7075.0758203969744</v>
          </cell>
        </row>
        <row r="40">
          <cell r="A40" t="str">
            <v>SPQ_SHB3M_POS_FIXED</v>
          </cell>
          <cell r="B40" t="str">
            <v>SPQ</v>
          </cell>
          <cell r="C40" t="str">
            <v>SHB3M</v>
          </cell>
          <cell r="D40" t="str">
            <v>POS_FIXED</v>
          </cell>
          <cell r="E40">
            <v>0</v>
          </cell>
          <cell r="F40">
            <v>0</v>
          </cell>
        </row>
        <row r="41">
          <cell r="A41" t="str">
            <v>SPQ_SHB3M_POS_FLOAT</v>
          </cell>
          <cell r="B41" t="str">
            <v>SPQ</v>
          </cell>
          <cell r="C41" t="str">
            <v>SHB3M</v>
          </cell>
          <cell r="D41" t="str">
            <v>POS_FLOAT</v>
          </cell>
          <cell r="E41">
            <v>0</v>
          </cell>
          <cell r="F41">
            <v>0</v>
          </cell>
        </row>
        <row r="42">
          <cell r="A42" t="str">
            <v>SPC_FR007_POS_FIXED</v>
          </cell>
          <cell r="B42" t="str">
            <v>SPC</v>
          </cell>
          <cell r="C42" t="str">
            <v>FR007</v>
          </cell>
          <cell r="D42" t="str">
            <v>POS_FIXED</v>
          </cell>
          <cell r="E42">
            <v>0</v>
          </cell>
          <cell r="F42">
            <v>0</v>
          </cell>
        </row>
        <row r="43">
          <cell r="A43" t="str">
            <v>SPC_FR007_POS_FLOAT</v>
          </cell>
          <cell r="B43" t="str">
            <v>SPC</v>
          </cell>
          <cell r="C43" t="str">
            <v>FR007</v>
          </cell>
          <cell r="D43" t="str">
            <v>POS_FLOAT</v>
          </cell>
          <cell r="E43">
            <v>0</v>
          </cell>
          <cell r="F43">
            <v>0</v>
          </cell>
        </row>
        <row r="44">
          <cell r="A44" t="str">
            <v>SPC_SHB3M_POS_FIXED</v>
          </cell>
          <cell r="B44" t="str">
            <v>SPC</v>
          </cell>
          <cell r="C44" t="str">
            <v>SHB3M</v>
          </cell>
          <cell r="D44" t="str">
            <v>POS_FIXED</v>
          </cell>
          <cell r="E44">
            <v>0</v>
          </cell>
          <cell r="F44">
            <v>0</v>
          </cell>
        </row>
        <row r="45">
          <cell r="A45" t="str">
            <v>SPC_SHB3M_POS_FLOAT</v>
          </cell>
          <cell r="B45" t="str">
            <v>SPC</v>
          </cell>
          <cell r="C45" t="str">
            <v>SHB3M</v>
          </cell>
          <cell r="D45" t="str">
            <v>POS_FLOAT</v>
          </cell>
          <cell r="E45">
            <v>0</v>
          </cell>
          <cell r="F45">
            <v>0</v>
          </cell>
        </row>
        <row r="46">
          <cell r="A46" t="str">
            <v>SPR_FR007_POS_FIXED</v>
          </cell>
          <cell r="B46" t="str">
            <v>SPR</v>
          </cell>
          <cell r="C46" t="str">
            <v>FR007</v>
          </cell>
          <cell r="D46" t="str">
            <v>POS_FIXED</v>
          </cell>
          <cell r="E46">
            <v>-17557811.954066657</v>
          </cell>
          <cell r="F46">
            <v>-17557519.569003928</v>
          </cell>
        </row>
        <row r="47">
          <cell r="A47" t="str">
            <v>SPR_FR007_POS_FLOAT</v>
          </cell>
          <cell r="B47" t="str">
            <v>SPR</v>
          </cell>
          <cell r="C47" t="str">
            <v>FR007</v>
          </cell>
          <cell r="D47" t="str">
            <v>POS_FLOAT</v>
          </cell>
          <cell r="E47">
            <v>7170343.5541000962</v>
          </cell>
          <cell r="F47">
            <v>7197015.9612166425</v>
          </cell>
        </row>
        <row r="48">
          <cell r="A48" t="str">
            <v>SPR_SHB3M_POS_FIXED</v>
          </cell>
          <cell r="B48" t="str">
            <v>SPR</v>
          </cell>
          <cell r="C48" t="str">
            <v>SHB3M</v>
          </cell>
          <cell r="D48" t="str">
            <v>POS_FIXED</v>
          </cell>
          <cell r="E48">
            <v>-7115816.9392428808</v>
          </cell>
          <cell r="F48">
            <v>-7124412.4701540526</v>
          </cell>
        </row>
        <row r="49">
          <cell r="A49" t="str">
            <v>SPR_SHB3M_POS_FLOAT</v>
          </cell>
          <cell r="B49" t="str">
            <v>SPR</v>
          </cell>
          <cell r="C49" t="str">
            <v>SHB3M</v>
          </cell>
          <cell r="D49" t="str">
            <v>POS_FLOAT</v>
          </cell>
          <cell r="E49">
            <v>8791913.0609933864</v>
          </cell>
          <cell r="F49">
            <v>8795777.6713953726</v>
          </cell>
        </row>
        <row r="50">
          <cell r="A50" t="str">
            <v>LM_FR007_POS_FIXED</v>
          </cell>
          <cell r="B50" t="str">
            <v>LM</v>
          </cell>
          <cell r="C50" t="str">
            <v>FR007</v>
          </cell>
          <cell r="D50" t="str">
            <v>POS_FIXED</v>
          </cell>
          <cell r="E50">
            <v>-38589057.041098297</v>
          </cell>
          <cell r="F50">
            <v>-38621469.526231185</v>
          </cell>
        </row>
        <row r="51">
          <cell r="A51" t="str">
            <v>LM_FR007_POS_FLOAT</v>
          </cell>
          <cell r="B51" t="str">
            <v>LM</v>
          </cell>
          <cell r="C51" t="str">
            <v>FR007</v>
          </cell>
          <cell r="D51" t="str">
            <v>POS_FLOAT</v>
          </cell>
          <cell r="E51">
            <v>38722872.362369001</v>
          </cell>
          <cell r="F51">
            <v>38821442.536092177</v>
          </cell>
        </row>
        <row r="52">
          <cell r="A52" t="str">
            <v>LM_SHB3M_POS_FIXED</v>
          </cell>
          <cell r="B52" t="str">
            <v>LM</v>
          </cell>
          <cell r="C52" t="str">
            <v>SHB3M</v>
          </cell>
          <cell r="D52" t="str">
            <v>POS_FIXED</v>
          </cell>
          <cell r="E52">
            <v>-10975953.660156101</v>
          </cell>
          <cell r="F52">
            <v>-10989203.073409665</v>
          </cell>
        </row>
        <row r="53">
          <cell r="A53" t="str">
            <v>LM_SHB3M_POS_FLOAT</v>
          </cell>
          <cell r="B53" t="str">
            <v>LM</v>
          </cell>
          <cell r="C53" t="str">
            <v>SHB3M</v>
          </cell>
          <cell r="D53" t="str">
            <v>POS_FLOAT</v>
          </cell>
          <cell r="E53">
            <v>11032576.490238942</v>
          </cell>
          <cell r="F53">
            <v>11042914.375573261</v>
          </cell>
        </row>
        <row r="54">
          <cell r="A54" t="str">
            <v>Curve_FR007_POS_FIXED</v>
          </cell>
          <cell r="B54" t="str">
            <v>Curve</v>
          </cell>
          <cell r="C54" t="str">
            <v>FR007</v>
          </cell>
          <cell r="D54" t="str">
            <v>POS_FIXED</v>
          </cell>
          <cell r="E54">
            <v>0</v>
          </cell>
          <cell r="F54">
            <v>0</v>
          </cell>
        </row>
        <row r="55">
          <cell r="A55" t="str">
            <v>Curve_FR007_POS_FLOAT</v>
          </cell>
          <cell r="B55" t="str">
            <v>Curve</v>
          </cell>
          <cell r="C55" t="str">
            <v>FR007</v>
          </cell>
          <cell r="D55" t="str">
            <v>POS_FLOAT</v>
          </cell>
          <cell r="E55">
            <v>0</v>
          </cell>
          <cell r="F55">
            <v>0</v>
          </cell>
        </row>
        <row r="56">
          <cell r="A56" t="str">
            <v>Curve_SHB3M_POS_FIXED</v>
          </cell>
          <cell r="B56" t="str">
            <v>Curve</v>
          </cell>
          <cell r="C56" t="str">
            <v>SHB3M</v>
          </cell>
          <cell r="D56" t="str">
            <v>POS_FIXED</v>
          </cell>
          <cell r="E56">
            <v>0</v>
          </cell>
          <cell r="F56">
            <v>0</v>
          </cell>
        </row>
        <row r="57">
          <cell r="A57" t="str">
            <v>Curve_SHB3M_POS_FLOAT</v>
          </cell>
          <cell r="B57" t="str">
            <v>Curve</v>
          </cell>
          <cell r="C57" t="str">
            <v>SHB3M</v>
          </cell>
          <cell r="D57" t="str">
            <v>POS_FLOAT</v>
          </cell>
          <cell r="E57">
            <v>0</v>
          </cell>
          <cell r="F57">
            <v>0</v>
          </cell>
        </row>
        <row r="58">
          <cell r="A58" t="str">
            <v>BMR_FR007_POS_FIXED</v>
          </cell>
          <cell r="B58" t="str">
            <v>BMR</v>
          </cell>
          <cell r="C58" t="str">
            <v>FR007</v>
          </cell>
          <cell r="D58" t="str">
            <v>POS_FIXED</v>
          </cell>
          <cell r="E58">
            <v>-140272994.41250178</v>
          </cell>
          <cell r="F58">
            <v>-140355921.72108555</v>
          </cell>
        </row>
        <row r="59">
          <cell r="A59" t="str">
            <v>BMR_FR007_POS_FLOAT</v>
          </cell>
          <cell r="B59" t="str">
            <v>BMR</v>
          </cell>
          <cell r="C59" t="str">
            <v>FR007</v>
          </cell>
          <cell r="D59" t="str">
            <v>POS_FLOAT</v>
          </cell>
          <cell r="E59">
            <v>141660042.29662582</v>
          </cell>
          <cell r="F59">
            <v>142418483.73498532</v>
          </cell>
        </row>
        <row r="60">
          <cell r="A60" t="str">
            <v>BMR_SHB3M_POS_FIXED</v>
          </cell>
          <cell r="B60" t="str">
            <v>BMR</v>
          </cell>
          <cell r="C60" t="str">
            <v>SHB3M</v>
          </cell>
          <cell r="D60" t="str">
            <v>POS_FIXED</v>
          </cell>
          <cell r="E60">
            <v>-59922136.780221857</v>
          </cell>
          <cell r="F60">
            <v>-59990912.84485817</v>
          </cell>
        </row>
        <row r="61">
          <cell r="A61" t="str">
            <v>BMR_SHB3M_POS_FLOAT</v>
          </cell>
          <cell r="B61" t="str">
            <v>BMR</v>
          </cell>
          <cell r="C61" t="str">
            <v>SHB3M</v>
          </cell>
          <cell r="D61" t="str">
            <v>POS_FLOAT</v>
          </cell>
          <cell r="E61">
            <v>61221775.970716104</v>
          </cell>
          <cell r="F61">
            <v>61405481.642247893</v>
          </cell>
        </row>
        <row r="62">
          <cell r="A62" t="str">
            <v>BMY_FR007_POS_FIXED</v>
          </cell>
          <cell r="B62" t="str">
            <v>BMY</v>
          </cell>
          <cell r="C62" t="str">
            <v>FR007</v>
          </cell>
          <cell r="D62" t="str">
            <v>POS_FIXED</v>
          </cell>
          <cell r="E62">
            <v>0</v>
          </cell>
          <cell r="F62">
            <v>0</v>
          </cell>
        </row>
        <row r="63">
          <cell r="A63" t="str">
            <v>BMY_FR007_POS_FLOAT</v>
          </cell>
          <cell r="B63" t="str">
            <v>BMY</v>
          </cell>
          <cell r="C63" t="str">
            <v>FR007</v>
          </cell>
          <cell r="D63" t="str">
            <v>POS_FLOAT</v>
          </cell>
          <cell r="E63">
            <v>0</v>
          </cell>
          <cell r="F63">
            <v>0</v>
          </cell>
        </row>
        <row r="64">
          <cell r="A64" t="str">
            <v>BMY_SHB3M_POS_FIXED</v>
          </cell>
          <cell r="B64" t="str">
            <v>BMY</v>
          </cell>
          <cell r="C64" t="str">
            <v>SHB3M</v>
          </cell>
          <cell r="D64" t="str">
            <v>POS_FIXED</v>
          </cell>
          <cell r="E64">
            <v>0</v>
          </cell>
          <cell r="F64">
            <v>0</v>
          </cell>
        </row>
        <row r="65">
          <cell r="A65" t="str">
            <v>BMY_SHB3M_POS_FLOAT</v>
          </cell>
          <cell r="B65" t="str">
            <v>BMY</v>
          </cell>
          <cell r="C65" t="str">
            <v>SHB3M</v>
          </cell>
          <cell r="D65" t="str">
            <v>POS_FLOAT</v>
          </cell>
          <cell r="E65">
            <v>0</v>
          </cell>
          <cell r="F65">
            <v>0</v>
          </cell>
        </row>
        <row r="66">
          <cell r="A66" t="str">
            <v>BMH_FR007_POS_FIXED</v>
          </cell>
          <cell r="B66" t="str">
            <v>BMH</v>
          </cell>
          <cell r="C66" t="str">
            <v>FR007</v>
          </cell>
          <cell r="D66" t="str">
            <v>POS_FIXED</v>
          </cell>
          <cell r="E66">
            <v>-89822316.423001364</v>
          </cell>
          <cell r="F66">
            <v>-89851930.519611552</v>
          </cell>
        </row>
        <row r="67">
          <cell r="A67" t="str">
            <v>BMH_FR007_POS_FLOAT</v>
          </cell>
          <cell r="B67" t="str">
            <v>BMH</v>
          </cell>
          <cell r="C67" t="str">
            <v>FR007</v>
          </cell>
          <cell r="D67" t="str">
            <v>POS_FLOAT</v>
          </cell>
          <cell r="E67">
            <v>90081795.043237314</v>
          </cell>
          <cell r="F67">
            <v>90743776.762073472</v>
          </cell>
        </row>
        <row r="68">
          <cell r="A68" t="str">
            <v>BMH_SHB3M_POS_FIXED</v>
          </cell>
          <cell r="B68" t="str">
            <v>BMH</v>
          </cell>
          <cell r="C68" t="str">
            <v>SHB3M</v>
          </cell>
          <cell r="D68" t="str">
            <v>POS_FIXED</v>
          </cell>
          <cell r="E68">
            <v>0</v>
          </cell>
          <cell r="F68">
            <v>0</v>
          </cell>
        </row>
        <row r="69">
          <cell r="A69" t="str">
            <v>BMH_SHB3M_POS_FLOAT</v>
          </cell>
          <cell r="B69" t="str">
            <v>BMH</v>
          </cell>
          <cell r="C69" t="str">
            <v>SHB3M</v>
          </cell>
          <cell r="D69" t="str">
            <v>POS_FLOAT</v>
          </cell>
          <cell r="E69">
            <v>0</v>
          </cell>
          <cell r="F69">
            <v>0</v>
          </cell>
        </row>
        <row r="70">
          <cell r="A70" t="str">
            <v>BMC_FR007_POS_FIXED</v>
          </cell>
          <cell r="B70" t="str">
            <v>BMC</v>
          </cell>
          <cell r="C70" t="str">
            <v>FR007</v>
          </cell>
          <cell r="D70" t="str">
            <v>POS_FIXED</v>
          </cell>
          <cell r="E70">
            <v>0</v>
          </cell>
          <cell r="F70">
            <v>0</v>
          </cell>
        </row>
        <row r="71">
          <cell r="A71" t="str">
            <v>BMC_FR007_POS_FLOAT</v>
          </cell>
          <cell r="B71" t="str">
            <v>BMC</v>
          </cell>
          <cell r="C71" t="str">
            <v>FR007</v>
          </cell>
          <cell r="D71" t="str">
            <v>POS_FLOAT</v>
          </cell>
          <cell r="E71">
            <v>0</v>
          </cell>
          <cell r="F7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Bond</v>
          </cell>
          <cell r="D1" t="str">
            <v>Qty</v>
          </cell>
          <cell r="E1" t="str">
            <v>Type</v>
          </cell>
          <cell r="F1" t="str">
            <v>Acc Today</v>
          </cell>
          <cell r="G1" t="str">
            <v>ACC YDay</v>
          </cell>
          <cell r="H1" t="str">
            <v>Accrual</v>
          </cell>
          <cell r="I1" t="str">
            <v>Start Price</v>
          </cell>
          <cell r="J1" t="str">
            <v>End Price</v>
          </cell>
          <cell r="K1" t="str">
            <v>EOD PnL</v>
          </cell>
        </row>
        <row r="2">
          <cell r="A2" t="str">
            <v>MMA_019569.SH</v>
          </cell>
          <cell r="B2" t="str">
            <v>MMA</v>
          </cell>
          <cell r="C2" t="str">
            <v>019569.SH</v>
          </cell>
          <cell r="D2">
            <v>30000000</v>
          </cell>
          <cell r="E2" t="str">
            <v>CGB</v>
          </cell>
          <cell r="F2">
            <v>0.86547945205479593</v>
          </cell>
          <cell r="G2">
            <v>0.76561643835615367</v>
          </cell>
          <cell r="H2">
            <v>29958.904109592677</v>
          </cell>
          <cell r="I2">
            <v>97.045400000000001</v>
          </cell>
          <cell r="J2">
            <v>96.797799999999995</v>
          </cell>
          <cell r="K2">
            <v>-44321.095890408993</v>
          </cell>
        </row>
        <row r="3">
          <cell r="A3" t="str">
            <v>MMA_160218.IB</v>
          </cell>
          <cell r="B3" t="str">
            <v>MMA</v>
          </cell>
          <cell r="C3" t="str">
            <v>160218.IB</v>
          </cell>
          <cell r="D3">
            <v>10000000</v>
          </cell>
          <cell r="E3" t="str">
            <v>CDB</v>
          </cell>
          <cell r="F3">
            <v>2.8661643835616424</v>
          </cell>
          <cell r="G3">
            <v>2.7815890410958888</v>
          </cell>
          <cell r="H3">
            <v>8457.5342465753602</v>
          </cell>
          <cell r="I3">
            <v>96.914400000000001</v>
          </cell>
          <cell r="J3">
            <v>96.824600000000004</v>
          </cell>
          <cell r="K3">
            <v>-522.46575342431788</v>
          </cell>
        </row>
        <row r="4">
          <cell r="A4" t="str">
            <v>MMA_101505.SZ</v>
          </cell>
          <cell r="B4" t="str">
            <v>MMA</v>
          </cell>
          <cell r="C4" t="str">
            <v>101505.SZ</v>
          </cell>
          <cell r="D4">
            <v>6000</v>
          </cell>
          <cell r="E4" t="str">
            <v>CGB</v>
          </cell>
          <cell r="F4">
            <v>9.9726027397162298E-3</v>
          </cell>
          <cell r="G4">
            <v>1.7452054794520502</v>
          </cell>
          <cell r="H4">
            <v>-104.11397260274003</v>
          </cell>
          <cell r="I4">
            <v>99.562399999999997</v>
          </cell>
          <cell r="J4">
            <v>99.449700000000007</v>
          </cell>
          <cell r="K4">
            <v>-1.6759726027394493</v>
          </cell>
        </row>
        <row r="5">
          <cell r="A5" t="str">
            <v>MMA_170020.IB</v>
          </cell>
          <cell r="B5" t="str">
            <v>MMA</v>
          </cell>
          <cell r="C5" t="str">
            <v>170020.IB</v>
          </cell>
          <cell r="D5">
            <v>120000000</v>
          </cell>
          <cell r="E5" t="str">
            <v>CGB</v>
          </cell>
          <cell r="F5">
            <v>0.18197260273973281</v>
          </cell>
          <cell r="G5">
            <v>9.0986301369855305E-2</v>
          </cell>
          <cell r="H5">
            <v>109183.56164385303</v>
          </cell>
          <cell r="I5">
            <v>100.0089</v>
          </cell>
          <cell r="J5">
            <v>99.936999999999998</v>
          </cell>
          <cell r="K5">
            <v>22903.56164385374</v>
          </cell>
        </row>
        <row r="6">
          <cell r="A6" t="str">
            <v>MMA_170206.IB</v>
          </cell>
          <cell r="B6" t="str">
            <v>MMA</v>
          </cell>
          <cell r="C6" t="str">
            <v>170206.IB</v>
          </cell>
          <cell r="D6">
            <v>260000000</v>
          </cell>
          <cell r="E6" t="str">
            <v>CDB</v>
          </cell>
          <cell r="F6">
            <v>1.9273972602739775</v>
          </cell>
          <cell r="G6">
            <v>1.8282739726027453</v>
          </cell>
          <cell r="H6">
            <v>257720.54794520381</v>
          </cell>
          <cell r="I6">
            <v>99.098399999999998</v>
          </cell>
          <cell r="J6">
            <v>98.971199999999996</v>
          </cell>
          <cell r="K6">
            <v>-72999.45205480131</v>
          </cell>
        </row>
        <row r="7">
          <cell r="A7" t="str">
            <v>MMA_170210.IB</v>
          </cell>
          <cell r="B7" t="str">
            <v>MMA</v>
          </cell>
          <cell r="C7" t="str">
            <v>170210.IB</v>
          </cell>
          <cell r="D7">
            <v>290000000</v>
          </cell>
          <cell r="E7" t="str">
            <v>CDB</v>
          </cell>
          <cell r="F7">
            <v>2.0144657534246546</v>
          </cell>
          <cell r="G7">
            <v>1.9148493150684898</v>
          </cell>
          <cell r="H7">
            <v>288887.67123287806</v>
          </cell>
          <cell r="I7">
            <v>97.990099999999998</v>
          </cell>
          <cell r="J7">
            <v>97.759900000000002</v>
          </cell>
          <cell r="K7">
            <v>-378692.32876711147</v>
          </cell>
        </row>
        <row r="8">
          <cell r="A8" t="str">
            <v>MMA_170215.IB</v>
          </cell>
          <cell r="B8" t="str">
            <v>MMA</v>
          </cell>
          <cell r="C8" t="str">
            <v>170215.IB</v>
          </cell>
          <cell r="D8">
            <v>-70000000</v>
          </cell>
          <cell r="E8" t="str">
            <v>CDB</v>
          </cell>
          <cell r="F8">
            <v>0.53435616438355371</v>
          </cell>
          <cell r="G8">
            <v>0.42980821917808498</v>
          </cell>
          <cell r="H8">
            <v>-73183.561643828114</v>
          </cell>
          <cell r="I8">
            <v>100.428</v>
          </cell>
          <cell r="J8">
            <v>100.149</v>
          </cell>
          <cell r="K8">
            <v>122116.43835616935</v>
          </cell>
        </row>
        <row r="9">
          <cell r="A9" t="str">
            <v>STRAT_170215.IB</v>
          </cell>
          <cell r="B9" t="str">
            <v>STRAT</v>
          </cell>
          <cell r="C9" t="str">
            <v>170215.IB</v>
          </cell>
          <cell r="D9">
            <v>-130000000</v>
          </cell>
          <cell r="E9" t="str">
            <v>CDB</v>
          </cell>
          <cell r="F9">
            <v>0.53435616438355371</v>
          </cell>
          <cell r="G9">
            <v>0.42980821917808498</v>
          </cell>
          <cell r="H9">
            <v>-135912.32876710934</v>
          </cell>
          <cell r="I9">
            <v>100.428</v>
          </cell>
          <cell r="J9">
            <v>100.149</v>
          </cell>
          <cell r="K9">
            <v>226787.67123288594</v>
          </cell>
        </row>
        <row r="10">
          <cell r="A10" t="str">
            <v>STRAT_170004.IB</v>
          </cell>
          <cell r="B10" t="str">
            <v>STRAT</v>
          </cell>
          <cell r="C10" t="str">
            <v>170004.IB</v>
          </cell>
          <cell r="D10">
            <v>-280000000</v>
          </cell>
          <cell r="E10" t="str">
            <v>CGB</v>
          </cell>
          <cell r="F10">
            <v>0.5635869565217444</v>
          </cell>
          <cell r="G10">
            <v>0.48043478260868527</v>
          </cell>
          <cell r="H10">
            <v>-232826.08695656556</v>
          </cell>
          <cell r="I10">
            <v>98.674700000000001</v>
          </cell>
          <cell r="J10">
            <v>98.420599999999993</v>
          </cell>
          <cell r="K10">
            <v>478653.91304345737</v>
          </cell>
        </row>
        <row r="11">
          <cell r="A11" t="str">
            <v>STRAT_019567.SH</v>
          </cell>
          <cell r="B11" t="str">
            <v>STRAT</v>
          </cell>
          <cell r="C11" t="str">
            <v>019567.SH</v>
          </cell>
          <cell r="D11">
            <v>30000000</v>
          </cell>
          <cell r="E11" t="str">
            <v>CGB</v>
          </cell>
          <cell r="F11">
            <v>1.0758904109589018</v>
          </cell>
          <cell r="G11">
            <v>0.98786301369862006</v>
          </cell>
          <cell r="H11">
            <v>26408.219178084528</v>
          </cell>
          <cell r="I11">
            <v>99.285700000000006</v>
          </cell>
          <cell r="J11">
            <v>99.238100000000003</v>
          </cell>
          <cell r="K11">
            <v>12128.219178083704</v>
          </cell>
        </row>
        <row r="12">
          <cell r="A12" t="str">
            <v>STRAT_170210.IB</v>
          </cell>
          <cell r="B12" t="str">
            <v>STRAT</v>
          </cell>
          <cell r="C12" t="str">
            <v>170210.IB</v>
          </cell>
          <cell r="D12">
            <v>-900000000</v>
          </cell>
          <cell r="E12" t="str">
            <v>CDB</v>
          </cell>
          <cell r="F12">
            <v>2.0144657534246546</v>
          </cell>
          <cell r="G12">
            <v>1.9148493150684898</v>
          </cell>
          <cell r="H12">
            <v>-896547.94520548359</v>
          </cell>
          <cell r="I12">
            <v>97.990099999999998</v>
          </cell>
          <cell r="J12">
            <v>97.759900000000002</v>
          </cell>
          <cell r="K12">
            <v>1175252.0547944843</v>
          </cell>
        </row>
        <row r="13">
          <cell r="A13" t="str">
            <v>STRAT_160215.IB</v>
          </cell>
          <cell r="B13" t="str">
            <v>STRAT</v>
          </cell>
          <cell r="C13" t="str">
            <v>160215.IB</v>
          </cell>
          <cell r="D13">
            <v>200000000</v>
          </cell>
          <cell r="E13" t="str">
            <v>CDB</v>
          </cell>
          <cell r="F13">
            <v>2.5701369863013745</v>
          </cell>
          <cell r="G13">
            <v>2.5047945205479483</v>
          </cell>
          <cell r="H13">
            <v>130684.93150685256</v>
          </cell>
          <cell r="I13">
            <v>96.944599999999994</v>
          </cell>
          <cell r="J13">
            <v>96.947900000000004</v>
          </cell>
          <cell r="K13">
            <v>137284.9315068727</v>
          </cell>
        </row>
        <row r="14">
          <cell r="A14" t="str">
            <v>STRAT_160208.IB</v>
          </cell>
          <cell r="B14" t="str">
            <v>STRAT</v>
          </cell>
          <cell r="C14" t="str">
            <v>160208.IB</v>
          </cell>
          <cell r="D14">
            <v>750000000</v>
          </cell>
          <cell r="E14" t="str">
            <v>CDB</v>
          </cell>
          <cell r="F14">
            <v>1.6394520547945211</v>
          </cell>
          <cell r="G14">
            <v>1.572383561643842</v>
          </cell>
          <cell r="H14">
            <v>503013.69863009319</v>
          </cell>
          <cell r="I14">
            <v>97.994900000000001</v>
          </cell>
          <cell r="J14">
            <v>98.114999999999995</v>
          </cell>
          <cell r="K14">
            <v>1403763.6986300456</v>
          </cell>
        </row>
        <row r="15">
          <cell r="A15" t="str">
            <v>STRAT_170013.IB</v>
          </cell>
          <cell r="B15" t="str">
            <v>STRAT</v>
          </cell>
          <cell r="C15" t="str">
            <v>170013.IB</v>
          </cell>
          <cell r="D15">
            <v>300000000</v>
          </cell>
          <cell r="E15" t="str">
            <v>CGB</v>
          </cell>
          <cell r="F15">
            <v>1.0661095890410976</v>
          </cell>
          <cell r="G15">
            <v>0.97808219178081568</v>
          </cell>
          <cell r="H15">
            <v>264082.19178084587</v>
          </cell>
          <cell r="I15">
            <v>99.285700000000006</v>
          </cell>
          <cell r="J15">
            <v>99.238100000000003</v>
          </cell>
          <cell r="K15">
            <v>121282.1917808376</v>
          </cell>
        </row>
        <row r="16">
          <cell r="A16" t="str">
            <v>STRAT_160206.IB</v>
          </cell>
          <cell r="B16" t="str">
            <v>STRAT</v>
          </cell>
          <cell r="C16" t="str">
            <v>160206.IB</v>
          </cell>
          <cell r="D16">
            <v>330000000</v>
          </cell>
          <cell r="E16" t="str">
            <v>CDB</v>
          </cell>
          <cell r="F16">
            <v>1.8895342465753417</v>
          </cell>
          <cell r="G16">
            <v>1.8165479452054711</v>
          </cell>
          <cell r="H16">
            <v>240854.79452057302</v>
          </cell>
          <cell r="I16">
            <v>96.003900000000002</v>
          </cell>
          <cell r="J16">
            <v>95.956900000000005</v>
          </cell>
          <cell r="K16">
            <v>85754.794520582771</v>
          </cell>
        </row>
        <row r="17">
          <cell r="A17" t="str">
            <v>STRAT_170405.IB</v>
          </cell>
          <cell r="B17" t="str">
            <v>STRAT</v>
          </cell>
          <cell r="C17" t="str">
            <v>170405.IB</v>
          </cell>
          <cell r="D17">
            <v>470000000</v>
          </cell>
          <cell r="E17" t="str">
            <v>ADB</v>
          </cell>
          <cell r="F17">
            <v>2.911232876712333</v>
          </cell>
          <cell r="G17">
            <v>2.8163013698630168</v>
          </cell>
          <cell r="H17">
            <v>446178.08219178603</v>
          </cell>
          <cell r="I17">
            <v>96.427800000000005</v>
          </cell>
          <cell r="J17">
            <v>96.238799999999998</v>
          </cell>
          <cell r="K17">
            <v>-442121.91780824761</v>
          </cell>
        </row>
        <row r="18">
          <cell r="A18" t="str">
            <v>STRAT_170415.IB</v>
          </cell>
          <cell r="B18" t="str">
            <v>STRAT</v>
          </cell>
          <cell r="C18" t="str">
            <v>170415.IB</v>
          </cell>
          <cell r="D18">
            <v>110000000</v>
          </cell>
          <cell r="E18" t="str">
            <v>ADB</v>
          </cell>
          <cell r="F18">
            <v>0.37284931506849084</v>
          </cell>
          <cell r="G18">
            <v>0.26460273972601644</v>
          </cell>
          <cell r="H18">
            <v>119071.23287672183</v>
          </cell>
          <cell r="I18">
            <v>100.6066</v>
          </cell>
          <cell r="J18">
            <v>100.3488</v>
          </cell>
          <cell r="K18">
            <v>-164508.76712328166</v>
          </cell>
        </row>
        <row r="19">
          <cell r="A19" t="str">
            <v>STRAT_140227.IB</v>
          </cell>
          <cell r="B19" t="str">
            <v>STRAT</v>
          </cell>
          <cell r="C19" t="str">
            <v>140227.IB</v>
          </cell>
          <cell r="D19">
            <v>50000000</v>
          </cell>
          <cell r="E19" t="str">
            <v>CDB</v>
          </cell>
          <cell r="F19">
            <v>3.6105205479451952</v>
          </cell>
          <cell r="G19">
            <v>3.5099178082191873</v>
          </cell>
          <cell r="H19">
            <v>50301.369863003929</v>
          </cell>
          <cell r="I19">
            <v>99.638099999999994</v>
          </cell>
          <cell r="J19">
            <v>99.605800000000002</v>
          </cell>
          <cell r="K19">
            <v>34151.369863007814</v>
          </cell>
        </row>
        <row r="20">
          <cell r="A20" t="str">
            <v>STRAT_170201.IB</v>
          </cell>
          <cell r="B20" t="str">
            <v>STRAT</v>
          </cell>
          <cell r="C20" t="str">
            <v>170201.IB</v>
          </cell>
          <cell r="D20">
            <v>370000000</v>
          </cell>
          <cell r="E20" t="str">
            <v>CDB</v>
          </cell>
          <cell r="F20">
            <v>2.8795890410958869</v>
          </cell>
          <cell r="G20">
            <v>2.7846575342465707</v>
          </cell>
          <cell r="H20">
            <v>351246.57534246979</v>
          </cell>
          <cell r="I20">
            <v>97.25</v>
          </cell>
          <cell r="J20">
            <v>97.179400000000001</v>
          </cell>
          <cell r="K20">
            <v>90026.575342473923</v>
          </cell>
        </row>
        <row r="21">
          <cell r="A21" t="str">
            <v>STRAT_170205.IB</v>
          </cell>
          <cell r="B21" t="str">
            <v>STRAT</v>
          </cell>
          <cell r="C21" t="str">
            <v>170205.IB</v>
          </cell>
          <cell r="D21">
            <v>70000000</v>
          </cell>
          <cell r="E21" t="str">
            <v>CDB</v>
          </cell>
          <cell r="F21">
            <v>1.839013698630132</v>
          </cell>
          <cell r="G21">
            <v>1.743342465753428</v>
          </cell>
          <cell r="H21">
            <v>66969.863013692782</v>
          </cell>
          <cell r="I21">
            <v>99.119</v>
          </cell>
          <cell r="J21">
            <v>99.075199999999995</v>
          </cell>
          <cell r="K21">
            <v>36309.863013689624</v>
          </cell>
        </row>
        <row r="22">
          <cell r="A22" t="str">
            <v>BMR_170303.IB</v>
          </cell>
          <cell r="B22" t="str">
            <v>BMR</v>
          </cell>
          <cell r="C22" t="str">
            <v>170303.IB</v>
          </cell>
          <cell r="D22">
            <v>430000000</v>
          </cell>
          <cell r="E22" t="str">
            <v>EXIM</v>
          </cell>
          <cell r="F22">
            <v>2.2858356164383586</v>
          </cell>
          <cell r="G22">
            <v>2.1844931506849408</v>
          </cell>
          <cell r="H22">
            <v>435772.60273969686</v>
          </cell>
          <cell r="I22">
            <v>98.077299999999994</v>
          </cell>
          <cell r="J22">
            <v>97.813999999999993</v>
          </cell>
          <cell r="K22">
            <v>-696417.39726030733</v>
          </cell>
        </row>
        <row r="23">
          <cell r="A23" t="str">
            <v>BMR_170415.IB</v>
          </cell>
          <cell r="B23" t="str">
            <v>BMR</v>
          </cell>
          <cell r="C23" t="str">
            <v>170415.IB</v>
          </cell>
          <cell r="D23">
            <v>50000000</v>
          </cell>
          <cell r="E23" t="str">
            <v>ADB</v>
          </cell>
          <cell r="F23">
            <v>0.37284931506849084</v>
          </cell>
          <cell r="G23">
            <v>0.26460273972601644</v>
          </cell>
          <cell r="H23">
            <v>54123.287671237194</v>
          </cell>
          <cell r="I23">
            <v>100.6066</v>
          </cell>
          <cell r="J23">
            <v>100.3488</v>
          </cell>
          <cell r="K23">
            <v>-74776.712328764377</v>
          </cell>
        </row>
        <row r="24">
          <cell r="A24" t="str">
            <v>BMR_170210.IB</v>
          </cell>
          <cell r="B24" t="str">
            <v>BMR</v>
          </cell>
          <cell r="C24" t="str">
            <v>170210.IB</v>
          </cell>
          <cell r="D24">
            <v>-500000000</v>
          </cell>
          <cell r="E24" t="str">
            <v>CDB</v>
          </cell>
          <cell r="F24">
            <v>2.0144657534246546</v>
          </cell>
          <cell r="G24">
            <v>1.9148493150684898</v>
          </cell>
          <cell r="H24">
            <v>-498082.19178082421</v>
          </cell>
          <cell r="I24">
            <v>97.990099999999998</v>
          </cell>
          <cell r="J24">
            <v>97.759900000000002</v>
          </cell>
          <cell r="K24">
            <v>652917.80821915786</v>
          </cell>
        </row>
        <row r="25">
          <cell r="A25" t="str">
            <v>BMR_170020.IB</v>
          </cell>
          <cell r="B25" t="str">
            <v>BMR</v>
          </cell>
          <cell r="C25" t="str">
            <v>170020.IB</v>
          </cell>
          <cell r="D25">
            <v>310000000</v>
          </cell>
          <cell r="E25" t="str">
            <v>CGB</v>
          </cell>
          <cell r="F25">
            <v>0.18197260273973281</v>
          </cell>
          <cell r="G25">
            <v>9.0986301369855305E-2</v>
          </cell>
          <cell r="H25">
            <v>282057.53424662026</v>
          </cell>
          <cell r="I25">
            <v>100.0089</v>
          </cell>
          <cell r="J25">
            <v>99.936999999999998</v>
          </cell>
          <cell r="K25">
            <v>59167.53424662209</v>
          </cell>
        </row>
        <row r="26">
          <cell r="A26" t="str">
            <v>BMR_170014.IB</v>
          </cell>
          <cell r="B26" t="str">
            <v>BMR</v>
          </cell>
          <cell r="C26" t="str">
            <v>170014.IB</v>
          </cell>
          <cell r="D26">
            <v>400000000</v>
          </cell>
          <cell r="E26" t="str">
            <v>CGB</v>
          </cell>
          <cell r="F26">
            <v>0.83660273972603338</v>
          </cell>
          <cell r="G26">
            <v>0.75104109589041457</v>
          </cell>
          <cell r="H26">
            <v>342246.57534247526</v>
          </cell>
          <cell r="I26">
            <v>99.386700000000005</v>
          </cell>
          <cell r="J26">
            <v>99.301100000000005</v>
          </cell>
          <cell r="K26">
            <v>-153.42465752258431</v>
          </cell>
        </row>
        <row r="27">
          <cell r="A27" t="str">
            <v>BMR_019568.SH</v>
          </cell>
          <cell r="B27" t="str">
            <v>BMR</v>
          </cell>
          <cell r="C27" t="str">
            <v>019568.SH</v>
          </cell>
          <cell r="D27">
            <v>10000000</v>
          </cell>
          <cell r="E27" t="str">
            <v>CGB</v>
          </cell>
          <cell r="F27">
            <v>0.84610958904109967</v>
          </cell>
          <cell r="G27">
            <v>0.76054794520548086</v>
          </cell>
          <cell r="H27">
            <v>8556.1643835618816</v>
          </cell>
          <cell r="I27">
            <v>99.386700000000005</v>
          </cell>
          <cell r="J27">
            <v>99.301100000000005</v>
          </cell>
          <cell r="K27">
            <v>-3.8356164380638802</v>
          </cell>
        </row>
        <row r="28">
          <cell r="A28" t="str">
            <v>BMR_170310.IB</v>
          </cell>
          <cell r="B28" t="str">
            <v>BMR</v>
          </cell>
          <cell r="C28" t="str">
            <v>170310.IB</v>
          </cell>
          <cell r="D28">
            <v>140000000</v>
          </cell>
          <cell r="E28" t="str">
            <v>EXIM</v>
          </cell>
          <cell r="F28">
            <v>0.69558904109590092</v>
          </cell>
          <cell r="G28">
            <v>0.59621917808219127</v>
          </cell>
          <cell r="H28">
            <v>139117.80821919351</v>
          </cell>
          <cell r="I28">
            <v>99.387699999999995</v>
          </cell>
          <cell r="J28">
            <v>99.348500000000001</v>
          </cell>
          <cell r="K28">
            <v>84237.808219202037</v>
          </cell>
        </row>
        <row r="29">
          <cell r="A29" t="str">
            <v>BMR_170405.IB</v>
          </cell>
          <cell r="B29" t="str">
            <v>BMR</v>
          </cell>
          <cell r="C29" t="str">
            <v>170405.IB</v>
          </cell>
          <cell r="D29">
            <v>250000000</v>
          </cell>
          <cell r="E29" t="str">
            <v>ADB</v>
          </cell>
          <cell r="F29">
            <v>2.911232876712333</v>
          </cell>
          <cell r="G29">
            <v>2.8163013698630168</v>
          </cell>
          <cell r="H29">
            <v>237328.76712329042</v>
          </cell>
          <cell r="I29">
            <v>96.427800000000005</v>
          </cell>
          <cell r="J29">
            <v>96.238799999999998</v>
          </cell>
          <cell r="K29">
            <v>-235171.23287672744</v>
          </cell>
        </row>
        <row r="30">
          <cell r="A30" t="str">
            <v>BMR_170309.IB</v>
          </cell>
          <cell r="B30" t="str">
            <v>BMR</v>
          </cell>
          <cell r="C30" t="str">
            <v>170309.IB</v>
          </cell>
          <cell r="D30">
            <v>140000000</v>
          </cell>
          <cell r="E30" t="str">
            <v>EXIM</v>
          </cell>
          <cell r="F30">
            <v>1.0246849315068474</v>
          </cell>
          <cell r="G30">
            <v>0.92334246575342949</v>
          </cell>
          <cell r="H30">
            <v>141879.45205478501</v>
          </cell>
          <cell r="I30">
            <v>99.088200000000001</v>
          </cell>
          <cell r="J30">
            <v>99.015600000000006</v>
          </cell>
          <cell r="K30">
            <v>40239.452054793102</v>
          </cell>
        </row>
        <row r="31">
          <cell r="A31" t="str">
            <v>BMR_1700003.IB</v>
          </cell>
          <cell r="B31" t="str">
            <v>BMR</v>
          </cell>
          <cell r="C31" t="str">
            <v>1700003.IB</v>
          </cell>
          <cell r="D31">
            <v>80000000</v>
          </cell>
          <cell r="E31" t="str">
            <v>CGB</v>
          </cell>
          <cell r="F31">
            <v>0.19671232876712352</v>
          </cell>
          <cell r="G31">
            <v>0.10819178082190906</v>
          </cell>
          <cell r="H31">
            <v>70816.43835617158</v>
          </cell>
          <cell r="I31">
            <v>99.884299999999996</v>
          </cell>
          <cell r="J31">
            <v>99.793099999999995</v>
          </cell>
          <cell r="K31">
            <v>-2143.5616438289144</v>
          </cell>
        </row>
        <row r="32">
          <cell r="A32" t="str">
            <v>BMR_019575.SH</v>
          </cell>
          <cell r="B32" t="str">
            <v>BMR</v>
          </cell>
          <cell r="C32" t="str">
            <v>019575.SH</v>
          </cell>
          <cell r="D32">
            <v>60000000</v>
          </cell>
          <cell r="E32" t="str">
            <v>CGB</v>
          </cell>
          <cell r="F32">
            <v>0.19208219178081798</v>
          </cell>
          <cell r="G32">
            <v>0.10109589041096267</v>
          </cell>
          <cell r="H32">
            <v>54591.780821913184</v>
          </cell>
          <cell r="I32">
            <v>100.0089</v>
          </cell>
          <cell r="J32">
            <v>99.936999999999998</v>
          </cell>
          <cell r="K32">
            <v>11451.78082191354</v>
          </cell>
        </row>
        <row r="33">
          <cell r="A33" t="str">
            <v>BMR_019569.SH</v>
          </cell>
          <cell r="B33" t="str">
            <v>BMR</v>
          </cell>
          <cell r="C33" t="str">
            <v>019569.SH</v>
          </cell>
          <cell r="D33">
            <v>60000000</v>
          </cell>
          <cell r="E33" t="str">
            <v>CGB</v>
          </cell>
          <cell r="F33">
            <v>0.86547945205479593</v>
          </cell>
          <cell r="G33">
            <v>0.76561643835615367</v>
          </cell>
          <cell r="H33">
            <v>59917.808219185354</v>
          </cell>
          <cell r="I33">
            <v>97.045400000000001</v>
          </cell>
          <cell r="J33">
            <v>96.797799999999995</v>
          </cell>
          <cell r="K33">
            <v>-88642.191780817986</v>
          </cell>
        </row>
        <row r="34">
          <cell r="A34" t="str">
            <v>BMH_019569.SH</v>
          </cell>
          <cell r="B34" t="str">
            <v>BMH</v>
          </cell>
          <cell r="C34" t="str">
            <v>019569.SH</v>
          </cell>
          <cell r="D34">
            <v>30000000</v>
          </cell>
          <cell r="E34" t="str">
            <v>CGB</v>
          </cell>
          <cell r="F34">
            <v>0.86547945205479593</v>
          </cell>
          <cell r="G34">
            <v>0.76561643835615367</v>
          </cell>
          <cell r="H34">
            <v>29958.904109592677</v>
          </cell>
          <cell r="I34">
            <v>97.045400000000001</v>
          </cell>
          <cell r="J34">
            <v>96.797799999999995</v>
          </cell>
          <cell r="K34">
            <v>-44321.095890408993</v>
          </cell>
        </row>
        <row r="35">
          <cell r="A35" t="str">
            <v>BMH_170208.IB</v>
          </cell>
          <cell r="B35" t="str">
            <v>BMH</v>
          </cell>
          <cell r="C35" t="str">
            <v>170208.IB</v>
          </cell>
          <cell r="D35">
            <v>140000000</v>
          </cell>
          <cell r="E35" t="str">
            <v>CDB</v>
          </cell>
          <cell r="F35">
            <v>0.57726027397260182</v>
          </cell>
          <cell r="G35">
            <v>0.47123287671233527</v>
          </cell>
          <cell r="H35">
            <v>148438.35616437317</v>
          </cell>
          <cell r="I35">
            <v>99.619100000000003</v>
          </cell>
          <cell r="J35">
            <v>99.552199999999999</v>
          </cell>
          <cell r="K35">
            <v>54778.356164367637</v>
          </cell>
        </row>
        <row r="36">
          <cell r="A36" t="str">
            <v>BMH_170404.IB</v>
          </cell>
          <cell r="B36" t="str">
            <v>BMH</v>
          </cell>
          <cell r="C36" t="str">
            <v>170404.IB</v>
          </cell>
          <cell r="D36">
            <v>40000000</v>
          </cell>
          <cell r="E36" t="str">
            <v>ADB</v>
          </cell>
          <cell r="F36">
            <v>2.8961095890410955</v>
          </cell>
          <cell r="G36">
            <v>2.8016712328767124</v>
          </cell>
          <cell r="H36">
            <v>37775.342465753245</v>
          </cell>
          <cell r="I36">
            <v>97.098600000000005</v>
          </cell>
          <cell r="J36">
            <v>97.013199999999998</v>
          </cell>
          <cell r="K36">
            <v>3615.3424657504293</v>
          </cell>
        </row>
        <row r="37">
          <cell r="A37" t="str">
            <v>BMH_170303.IB</v>
          </cell>
          <cell r="B37" t="str">
            <v>BMH</v>
          </cell>
          <cell r="C37" t="str">
            <v>170303.IB</v>
          </cell>
          <cell r="D37">
            <v>70000000</v>
          </cell>
          <cell r="E37" t="str">
            <v>EXIM</v>
          </cell>
          <cell r="F37">
            <v>2.2858356164383586</v>
          </cell>
          <cell r="G37">
            <v>2.1844931506849408</v>
          </cell>
          <cell r="H37">
            <v>70939.726027392506</v>
          </cell>
          <cell r="I37">
            <v>98.077299999999994</v>
          </cell>
          <cell r="J37">
            <v>97.813999999999993</v>
          </cell>
          <cell r="K37">
            <v>-113370.27397260816</v>
          </cell>
        </row>
        <row r="38">
          <cell r="A38" t="str">
            <v>BMH_170215.IB</v>
          </cell>
          <cell r="B38" t="str">
            <v>BMH</v>
          </cell>
          <cell r="C38" t="str">
            <v>170215.IB</v>
          </cell>
          <cell r="D38">
            <v>-80000000</v>
          </cell>
          <cell r="E38" t="str">
            <v>CDB</v>
          </cell>
          <cell r="F38">
            <v>0.53435616438355371</v>
          </cell>
          <cell r="G38">
            <v>0.42980821917808498</v>
          </cell>
          <cell r="H38">
            <v>-83638.356164374985</v>
          </cell>
          <cell r="I38">
            <v>100.428</v>
          </cell>
          <cell r="J38">
            <v>100.149</v>
          </cell>
          <cell r="K38">
            <v>139561.64383562212</v>
          </cell>
        </row>
        <row r="39">
          <cell r="A39" t="str">
            <v>BMH_170020.IB</v>
          </cell>
          <cell r="B39" t="str">
            <v>BMH</v>
          </cell>
          <cell r="C39" t="str">
            <v>170020.IB</v>
          </cell>
          <cell r="D39">
            <v>150000000</v>
          </cell>
          <cell r="E39" t="str">
            <v>CGB</v>
          </cell>
          <cell r="F39">
            <v>0.18197260273973281</v>
          </cell>
          <cell r="G39">
            <v>9.0986301369855305E-2</v>
          </cell>
          <cell r="H39">
            <v>136479.45205481627</v>
          </cell>
          <cell r="I39">
            <v>100.0089</v>
          </cell>
          <cell r="J39">
            <v>99.936999999999998</v>
          </cell>
          <cell r="K39">
            <v>28629.452054817157</v>
          </cell>
        </row>
        <row r="40">
          <cell r="A40" t="str">
            <v>BMH_170309.IB</v>
          </cell>
          <cell r="B40" t="str">
            <v>BMH</v>
          </cell>
          <cell r="C40" t="str">
            <v>170309.IB</v>
          </cell>
          <cell r="D40">
            <v>180000000</v>
          </cell>
          <cell r="E40" t="str">
            <v>EXIM</v>
          </cell>
          <cell r="F40">
            <v>1.0246849315068474</v>
          </cell>
          <cell r="G40">
            <v>0.92334246575342949</v>
          </cell>
          <cell r="H40">
            <v>182416.43835615218</v>
          </cell>
          <cell r="I40">
            <v>99.088200000000001</v>
          </cell>
          <cell r="J40">
            <v>99.015600000000006</v>
          </cell>
          <cell r="K40">
            <v>51736.438356162573</v>
          </cell>
        </row>
        <row r="41">
          <cell r="A41" t="str">
            <v>LM_170009.IB</v>
          </cell>
          <cell r="B41" t="str">
            <v>LM</v>
          </cell>
          <cell r="C41" t="str">
            <v>170009.IB</v>
          </cell>
          <cell r="D41">
            <v>50000000</v>
          </cell>
          <cell r="E41" t="str">
            <v>CGB</v>
          </cell>
          <cell r="F41">
            <v>1.4371506849315097</v>
          </cell>
          <cell r="G41">
            <v>1.3552876712328743</v>
          </cell>
          <cell r="H41">
            <v>40931.506849317673</v>
          </cell>
          <cell r="I41">
            <v>99.9268</v>
          </cell>
          <cell r="J41">
            <v>99.917199999999994</v>
          </cell>
          <cell r="K41">
            <v>36131.506849314646</v>
          </cell>
        </row>
        <row r="42">
          <cell r="A42" t="str">
            <v>BMZ_170205.IB</v>
          </cell>
          <cell r="B42" t="str">
            <v>BMZ</v>
          </cell>
          <cell r="C42" t="str">
            <v>170205.IB</v>
          </cell>
          <cell r="D42">
            <v>150000000</v>
          </cell>
          <cell r="E42" t="str">
            <v>CDB</v>
          </cell>
          <cell r="F42">
            <v>1.839013698630132</v>
          </cell>
          <cell r="G42">
            <v>1.743342465753428</v>
          </cell>
          <cell r="H42">
            <v>143506.849315056</v>
          </cell>
          <cell r="I42">
            <v>99.119</v>
          </cell>
          <cell r="J42">
            <v>99.075199999999995</v>
          </cell>
          <cell r="K42">
            <v>77806.849315049243</v>
          </cell>
        </row>
        <row r="43">
          <cell r="A43" t="str">
            <v>BMZ_170215.IB</v>
          </cell>
          <cell r="B43" t="str">
            <v>BMZ</v>
          </cell>
          <cell r="C43" t="str">
            <v>170215.IB</v>
          </cell>
          <cell r="D43">
            <v>-130000000</v>
          </cell>
          <cell r="E43" t="str">
            <v>CDB</v>
          </cell>
          <cell r="F43">
            <v>0.53435616438355371</v>
          </cell>
          <cell r="G43">
            <v>0.42980821917808498</v>
          </cell>
          <cell r="H43">
            <v>-135912.32876710934</v>
          </cell>
          <cell r="I43">
            <v>100.428</v>
          </cell>
          <cell r="J43">
            <v>100.149</v>
          </cell>
          <cell r="K43">
            <v>226787.67123288594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Bond</v>
          </cell>
          <cell r="D1" t="str">
            <v>Qty</v>
          </cell>
          <cell r="E1" t="str">
            <v>Type</v>
          </cell>
          <cell r="F1" t="str">
            <v>Acc int today</v>
          </cell>
          <cell r="G1" t="str">
            <v>Acc int Yday</v>
          </cell>
          <cell r="H1" t="str">
            <v>Acc int diff</v>
          </cell>
          <cell r="I1" t="str">
            <v>PreyClose</v>
          </cell>
          <cell r="J1" t="str">
            <v>EODPrice</v>
          </cell>
          <cell r="K1" t="str">
            <v>EODPnL</v>
          </cell>
          <cell r="L1" t="str">
            <v>LivePrice</v>
          </cell>
          <cell r="M1" t="str">
            <v>Live PnL</v>
          </cell>
          <cell r="N1">
            <v>0</v>
          </cell>
          <cell r="O1">
            <v>0</v>
          </cell>
          <cell r="P1">
            <v>0</v>
          </cell>
        </row>
        <row r="2">
          <cell r="A2" t="str">
            <v>MMA_019569.SH</v>
          </cell>
          <cell r="B2" t="str">
            <v>MMA</v>
          </cell>
          <cell r="C2" t="str">
            <v>019569.SH</v>
          </cell>
          <cell r="D2">
            <v>30000000</v>
          </cell>
          <cell r="E2" t="str">
            <v>CGB</v>
          </cell>
          <cell r="F2">
            <v>0.86547945205479593</v>
          </cell>
          <cell r="G2">
            <v>0.7545205479452034</v>
          </cell>
          <cell r="H2">
            <v>33287.671232877758</v>
          </cell>
          <cell r="I2">
            <v>97.043899999999994</v>
          </cell>
          <cell r="J2">
            <v>96.797799999999995</v>
          </cell>
          <cell r="K2">
            <v>-40542.328767120707</v>
          </cell>
          <cell r="L2">
            <v>97.059999276920394</v>
          </cell>
          <cell r="M2">
            <v>38117.454308998829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MMA_101505.SZ</v>
          </cell>
          <cell r="B3" t="str">
            <v>MMA</v>
          </cell>
          <cell r="C3" t="str">
            <v>101505.SZ</v>
          </cell>
          <cell r="D3">
            <v>6000</v>
          </cell>
          <cell r="E3" t="str">
            <v>CGB</v>
          </cell>
          <cell r="F3">
            <v>1.8349589041095848</v>
          </cell>
          <cell r="G3">
            <v>1.7352328767123337</v>
          </cell>
          <cell r="H3">
            <v>5.9835616438350669</v>
          </cell>
          <cell r="I3">
            <v>99.560100000000006</v>
          </cell>
          <cell r="J3">
            <v>99.449700000000007</v>
          </cell>
          <cell r="K3">
            <v>108.5595616438347</v>
          </cell>
          <cell r="L3">
            <v>98.983907715602001</v>
          </cell>
          <cell r="M3">
            <v>80.612024579954337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MMA_160218.IB</v>
          </cell>
          <cell r="B4" t="str">
            <v>MMA</v>
          </cell>
          <cell r="C4" t="str">
            <v>160218.IB</v>
          </cell>
          <cell r="D4">
            <v>10000000</v>
          </cell>
          <cell r="E4" t="str">
            <v>SDBC</v>
          </cell>
          <cell r="F4">
            <v>2.8755616438356224</v>
          </cell>
          <cell r="G4">
            <v>2.7815890410958888</v>
          </cell>
          <cell r="H4">
            <v>9397.2602739733629</v>
          </cell>
          <cell r="I4">
            <v>96.911600000000007</v>
          </cell>
          <cell r="J4">
            <v>96.824600000000004</v>
          </cell>
          <cell r="K4">
            <v>697.26027397321036</v>
          </cell>
          <cell r="L4">
            <v>96.839156970903502</v>
          </cell>
          <cell r="M4">
            <v>2152.9573643230824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MMA_170020.IB</v>
          </cell>
          <cell r="B5" t="str">
            <v>MMA</v>
          </cell>
          <cell r="C5" t="str">
            <v>170020.IB</v>
          </cell>
          <cell r="D5">
            <v>120000000</v>
          </cell>
          <cell r="E5" t="str">
            <v>CGB</v>
          </cell>
          <cell r="F5">
            <v>0.19208219178081798</v>
          </cell>
          <cell r="G5">
            <v>9.0986301369855305E-2</v>
          </cell>
          <cell r="H5">
            <v>121315.06849315521</v>
          </cell>
          <cell r="I5">
            <v>100.0333</v>
          </cell>
          <cell r="J5">
            <v>99.936999999999998</v>
          </cell>
          <cell r="K5">
            <v>5755.0684931495507</v>
          </cell>
          <cell r="L5">
            <v>99.921346396683802</v>
          </cell>
          <cell r="M5">
            <v>-13029.255486285152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MMA_170206.IB</v>
          </cell>
          <cell r="B6" t="str">
            <v>MMA</v>
          </cell>
          <cell r="C6" t="str">
            <v>170206.IB</v>
          </cell>
          <cell r="D6">
            <v>260000000</v>
          </cell>
          <cell r="E6" t="str">
            <v>SDBC</v>
          </cell>
          <cell r="F6">
            <v>1.9384109589041021</v>
          </cell>
          <cell r="G6">
            <v>1.8282739726027453</v>
          </cell>
          <cell r="H6">
            <v>286356.16438352776</v>
          </cell>
          <cell r="I6">
            <v>99.096999999999994</v>
          </cell>
          <cell r="J6">
            <v>98.971199999999996</v>
          </cell>
          <cell r="K6">
            <v>-40723.835616472039</v>
          </cell>
          <cell r="L6">
            <v>98.951156443432097</v>
          </cell>
          <cell r="M6">
            <v>-92837.082693008633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MMA_170210.IB</v>
          </cell>
          <cell r="B7" t="str">
            <v>MMA</v>
          </cell>
          <cell r="C7" t="str">
            <v>170210.IB</v>
          </cell>
          <cell r="D7">
            <v>290000000</v>
          </cell>
          <cell r="E7" t="str">
            <v>SDBC</v>
          </cell>
          <cell r="F7">
            <v>2.0255342465753445</v>
          </cell>
          <cell r="G7">
            <v>1.9148493150684898</v>
          </cell>
          <cell r="H7">
            <v>320986.30136987881</v>
          </cell>
          <cell r="I7">
            <v>97.966700000000003</v>
          </cell>
          <cell r="J7">
            <v>97.759900000000002</v>
          </cell>
          <cell r="K7">
            <v>-278733.69863011694</v>
          </cell>
          <cell r="L7">
            <v>97.745541820550898</v>
          </cell>
          <cell r="M7">
            <v>-320372.41903251887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MMA_170215.IB</v>
          </cell>
          <cell r="B8" t="str">
            <v>MMA</v>
          </cell>
          <cell r="C8" t="str">
            <v>170215.IB</v>
          </cell>
          <cell r="D8">
            <v>-70000000</v>
          </cell>
          <cell r="E8" t="str">
            <v>SDBC</v>
          </cell>
          <cell r="F8">
            <v>0.54597260273971937</v>
          </cell>
          <cell r="G8">
            <v>0.42980821917808498</v>
          </cell>
          <cell r="H8">
            <v>-81315.068493144077</v>
          </cell>
          <cell r="I8">
            <v>100.3908</v>
          </cell>
          <cell r="J8">
            <v>100.149</v>
          </cell>
          <cell r="K8">
            <v>87944.931506851281</v>
          </cell>
          <cell r="L8">
            <v>100.137079804282</v>
          </cell>
          <cell r="M8">
            <v>96289.068509454984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Strat_019567.SH</v>
          </cell>
          <cell r="B9" t="str">
            <v>Strat</v>
          </cell>
          <cell r="C9" t="str">
            <v>019567.SH</v>
          </cell>
          <cell r="D9">
            <v>30000000</v>
          </cell>
          <cell r="E9" t="str">
            <v>CGB</v>
          </cell>
          <cell r="F9">
            <v>1.0758904109589018</v>
          </cell>
          <cell r="G9">
            <v>0.97808219178081568</v>
          </cell>
          <cell r="H9">
            <v>29342.46575342584</v>
          </cell>
          <cell r="I9">
            <v>99.331400000000002</v>
          </cell>
          <cell r="J9">
            <v>99.238100000000003</v>
          </cell>
          <cell r="K9">
            <v>1352.4657534271234</v>
          </cell>
          <cell r="L9">
            <v>99.266313849626201</v>
          </cell>
          <cell r="M9">
            <v>9816.6206412864885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Strat_140227.IB</v>
          </cell>
          <cell r="B10" t="str">
            <v>Strat</v>
          </cell>
          <cell r="C10" t="str">
            <v>140227.IB</v>
          </cell>
          <cell r="D10">
            <v>50000000</v>
          </cell>
          <cell r="E10" t="str">
            <v>SDBC</v>
          </cell>
          <cell r="F10">
            <v>3.6216986301369936</v>
          </cell>
          <cell r="G10">
            <v>3.5099178082191873</v>
          </cell>
          <cell r="H10">
            <v>55890.410958903121</v>
          </cell>
          <cell r="I10">
            <v>99.637100000000004</v>
          </cell>
          <cell r="J10">
            <v>99.605800000000002</v>
          </cell>
          <cell r="K10">
            <v>40240.410958900517</v>
          </cell>
          <cell r="L10">
            <v>99.709228487105804</v>
          </cell>
          <cell r="M10">
            <v>91954.65451180152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Strat_160206.IB</v>
          </cell>
          <cell r="B11" t="str">
            <v>Strat</v>
          </cell>
          <cell r="C11" t="str">
            <v>160206.IB</v>
          </cell>
          <cell r="D11">
            <v>330000000</v>
          </cell>
          <cell r="E11" t="str">
            <v>SDBC</v>
          </cell>
          <cell r="F11">
            <v>1.897643835616436</v>
          </cell>
          <cell r="G11">
            <v>1.8165479452054711</v>
          </cell>
          <cell r="H11">
            <v>267616.43835618411</v>
          </cell>
          <cell r="I11">
            <v>96.000299999999996</v>
          </cell>
          <cell r="J11">
            <v>95.956900000000005</v>
          </cell>
          <cell r="K11">
            <v>124396.43835621013</v>
          </cell>
          <cell r="L11">
            <v>95.977030988878795</v>
          </cell>
          <cell r="M11">
            <v>190828.70165621841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Strat_160208.IB</v>
          </cell>
          <cell r="B12" t="str">
            <v>Strat</v>
          </cell>
          <cell r="C12" t="str">
            <v>160208.IB</v>
          </cell>
          <cell r="D12">
            <v>750000000</v>
          </cell>
          <cell r="E12" t="str">
            <v>SDBC</v>
          </cell>
          <cell r="F12">
            <v>1.6469041095890313</v>
          </cell>
          <cell r="G12">
            <v>1.572383561643842</v>
          </cell>
          <cell r="H12">
            <v>558904.10958892026</v>
          </cell>
          <cell r="I12">
            <v>97.996799999999993</v>
          </cell>
          <cell r="J12">
            <v>98.114999999999995</v>
          </cell>
          <cell r="K12">
            <v>1445404.109588926</v>
          </cell>
          <cell r="L12">
            <v>98.043055294040798</v>
          </cell>
          <cell r="M12">
            <v>905818.81489494757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Strat_160215.IB</v>
          </cell>
          <cell r="B13" t="str">
            <v>Strat</v>
          </cell>
          <cell r="C13" t="str">
            <v>160215.IB</v>
          </cell>
          <cell r="D13">
            <v>200000000</v>
          </cell>
          <cell r="E13" t="str">
            <v>SDBC</v>
          </cell>
          <cell r="F13">
            <v>2.5773972602739725</v>
          </cell>
          <cell r="G13">
            <v>2.5047945205479483</v>
          </cell>
          <cell r="H13">
            <v>145205.47945204854</v>
          </cell>
          <cell r="I13">
            <v>96.940100000000001</v>
          </cell>
          <cell r="J13">
            <v>96.947900000000004</v>
          </cell>
          <cell r="K13">
            <v>160805.4794520477</v>
          </cell>
          <cell r="L13">
            <v>97.003249798207506</v>
          </cell>
          <cell r="M13">
            <v>271505.07586705073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Strat_170004.IB</v>
          </cell>
          <cell r="B14" t="str">
            <v>Strat</v>
          </cell>
          <cell r="C14" t="str">
            <v>170004.IB</v>
          </cell>
          <cell r="D14">
            <v>-280000000</v>
          </cell>
          <cell r="E14" t="str">
            <v>CGB</v>
          </cell>
          <cell r="F14">
            <v>0.57282608695652382</v>
          </cell>
          <cell r="G14">
            <v>0.48043478260868527</v>
          </cell>
          <cell r="H14">
            <v>-258695.65217394792</v>
          </cell>
          <cell r="I14">
            <v>98.670500000000004</v>
          </cell>
          <cell r="J14">
            <v>98.420599999999993</v>
          </cell>
          <cell r="K14">
            <v>441024.34782608011</v>
          </cell>
          <cell r="L14">
            <v>98.637593370013704</v>
          </cell>
          <cell r="M14">
            <v>-166557.08821231007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Strat_170013.IB</v>
          </cell>
          <cell r="B15" t="str">
            <v>Strat</v>
          </cell>
          <cell r="C15" t="str">
            <v>170013.IB</v>
          </cell>
          <cell r="D15">
            <v>300000000</v>
          </cell>
          <cell r="E15" t="str">
            <v>CGB</v>
          </cell>
          <cell r="F15">
            <v>1.0758904109589018</v>
          </cell>
          <cell r="G15">
            <v>0.97808219178081568</v>
          </cell>
          <cell r="H15">
            <v>293424.65753425838</v>
          </cell>
          <cell r="I15">
            <v>99.331400000000002</v>
          </cell>
          <cell r="J15">
            <v>99.238100000000003</v>
          </cell>
          <cell r="K15">
            <v>13524.657534271233</v>
          </cell>
          <cell r="L15">
            <v>99.125687212568806</v>
          </cell>
          <cell r="M15">
            <v>-323713.70475931873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Strat_170201.IB</v>
          </cell>
          <cell r="B16" t="str">
            <v>Strat</v>
          </cell>
          <cell r="C16" t="str">
            <v>170201.IB</v>
          </cell>
          <cell r="D16">
            <v>370000000</v>
          </cell>
          <cell r="E16" t="str">
            <v>SDBC</v>
          </cell>
          <cell r="F16">
            <v>2.8901369863013615</v>
          </cell>
          <cell r="G16">
            <v>2.7846575342465707</v>
          </cell>
          <cell r="H16">
            <v>390273.97260272602</v>
          </cell>
          <cell r="I16">
            <v>97.263900000000007</v>
          </cell>
          <cell r="J16">
            <v>97.179400000000001</v>
          </cell>
          <cell r="K16">
            <v>77623.972602688955</v>
          </cell>
          <cell r="L16">
            <v>97.391663643018504</v>
          </cell>
          <cell r="M16">
            <v>862999.45177114836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Strat_170205.IB</v>
          </cell>
          <cell r="B17" t="str">
            <v>Strat</v>
          </cell>
          <cell r="C17" t="str">
            <v>170205.IB</v>
          </cell>
          <cell r="D17">
            <v>70000000</v>
          </cell>
          <cell r="E17" t="str">
            <v>SDBC</v>
          </cell>
          <cell r="F17">
            <v>1.8496438356164324</v>
          </cell>
          <cell r="G17">
            <v>1.743342465753428</v>
          </cell>
          <cell r="H17">
            <v>74410.958904103099</v>
          </cell>
          <cell r="I17">
            <v>99.117800000000003</v>
          </cell>
          <cell r="J17">
            <v>99.075199999999995</v>
          </cell>
          <cell r="K17">
            <v>44590.95890409861</v>
          </cell>
          <cell r="L17">
            <v>99.047709118943999</v>
          </cell>
          <cell r="M17">
            <v>25347.342164901132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Strat_170210.IB</v>
          </cell>
          <cell r="B18" t="str">
            <v>Strat</v>
          </cell>
          <cell r="C18" t="str">
            <v>170210.IB</v>
          </cell>
          <cell r="D18">
            <v>-900000000</v>
          </cell>
          <cell r="E18" t="str">
            <v>SDBC</v>
          </cell>
          <cell r="F18">
            <v>2.0255342465753445</v>
          </cell>
          <cell r="G18">
            <v>1.9148493150684898</v>
          </cell>
          <cell r="H18">
            <v>-996164.38356169278</v>
          </cell>
          <cell r="I18">
            <v>97.966700000000003</v>
          </cell>
          <cell r="J18">
            <v>97.759900000000002</v>
          </cell>
          <cell r="K18">
            <v>865035.61643829395</v>
          </cell>
          <cell r="L18">
            <v>97.745541820550898</v>
          </cell>
          <cell r="M18">
            <v>994259.23148023104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Strat_170215.IB</v>
          </cell>
          <cell r="B19" t="str">
            <v>Strat</v>
          </cell>
          <cell r="C19" t="str">
            <v>170215.IB</v>
          </cell>
          <cell r="D19">
            <v>-130000000</v>
          </cell>
          <cell r="E19" t="str">
            <v>SDBC</v>
          </cell>
          <cell r="F19">
            <v>0.54597260273971937</v>
          </cell>
          <cell r="G19">
            <v>0.42980821917808498</v>
          </cell>
          <cell r="H19">
            <v>-151013.69863012471</v>
          </cell>
          <cell r="I19">
            <v>100.3908</v>
          </cell>
          <cell r="J19">
            <v>100.149</v>
          </cell>
          <cell r="K19">
            <v>163326.30136986665</v>
          </cell>
          <cell r="L19">
            <v>100.137079804282</v>
          </cell>
          <cell r="M19">
            <v>178822.55580327354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Strat_170405.IB</v>
          </cell>
          <cell r="B20" t="str">
            <v>Strat</v>
          </cell>
          <cell r="C20" t="str">
            <v>170405.IB</v>
          </cell>
          <cell r="D20">
            <v>470000000</v>
          </cell>
          <cell r="E20" t="str">
            <v>ADBCH</v>
          </cell>
          <cell r="F20">
            <v>2.9217808219178081</v>
          </cell>
          <cell r="G20">
            <v>2.8163013698630168</v>
          </cell>
          <cell r="H20">
            <v>495753.42465751892</v>
          </cell>
          <cell r="I20">
            <v>96.418000000000006</v>
          </cell>
          <cell r="J20">
            <v>96.238799999999998</v>
          </cell>
          <cell r="K20">
            <v>-346486.57534252817</v>
          </cell>
          <cell r="L20">
            <v>96.008666514576802</v>
          </cell>
          <cell r="M20">
            <v>-1428113.9568315463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Strat_170415.IB</v>
          </cell>
          <cell r="B21" t="str">
            <v>Strat</v>
          </cell>
          <cell r="C21" t="str">
            <v>170415.IB</v>
          </cell>
          <cell r="D21">
            <v>110000000</v>
          </cell>
          <cell r="E21" t="str">
            <v>ADBCH</v>
          </cell>
          <cell r="F21">
            <v>0.3848767123287633</v>
          </cell>
          <cell r="G21">
            <v>0.26460273972601644</v>
          </cell>
          <cell r="H21">
            <v>132301.36986302154</v>
          </cell>
          <cell r="I21">
            <v>100.5698</v>
          </cell>
          <cell r="J21">
            <v>100.3488</v>
          </cell>
          <cell r="K21">
            <v>-110798.63013698442</v>
          </cell>
          <cell r="L21">
            <v>100.279436488672</v>
          </cell>
          <cell r="M21">
            <v>-187098.49259777612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LM_170009.IB</v>
          </cell>
          <cell r="B22" t="str">
            <v>LM</v>
          </cell>
          <cell r="C22" t="str">
            <v>170009.IB</v>
          </cell>
          <cell r="D22">
            <v>50000000</v>
          </cell>
          <cell r="E22" t="str">
            <v>CGB</v>
          </cell>
          <cell r="F22">
            <v>1.4462465753424691</v>
          </cell>
          <cell r="G22">
            <v>1.3552876712328743</v>
          </cell>
          <cell r="H22">
            <v>45479.452054797417</v>
          </cell>
          <cell r="I22">
            <v>99.931799999999996</v>
          </cell>
          <cell r="J22">
            <v>99.917199999999994</v>
          </cell>
          <cell r="K22">
            <v>38179.452054797555</v>
          </cell>
          <cell r="L22">
            <v>99.9102285808072</v>
          </cell>
          <cell r="M22">
            <v>34693.742458400404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BMR_019568.SH</v>
          </cell>
          <cell r="B23" t="str">
            <v>BMR</v>
          </cell>
          <cell r="C23" t="str">
            <v>019568.SH</v>
          </cell>
          <cell r="D23">
            <v>10000000</v>
          </cell>
          <cell r="E23" t="str">
            <v>CGB</v>
          </cell>
          <cell r="F23">
            <v>0.84610958904109967</v>
          </cell>
          <cell r="G23">
            <v>0.75104109589041457</v>
          </cell>
          <cell r="H23">
            <v>9506.8493150685117</v>
          </cell>
          <cell r="I23">
            <v>99.438299999999998</v>
          </cell>
          <cell r="J23">
            <v>99.301100000000005</v>
          </cell>
          <cell r="K23">
            <v>-4213.1506849301559</v>
          </cell>
          <cell r="L23">
            <v>99.144996029244794</v>
          </cell>
          <cell r="M23">
            <v>-19823.547760451278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BMR_019569.SH</v>
          </cell>
          <cell r="B24" t="str">
            <v>BMR</v>
          </cell>
          <cell r="C24" t="str">
            <v>019569.SH</v>
          </cell>
          <cell r="D24">
            <v>60000000</v>
          </cell>
          <cell r="E24" t="str">
            <v>CGB</v>
          </cell>
          <cell r="F24">
            <v>0.86547945205479593</v>
          </cell>
          <cell r="G24">
            <v>0.7545205479452034</v>
          </cell>
          <cell r="H24">
            <v>66575.342465755515</v>
          </cell>
          <cell r="I24">
            <v>97.043899999999994</v>
          </cell>
          <cell r="J24">
            <v>96.797799999999995</v>
          </cell>
          <cell r="K24">
            <v>-81084.657534241414</v>
          </cell>
          <cell r="L24">
            <v>97.059999276920394</v>
          </cell>
          <cell r="M24">
            <v>76234.908617997658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BMR_019575.SH</v>
          </cell>
          <cell r="B25" t="str">
            <v>BMR</v>
          </cell>
          <cell r="C25" t="str">
            <v>019575.SH</v>
          </cell>
          <cell r="D25">
            <v>60000000</v>
          </cell>
          <cell r="E25" t="str">
            <v>CGB</v>
          </cell>
          <cell r="F25">
            <v>0.19208219178081798</v>
          </cell>
          <cell r="G25">
            <v>9.0986301369855305E-2</v>
          </cell>
          <cell r="H25">
            <v>60657.534246577605</v>
          </cell>
          <cell r="I25">
            <v>100.0333</v>
          </cell>
          <cell r="J25">
            <v>99.936999999999998</v>
          </cell>
          <cell r="K25">
            <v>2877.5342465747754</v>
          </cell>
          <cell r="L25">
            <v>100.04042800783201</v>
          </cell>
          <cell r="M25">
            <v>64934.338945779578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BMR_1700003.IB</v>
          </cell>
          <cell r="B26" t="str">
            <v>BMR</v>
          </cell>
          <cell r="C26" t="str">
            <v>1700003.IB</v>
          </cell>
          <cell r="D26">
            <v>80000000</v>
          </cell>
          <cell r="E26" t="str">
            <v>CGB</v>
          </cell>
          <cell r="F26">
            <v>0.20654794520547082</v>
          </cell>
          <cell r="G26">
            <v>0.10819178082190906</v>
          </cell>
          <cell r="H26">
            <v>78684.931506849403</v>
          </cell>
          <cell r="I26">
            <v>99.938199999999995</v>
          </cell>
          <cell r="J26">
            <v>99.793099999999995</v>
          </cell>
          <cell r="K26">
            <v>-37395.068493149352</v>
          </cell>
          <cell r="L26">
            <v>99.857423570219595</v>
          </cell>
          <cell r="M26">
            <v>14063.787682530205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BMR_170014.IB</v>
          </cell>
          <cell r="B27" t="str">
            <v>BMR</v>
          </cell>
          <cell r="C27" t="str">
            <v>170014.IB</v>
          </cell>
          <cell r="D27">
            <v>400000000</v>
          </cell>
          <cell r="E27" t="str">
            <v>CGB</v>
          </cell>
          <cell r="F27">
            <v>0.84610958904109967</v>
          </cell>
          <cell r="G27">
            <v>0.75104109589041457</v>
          </cell>
          <cell r="H27">
            <v>380273.97260274045</v>
          </cell>
          <cell r="I27">
            <v>99.438299999999998</v>
          </cell>
          <cell r="J27">
            <v>99.301100000000005</v>
          </cell>
          <cell r="K27">
            <v>-168526.02739720623</v>
          </cell>
          <cell r="L27">
            <v>99.226183936080602</v>
          </cell>
          <cell r="M27">
            <v>-468190.28307481855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BMR_170020.IB</v>
          </cell>
          <cell r="B28" t="str">
            <v>BMR</v>
          </cell>
          <cell r="C28" t="str">
            <v>170020.IB</v>
          </cell>
          <cell r="D28">
            <v>310000000</v>
          </cell>
          <cell r="E28" t="str">
            <v>CGB</v>
          </cell>
          <cell r="F28">
            <v>0.19208219178081798</v>
          </cell>
          <cell r="G28">
            <v>9.0986301369855305E-2</v>
          </cell>
          <cell r="H28">
            <v>313397.26027398428</v>
          </cell>
          <cell r="I28">
            <v>100.0333</v>
          </cell>
          <cell r="J28">
            <v>99.936999999999998</v>
          </cell>
          <cell r="K28">
            <v>14867.260273969674</v>
          </cell>
          <cell r="L28">
            <v>99.921346396683802</v>
          </cell>
          <cell r="M28">
            <v>-33658.910006236641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BMR_170210.IB</v>
          </cell>
          <cell r="B29" t="str">
            <v>BMR</v>
          </cell>
          <cell r="C29" t="str">
            <v>170210.IB</v>
          </cell>
          <cell r="D29">
            <v>-500000000</v>
          </cell>
          <cell r="E29" t="str">
            <v>SDBC</v>
          </cell>
          <cell r="F29">
            <v>2.0255342465753445</v>
          </cell>
          <cell r="G29">
            <v>1.9148493150684898</v>
          </cell>
          <cell r="H29">
            <v>-553424.65753427381</v>
          </cell>
          <cell r="I29">
            <v>97.966700000000003</v>
          </cell>
          <cell r="J29">
            <v>97.759900000000002</v>
          </cell>
          <cell r="K29">
            <v>480575.34246571886</v>
          </cell>
          <cell r="L29">
            <v>97.745541820550898</v>
          </cell>
          <cell r="M29">
            <v>552366.23971123947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BMR_170303.IB</v>
          </cell>
          <cell r="B30" t="str">
            <v>BMR</v>
          </cell>
          <cell r="C30" t="str">
            <v>170303.IB</v>
          </cell>
          <cell r="D30">
            <v>430000000</v>
          </cell>
          <cell r="E30" t="str">
            <v>EXIMCH</v>
          </cell>
          <cell r="F30">
            <v>2.2970958904109606</v>
          </cell>
          <cell r="G30">
            <v>2.1844931506849408</v>
          </cell>
          <cell r="H30">
            <v>484191.78082188539</v>
          </cell>
          <cell r="I30">
            <v>98.108099999999993</v>
          </cell>
          <cell r="J30">
            <v>97.813999999999993</v>
          </cell>
          <cell r="K30">
            <v>-780438.21917812712</v>
          </cell>
          <cell r="L30">
            <v>97.832746209977898</v>
          </cell>
          <cell r="M30">
            <v>-699829.51627313369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BMR_170309.IB</v>
          </cell>
          <cell r="B31" t="str">
            <v>BMR</v>
          </cell>
          <cell r="C31" t="str">
            <v>170309.IB</v>
          </cell>
          <cell r="D31">
            <v>140000000</v>
          </cell>
          <cell r="E31" t="str">
            <v>EXIMCH</v>
          </cell>
          <cell r="F31">
            <v>1.0359452054794493</v>
          </cell>
          <cell r="G31">
            <v>0.92334246575342949</v>
          </cell>
          <cell r="H31">
            <v>157643.83561642782</v>
          </cell>
          <cell r="I31">
            <v>99.086299999999994</v>
          </cell>
          <cell r="J31">
            <v>99.015600000000006</v>
          </cell>
          <cell r="K31">
            <v>58663.83561644586</v>
          </cell>
          <cell r="L31">
            <v>99.036459066307998</v>
          </cell>
          <cell r="M31">
            <v>87866.528447634279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BMR_170310.IB</v>
          </cell>
          <cell r="B32" t="str">
            <v>BMR</v>
          </cell>
          <cell r="C32" t="str">
            <v>170310.IB</v>
          </cell>
          <cell r="D32">
            <v>140000000</v>
          </cell>
          <cell r="E32" t="str">
            <v>EXIMCH</v>
          </cell>
          <cell r="F32">
            <v>0.70663013698630817</v>
          </cell>
          <cell r="G32">
            <v>0.59621917808219127</v>
          </cell>
          <cell r="H32">
            <v>154575.34246576365</v>
          </cell>
          <cell r="I32">
            <v>99.386899999999997</v>
          </cell>
          <cell r="J32">
            <v>99.348500000000001</v>
          </cell>
          <cell r="K32">
            <v>100815.34246576585</v>
          </cell>
          <cell r="L32">
            <v>99.347107465568598</v>
          </cell>
          <cell r="M32">
            <v>98865.794261801377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BMR_170405.IB</v>
          </cell>
          <cell r="B33" t="str">
            <v>BMR</v>
          </cell>
          <cell r="C33" t="str">
            <v>170405.IB</v>
          </cell>
          <cell r="D33">
            <v>250000000</v>
          </cell>
          <cell r="E33" t="str">
            <v>ADBCH</v>
          </cell>
          <cell r="F33">
            <v>2.9217808219178081</v>
          </cell>
          <cell r="G33">
            <v>2.8163013698630168</v>
          </cell>
          <cell r="H33">
            <v>263698.63013697811</v>
          </cell>
          <cell r="I33">
            <v>96.418000000000006</v>
          </cell>
          <cell r="J33">
            <v>96.238799999999998</v>
          </cell>
          <cell r="K33">
            <v>-184301.36986304692</v>
          </cell>
          <cell r="L33">
            <v>96.008666514576802</v>
          </cell>
          <cell r="M33">
            <v>-759635.0834210352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BMR_170415.IB</v>
          </cell>
          <cell r="B34" t="str">
            <v>BMR</v>
          </cell>
          <cell r="C34" t="str">
            <v>170415.IB</v>
          </cell>
          <cell r="D34">
            <v>50000000</v>
          </cell>
          <cell r="E34" t="str">
            <v>ADBCH</v>
          </cell>
          <cell r="F34">
            <v>0.3848767123287633</v>
          </cell>
          <cell r="G34">
            <v>0.26460273972601644</v>
          </cell>
          <cell r="H34">
            <v>60136.986301373428</v>
          </cell>
          <cell r="I34">
            <v>100.5698</v>
          </cell>
          <cell r="J34">
            <v>100.3488</v>
          </cell>
          <cell r="K34">
            <v>-50363.013698629278</v>
          </cell>
          <cell r="L34">
            <v>100.279436488672</v>
          </cell>
          <cell r="M34">
            <v>-85044.769362625506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BMH_019569.SH</v>
          </cell>
          <cell r="B35" t="str">
            <v>BMH</v>
          </cell>
          <cell r="C35" t="str">
            <v>019569.SH</v>
          </cell>
          <cell r="D35">
            <v>30000000</v>
          </cell>
          <cell r="E35" t="str">
            <v>CGB</v>
          </cell>
          <cell r="F35">
            <v>0.86547945205479593</v>
          </cell>
          <cell r="G35">
            <v>0.7545205479452034</v>
          </cell>
          <cell r="H35">
            <v>33287.671232877758</v>
          </cell>
          <cell r="I35">
            <v>97.043899999999994</v>
          </cell>
          <cell r="J35">
            <v>96.797799999999995</v>
          </cell>
          <cell r="K35">
            <v>-40542.328767120707</v>
          </cell>
          <cell r="L35">
            <v>97.059999276920394</v>
          </cell>
          <cell r="M35">
            <v>38117.454308998829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BMH_170020.IB</v>
          </cell>
          <cell r="B36" t="str">
            <v>BMH</v>
          </cell>
          <cell r="C36" t="str">
            <v>170020.IB</v>
          </cell>
          <cell r="D36">
            <v>150000000</v>
          </cell>
          <cell r="E36" t="str">
            <v>CGB</v>
          </cell>
          <cell r="F36">
            <v>0.19208219178081798</v>
          </cell>
          <cell r="G36">
            <v>9.0986301369855305E-2</v>
          </cell>
          <cell r="H36">
            <v>151643.835616444</v>
          </cell>
          <cell r="I36">
            <v>100.0333</v>
          </cell>
          <cell r="J36">
            <v>99.936999999999998</v>
          </cell>
          <cell r="K36">
            <v>7193.8356164369388</v>
          </cell>
          <cell r="L36">
            <v>99.921346396683802</v>
          </cell>
          <cell r="M36">
            <v>-16286.569357856441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BMH_170208.IB</v>
          </cell>
          <cell r="B37" t="str">
            <v>BMH</v>
          </cell>
          <cell r="C37" t="str">
            <v>170208.IB</v>
          </cell>
          <cell r="D37">
            <v>140000000</v>
          </cell>
          <cell r="E37" t="str">
            <v>SDBC</v>
          </cell>
          <cell r="F37">
            <v>0.58904109589041909</v>
          </cell>
          <cell r="G37">
            <v>0.47123287671233527</v>
          </cell>
          <cell r="H37">
            <v>164931.50684931735</v>
          </cell>
          <cell r="I37">
            <v>99.640699999999995</v>
          </cell>
          <cell r="J37">
            <v>99.552199999999999</v>
          </cell>
          <cell r="K37">
            <v>41031.506849327568</v>
          </cell>
          <cell r="L37">
            <v>99.610753239090897</v>
          </cell>
          <cell r="M37">
            <v>123006.04157658483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BMH_170215.IB</v>
          </cell>
          <cell r="B38" t="str">
            <v>BMH</v>
          </cell>
          <cell r="C38" t="str">
            <v>170215.IB</v>
          </cell>
          <cell r="D38">
            <v>-80000000</v>
          </cell>
          <cell r="E38" t="str">
            <v>SDBC</v>
          </cell>
          <cell r="F38">
            <v>0.54597260273971937</v>
          </cell>
          <cell r="G38">
            <v>0.42980821917808498</v>
          </cell>
          <cell r="H38">
            <v>-92931.506849307509</v>
          </cell>
          <cell r="I38">
            <v>100.3908</v>
          </cell>
          <cell r="J38">
            <v>100.149</v>
          </cell>
          <cell r="K38">
            <v>100508.49315068717</v>
          </cell>
          <cell r="L38">
            <v>100.137079804282</v>
          </cell>
          <cell r="M38">
            <v>110044.64972509141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BMH_170303.IB</v>
          </cell>
          <cell r="B39" t="str">
            <v>BMH</v>
          </cell>
          <cell r="C39" t="str">
            <v>170303.IB</v>
          </cell>
          <cell r="D39">
            <v>70000000</v>
          </cell>
          <cell r="E39" t="str">
            <v>EXIMCH</v>
          </cell>
          <cell r="F39">
            <v>2.2970958904109606</v>
          </cell>
          <cell r="G39">
            <v>2.1844931506849408</v>
          </cell>
          <cell r="H39">
            <v>78821.917808213911</v>
          </cell>
          <cell r="I39">
            <v>98.108099999999993</v>
          </cell>
          <cell r="J39">
            <v>97.813999999999993</v>
          </cell>
          <cell r="K39">
            <v>-127048.08219178814</v>
          </cell>
          <cell r="L39">
            <v>97.832746209977898</v>
          </cell>
          <cell r="M39">
            <v>-113925.73520725433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BMH_170309.IB</v>
          </cell>
          <cell r="B40" t="str">
            <v>BMH</v>
          </cell>
          <cell r="C40" t="str">
            <v>170309.IB</v>
          </cell>
          <cell r="D40">
            <v>180000000</v>
          </cell>
          <cell r="E40" t="str">
            <v>EXIMCH</v>
          </cell>
          <cell r="F40">
            <v>1.0359452054794493</v>
          </cell>
          <cell r="G40">
            <v>0.92334246575342949</v>
          </cell>
          <cell r="H40">
            <v>202684.93150683574</v>
          </cell>
          <cell r="I40">
            <v>99.086299999999994</v>
          </cell>
          <cell r="J40">
            <v>99.015600000000006</v>
          </cell>
          <cell r="K40">
            <v>75424.931506858964</v>
          </cell>
          <cell r="L40">
            <v>99.036459066307998</v>
          </cell>
          <cell r="M40">
            <v>112971.25086124407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BMH_170404.IB</v>
          </cell>
          <cell r="B41" t="str">
            <v>BMH</v>
          </cell>
          <cell r="C41" t="str">
            <v>170404.IB</v>
          </cell>
          <cell r="D41">
            <v>40000000</v>
          </cell>
          <cell r="E41" t="str">
            <v>ADBCH</v>
          </cell>
          <cell r="F41">
            <v>2.9066027397260275</v>
          </cell>
          <cell r="G41">
            <v>2.8016712328767124</v>
          </cell>
          <cell r="H41">
            <v>41972.602739726026</v>
          </cell>
          <cell r="I41">
            <v>97.112700000000004</v>
          </cell>
          <cell r="J41">
            <v>97.013199999999998</v>
          </cell>
          <cell r="K41">
            <v>2172.6027397228618</v>
          </cell>
          <cell r="L41">
            <v>96.577986540674502</v>
          </cell>
          <cell r="M41">
            <v>-171912.7809904755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Key</v>
          </cell>
          <cell r="B1" t="str">
            <v>Portfolio</v>
          </cell>
          <cell r="C1" t="str">
            <v>Bond</v>
          </cell>
          <cell r="D1" t="str">
            <v>Qty</v>
          </cell>
          <cell r="E1" t="str">
            <v>Start Price</v>
          </cell>
          <cell r="F1" t="str">
            <v>End Price</v>
          </cell>
          <cell r="G1" t="str">
            <v>EOD PnL</v>
          </cell>
        </row>
        <row r="2">
          <cell r="A2" t="str">
            <v>MMA_TF1712</v>
          </cell>
          <cell r="B2" t="str">
            <v>MMA</v>
          </cell>
          <cell r="C2" t="str">
            <v>TF1712</v>
          </cell>
          <cell r="D2">
            <v>-348</v>
          </cell>
          <cell r="E2">
            <v>97.694999999999993</v>
          </cell>
          <cell r="F2">
            <v>97.49</v>
          </cell>
          <cell r="G2">
            <v>713399.99999999406</v>
          </cell>
        </row>
        <row r="3">
          <cell r="A3" t="str">
            <v>MMA_T1803.IM</v>
          </cell>
          <cell r="B3" t="str">
            <v>MMA</v>
          </cell>
          <cell r="C3" t="str">
            <v>T1803.IM</v>
          </cell>
          <cell r="D3">
            <v>2</v>
          </cell>
          <cell r="E3">
            <v>0</v>
          </cell>
          <cell r="F3">
            <v>95.194999999999993</v>
          </cell>
          <cell r="G3">
            <v>1903899.9999999998</v>
          </cell>
        </row>
        <row r="4">
          <cell r="A4" t="str">
            <v>MMA_TF1803</v>
          </cell>
          <cell r="B4" t="str">
            <v>MMA</v>
          </cell>
          <cell r="C4" t="str">
            <v>TF1803</v>
          </cell>
          <cell r="D4">
            <v>-12</v>
          </cell>
          <cell r="E4">
            <v>97.93</v>
          </cell>
          <cell r="F4">
            <v>97.76</v>
          </cell>
          <cell r="G4">
            <v>20400.000000000204</v>
          </cell>
        </row>
        <row r="5">
          <cell r="A5" t="str">
            <v>MMA_T1712</v>
          </cell>
          <cell r="B5" t="str">
            <v>MMA</v>
          </cell>
          <cell r="C5" t="str">
            <v>T1712</v>
          </cell>
          <cell r="D5">
            <v>-39</v>
          </cell>
          <cell r="E5">
            <v>95.21</v>
          </cell>
          <cell r="F5">
            <v>94.905000000000001</v>
          </cell>
          <cell r="G5">
            <v>118949.99999999712</v>
          </cell>
        </row>
        <row r="6">
          <cell r="A6" t="str">
            <v>MMA_T1803</v>
          </cell>
          <cell r="B6" t="str">
            <v>MMA</v>
          </cell>
          <cell r="C6" t="str">
            <v>T1803</v>
          </cell>
          <cell r="D6">
            <v>-17</v>
          </cell>
          <cell r="E6">
            <v>95.45</v>
          </cell>
          <cell r="F6">
            <v>95.194999999999993</v>
          </cell>
          <cell r="G6">
            <v>43350.000000001644</v>
          </cell>
        </row>
        <row r="7">
          <cell r="A7" t="str">
            <v>STRAT_T1712</v>
          </cell>
          <cell r="B7" t="str">
            <v>STRAT</v>
          </cell>
          <cell r="C7" t="str">
            <v>T1712</v>
          </cell>
          <cell r="D7">
            <v>-100</v>
          </cell>
          <cell r="E7">
            <v>95.21</v>
          </cell>
          <cell r="F7">
            <v>94.905000000000001</v>
          </cell>
          <cell r="G7">
            <v>304999.99999999261</v>
          </cell>
        </row>
        <row r="8">
          <cell r="A8" t="str">
            <v>STRAT_TF1712</v>
          </cell>
          <cell r="B8" t="str">
            <v>STRAT</v>
          </cell>
          <cell r="C8" t="str">
            <v>TF1712</v>
          </cell>
          <cell r="D8">
            <v>-100</v>
          </cell>
          <cell r="E8">
            <v>97.694999999999993</v>
          </cell>
          <cell r="F8">
            <v>97.49</v>
          </cell>
          <cell r="G8">
            <v>204999.99999999828</v>
          </cell>
        </row>
        <row r="9">
          <cell r="A9" t="str">
            <v>EMZ_T1803</v>
          </cell>
          <cell r="B9" t="str">
            <v>EMZ</v>
          </cell>
          <cell r="C9" t="str">
            <v>T1803</v>
          </cell>
          <cell r="D9">
            <v>3</v>
          </cell>
          <cell r="E9">
            <v>95.45</v>
          </cell>
          <cell r="F9">
            <v>95.194999999999993</v>
          </cell>
          <cell r="G9">
            <v>-7650.0000000002901</v>
          </cell>
        </row>
        <row r="10">
          <cell r="A10" t="str">
            <v>EMZ_T1712</v>
          </cell>
          <cell r="B10" t="str">
            <v>EMZ</v>
          </cell>
          <cell r="C10" t="str">
            <v>T1712</v>
          </cell>
          <cell r="D10">
            <v>-23</v>
          </cell>
          <cell r="E10">
            <v>95.21</v>
          </cell>
          <cell r="F10">
            <v>94.905000000000001</v>
          </cell>
          <cell r="G10">
            <v>70149.999999998297</v>
          </cell>
        </row>
        <row r="11">
          <cell r="A11" t="str">
            <v>EMZ_T1803.IM</v>
          </cell>
          <cell r="B11" t="str">
            <v>EMZ</v>
          </cell>
          <cell r="C11" t="str">
            <v>T1803.IM</v>
          </cell>
          <cell r="D11">
            <v>-2</v>
          </cell>
          <cell r="E11">
            <v>0</v>
          </cell>
          <cell r="F11">
            <v>95.194999999999993</v>
          </cell>
          <cell r="G11">
            <v>-1903899.9999999998</v>
          </cell>
        </row>
        <row r="12">
          <cell r="A12" t="str">
            <v>EMZ_TF1712</v>
          </cell>
          <cell r="B12" t="str">
            <v>EMZ</v>
          </cell>
          <cell r="C12" t="str">
            <v>TF1712</v>
          </cell>
          <cell r="D12">
            <v>79</v>
          </cell>
          <cell r="E12">
            <v>97.694999999999993</v>
          </cell>
          <cell r="F12">
            <v>97.49</v>
          </cell>
          <cell r="G12">
            <v>-161949.99999999866</v>
          </cell>
        </row>
        <row r="13">
          <cell r="A13" t="str">
            <v>EMZ_TF1803</v>
          </cell>
          <cell r="B13" t="str">
            <v>EMZ</v>
          </cell>
          <cell r="C13" t="str">
            <v>TF1803</v>
          </cell>
          <cell r="D13">
            <v>-35</v>
          </cell>
          <cell r="E13">
            <v>97.93</v>
          </cell>
          <cell r="F13">
            <v>97.76</v>
          </cell>
          <cell r="G13">
            <v>59500.000000000597</v>
          </cell>
        </row>
        <row r="14">
          <cell r="A14" t="str">
            <v>BMR_T1712</v>
          </cell>
          <cell r="B14" t="str">
            <v>BMR</v>
          </cell>
          <cell r="C14" t="str">
            <v>T1712</v>
          </cell>
          <cell r="D14">
            <v>-234</v>
          </cell>
          <cell r="E14">
            <v>95.21</v>
          </cell>
          <cell r="F14">
            <v>94.905000000000001</v>
          </cell>
          <cell r="G14">
            <v>713699.99999998265</v>
          </cell>
        </row>
        <row r="15">
          <cell r="A15" t="str">
            <v>BMR_TF1712</v>
          </cell>
          <cell r="B15" t="str">
            <v>BMR</v>
          </cell>
          <cell r="C15" t="str">
            <v>TF1712</v>
          </cell>
          <cell r="D15">
            <v>-220</v>
          </cell>
          <cell r="E15">
            <v>97.694999999999993</v>
          </cell>
          <cell r="F15">
            <v>97.49</v>
          </cell>
          <cell r="G15">
            <v>450999.99999999627</v>
          </cell>
        </row>
        <row r="16">
          <cell r="A16" t="str">
            <v>BMR_T1803</v>
          </cell>
          <cell r="B16" t="str">
            <v>BMR</v>
          </cell>
          <cell r="C16" t="str">
            <v>T1803</v>
          </cell>
          <cell r="D16">
            <v>34</v>
          </cell>
          <cell r="E16">
            <v>95.45</v>
          </cell>
          <cell r="F16">
            <v>95.194999999999993</v>
          </cell>
          <cell r="G16">
            <v>-86700.000000003289</v>
          </cell>
        </row>
        <row r="17">
          <cell r="A17" t="str">
            <v>BMR_T1806.IM</v>
          </cell>
          <cell r="B17" t="str">
            <v>BMR</v>
          </cell>
          <cell r="C17" t="str">
            <v>T1806.IM</v>
          </cell>
          <cell r="D17">
            <v>1</v>
          </cell>
          <cell r="E17">
            <v>0</v>
          </cell>
          <cell r="F17">
            <v>95.29</v>
          </cell>
          <cell r="G17">
            <v>952900.00000000012</v>
          </cell>
        </row>
        <row r="18">
          <cell r="A18" t="str">
            <v>BMR_TF1712</v>
          </cell>
          <cell r="B18" t="str">
            <v>BMR</v>
          </cell>
          <cell r="C18" t="str">
            <v>TF1712</v>
          </cell>
          <cell r="D18">
            <v>-76</v>
          </cell>
          <cell r="E18">
            <v>97.694999999999993</v>
          </cell>
          <cell r="F18">
            <v>97.49</v>
          </cell>
          <cell r="G18">
            <v>155799.99999999869</v>
          </cell>
        </row>
        <row r="19">
          <cell r="A19" t="str">
            <v>BMR_TF1803</v>
          </cell>
          <cell r="B19" t="str">
            <v>BMR</v>
          </cell>
          <cell r="C19" t="str">
            <v>TF1803</v>
          </cell>
          <cell r="D19">
            <v>6</v>
          </cell>
          <cell r="E19">
            <v>97.93</v>
          </cell>
          <cell r="F19">
            <v>97.76</v>
          </cell>
          <cell r="G19">
            <v>-10200.000000000102</v>
          </cell>
        </row>
        <row r="20">
          <cell r="A20" t="str">
            <v>BMR_T1712</v>
          </cell>
          <cell r="B20" t="str">
            <v>BMR</v>
          </cell>
          <cell r="C20" t="str">
            <v>T1712</v>
          </cell>
          <cell r="D20">
            <v>-300</v>
          </cell>
          <cell r="E20">
            <v>95.21</v>
          </cell>
          <cell r="F20">
            <v>94.905000000000001</v>
          </cell>
          <cell r="G20">
            <v>914999.99999997788</v>
          </cell>
        </row>
        <row r="21">
          <cell r="A21" t="str">
            <v>BMH_T1806</v>
          </cell>
          <cell r="B21" t="str">
            <v>BMH</v>
          </cell>
          <cell r="C21" t="str">
            <v>T1806</v>
          </cell>
          <cell r="D21">
            <v>1</v>
          </cell>
          <cell r="E21">
            <v>95.504999999999995</v>
          </cell>
          <cell r="F21">
            <v>95.29</v>
          </cell>
          <cell r="G21">
            <v>-2149.9999999998918</v>
          </cell>
        </row>
        <row r="22">
          <cell r="A22" t="str">
            <v>BMH_T1806.IM</v>
          </cell>
          <cell r="B22" t="str">
            <v>BMH</v>
          </cell>
          <cell r="C22" t="str">
            <v>T1806.IM</v>
          </cell>
          <cell r="D22">
            <v>-1</v>
          </cell>
          <cell r="E22">
            <v>0</v>
          </cell>
          <cell r="F22">
            <v>95.29</v>
          </cell>
          <cell r="G22">
            <v>-952900.00000000012</v>
          </cell>
        </row>
        <row r="23">
          <cell r="A23" t="str">
            <v>BMH_TF1712</v>
          </cell>
          <cell r="B23" t="str">
            <v>BMH</v>
          </cell>
          <cell r="C23" t="str">
            <v>TF1712</v>
          </cell>
          <cell r="D23">
            <v>-147</v>
          </cell>
          <cell r="E23">
            <v>97.694999999999993</v>
          </cell>
          <cell r="F23">
            <v>97.49</v>
          </cell>
          <cell r="G23">
            <v>301349.9999999975</v>
          </cell>
        </row>
        <row r="24">
          <cell r="A24" t="str">
            <v>BMH_T1712</v>
          </cell>
          <cell r="B24" t="str">
            <v>BMH</v>
          </cell>
          <cell r="C24" t="str">
            <v>T1712</v>
          </cell>
          <cell r="D24">
            <v>-215</v>
          </cell>
          <cell r="E24">
            <v>95.21</v>
          </cell>
          <cell r="F24">
            <v>94.905000000000001</v>
          </cell>
          <cell r="G24">
            <v>655749.99999998417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N22"/>
  <sheetViews>
    <sheetView tabSelected="1" workbookViewId="0">
      <selection activeCell="I20" sqref="I20"/>
    </sheetView>
  </sheetViews>
  <sheetFormatPr defaultRowHeight="13.5"/>
  <cols>
    <col min="3" max="4" width="12.75" bestFit="1" customWidth="1"/>
    <col min="5" max="5" width="11.625" bestFit="1" customWidth="1"/>
    <col min="6" max="8" width="12.75" bestFit="1" customWidth="1"/>
    <col min="9" max="9" width="11.625" bestFit="1" customWidth="1"/>
    <col min="10" max="14" width="12.75" bestFit="1" customWidth="1"/>
  </cols>
  <sheetData>
    <row r="1" spans="1:14">
      <c r="A1" s="10"/>
      <c r="B1" s="10"/>
      <c r="C1" s="12" t="s">
        <v>25</v>
      </c>
      <c r="D1" s="12"/>
      <c r="E1" s="12"/>
      <c r="F1" s="12"/>
      <c r="G1" s="13" t="s">
        <v>92</v>
      </c>
      <c r="H1" s="13"/>
      <c r="I1" s="13"/>
      <c r="J1" s="13"/>
      <c r="K1" s="11" t="s">
        <v>26</v>
      </c>
      <c r="L1" s="11"/>
      <c r="M1" s="11"/>
      <c r="N1" s="11"/>
    </row>
    <row r="2" spans="1:14">
      <c r="A2" s="10"/>
      <c r="B2" s="10"/>
      <c r="C2" s="12"/>
      <c r="D2" s="12"/>
      <c r="E2" s="12"/>
      <c r="F2" s="12"/>
      <c r="G2" s="13" t="s">
        <v>98</v>
      </c>
      <c r="H2" s="13"/>
      <c r="I2" s="13"/>
      <c r="J2" s="13"/>
      <c r="K2" s="11" t="s">
        <v>28</v>
      </c>
      <c r="L2" s="11"/>
      <c r="M2" s="11"/>
      <c r="N2" s="11"/>
    </row>
    <row r="3" spans="1:14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2</v>
      </c>
      <c r="H3" s="2" t="s">
        <v>3</v>
      </c>
      <c r="I3" s="2" t="s">
        <v>4</v>
      </c>
      <c r="J3" s="2" t="s">
        <v>5</v>
      </c>
      <c r="K3" s="3" t="s">
        <v>2</v>
      </c>
      <c r="L3" s="3" t="s">
        <v>3</v>
      </c>
      <c r="M3" s="3" t="s">
        <v>4</v>
      </c>
      <c r="N3" s="3" t="s">
        <v>5</v>
      </c>
    </row>
    <row r="4" spans="1:14">
      <c r="A4" s="1" t="s">
        <v>7</v>
      </c>
      <c r="B4" s="2" t="s">
        <v>27</v>
      </c>
      <c r="C4" s="6">
        <f t="shared" ref="C4:C22" si="0">IFERROR((K4-G4)/K4,"")</f>
        <v>-8.6942606675820835E-2</v>
      </c>
      <c r="D4" s="6">
        <f t="shared" ref="D4:D22" si="1">IFERROR((L4-H4)/L4,"")</f>
        <v>-4.6391489711476705E-2</v>
      </c>
      <c r="E4" s="6" t="str">
        <f t="shared" ref="E4:E22" si="2">IFERROR((M4-I4)/M4,"")</f>
        <v/>
      </c>
      <c r="F4" s="6" t="str">
        <f t="shared" ref="F4:F22" si="3">IFERROR((N4-J4)/N4,"")</f>
        <v/>
      </c>
      <c r="G4" s="4">
        <f>IFERROR(VLOOKUP($A4,[1]Sheet1!$A$1:$G$32,3,FALSE),0)</f>
        <v>-127906.63289193055</v>
      </c>
      <c r="H4" s="4">
        <f>IFERROR(VLOOKUP($A4,[1]Sheet1!$A$1:$G$32,4,FALSE),0)</f>
        <v>-291105.78214969963</v>
      </c>
      <c r="I4" s="4">
        <f>IFERROR(VLOOKUP($A4,[1]Sheet1!$A$1:$G$32,5,FALSE),0)</f>
        <v>0</v>
      </c>
      <c r="J4" s="4">
        <f>IFERROR(VLOOKUP($A4,[1]Sheet1!$A$1:$G$32,6,FALSE),0)</f>
        <v>0</v>
      </c>
      <c r="K4" s="4">
        <f>IFERROR(VLOOKUP($A4,[2]Sheet1!$A$1:$G$32,3,FALSE),0)</f>
        <v>-117675.60872703791</v>
      </c>
      <c r="L4" s="4">
        <f>IFERROR(VLOOKUP($A4,[2]Sheet1!$A$1:$G$32,4,FALSE),0)</f>
        <v>-278199.68435519934</v>
      </c>
      <c r="M4" s="4">
        <f>IFERROR(VLOOKUP($A4,[2]Sheet1!$A$1:$G$32,5,FALSE),0)</f>
        <v>0</v>
      </c>
      <c r="N4" s="4">
        <f>IFERROR(VLOOKUP($A4,[2]Sheet1!$A$1:$G$32,6,FALSE),0)</f>
        <v>0</v>
      </c>
    </row>
    <row r="5" spans="1:14">
      <c r="A5" s="1" t="s">
        <v>14</v>
      </c>
      <c r="B5" s="2" t="s">
        <v>27</v>
      </c>
      <c r="C5" s="6" t="str">
        <f t="shared" si="0"/>
        <v/>
      </c>
      <c r="D5" s="6" t="str">
        <f t="shared" si="1"/>
        <v/>
      </c>
      <c r="E5" s="6" t="str">
        <f t="shared" si="2"/>
        <v/>
      </c>
      <c r="F5" s="6" t="str">
        <f t="shared" si="3"/>
        <v/>
      </c>
      <c r="G5" s="4">
        <f>IFERROR(VLOOKUP($A5,[1]Sheet1!$A$1:$G$32,3,FALSE),0)</f>
        <v>0</v>
      </c>
      <c r="H5" s="4">
        <f>IFERROR(VLOOKUP($A5,[1]Sheet1!$A$1:$G$32,4,FALSE),0)</f>
        <v>0</v>
      </c>
      <c r="I5" s="4">
        <f>IFERROR(VLOOKUP($A5,[1]Sheet1!$A$1:$G$32,5,FALSE),0)</f>
        <v>0</v>
      </c>
      <c r="J5" s="4">
        <f>IFERROR(VLOOKUP($A5,[1]Sheet1!$A$1:$G$32,6,FALSE),0)</f>
        <v>0</v>
      </c>
      <c r="K5" s="4">
        <f>IFERROR(VLOOKUP($A5,[2]Sheet1!$A$1:$G$32,3,FALSE),0)</f>
        <v>0</v>
      </c>
      <c r="L5" s="4">
        <f>IFERROR(VLOOKUP($A5,[2]Sheet1!$A$1:$G$32,4,FALSE),0)</f>
        <v>0</v>
      </c>
      <c r="M5" s="4">
        <f>IFERROR(VLOOKUP($A5,[2]Sheet1!$A$1:$G$32,5,FALSE),0)</f>
        <v>0</v>
      </c>
      <c r="N5" s="4">
        <f>IFERROR(VLOOKUP($A5,[2]Sheet1!$A$1:$G$32,6,FALSE),0)</f>
        <v>0</v>
      </c>
    </row>
    <row r="6" spans="1:14">
      <c r="A6" s="1" t="s">
        <v>15</v>
      </c>
      <c r="B6" s="2" t="s">
        <v>27</v>
      </c>
      <c r="C6" s="6" t="str">
        <f t="shared" si="0"/>
        <v/>
      </c>
      <c r="D6" s="6" t="str">
        <f t="shared" si="1"/>
        <v/>
      </c>
      <c r="E6" s="6" t="str">
        <f t="shared" si="2"/>
        <v/>
      </c>
      <c r="F6" s="6" t="str">
        <f t="shared" si="3"/>
        <v/>
      </c>
      <c r="G6" s="4">
        <f>IFERROR(VLOOKUP($A6,[1]Sheet1!$A$1:$G$32,3,FALSE),0)</f>
        <v>0</v>
      </c>
      <c r="H6" s="4">
        <f>IFERROR(VLOOKUP($A6,[1]Sheet1!$A$1:$G$32,4,FALSE),0)</f>
        <v>0</v>
      </c>
      <c r="I6" s="4">
        <f>IFERROR(VLOOKUP($A6,[1]Sheet1!$A$1:$G$32,5,FALSE),0)</f>
        <v>0</v>
      </c>
      <c r="J6" s="4">
        <f>IFERROR(VLOOKUP($A6,[1]Sheet1!$A$1:$G$32,6,FALSE),0)</f>
        <v>0</v>
      </c>
      <c r="K6" s="4">
        <f>IFERROR(VLOOKUP($A6,[2]Sheet1!$A$1:$G$32,3,FALSE),0)</f>
        <v>0</v>
      </c>
      <c r="L6" s="4">
        <f>IFERROR(VLOOKUP($A6,[2]Sheet1!$A$1:$G$32,4,FALSE),0)</f>
        <v>0</v>
      </c>
      <c r="M6" s="4">
        <f>IFERROR(VLOOKUP($A6,[2]Sheet1!$A$1:$G$32,5,FALSE),0)</f>
        <v>0</v>
      </c>
      <c r="N6" s="4">
        <f>IFERROR(VLOOKUP($A6,[2]Sheet1!$A$1:$G$32,6,FALSE),0)</f>
        <v>0</v>
      </c>
    </row>
    <row r="7" spans="1:14">
      <c r="A7" s="1" t="s">
        <v>16</v>
      </c>
      <c r="B7" s="2" t="s">
        <v>27</v>
      </c>
      <c r="C7" s="6" t="str">
        <f t="shared" si="0"/>
        <v/>
      </c>
      <c r="D7" s="6" t="str">
        <f t="shared" si="1"/>
        <v/>
      </c>
      <c r="E7" s="6" t="str">
        <f t="shared" si="2"/>
        <v/>
      </c>
      <c r="F7" s="6" t="str">
        <f t="shared" si="3"/>
        <v/>
      </c>
      <c r="G7" s="4">
        <f>IFERROR(VLOOKUP($A7,[1]Sheet1!$A$1:$G$32,3,FALSE),0)</f>
        <v>0</v>
      </c>
      <c r="H7" s="4">
        <f>IFERROR(VLOOKUP($A7,[1]Sheet1!$A$1:$G$32,4,FALSE),0)</f>
        <v>0</v>
      </c>
      <c r="I7" s="4">
        <f>IFERROR(VLOOKUP($A7,[1]Sheet1!$A$1:$G$32,5,FALSE),0)</f>
        <v>0</v>
      </c>
      <c r="J7" s="4">
        <f>IFERROR(VLOOKUP($A7,[1]Sheet1!$A$1:$G$32,6,FALSE),0)</f>
        <v>0</v>
      </c>
      <c r="K7" s="4">
        <f>IFERROR(VLOOKUP($A7,[2]Sheet1!$A$1:$G$32,3,FALSE),0)</f>
        <v>0</v>
      </c>
      <c r="L7" s="4">
        <f>IFERROR(VLOOKUP($A7,[2]Sheet1!$A$1:$G$32,4,FALSE),0)</f>
        <v>0</v>
      </c>
      <c r="M7" s="4">
        <f>IFERROR(VLOOKUP($A7,[2]Sheet1!$A$1:$G$32,5,FALSE),0)</f>
        <v>0</v>
      </c>
      <c r="N7" s="4">
        <f>IFERROR(VLOOKUP($A7,[2]Sheet1!$A$1:$G$32,6,FALSE),0)</f>
        <v>0</v>
      </c>
    </row>
    <row r="8" spans="1:14">
      <c r="A8" s="1" t="s">
        <v>17</v>
      </c>
      <c r="B8" s="2" t="s">
        <v>27</v>
      </c>
      <c r="C8" s="6" t="str">
        <f t="shared" si="0"/>
        <v/>
      </c>
      <c r="D8" s="6" t="str">
        <f t="shared" si="1"/>
        <v/>
      </c>
      <c r="E8" s="6" t="str">
        <f t="shared" si="2"/>
        <v/>
      </c>
      <c r="F8" s="6" t="str">
        <f t="shared" si="3"/>
        <v/>
      </c>
      <c r="G8" s="4">
        <f>IFERROR(VLOOKUP($A8,[1]Sheet1!$A$1:$G$32,3,FALSE),0)</f>
        <v>0</v>
      </c>
      <c r="H8" s="4">
        <f>IFERROR(VLOOKUP($A8,[1]Sheet1!$A$1:$G$32,4,FALSE),0)</f>
        <v>0</v>
      </c>
      <c r="I8" s="4">
        <f>IFERROR(VLOOKUP($A8,[1]Sheet1!$A$1:$G$32,5,FALSE),0)</f>
        <v>0</v>
      </c>
      <c r="J8" s="4">
        <f>IFERROR(VLOOKUP($A8,[1]Sheet1!$A$1:$G$32,6,FALSE),0)</f>
        <v>0</v>
      </c>
      <c r="K8" s="4">
        <f>IFERROR(VLOOKUP($A8,[2]Sheet1!$A$1:$G$32,3,FALSE),0)</f>
        <v>0</v>
      </c>
      <c r="L8" s="4">
        <f>IFERROR(VLOOKUP($A8,[2]Sheet1!$A$1:$G$32,4,FALSE),0)</f>
        <v>0</v>
      </c>
      <c r="M8" s="4">
        <f>IFERROR(VLOOKUP($A8,[2]Sheet1!$A$1:$G$32,5,FALSE),0)</f>
        <v>0</v>
      </c>
      <c r="N8" s="4">
        <f>IFERROR(VLOOKUP($A8,[2]Sheet1!$A$1:$G$32,6,FALSE),0)</f>
        <v>0</v>
      </c>
    </row>
    <row r="9" spans="1:14">
      <c r="A9" s="1" t="s">
        <v>18</v>
      </c>
      <c r="B9" s="2" t="s">
        <v>27</v>
      </c>
      <c r="C9" s="6">
        <f t="shared" si="0"/>
        <v>-0.18166674547041525</v>
      </c>
      <c r="D9" s="6">
        <f t="shared" si="1"/>
        <v>-9.2851818040335835E-2</v>
      </c>
      <c r="E9" s="6">
        <f t="shared" si="2"/>
        <v>-5.4800122036038013E-2</v>
      </c>
      <c r="F9" s="6" t="str">
        <f t="shared" si="3"/>
        <v/>
      </c>
      <c r="G9" s="4">
        <f>IFERROR(VLOOKUP($A9,[1]Sheet1!$A$1:$G$32,3,FALSE),0)</f>
        <v>19439.205087894603</v>
      </c>
      <c r="H9" s="4">
        <f>IFERROR(VLOOKUP($A9,[1]Sheet1!$A$1:$G$32,4,FALSE),0)</f>
        <v>356703.95364404249</v>
      </c>
      <c r="I9" s="4">
        <f>IFERROR(VLOOKUP($A9,[1]Sheet1!$A$1:$G$32,5,FALSE),0)</f>
        <v>-463955.60162478307</v>
      </c>
      <c r="J9" s="4">
        <f>IFERROR(VLOOKUP($A9,[1]Sheet1!$A$1:$G$32,6,FALSE),0)</f>
        <v>0</v>
      </c>
      <c r="K9" s="4">
        <f>IFERROR(VLOOKUP($A9,[2]Sheet1!$A$1:$G$32,3,FALSE),0)</f>
        <v>16450.666114121675</v>
      </c>
      <c r="L9" s="4">
        <f>IFERROR(VLOOKUP($A9,[2]Sheet1!$A$1:$G$32,4,FALSE),0)</f>
        <v>326397.36490869522</v>
      </c>
      <c r="M9" s="4">
        <f>IFERROR(VLOOKUP($A9,[2]Sheet1!$A$1:$G$32,5,FALSE),0)</f>
        <v>-439851.6760969162</v>
      </c>
      <c r="N9" s="4">
        <f>IFERROR(VLOOKUP($A9,[2]Sheet1!$A$1:$G$32,6,FALSE),0)</f>
        <v>0</v>
      </c>
    </row>
    <row r="10" spans="1:14">
      <c r="A10" s="1" t="s">
        <v>19</v>
      </c>
      <c r="B10" s="2" t="s">
        <v>27</v>
      </c>
      <c r="C10" s="6" t="str">
        <f t="shared" si="0"/>
        <v/>
      </c>
      <c r="D10" s="6" t="str">
        <f t="shared" si="1"/>
        <v/>
      </c>
      <c r="E10" s="6" t="str">
        <f t="shared" si="2"/>
        <v/>
      </c>
      <c r="F10" s="6" t="str">
        <f t="shared" si="3"/>
        <v/>
      </c>
      <c r="G10" s="4">
        <f>IFERROR(VLOOKUP($A10,[1]Sheet1!$A$1:$G$32,3,FALSE),0)</f>
        <v>0</v>
      </c>
      <c r="H10" s="4">
        <f>IFERROR(VLOOKUP($A10,[1]Sheet1!$A$1:$G$32,4,FALSE),0)</f>
        <v>0</v>
      </c>
      <c r="I10" s="4">
        <f>IFERROR(VLOOKUP($A10,[1]Sheet1!$A$1:$G$32,5,FALSE),0)</f>
        <v>0</v>
      </c>
      <c r="J10" s="4">
        <f>IFERROR(VLOOKUP($A10,[1]Sheet1!$A$1:$G$32,6,FALSE),0)</f>
        <v>0</v>
      </c>
      <c r="K10" s="4">
        <f>IFERROR(VLOOKUP($A10,[2]Sheet1!$A$1:$G$32,3,FALSE),0)</f>
        <v>0</v>
      </c>
      <c r="L10" s="4">
        <f>IFERROR(VLOOKUP($A10,[2]Sheet1!$A$1:$G$32,4,FALSE),0)</f>
        <v>0</v>
      </c>
      <c r="M10" s="4">
        <f>IFERROR(VLOOKUP($A10,[2]Sheet1!$A$1:$G$32,5,FALSE),0)</f>
        <v>0</v>
      </c>
      <c r="N10" s="4">
        <f>IFERROR(VLOOKUP($A10,[2]Sheet1!$A$1:$G$32,6,FALSE),0)</f>
        <v>0</v>
      </c>
    </row>
    <row r="11" spans="1:14">
      <c r="A11" s="1" t="s">
        <v>12</v>
      </c>
      <c r="B11" s="2" t="s">
        <v>27</v>
      </c>
      <c r="C11" s="6" t="str">
        <f t="shared" si="0"/>
        <v/>
      </c>
      <c r="D11" s="6" t="str">
        <f t="shared" si="1"/>
        <v/>
      </c>
      <c r="E11" s="6" t="str">
        <f t="shared" si="2"/>
        <v/>
      </c>
      <c r="F11" s="6" t="str">
        <f t="shared" si="3"/>
        <v/>
      </c>
      <c r="G11" s="4">
        <f>IFERROR(VLOOKUP($A11,[1]Sheet1!$A$1:$G$32,3,FALSE),0)</f>
        <v>0</v>
      </c>
      <c r="H11" s="4">
        <f>IFERROR(VLOOKUP($A11,[1]Sheet1!$A$1:$G$32,4,FALSE),0)</f>
        <v>0</v>
      </c>
      <c r="I11" s="4">
        <f>IFERROR(VLOOKUP($A11,[1]Sheet1!$A$1:$G$32,5,FALSE),0)</f>
        <v>0</v>
      </c>
      <c r="J11" s="4">
        <f>IFERROR(VLOOKUP($A11,[1]Sheet1!$A$1:$G$32,6,FALSE),0)</f>
        <v>0</v>
      </c>
      <c r="K11" s="4">
        <f>IFERROR(VLOOKUP($A11,[2]Sheet1!$A$1:$G$32,3,FALSE),0)</f>
        <v>0</v>
      </c>
      <c r="L11" s="4">
        <f>IFERROR(VLOOKUP($A11,[2]Sheet1!$A$1:$G$32,4,FALSE),0)</f>
        <v>0</v>
      </c>
      <c r="M11" s="4">
        <f>IFERROR(VLOOKUP($A11,[2]Sheet1!$A$1:$G$32,5,FALSE),0)</f>
        <v>0</v>
      </c>
      <c r="N11" s="4">
        <f>IFERROR(VLOOKUP($A11,[2]Sheet1!$A$1:$G$32,6,FALSE),0)</f>
        <v>0</v>
      </c>
    </row>
    <row r="12" spans="1:14">
      <c r="A12" s="1" t="s">
        <v>13</v>
      </c>
      <c r="B12" s="2" t="s">
        <v>27</v>
      </c>
      <c r="C12" s="6" t="str">
        <f t="shared" si="0"/>
        <v/>
      </c>
      <c r="D12" s="6" t="str">
        <f t="shared" si="1"/>
        <v/>
      </c>
      <c r="E12" s="6" t="str">
        <f t="shared" si="2"/>
        <v/>
      </c>
      <c r="F12" s="6" t="str">
        <f t="shared" si="3"/>
        <v/>
      </c>
      <c r="G12" s="4">
        <f>IFERROR(VLOOKUP($A12,[1]Sheet1!$A$1:$G$32,3,FALSE),0)</f>
        <v>0</v>
      </c>
      <c r="H12" s="4">
        <f>IFERROR(VLOOKUP($A12,[1]Sheet1!$A$1:$G$32,4,FALSE),0)</f>
        <v>0</v>
      </c>
      <c r="I12" s="4">
        <f>IFERROR(VLOOKUP($A12,[1]Sheet1!$A$1:$G$32,5,FALSE),0)</f>
        <v>0</v>
      </c>
      <c r="J12" s="4">
        <f>IFERROR(VLOOKUP($A12,[1]Sheet1!$A$1:$G$32,6,FALSE),0)</f>
        <v>0</v>
      </c>
      <c r="K12" s="4">
        <f>IFERROR(VLOOKUP($A12,[2]Sheet1!$A$1:$G$32,3,FALSE),0)</f>
        <v>0</v>
      </c>
      <c r="L12" s="4">
        <f>IFERROR(VLOOKUP($A12,[2]Sheet1!$A$1:$G$32,4,FALSE),0)</f>
        <v>0</v>
      </c>
      <c r="M12" s="4">
        <f>IFERROR(VLOOKUP($A12,[2]Sheet1!$A$1:$G$32,5,FALSE),0)</f>
        <v>0</v>
      </c>
      <c r="N12" s="4">
        <f>IFERROR(VLOOKUP($A12,[2]Sheet1!$A$1:$G$32,6,FALSE),0)</f>
        <v>0</v>
      </c>
    </row>
    <row r="13" spans="1:14">
      <c r="A13" s="1" t="s">
        <v>11</v>
      </c>
      <c r="B13" s="2" t="s">
        <v>27</v>
      </c>
      <c r="C13" s="6" t="str">
        <f t="shared" si="0"/>
        <v/>
      </c>
      <c r="D13" s="6" t="str">
        <f t="shared" si="1"/>
        <v/>
      </c>
      <c r="E13" s="6" t="str">
        <f t="shared" si="2"/>
        <v/>
      </c>
      <c r="F13" s="6" t="str">
        <f t="shared" si="3"/>
        <v/>
      </c>
      <c r="G13" s="4">
        <f>IFERROR(VLOOKUP($A13,[1]Sheet1!$A$1:$G$32,3,FALSE),0)</f>
        <v>0</v>
      </c>
      <c r="H13" s="4">
        <f>IFERROR(VLOOKUP($A13,[1]Sheet1!$A$1:$G$32,4,FALSE),0)</f>
        <v>0</v>
      </c>
      <c r="I13" s="4">
        <f>IFERROR(VLOOKUP($A13,[1]Sheet1!$A$1:$G$32,5,FALSE),0)</f>
        <v>0</v>
      </c>
      <c r="J13" s="4">
        <f>IFERROR(VLOOKUP($A13,[1]Sheet1!$A$1:$G$32,6,FALSE),0)</f>
        <v>0</v>
      </c>
      <c r="K13" s="4">
        <f>IFERROR(VLOOKUP($A13,[2]Sheet1!$A$1:$G$32,3,FALSE),0)</f>
        <v>0</v>
      </c>
      <c r="L13" s="4">
        <f>IFERROR(VLOOKUP($A13,[2]Sheet1!$A$1:$G$32,4,FALSE),0)</f>
        <v>0</v>
      </c>
      <c r="M13" s="4">
        <f>IFERROR(VLOOKUP($A13,[2]Sheet1!$A$1:$G$32,5,FALSE),0)</f>
        <v>0</v>
      </c>
      <c r="N13" s="4">
        <f>IFERROR(VLOOKUP($A13,[2]Sheet1!$A$1:$G$32,6,FALSE),0)</f>
        <v>0</v>
      </c>
    </row>
    <row r="14" spans="1:14">
      <c r="A14" s="1" t="s">
        <v>20</v>
      </c>
      <c r="B14" s="2" t="s">
        <v>27</v>
      </c>
      <c r="C14" s="6" t="str">
        <f t="shared" si="0"/>
        <v/>
      </c>
      <c r="D14" s="6" t="str">
        <f t="shared" si="1"/>
        <v/>
      </c>
      <c r="E14" s="6" t="str">
        <f t="shared" si="2"/>
        <v/>
      </c>
      <c r="F14" s="6" t="str">
        <f t="shared" si="3"/>
        <v/>
      </c>
      <c r="G14" s="4">
        <f>IFERROR(VLOOKUP($A14,[1]Sheet1!$A$1:$G$32,3,FALSE),0)</f>
        <v>0</v>
      </c>
      <c r="H14" s="4">
        <f>IFERROR(VLOOKUP($A14,[1]Sheet1!$A$1:$G$32,4,FALSE),0)</f>
        <v>0</v>
      </c>
      <c r="I14" s="4">
        <f>IFERROR(VLOOKUP($A14,[1]Sheet1!$A$1:$G$32,5,FALSE),0)</f>
        <v>0</v>
      </c>
      <c r="J14" s="4">
        <f>IFERROR(VLOOKUP($A14,[1]Sheet1!$A$1:$G$32,6,FALSE),0)</f>
        <v>0</v>
      </c>
      <c r="K14" s="4">
        <f>IFERROR(VLOOKUP($A14,[2]Sheet1!$A$1:$G$32,3,FALSE),0)</f>
        <v>0</v>
      </c>
      <c r="L14" s="4">
        <f>IFERROR(VLOOKUP($A14,[2]Sheet1!$A$1:$G$32,4,FALSE),0)</f>
        <v>0</v>
      </c>
      <c r="M14" s="4">
        <f>IFERROR(VLOOKUP($A14,[2]Sheet1!$A$1:$G$32,5,FALSE),0)</f>
        <v>0</v>
      </c>
      <c r="N14" s="4">
        <f>IFERROR(VLOOKUP($A14,[2]Sheet1!$A$1:$G$32,6,FALSE),0)</f>
        <v>0</v>
      </c>
    </row>
    <row r="15" spans="1:14">
      <c r="A15" s="1" t="s">
        <v>10</v>
      </c>
      <c r="B15" s="2" t="s">
        <v>27</v>
      </c>
      <c r="C15" s="6" t="str">
        <f t="shared" si="0"/>
        <v/>
      </c>
      <c r="D15" s="6" t="str">
        <f t="shared" si="1"/>
        <v/>
      </c>
      <c r="E15" s="6" t="str">
        <f t="shared" si="2"/>
        <v/>
      </c>
      <c r="F15" s="6" t="str">
        <f t="shared" si="3"/>
        <v/>
      </c>
      <c r="G15" s="4">
        <f>IFERROR(VLOOKUP($A15,[1]Sheet1!$A$1:$G$32,3,FALSE),0)</f>
        <v>0</v>
      </c>
      <c r="H15" s="4">
        <f>IFERROR(VLOOKUP($A15,[1]Sheet1!$A$1:$G$32,4,FALSE),0)</f>
        <v>0</v>
      </c>
      <c r="I15" s="4">
        <f>IFERROR(VLOOKUP($A15,[1]Sheet1!$A$1:$G$32,5,FALSE),0)</f>
        <v>0</v>
      </c>
      <c r="J15" s="4">
        <f>IFERROR(VLOOKUP($A15,[1]Sheet1!$A$1:$G$32,6,FALSE),0)</f>
        <v>0</v>
      </c>
      <c r="K15" s="4">
        <f>IFERROR(VLOOKUP($A15,[2]Sheet1!$A$1:$G$32,3,FALSE),0)</f>
        <v>0</v>
      </c>
      <c r="L15" s="4">
        <f>IFERROR(VLOOKUP($A15,[2]Sheet1!$A$1:$G$32,4,FALSE),0)</f>
        <v>0</v>
      </c>
      <c r="M15" s="4">
        <f>IFERROR(VLOOKUP($A15,[2]Sheet1!$A$1:$G$32,5,FALSE),0)</f>
        <v>0</v>
      </c>
      <c r="N15" s="4">
        <f>IFERROR(VLOOKUP($A15,[2]Sheet1!$A$1:$G$32,6,FALSE),0)</f>
        <v>0</v>
      </c>
    </row>
    <row r="16" spans="1:14">
      <c r="A16" s="1" t="s">
        <v>6</v>
      </c>
      <c r="B16" s="2" t="s">
        <v>27</v>
      </c>
      <c r="C16" s="6">
        <f t="shared" si="0"/>
        <v>-7.2383921945509515E-3</v>
      </c>
      <c r="D16" s="6" t="str">
        <f t="shared" si="1"/>
        <v/>
      </c>
      <c r="E16" s="6" t="str">
        <f t="shared" si="2"/>
        <v/>
      </c>
      <c r="F16" s="6" t="str">
        <f t="shared" si="3"/>
        <v/>
      </c>
      <c r="G16" s="4">
        <f>IFERROR(VLOOKUP($A16,[1]Sheet1!$A$1:$G$32,3,FALSE),0)</f>
        <v>-2872.6198697555105</v>
      </c>
      <c r="H16" s="4">
        <f>IFERROR(VLOOKUP($A16,[1]Sheet1!$A$1:$G$32,4,FALSE),0)</f>
        <v>0</v>
      </c>
      <c r="I16" s="4">
        <f>IFERROR(VLOOKUP($A16,[1]Sheet1!$A$1:$G$32,5,FALSE),0)</f>
        <v>0</v>
      </c>
      <c r="J16" s="4">
        <f>IFERROR(VLOOKUP($A16,[1]Sheet1!$A$1:$G$32,6,FALSE),0)</f>
        <v>0</v>
      </c>
      <c r="K16" s="4">
        <f>IFERROR(VLOOKUP($A16,[2]Sheet1!$A$1:$G$32,3,FALSE),0)</f>
        <v>-2851.9761478677392</v>
      </c>
      <c r="L16" s="4">
        <f>IFERROR(VLOOKUP($A16,[2]Sheet1!$A$1:$G$32,4,FALSE),0)</f>
        <v>0</v>
      </c>
      <c r="M16" s="4">
        <f>IFERROR(VLOOKUP($A16,[2]Sheet1!$A$1:$G$32,5,FALSE),0)</f>
        <v>0</v>
      </c>
      <c r="N16" s="4">
        <f>IFERROR(VLOOKUP($A16,[2]Sheet1!$A$1:$G$32,6,FALSE),0)</f>
        <v>0</v>
      </c>
    </row>
    <row r="17" spans="1:14">
      <c r="A17" s="1" t="s">
        <v>21</v>
      </c>
      <c r="B17" s="2" t="s">
        <v>27</v>
      </c>
      <c r="C17" s="6" t="str">
        <f t="shared" si="0"/>
        <v/>
      </c>
      <c r="D17" s="6" t="str">
        <f t="shared" si="1"/>
        <v/>
      </c>
      <c r="E17" s="6" t="str">
        <f t="shared" si="2"/>
        <v/>
      </c>
      <c r="F17" s="6" t="str">
        <f t="shared" si="3"/>
        <v/>
      </c>
      <c r="G17" s="4">
        <f>IFERROR(VLOOKUP($A17,[1]Sheet1!$A$1:$G$32,3,FALSE),0)</f>
        <v>0</v>
      </c>
      <c r="H17" s="4">
        <f>IFERROR(VLOOKUP($A17,[1]Sheet1!$A$1:$G$32,4,FALSE),0)</f>
        <v>0</v>
      </c>
      <c r="I17" s="4">
        <f>IFERROR(VLOOKUP($A17,[1]Sheet1!$A$1:$G$32,5,FALSE),0)</f>
        <v>0</v>
      </c>
      <c r="J17" s="4">
        <f>IFERROR(VLOOKUP($A17,[1]Sheet1!$A$1:$G$32,6,FALSE),0)</f>
        <v>0</v>
      </c>
      <c r="K17" s="4">
        <f>IFERROR(VLOOKUP($A17,[2]Sheet1!$A$1:$G$32,3,FALSE),0)</f>
        <v>0</v>
      </c>
      <c r="L17" s="4">
        <f>IFERROR(VLOOKUP($A17,[2]Sheet1!$A$1:$G$32,4,FALSE),0)</f>
        <v>0</v>
      </c>
      <c r="M17" s="4">
        <f>IFERROR(VLOOKUP($A17,[2]Sheet1!$A$1:$G$32,5,FALSE),0)</f>
        <v>0</v>
      </c>
      <c r="N17" s="4">
        <f>IFERROR(VLOOKUP($A17,[2]Sheet1!$A$1:$G$32,6,FALSE),0)</f>
        <v>0</v>
      </c>
    </row>
    <row r="18" spans="1:14">
      <c r="A18" s="1" t="s">
        <v>9</v>
      </c>
      <c r="B18" s="2" t="s">
        <v>27</v>
      </c>
      <c r="C18" s="6">
        <f t="shared" si="0"/>
        <v>-5.9541649591825792E-2</v>
      </c>
      <c r="D18" s="6">
        <f t="shared" si="1"/>
        <v>-5.5526056152210235E-2</v>
      </c>
      <c r="E18" s="6">
        <f t="shared" si="2"/>
        <v>-5.4745092776108707E-2</v>
      </c>
      <c r="F18" s="6">
        <f t="shared" si="3"/>
        <v>-4.9553072045651035E-2</v>
      </c>
      <c r="G18" s="4">
        <f>IFERROR(VLOOKUP($A18,[1]Sheet1!$A$1:$G$32,3,FALSE),0)</f>
        <v>-552581.2625220631</v>
      </c>
      <c r="H18" s="4">
        <f>IFERROR(VLOOKUP($A18,[1]Sheet1!$A$1:$G$32,4,FALSE),0)</f>
        <v>406239.71610543207</v>
      </c>
      <c r="I18" s="4">
        <f>IFERROR(VLOOKUP($A18,[1]Sheet1!$A$1:$G$32,5,FALSE),0)</f>
        <v>-239508.48956417659</v>
      </c>
      <c r="J18" s="4">
        <f>IFERROR(VLOOKUP($A18,[1]Sheet1!$A$1:$G$32,6,FALSE),0)</f>
        <v>-449919.27362789144</v>
      </c>
      <c r="K18" s="4">
        <f>IFERROR(VLOOKUP($A18,[2]Sheet1!$A$1:$G$32,3,FALSE),0)</f>
        <v>-521528.58996617794</v>
      </c>
      <c r="L18" s="4">
        <f>IFERROR(VLOOKUP($A18,[2]Sheet1!$A$1:$G$32,4,FALSE),0)</f>
        <v>384869.43428599834</v>
      </c>
      <c r="M18" s="4">
        <f>IFERROR(VLOOKUP($A18,[2]Sheet1!$A$1:$G$32,5,FALSE),0)</f>
        <v>-227077.13096231222</v>
      </c>
      <c r="N18" s="4">
        <f>IFERROR(VLOOKUP($A18,[2]Sheet1!$A$1:$G$32,6,FALSE),0)</f>
        <v>-428677.01082611084</v>
      </c>
    </row>
    <row r="19" spans="1:14">
      <c r="A19" s="1" t="s">
        <v>22</v>
      </c>
      <c r="B19" s="2" t="s">
        <v>27</v>
      </c>
      <c r="C19" s="6" t="str">
        <f t="shared" si="0"/>
        <v/>
      </c>
      <c r="D19" s="6" t="str">
        <f t="shared" si="1"/>
        <v/>
      </c>
      <c r="E19" s="6" t="str">
        <f t="shared" si="2"/>
        <v/>
      </c>
      <c r="F19" s="6" t="str">
        <f t="shared" si="3"/>
        <v/>
      </c>
      <c r="G19" s="4">
        <f>IFERROR(VLOOKUP($A19,[1]Sheet1!$A$1:$G$32,3,FALSE),0)</f>
        <v>0</v>
      </c>
      <c r="H19" s="4">
        <f>IFERROR(VLOOKUP($A19,[1]Sheet1!$A$1:$G$32,4,FALSE),0)</f>
        <v>0</v>
      </c>
      <c r="I19" s="4">
        <f>IFERROR(VLOOKUP($A19,[1]Sheet1!$A$1:$G$32,5,FALSE),0)</f>
        <v>0</v>
      </c>
      <c r="J19" s="4">
        <f>IFERROR(VLOOKUP($A19,[1]Sheet1!$A$1:$G$32,6,FALSE),0)</f>
        <v>0</v>
      </c>
      <c r="K19" s="4">
        <f>IFERROR(VLOOKUP($A19,[2]Sheet1!$A$1:$G$32,3,FALSE),0)</f>
        <v>0</v>
      </c>
      <c r="L19" s="4">
        <f>IFERROR(VLOOKUP($A19,[2]Sheet1!$A$1:$G$32,4,FALSE),0)</f>
        <v>0</v>
      </c>
      <c r="M19" s="4">
        <f>IFERROR(VLOOKUP($A19,[2]Sheet1!$A$1:$G$32,5,FALSE),0)</f>
        <v>0</v>
      </c>
      <c r="N19" s="4">
        <f>IFERROR(VLOOKUP($A19,[2]Sheet1!$A$1:$G$32,6,FALSE),0)</f>
        <v>0</v>
      </c>
    </row>
    <row r="20" spans="1:14">
      <c r="A20" s="1" t="s">
        <v>8</v>
      </c>
      <c r="B20" s="2" t="s">
        <v>27</v>
      </c>
      <c r="C20" s="6">
        <f t="shared" si="0"/>
        <v>-8.1435128090952283E-2</v>
      </c>
      <c r="D20" s="6">
        <f t="shared" si="1"/>
        <v>-1.785150993406526E-3</v>
      </c>
      <c r="E20" s="6">
        <f t="shared" si="2"/>
        <v>-4.1875437899680311E-2</v>
      </c>
      <c r="F20" s="6">
        <f t="shared" si="3"/>
        <v>-4.2870119129607337E-2</v>
      </c>
      <c r="G20" s="4">
        <f>IFERROR(VLOOKUP($A20,[1]Sheet1!$A$1:$G$32,3,FALSE),0)</f>
        <v>-146391.27466516654</v>
      </c>
      <c r="H20" s="4">
        <f>IFERROR(VLOOKUP($A20,[1]Sheet1!$A$1:$G$32,4,FALSE),0)</f>
        <v>-19606.177033585933</v>
      </c>
      <c r="I20" s="4">
        <f>IFERROR(VLOOKUP($A20,[1]Sheet1!$A$1:$G$32,5,FALSE),0)</f>
        <v>-22598.960109121435</v>
      </c>
      <c r="J20" s="4">
        <f>IFERROR(VLOOKUP($A20,[1]Sheet1!$A$1:$G$32,6,FALSE),0)</f>
        <v>-137191.11543515793</v>
      </c>
      <c r="K20" s="4">
        <f>IFERROR(VLOOKUP($A20,[2]Sheet1!$A$1:$G$32,3,FALSE),0)</f>
        <v>-135367.59705927968</v>
      </c>
      <c r="L20" s="4">
        <f>IFERROR(VLOOKUP($A20,[2]Sheet1!$A$1:$G$32,4,FALSE),0)</f>
        <v>-19571.239416100085</v>
      </c>
      <c r="M20" s="4">
        <f>IFERROR(VLOOKUP($A20,[2]Sheet1!$A$1:$G$32,5,FALSE),0)</f>
        <v>-21690.654455468059</v>
      </c>
      <c r="N20" s="4">
        <f>IFERROR(VLOOKUP($A20,[2]Sheet1!$A$1:$G$32,6,FALSE),0)</f>
        <v>-131551.4874945879</v>
      </c>
    </row>
    <row r="21" spans="1:14">
      <c r="A21" s="1" t="s">
        <v>23</v>
      </c>
      <c r="B21" s="2" t="s">
        <v>27</v>
      </c>
      <c r="C21" s="6" t="str">
        <f t="shared" si="0"/>
        <v/>
      </c>
      <c r="D21" s="6" t="str">
        <f t="shared" si="1"/>
        <v/>
      </c>
      <c r="E21" s="6" t="str">
        <f t="shared" si="2"/>
        <v/>
      </c>
      <c r="F21" s="6" t="str">
        <f t="shared" si="3"/>
        <v/>
      </c>
      <c r="G21" s="4">
        <f>IFERROR(VLOOKUP($A21,[1]Sheet1!$A$1:$G$32,3,FALSE),0)</f>
        <v>0</v>
      </c>
      <c r="H21" s="4">
        <f>IFERROR(VLOOKUP($A21,[1]Sheet1!$A$1:$G$32,4,FALSE),0)</f>
        <v>0</v>
      </c>
      <c r="I21" s="4">
        <f>IFERROR(VLOOKUP($A21,[1]Sheet1!$A$1:$G$32,5,FALSE),0)</f>
        <v>0</v>
      </c>
      <c r="J21" s="4">
        <f>IFERROR(VLOOKUP($A21,[1]Sheet1!$A$1:$G$32,6,FALSE),0)</f>
        <v>0</v>
      </c>
      <c r="K21" s="4">
        <f>IFERROR(VLOOKUP($A21,[2]Sheet1!$A$1:$G$32,3,FALSE),0)</f>
        <v>0</v>
      </c>
      <c r="L21" s="4">
        <f>IFERROR(VLOOKUP($A21,[2]Sheet1!$A$1:$G$32,4,FALSE),0)</f>
        <v>0</v>
      </c>
      <c r="M21" s="4">
        <f>IFERROR(VLOOKUP($A21,[2]Sheet1!$A$1:$G$32,5,FALSE),0)</f>
        <v>0</v>
      </c>
      <c r="N21" s="4">
        <f>IFERROR(VLOOKUP($A21,[2]Sheet1!$A$1:$G$32,6,FALSE),0)</f>
        <v>0</v>
      </c>
    </row>
    <row r="22" spans="1:14">
      <c r="A22" s="1" t="s">
        <v>24</v>
      </c>
      <c r="B22" s="2" t="s">
        <v>27</v>
      </c>
      <c r="C22" s="6" t="str">
        <f t="shared" si="0"/>
        <v/>
      </c>
      <c r="D22" s="6" t="str">
        <f t="shared" si="1"/>
        <v/>
      </c>
      <c r="E22" s="6" t="str">
        <f t="shared" si="2"/>
        <v/>
      </c>
      <c r="F22" s="6" t="str">
        <f t="shared" si="3"/>
        <v/>
      </c>
      <c r="G22" s="4">
        <f>IFERROR(VLOOKUP($A22,[1]Sheet1!$A$1:$G$32,3,FALSE),0)</f>
        <v>0</v>
      </c>
      <c r="H22" s="4">
        <f>IFERROR(VLOOKUP($A22,[1]Sheet1!$A$1:$G$32,4,FALSE),0)</f>
        <v>0</v>
      </c>
      <c r="I22" s="4">
        <f>IFERROR(VLOOKUP($A22,[1]Sheet1!$A$1:$G$32,5,FALSE),0)</f>
        <v>0</v>
      </c>
      <c r="J22" s="4">
        <f>IFERROR(VLOOKUP($A22,[1]Sheet1!$A$1:$G$32,6,FALSE),0)</f>
        <v>0</v>
      </c>
      <c r="K22" s="4">
        <f>IFERROR(VLOOKUP($A22,[2]Sheet1!$A$1:$G$32,3,FALSE),0)</f>
        <v>0</v>
      </c>
      <c r="L22" s="4">
        <f>IFERROR(VLOOKUP($A22,[2]Sheet1!$A$1:$G$32,4,FALSE),0)</f>
        <v>0</v>
      </c>
      <c r="M22" s="4">
        <f>IFERROR(VLOOKUP($A22,[2]Sheet1!$A$1:$G$32,5,FALSE),0)</f>
        <v>0</v>
      </c>
      <c r="N22" s="4">
        <f>IFERROR(VLOOKUP($A22,[2]Sheet1!$A$1:$G$32,6,FALSE),0)</f>
        <v>0</v>
      </c>
    </row>
  </sheetData>
  <mergeCells count="5">
    <mergeCell ref="K1:N1"/>
    <mergeCell ref="K2:N2"/>
    <mergeCell ref="C1:F2"/>
    <mergeCell ref="G1:J1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N23"/>
  <sheetViews>
    <sheetView workbookViewId="0">
      <selection activeCell="E35" sqref="E35"/>
    </sheetView>
  </sheetViews>
  <sheetFormatPr defaultRowHeight="13.5"/>
  <cols>
    <col min="2" max="2" width="11.625" bestFit="1" customWidth="1"/>
    <col min="3" max="4" width="12.75" bestFit="1" customWidth="1"/>
    <col min="5" max="5" width="11.625" bestFit="1" customWidth="1"/>
    <col min="6" max="8" width="12.75" bestFit="1" customWidth="1"/>
    <col min="9" max="9" width="11.625" bestFit="1" customWidth="1"/>
    <col min="10" max="10" width="12.75" bestFit="1" customWidth="1"/>
    <col min="11" max="11" width="12.75" customWidth="1"/>
    <col min="12" max="14" width="12.75" bestFit="1" customWidth="1"/>
  </cols>
  <sheetData>
    <row r="1" spans="1:14">
      <c r="A1" s="10"/>
      <c r="B1" s="10"/>
      <c r="C1" s="12" t="s">
        <v>30</v>
      </c>
      <c r="D1" s="12"/>
      <c r="E1" s="12"/>
      <c r="F1" s="12"/>
      <c r="G1" s="13" t="s">
        <v>96</v>
      </c>
      <c r="H1" s="13"/>
      <c r="I1" s="13"/>
      <c r="J1" s="13"/>
      <c r="K1" s="11" t="s">
        <v>29</v>
      </c>
      <c r="L1" s="11"/>
      <c r="M1" s="11"/>
      <c r="N1" s="11"/>
    </row>
    <row r="2" spans="1:14">
      <c r="A2" s="10"/>
      <c r="B2" s="10"/>
      <c r="C2" s="12"/>
      <c r="D2" s="12"/>
      <c r="E2" s="12"/>
      <c r="F2" s="12"/>
      <c r="G2" s="13" t="s">
        <v>97</v>
      </c>
      <c r="H2" s="13"/>
      <c r="I2" s="13"/>
      <c r="J2" s="13"/>
      <c r="K2" s="11" t="s">
        <v>32</v>
      </c>
      <c r="L2" s="11"/>
      <c r="M2" s="11"/>
      <c r="N2" s="11"/>
    </row>
    <row r="3" spans="1:14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2</v>
      </c>
      <c r="H3" s="2" t="s">
        <v>3</v>
      </c>
      <c r="I3" s="2" t="s">
        <v>4</v>
      </c>
      <c r="J3" s="2" t="s">
        <v>5</v>
      </c>
      <c r="K3" s="3" t="s">
        <v>2</v>
      </c>
      <c r="L3" s="3" t="s">
        <v>3</v>
      </c>
      <c r="M3" s="3" t="s">
        <v>4</v>
      </c>
      <c r="N3" s="3" t="s">
        <v>5</v>
      </c>
    </row>
    <row r="4" spans="1:14">
      <c r="A4" s="1" t="s">
        <v>7</v>
      </c>
      <c r="B4" s="2" t="s">
        <v>31</v>
      </c>
      <c r="C4" s="7">
        <f t="shared" ref="C4:C22" si="0">IFERROR((K4-G4)/K4,"")</f>
        <v>-1.8617708167881775E-2</v>
      </c>
      <c r="D4" s="7">
        <f t="shared" ref="D4:D22" si="1">IFERROR((L4-H4)/L4,"")</f>
        <v>-2.742637639883563E-2</v>
      </c>
      <c r="E4" s="7" t="str">
        <f t="shared" ref="E4:E22" si="2">IFERROR((M4-I4)/M4,"")</f>
        <v/>
      </c>
      <c r="F4" s="7" t="str">
        <f t="shared" ref="F4:F22" si="3">IFERROR((N4-J4)/N4,"")</f>
        <v/>
      </c>
      <c r="G4" s="4">
        <f>IFERROR(VLOOKUP($A4,[3]Sheet1!$A$1:$G$32,3,FALSE),0)</f>
        <v>-129219.82495115952</v>
      </c>
      <c r="H4" s="4">
        <f>IFERROR(VLOOKUP($A4,[3]Sheet1!$A$1:$G$32,4,FALSE),0)</f>
        <v>-297072.54724784777</v>
      </c>
      <c r="I4" s="4">
        <f>IFERROR(VLOOKUP($A4,[3]Sheet1!$A$1:$G$32,5,FALSE),0)</f>
        <v>0</v>
      </c>
      <c r="J4" s="4">
        <f>IFERROR(VLOOKUP($A4,[3]Sheet1!$A$1:$G$32,6,FALSE),0)</f>
        <v>0</v>
      </c>
      <c r="K4" s="4">
        <f>IFERROR(VLOOKUP($A4,[4]Sheet1!$A$1:$G$32,3,FALSE),0)</f>
        <v>-126858.01936781406</v>
      </c>
      <c r="L4" s="4">
        <f>IFERROR(VLOOKUP($A4,[4]Sheet1!$A$1:$G$32,4,FALSE),0)</f>
        <v>-289142.41844666004</v>
      </c>
      <c r="M4" s="4">
        <f>IFERROR(VLOOKUP($A4,[4]Sheet1!$A$1:$G$32,5,FALSE),0)</f>
        <v>0</v>
      </c>
      <c r="N4" s="4">
        <f>IFERROR(VLOOKUP($A4,[4]Sheet1!$A$1:$G$32,6,FALSE),0)</f>
        <v>0</v>
      </c>
    </row>
    <row r="5" spans="1:14">
      <c r="A5" s="1" t="s">
        <v>14</v>
      </c>
      <c r="B5" s="2" t="s">
        <v>31</v>
      </c>
      <c r="C5" s="7" t="str">
        <f t="shared" si="0"/>
        <v/>
      </c>
      <c r="D5" s="7" t="str">
        <f t="shared" si="1"/>
        <v/>
      </c>
      <c r="E5" s="7" t="str">
        <f t="shared" si="2"/>
        <v/>
      </c>
      <c r="F5" s="7" t="str">
        <f t="shared" si="3"/>
        <v/>
      </c>
      <c r="G5" s="4">
        <f>IFERROR(VLOOKUP($A5,[3]Sheet1!$A$1:$G$32,3,FALSE),0)</f>
        <v>0</v>
      </c>
      <c r="H5" s="4">
        <f>IFERROR(VLOOKUP($A5,[3]Sheet1!$A$1:$G$32,4,FALSE),0)</f>
        <v>0</v>
      </c>
      <c r="I5" s="4">
        <f>IFERROR(VLOOKUP($A5,[3]Sheet1!$A$1:$G$32,5,FALSE),0)</f>
        <v>0</v>
      </c>
      <c r="J5" s="4">
        <f>IFERROR(VLOOKUP($A5,[3]Sheet1!$A$1:$G$32,6,FALSE),0)</f>
        <v>0</v>
      </c>
      <c r="K5" s="4">
        <f>IFERROR(VLOOKUP($A5,[4]Sheet1!$A$1:$G$32,3,FALSE),0)</f>
        <v>0</v>
      </c>
      <c r="L5" s="4">
        <f>IFERROR(VLOOKUP($A5,[4]Sheet1!$A$1:$G$32,4,FALSE),0)</f>
        <v>0</v>
      </c>
      <c r="M5" s="4">
        <f>IFERROR(VLOOKUP($A5,[4]Sheet1!$A$1:$G$32,5,FALSE),0)</f>
        <v>0</v>
      </c>
      <c r="N5" s="4">
        <f>IFERROR(VLOOKUP($A5,[4]Sheet1!$A$1:$G$32,6,FALSE),0)</f>
        <v>0</v>
      </c>
    </row>
    <row r="6" spans="1:14">
      <c r="A6" s="1" t="s">
        <v>15</v>
      </c>
      <c r="B6" s="2" t="s">
        <v>31</v>
      </c>
      <c r="C6" s="7" t="str">
        <f t="shared" si="0"/>
        <v/>
      </c>
      <c r="D6" s="7" t="str">
        <f t="shared" si="1"/>
        <v/>
      </c>
      <c r="E6" s="7" t="str">
        <f t="shared" si="2"/>
        <v/>
      </c>
      <c r="F6" s="7" t="str">
        <f t="shared" si="3"/>
        <v/>
      </c>
      <c r="G6" s="4">
        <f>IFERROR(VLOOKUP($A6,[3]Sheet1!$A$1:$G$32,3,FALSE),0)</f>
        <v>0</v>
      </c>
      <c r="H6" s="4">
        <f>IFERROR(VLOOKUP($A6,[3]Sheet1!$A$1:$G$32,4,FALSE),0)</f>
        <v>0</v>
      </c>
      <c r="I6" s="4">
        <f>IFERROR(VLOOKUP($A6,[3]Sheet1!$A$1:$G$32,5,FALSE),0)</f>
        <v>0</v>
      </c>
      <c r="J6" s="4">
        <f>IFERROR(VLOOKUP($A6,[3]Sheet1!$A$1:$G$32,6,FALSE),0)</f>
        <v>0</v>
      </c>
      <c r="K6" s="4">
        <f>IFERROR(VLOOKUP($A6,[4]Sheet1!$A$1:$G$32,3,FALSE),0)</f>
        <v>0</v>
      </c>
      <c r="L6" s="4">
        <f>IFERROR(VLOOKUP($A6,[4]Sheet1!$A$1:$G$32,4,FALSE),0)</f>
        <v>0</v>
      </c>
      <c r="M6" s="4">
        <f>IFERROR(VLOOKUP($A6,[4]Sheet1!$A$1:$G$32,5,FALSE),0)</f>
        <v>0</v>
      </c>
      <c r="N6" s="4">
        <f>IFERROR(VLOOKUP($A6,[4]Sheet1!$A$1:$G$32,6,FALSE),0)</f>
        <v>0</v>
      </c>
    </row>
    <row r="7" spans="1:14">
      <c r="A7" s="1" t="s">
        <v>16</v>
      </c>
      <c r="B7" s="2" t="s">
        <v>31</v>
      </c>
      <c r="C7" s="7" t="str">
        <f t="shared" si="0"/>
        <v/>
      </c>
      <c r="D7" s="7" t="str">
        <f t="shared" si="1"/>
        <v/>
      </c>
      <c r="E7" s="7" t="str">
        <f t="shared" si="2"/>
        <v/>
      </c>
      <c r="F7" s="7" t="str">
        <f t="shared" si="3"/>
        <v/>
      </c>
      <c r="G7" s="4">
        <f>IFERROR(VLOOKUP($A7,[3]Sheet1!$A$1:$G$32,3,FALSE),0)</f>
        <v>0</v>
      </c>
      <c r="H7" s="4">
        <f>IFERROR(VLOOKUP($A7,[3]Sheet1!$A$1:$G$32,4,FALSE),0)</f>
        <v>0</v>
      </c>
      <c r="I7" s="4">
        <f>IFERROR(VLOOKUP($A7,[3]Sheet1!$A$1:$G$32,5,FALSE),0)</f>
        <v>0</v>
      </c>
      <c r="J7" s="4">
        <f>IFERROR(VLOOKUP($A7,[3]Sheet1!$A$1:$G$32,6,FALSE),0)</f>
        <v>0</v>
      </c>
      <c r="K7" s="4">
        <f>IFERROR(VLOOKUP($A7,[4]Sheet1!$A$1:$G$32,3,FALSE),0)</f>
        <v>0</v>
      </c>
      <c r="L7" s="4">
        <f>IFERROR(VLOOKUP($A7,[4]Sheet1!$A$1:$G$32,4,FALSE),0)</f>
        <v>0</v>
      </c>
      <c r="M7" s="4">
        <f>IFERROR(VLOOKUP($A7,[4]Sheet1!$A$1:$G$32,5,FALSE),0)</f>
        <v>0</v>
      </c>
      <c r="N7" s="4">
        <f>IFERROR(VLOOKUP($A7,[4]Sheet1!$A$1:$G$32,6,FALSE),0)</f>
        <v>0</v>
      </c>
    </row>
    <row r="8" spans="1:14">
      <c r="A8" s="1" t="s">
        <v>17</v>
      </c>
      <c r="B8" s="2" t="s">
        <v>31</v>
      </c>
      <c r="C8" s="7" t="str">
        <f t="shared" si="0"/>
        <v/>
      </c>
      <c r="D8" s="7" t="str">
        <f t="shared" si="1"/>
        <v/>
      </c>
      <c r="E8" s="7" t="str">
        <f t="shared" si="2"/>
        <v/>
      </c>
      <c r="F8" s="7" t="str">
        <f t="shared" si="3"/>
        <v/>
      </c>
      <c r="G8" s="4">
        <f>IFERROR(VLOOKUP($A8,[3]Sheet1!$A$1:$G$32,3,FALSE),0)</f>
        <v>0</v>
      </c>
      <c r="H8" s="4">
        <f>IFERROR(VLOOKUP($A8,[3]Sheet1!$A$1:$G$32,4,FALSE),0)</f>
        <v>0</v>
      </c>
      <c r="I8" s="4">
        <f>IFERROR(VLOOKUP($A8,[3]Sheet1!$A$1:$G$32,5,FALSE),0)</f>
        <v>0</v>
      </c>
      <c r="J8" s="4">
        <f>IFERROR(VLOOKUP($A8,[3]Sheet1!$A$1:$G$32,6,FALSE),0)</f>
        <v>0</v>
      </c>
      <c r="K8" s="4">
        <f>IFERROR(VLOOKUP($A8,[4]Sheet1!$A$1:$G$32,3,FALSE),0)</f>
        <v>0</v>
      </c>
      <c r="L8" s="4">
        <f>IFERROR(VLOOKUP($A8,[4]Sheet1!$A$1:$G$32,4,FALSE),0)</f>
        <v>0</v>
      </c>
      <c r="M8" s="4">
        <f>IFERROR(VLOOKUP($A8,[4]Sheet1!$A$1:$G$32,5,FALSE),0)</f>
        <v>0</v>
      </c>
      <c r="N8" s="4">
        <f>IFERROR(VLOOKUP($A8,[4]Sheet1!$A$1:$G$32,6,FALSE),0)</f>
        <v>0</v>
      </c>
    </row>
    <row r="9" spans="1:14">
      <c r="A9" s="1" t="s">
        <v>18</v>
      </c>
      <c r="B9" s="2" t="s">
        <v>31</v>
      </c>
      <c r="C9" s="7">
        <f t="shared" si="0"/>
        <v>4.7528065446238874E-2</v>
      </c>
      <c r="D9" s="7">
        <f t="shared" si="1"/>
        <v>2.573471369731254E-2</v>
      </c>
      <c r="E9" s="7">
        <f t="shared" si="2"/>
        <v>-2.0140910907797696E-2</v>
      </c>
      <c r="F9" s="7" t="str">
        <f t="shared" si="3"/>
        <v/>
      </c>
      <c r="G9" s="4">
        <f>IFERROR(VLOOKUP($A9,[3]Sheet1!$A$1:$G$32,3,FALSE),0)</f>
        <v>18609.333684835845</v>
      </c>
      <c r="H9" s="4">
        <f>IFERROR(VLOOKUP($A9,[3]Sheet1!$A$1:$G$32,4,FALSE),0)</f>
        <v>346417.8163121175</v>
      </c>
      <c r="I9" s="4">
        <f>IFERROR(VLOOKUP($A9,[3]Sheet1!$A$1:$G$32,5,FALSE),0)</f>
        <v>-470497.60327952588</v>
      </c>
      <c r="J9" s="4">
        <f>IFERROR(VLOOKUP($A9,[3]Sheet1!$A$1:$G$32,6,FALSE),0)</f>
        <v>0</v>
      </c>
      <c r="K9" s="4">
        <f>IFERROR(VLOOKUP($A9,[4]Sheet1!$A$1:$G$32,3,FALSE),0)</f>
        <v>19537.933885216713</v>
      </c>
      <c r="L9" s="4">
        <f>IFERROR(VLOOKUP($A9,[4]Sheet1!$A$1:$G$32,4,FALSE),0)</f>
        <v>355568.26378035545</v>
      </c>
      <c r="M9" s="4">
        <f>IFERROR(VLOOKUP($A9,[4]Sheet1!$A$1:$G$32,5,FALSE),0)</f>
        <v>-461208.44507730007</v>
      </c>
      <c r="N9" s="4">
        <f>IFERROR(VLOOKUP($A9,[4]Sheet1!$A$1:$G$32,6,FALSE),0)</f>
        <v>0</v>
      </c>
    </row>
    <row r="10" spans="1:14">
      <c r="A10" s="1" t="s">
        <v>19</v>
      </c>
      <c r="B10" s="2" t="s">
        <v>31</v>
      </c>
      <c r="C10" s="7" t="str">
        <f t="shared" si="0"/>
        <v/>
      </c>
      <c r="D10" s="7" t="str">
        <f t="shared" si="1"/>
        <v/>
      </c>
      <c r="E10" s="7" t="str">
        <f t="shared" si="2"/>
        <v/>
      </c>
      <c r="F10" s="7" t="str">
        <f t="shared" si="3"/>
        <v/>
      </c>
      <c r="G10" s="4">
        <f>IFERROR(VLOOKUP($A10,[3]Sheet1!$A$1:$G$32,3,FALSE),0)</f>
        <v>0</v>
      </c>
      <c r="H10" s="4">
        <f>IFERROR(VLOOKUP($A10,[3]Sheet1!$A$1:$G$32,4,FALSE),0)</f>
        <v>0</v>
      </c>
      <c r="I10" s="4">
        <f>IFERROR(VLOOKUP($A10,[3]Sheet1!$A$1:$G$32,5,FALSE),0)</f>
        <v>0</v>
      </c>
      <c r="J10" s="4">
        <f>IFERROR(VLOOKUP($A10,[3]Sheet1!$A$1:$G$32,6,FALSE),0)</f>
        <v>0</v>
      </c>
      <c r="K10" s="4">
        <f>IFERROR(VLOOKUP($A10,[4]Sheet1!$A$1:$G$32,3,FALSE),0)</f>
        <v>0</v>
      </c>
      <c r="L10" s="4">
        <f>IFERROR(VLOOKUP($A10,[4]Sheet1!$A$1:$G$32,4,FALSE),0)</f>
        <v>0</v>
      </c>
      <c r="M10" s="4">
        <f>IFERROR(VLOOKUP($A10,[4]Sheet1!$A$1:$G$32,5,FALSE),0)</f>
        <v>0</v>
      </c>
      <c r="N10" s="4">
        <f>IFERROR(VLOOKUP($A10,[4]Sheet1!$A$1:$G$32,6,FALSE),0)</f>
        <v>0</v>
      </c>
    </row>
    <row r="11" spans="1:14">
      <c r="A11" s="1" t="s">
        <v>12</v>
      </c>
      <c r="B11" s="2" t="s">
        <v>31</v>
      </c>
      <c r="C11" s="7" t="str">
        <f t="shared" si="0"/>
        <v/>
      </c>
      <c r="D11" s="7" t="str">
        <f t="shared" si="1"/>
        <v/>
      </c>
      <c r="E11" s="7" t="str">
        <f t="shared" si="2"/>
        <v/>
      </c>
      <c r="F11" s="7" t="str">
        <f t="shared" si="3"/>
        <v/>
      </c>
      <c r="G11" s="4">
        <f>IFERROR(VLOOKUP($A11,[3]Sheet1!$A$1:$G$32,3,FALSE),0)</f>
        <v>0</v>
      </c>
      <c r="H11" s="4">
        <f>IFERROR(VLOOKUP($A11,[3]Sheet1!$A$1:$G$32,4,FALSE),0)</f>
        <v>0</v>
      </c>
      <c r="I11" s="4">
        <f>IFERROR(VLOOKUP($A11,[3]Sheet1!$A$1:$G$32,5,FALSE),0)</f>
        <v>0</v>
      </c>
      <c r="J11" s="4">
        <f>IFERROR(VLOOKUP($A11,[3]Sheet1!$A$1:$G$32,6,FALSE),0)</f>
        <v>0</v>
      </c>
      <c r="K11" s="4">
        <f>IFERROR(VLOOKUP($A11,[4]Sheet1!$A$1:$G$32,3,FALSE),0)</f>
        <v>0</v>
      </c>
      <c r="L11" s="4">
        <f>IFERROR(VLOOKUP($A11,[4]Sheet1!$A$1:$G$32,4,FALSE),0)</f>
        <v>0</v>
      </c>
      <c r="M11" s="4">
        <f>IFERROR(VLOOKUP($A11,[4]Sheet1!$A$1:$G$32,5,FALSE),0)</f>
        <v>0</v>
      </c>
      <c r="N11" s="4">
        <f>IFERROR(VLOOKUP($A11,[4]Sheet1!$A$1:$G$32,6,FALSE),0)</f>
        <v>0</v>
      </c>
    </row>
    <row r="12" spans="1:14">
      <c r="A12" s="1" t="s">
        <v>13</v>
      </c>
      <c r="B12" s="2" t="s">
        <v>31</v>
      </c>
      <c r="C12" s="7" t="str">
        <f t="shared" si="0"/>
        <v/>
      </c>
      <c r="D12" s="7" t="str">
        <f t="shared" si="1"/>
        <v/>
      </c>
      <c r="E12" s="7" t="str">
        <f t="shared" si="2"/>
        <v/>
      </c>
      <c r="F12" s="7" t="str">
        <f t="shared" si="3"/>
        <v/>
      </c>
      <c r="G12" s="4">
        <f>IFERROR(VLOOKUP($A12,[3]Sheet1!$A$1:$G$32,3,FALSE),0)</f>
        <v>0</v>
      </c>
      <c r="H12" s="4">
        <f>IFERROR(VLOOKUP($A12,[3]Sheet1!$A$1:$G$32,4,FALSE),0)</f>
        <v>0</v>
      </c>
      <c r="I12" s="4">
        <f>IFERROR(VLOOKUP($A12,[3]Sheet1!$A$1:$G$32,5,FALSE),0)</f>
        <v>0</v>
      </c>
      <c r="J12" s="4">
        <f>IFERROR(VLOOKUP($A12,[3]Sheet1!$A$1:$G$32,6,FALSE),0)</f>
        <v>0</v>
      </c>
      <c r="K12" s="4">
        <f>IFERROR(VLOOKUP($A12,[4]Sheet1!$A$1:$G$32,3,FALSE),0)</f>
        <v>0</v>
      </c>
      <c r="L12" s="4">
        <f>IFERROR(VLOOKUP($A12,[4]Sheet1!$A$1:$G$32,4,FALSE),0)</f>
        <v>0</v>
      </c>
      <c r="M12" s="4">
        <f>IFERROR(VLOOKUP($A12,[4]Sheet1!$A$1:$G$32,5,FALSE),0)</f>
        <v>0</v>
      </c>
      <c r="N12" s="4">
        <f>IFERROR(VLOOKUP($A12,[4]Sheet1!$A$1:$G$32,6,FALSE),0)</f>
        <v>0</v>
      </c>
    </row>
    <row r="13" spans="1:14">
      <c r="A13" s="1" t="s">
        <v>11</v>
      </c>
      <c r="B13" s="2" t="s">
        <v>31</v>
      </c>
      <c r="C13" s="7" t="str">
        <f t="shared" si="0"/>
        <v/>
      </c>
      <c r="D13" s="7" t="str">
        <f t="shared" si="1"/>
        <v/>
      </c>
      <c r="E13" s="7" t="str">
        <f t="shared" si="2"/>
        <v/>
      </c>
      <c r="F13" s="7" t="str">
        <f t="shared" si="3"/>
        <v/>
      </c>
      <c r="G13" s="4">
        <f>IFERROR(VLOOKUP($A13,[3]Sheet1!$A$1:$G$32,3,FALSE),0)</f>
        <v>0</v>
      </c>
      <c r="H13" s="4">
        <f>IFERROR(VLOOKUP($A13,[3]Sheet1!$A$1:$G$32,4,FALSE),0)</f>
        <v>0</v>
      </c>
      <c r="I13" s="4">
        <f>IFERROR(VLOOKUP($A13,[3]Sheet1!$A$1:$G$32,5,FALSE),0)</f>
        <v>0</v>
      </c>
      <c r="J13" s="4">
        <f>IFERROR(VLOOKUP($A13,[3]Sheet1!$A$1:$G$32,6,FALSE),0)</f>
        <v>0</v>
      </c>
      <c r="K13" s="4">
        <f>IFERROR(VLOOKUP($A13,[4]Sheet1!$A$1:$G$32,3,FALSE),0)</f>
        <v>0</v>
      </c>
      <c r="L13" s="4">
        <f>IFERROR(VLOOKUP($A13,[4]Sheet1!$A$1:$G$32,4,FALSE),0)</f>
        <v>0</v>
      </c>
      <c r="M13" s="4">
        <f>IFERROR(VLOOKUP($A13,[4]Sheet1!$A$1:$G$32,5,FALSE),0)</f>
        <v>0</v>
      </c>
      <c r="N13" s="4">
        <f>IFERROR(VLOOKUP($A13,[4]Sheet1!$A$1:$G$32,6,FALSE),0)</f>
        <v>0</v>
      </c>
    </row>
    <row r="14" spans="1:14">
      <c r="A14" s="1" t="s">
        <v>20</v>
      </c>
      <c r="B14" s="2" t="s">
        <v>31</v>
      </c>
      <c r="C14" s="7" t="str">
        <f t="shared" si="0"/>
        <v/>
      </c>
      <c r="D14" s="7" t="str">
        <f t="shared" si="1"/>
        <v/>
      </c>
      <c r="E14" s="7" t="str">
        <f t="shared" si="2"/>
        <v/>
      </c>
      <c r="F14" s="7" t="str">
        <f t="shared" si="3"/>
        <v/>
      </c>
      <c r="G14" s="4">
        <f>IFERROR(VLOOKUP($A14,[3]Sheet1!$A$1:$G$32,3,FALSE),0)</f>
        <v>0</v>
      </c>
      <c r="H14" s="4">
        <f>IFERROR(VLOOKUP($A14,[3]Sheet1!$A$1:$G$32,4,FALSE),0)</f>
        <v>0</v>
      </c>
      <c r="I14" s="4">
        <f>IFERROR(VLOOKUP($A14,[3]Sheet1!$A$1:$G$32,5,FALSE),0)</f>
        <v>0</v>
      </c>
      <c r="J14" s="4">
        <f>IFERROR(VLOOKUP($A14,[3]Sheet1!$A$1:$G$32,6,FALSE),0)</f>
        <v>0</v>
      </c>
      <c r="K14" s="4">
        <f>IFERROR(VLOOKUP($A14,[4]Sheet1!$A$1:$G$32,3,FALSE),0)</f>
        <v>0</v>
      </c>
      <c r="L14" s="4">
        <f>IFERROR(VLOOKUP($A14,[4]Sheet1!$A$1:$G$32,4,FALSE),0)</f>
        <v>0</v>
      </c>
      <c r="M14" s="4">
        <f>IFERROR(VLOOKUP($A14,[4]Sheet1!$A$1:$G$32,5,FALSE),0)</f>
        <v>0</v>
      </c>
      <c r="N14" s="4">
        <f>IFERROR(VLOOKUP($A14,[4]Sheet1!$A$1:$G$32,6,FALSE),0)</f>
        <v>0</v>
      </c>
    </row>
    <row r="15" spans="1:14">
      <c r="A15" s="1" t="s">
        <v>10</v>
      </c>
      <c r="B15" s="2" t="s">
        <v>31</v>
      </c>
      <c r="C15" s="7" t="str">
        <f t="shared" si="0"/>
        <v/>
      </c>
      <c r="D15" s="7" t="str">
        <f t="shared" si="1"/>
        <v/>
      </c>
      <c r="E15" s="7" t="str">
        <f t="shared" si="2"/>
        <v/>
      </c>
      <c r="F15" s="7" t="str">
        <f t="shared" si="3"/>
        <v/>
      </c>
      <c r="G15" s="4">
        <f>IFERROR(VLOOKUP($A15,[3]Sheet1!$A$1:$G$32,3,FALSE),0)</f>
        <v>0</v>
      </c>
      <c r="H15" s="4">
        <f>IFERROR(VLOOKUP($A15,[3]Sheet1!$A$1:$G$32,4,FALSE),0)</f>
        <v>0</v>
      </c>
      <c r="I15" s="4">
        <f>IFERROR(VLOOKUP($A15,[3]Sheet1!$A$1:$G$32,5,FALSE),0)</f>
        <v>0</v>
      </c>
      <c r="J15" s="4">
        <f>IFERROR(VLOOKUP($A15,[3]Sheet1!$A$1:$G$32,6,FALSE),0)</f>
        <v>0</v>
      </c>
      <c r="K15" s="4">
        <f>IFERROR(VLOOKUP($A15,[4]Sheet1!$A$1:$G$32,3,FALSE),0)</f>
        <v>0</v>
      </c>
      <c r="L15" s="4">
        <f>IFERROR(VLOOKUP($A15,[4]Sheet1!$A$1:$G$32,4,FALSE),0)</f>
        <v>0</v>
      </c>
      <c r="M15" s="4">
        <f>IFERROR(VLOOKUP($A15,[4]Sheet1!$A$1:$G$32,5,FALSE),0)</f>
        <v>0</v>
      </c>
      <c r="N15" s="4">
        <f>IFERROR(VLOOKUP($A15,[4]Sheet1!$A$1:$G$32,6,FALSE),0)</f>
        <v>0</v>
      </c>
    </row>
    <row r="16" spans="1:14">
      <c r="A16" s="1" t="s">
        <v>6</v>
      </c>
      <c r="B16" s="2" t="s">
        <v>31</v>
      </c>
      <c r="C16" s="7">
        <f t="shared" si="0"/>
        <v>-0.27753526341988372</v>
      </c>
      <c r="D16" s="7" t="str">
        <f t="shared" si="1"/>
        <v/>
      </c>
      <c r="E16" s="7" t="str">
        <f t="shared" si="2"/>
        <v/>
      </c>
      <c r="F16" s="7" t="str">
        <f t="shared" si="3"/>
        <v/>
      </c>
      <c r="G16" s="4">
        <f>IFERROR(VLOOKUP($A16,[3]Sheet1!$A$1:$G$32,3,FALSE),0)</f>
        <v>-3638.2017719702731</v>
      </c>
      <c r="H16" s="4">
        <f>IFERROR(VLOOKUP($A16,[3]Sheet1!$A$1:$G$32,4,FALSE),0)</f>
        <v>0</v>
      </c>
      <c r="I16" s="4">
        <f>IFERROR(VLOOKUP($A16,[3]Sheet1!$A$1:$G$32,5,FALSE),0)</f>
        <v>0</v>
      </c>
      <c r="J16" s="4">
        <f>IFERROR(VLOOKUP($A16,[3]Sheet1!$A$1:$G$32,6,FALSE),0)</f>
        <v>0</v>
      </c>
      <c r="K16" s="4">
        <f>IFERROR(VLOOKUP($A16,[4]Sheet1!$A$1:$G$32,3,FALSE),0)</f>
        <v>-2847.8288436681032</v>
      </c>
      <c r="L16" s="4">
        <f>IFERROR(VLOOKUP($A16,[4]Sheet1!$A$1:$G$32,4,FALSE),0)</f>
        <v>0</v>
      </c>
      <c r="M16" s="4">
        <f>IFERROR(VLOOKUP($A16,[4]Sheet1!$A$1:$G$32,5,FALSE),0)</f>
        <v>0</v>
      </c>
      <c r="N16" s="4">
        <f>IFERROR(VLOOKUP($A16,[4]Sheet1!$A$1:$G$32,6,FALSE),0)</f>
        <v>0</v>
      </c>
    </row>
    <row r="17" spans="1:14">
      <c r="A17" s="1" t="s">
        <v>21</v>
      </c>
      <c r="B17" s="2" t="s">
        <v>31</v>
      </c>
      <c r="C17" s="7" t="str">
        <f t="shared" si="0"/>
        <v/>
      </c>
      <c r="D17" s="7" t="str">
        <f t="shared" si="1"/>
        <v/>
      </c>
      <c r="E17" s="7" t="str">
        <f t="shared" si="2"/>
        <v/>
      </c>
      <c r="F17" s="7" t="str">
        <f t="shared" si="3"/>
        <v/>
      </c>
      <c r="G17" s="4">
        <f>IFERROR(VLOOKUP($A17,[3]Sheet1!$A$1:$G$32,3,FALSE),0)</f>
        <v>0</v>
      </c>
      <c r="H17" s="4">
        <f>IFERROR(VLOOKUP($A17,[3]Sheet1!$A$1:$G$32,4,FALSE),0)</f>
        <v>0</v>
      </c>
      <c r="I17" s="4">
        <f>IFERROR(VLOOKUP($A17,[3]Sheet1!$A$1:$G$32,5,FALSE),0)</f>
        <v>0</v>
      </c>
      <c r="J17" s="4">
        <f>IFERROR(VLOOKUP($A17,[3]Sheet1!$A$1:$G$32,6,FALSE),0)</f>
        <v>0</v>
      </c>
      <c r="K17" s="4">
        <f>IFERROR(VLOOKUP($A17,[4]Sheet1!$A$1:$G$32,3,FALSE),0)</f>
        <v>0</v>
      </c>
      <c r="L17" s="4">
        <f>IFERROR(VLOOKUP($A17,[4]Sheet1!$A$1:$G$32,4,FALSE),0)</f>
        <v>0</v>
      </c>
      <c r="M17" s="4">
        <f>IFERROR(VLOOKUP($A17,[4]Sheet1!$A$1:$G$32,5,FALSE),0)</f>
        <v>0</v>
      </c>
      <c r="N17" s="4">
        <f>IFERROR(VLOOKUP($A17,[4]Sheet1!$A$1:$G$32,6,FALSE),0)</f>
        <v>0</v>
      </c>
    </row>
    <row r="18" spans="1:14">
      <c r="A18" s="1" t="s">
        <v>9</v>
      </c>
      <c r="B18" s="2" t="s">
        <v>31</v>
      </c>
      <c r="C18" s="7">
        <f t="shared" si="0"/>
        <v>-2.621110093494624E-2</v>
      </c>
      <c r="D18" s="7">
        <f t="shared" si="1"/>
        <v>-2.0080139050978395E-2</v>
      </c>
      <c r="E18" s="7">
        <f t="shared" si="2"/>
        <v>-2.0170513663685555E-2</v>
      </c>
      <c r="F18" s="7">
        <f t="shared" si="3"/>
        <v>-2.5801501088859622E-2</v>
      </c>
      <c r="G18" s="4">
        <f>IFERROR(VLOOKUP($A18,[3]Sheet1!$A$1:$G$32,3,FALSE),0)</f>
        <v>-562773.67092308728</v>
      </c>
      <c r="H18" s="4">
        <f>IFERROR(VLOOKUP($A18,[3]Sheet1!$A$1:$G$32,4,FALSE),0)</f>
        <v>411880.29522686522</v>
      </c>
      <c r="I18" s="4">
        <f>IFERROR(VLOOKUP($A18,[3]Sheet1!$A$1:$G$32,5,FALSE),0)</f>
        <v>-242892.58809629644</v>
      </c>
      <c r="J18" s="4">
        <f>IFERROR(VLOOKUP($A18,[3]Sheet1!$A$1:$G$32,6,FALSE),0)</f>
        <v>-458536.62074012507</v>
      </c>
      <c r="K18" s="4">
        <f>IFERROR(VLOOKUP($A18,[4]Sheet1!$A$1:$G$32,3,FALSE),0)</f>
        <v>-548399.51586019993</v>
      </c>
      <c r="L18" s="4">
        <f>IFERROR(VLOOKUP($A18,[4]Sheet1!$A$1:$G$32,4,FALSE),0)</f>
        <v>403772.48753225803</v>
      </c>
      <c r="M18" s="4">
        <f>IFERROR(VLOOKUP($A18,[4]Sheet1!$A$1:$G$32,5,FALSE),0)</f>
        <v>-238090.18673163652</v>
      </c>
      <c r="N18" s="4">
        <f>IFERROR(VLOOKUP($A18,[4]Sheet1!$A$1:$G$32,6,FALSE),0)</f>
        <v>-447003.26549863815</v>
      </c>
    </row>
    <row r="19" spans="1:14">
      <c r="A19" s="1" t="s">
        <v>22</v>
      </c>
      <c r="B19" s="2" t="s">
        <v>31</v>
      </c>
      <c r="C19" s="7" t="str">
        <f t="shared" si="0"/>
        <v/>
      </c>
      <c r="D19" s="7" t="str">
        <f t="shared" si="1"/>
        <v/>
      </c>
      <c r="E19" s="7" t="str">
        <f t="shared" si="2"/>
        <v/>
      </c>
      <c r="F19" s="7" t="str">
        <f t="shared" si="3"/>
        <v/>
      </c>
      <c r="G19" s="4">
        <f>IFERROR(VLOOKUP($A19,[3]Sheet1!$A$1:$G$32,3,FALSE),0)</f>
        <v>0</v>
      </c>
      <c r="H19" s="4">
        <f>IFERROR(VLOOKUP($A19,[3]Sheet1!$A$1:$G$32,4,FALSE),0)</f>
        <v>0</v>
      </c>
      <c r="I19" s="4">
        <f>IFERROR(VLOOKUP($A19,[3]Sheet1!$A$1:$G$32,5,FALSE),0)</f>
        <v>0</v>
      </c>
      <c r="J19" s="4">
        <f>IFERROR(VLOOKUP($A19,[3]Sheet1!$A$1:$G$32,6,FALSE),0)</f>
        <v>0</v>
      </c>
      <c r="K19" s="4">
        <f>IFERROR(VLOOKUP($A19,[4]Sheet1!$A$1:$G$32,3,FALSE),0)</f>
        <v>0</v>
      </c>
      <c r="L19" s="4">
        <f>IFERROR(VLOOKUP($A19,[4]Sheet1!$A$1:$G$32,4,FALSE),0)</f>
        <v>0</v>
      </c>
      <c r="M19" s="4">
        <f>IFERROR(VLOOKUP($A19,[4]Sheet1!$A$1:$G$32,5,FALSE),0)</f>
        <v>0</v>
      </c>
      <c r="N19" s="4">
        <f>IFERROR(VLOOKUP($A19,[4]Sheet1!$A$1:$G$32,6,FALSE),0)</f>
        <v>0</v>
      </c>
    </row>
    <row r="20" spans="1:14">
      <c r="A20" s="1" t="s">
        <v>8</v>
      </c>
      <c r="B20" s="2" t="s">
        <v>31</v>
      </c>
      <c r="C20" s="7">
        <f t="shared" si="0"/>
        <v>-1.952881621083909E-2</v>
      </c>
      <c r="D20" s="7">
        <f t="shared" si="1"/>
        <v>-4.9356706002377938E-2</v>
      </c>
      <c r="E20" s="7">
        <f t="shared" si="2"/>
        <v>-2.8996921064670358E-2</v>
      </c>
      <c r="F20" s="7">
        <f t="shared" si="3"/>
        <v>-2.9710732072277122E-2</v>
      </c>
      <c r="G20" s="4">
        <f>IFERROR(VLOOKUP($A20,[3]Sheet1!$A$1:$G$32,3,FALSE),0)</f>
        <v>-148051.55391052694</v>
      </c>
      <c r="H20" s="4">
        <f>IFERROR(VLOOKUP($A20,[3]Sheet1!$A$1:$G$32,4,FALSE),0)</f>
        <v>-20404.988157378059</v>
      </c>
      <c r="I20" s="4">
        <f>IFERROR(VLOOKUP($A20,[3]Sheet1!$A$1:$G$32,5,FALSE),0)</f>
        <v>-23087.565702235224</v>
      </c>
      <c r="J20" s="4">
        <f>IFERROR(VLOOKUP($A20,[3]Sheet1!$A$1:$G$32,6,FALSE),0)</f>
        <v>-140286.75957290773</v>
      </c>
      <c r="K20" s="4">
        <f>IFERROR(VLOOKUP($A20,[4]Sheet1!$A$1:$G$32,3,FALSE),0)</f>
        <v>-145215.66389930248</v>
      </c>
      <c r="L20" s="4">
        <f>IFERROR(VLOOKUP($A20,[4]Sheet1!$A$1:$G$32,4,FALSE),0)</f>
        <v>-19445.235391035676</v>
      </c>
      <c r="M20" s="4">
        <f>IFERROR(VLOOKUP($A20,[4]Sheet1!$A$1:$G$32,5,FALSE),0)</f>
        <v>-22436.962861217558</v>
      </c>
      <c r="N20" s="4">
        <f>IFERROR(VLOOKUP($A20,[4]Sheet1!$A$1:$G$32,6,FALSE),0)</f>
        <v>-136238.99917075038</v>
      </c>
    </row>
    <row r="21" spans="1:14">
      <c r="A21" s="1" t="s">
        <v>23</v>
      </c>
      <c r="B21" s="2" t="s">
        <v>31</v>
      </c>
      <c r="C21" s="7" t="str">
        <f t="shared" si="0"/>
        <v/>
      </c>
      <c r="D21" s="7" t="str">
        <f t="shared" si="1"/>
        <v/>
      </c>
      <c r="E21" s="7" t="str">
        <f t="shared" si="2"/>
        <v/>
      </c>
      <c r="F21" s="7" t="str">
        <f t="shared" si="3"/>
        <v/>
      </c>
      <c r="G21" s="4">
        <f>IFERROR(VLOOKUP($A21,[3]Sheet1!$A$1:$G$32,3,FALSE),0)</f>
        <v>0</v>
      </c>
      <c r="H21" s="4">
        <f>IFERROR(VLOOKUP($A21,[3]Sheet1!$A$1:$G$32,4,FALSE),0)</f>
        <v>0</v>
      </c>
      <c r="I21" s="4">
        <f>IFERROR(VLOOKUP($A21,[3]Sheet1!$A$1:$G$32,5,FALSE),0)</f>
        <v>0</v>
      </c>
      <c r="J21" s="4">
        <f>IFERROR(VLOOKUP($A21,[3]Sheet1!$A$1:$G$32,6,FALSE),0)</f>
        <v>0</v>
      </c>
      <c r="K21" s="4">
        <f>IFERROR(VLOOKUP($A21,[4]Sheet1!$A$1:$G$32,3,FALSE),0)</f>
        <v>0</v>
      </c>
      <c r="L21" s="4">
        <f>IFERROR(VLOOKUP($A21,[4]Sheet1!$A$1:$G$32,4,FALSE),0)</f>
        <v>0</v>
      </c>
      <c r="M21" s="4">
        <f>IFERROR(VLOOKUP($A21,[4]Sheet1!$A$1:$G$32,5,FALSE),0)</f>
        <v>0</v>
      </c>
      <c r="N21" s="4">
        <f>IFERROR(VLOOKUP($A21,[4]Sheet1!$A$1:$G$32,6,FALSE),0)</f>
        <v>0</v>
      </c>
    </row>
    <row r="22" spans="1:14">
      <c r="A22" s="1" t="s">
        <v>24</v>
      </c>
      <c r="B22" s="2" t="s">
        <v>31</v>
      </c>
      <c r="C22" s="7" t="str">
        <f t="shared" si="0"/>
        <v/>
      </c>
      <c r="D22" s="7" t="str">
        <f t="shared" si="1"/>
        <v/>
      </c>
      <c r="E22" s="7" t="str">
        <f t="shared" si="2"/>
        <v/>
      </c>
      <c r="F22" s="7" t="str">
        <f t="shared" si="3"/>
        <v/>
      </c>
      <c r="G22" s="4">
        <f>IFERROR(VLOOKUP($A22,[3]Sheet1!$A$1:$G$32,3,FALSE),0)</f>
        <v>0</v>
      </c>
      <c r="H22" s="4">
        <f>IFERROR(VLOOKUP($A22,[3]Sheet1!$A$1:$G$32,4,FALSE),0)</f>
        <v>0</v>
      </c>
      <c r="I22" s="4">
        <f>IFERROR(VLOOKUP($A22,[3]Sheet1!$A$1:$G$32,5,FALSE),0)</f>
        <v>0</v>
      </c>
      <c r="J22" s="4">
        <f>IFERROR(VLOOKUP($A22,[3]Sheet1!$A$1:$G$32,6,FALSE),0)</f>
        <v>0</v>
      </c>
      <c r="K22" s="4">
        <f>IFERROR(VLOOKUP($A22,[4]Sheet1!$A$1:$G$32,3,FALSE),0)</f>
        <v>0</v>
      </c>
      <c r="L22" s="4">
        <f>IFERROR(VLOOKUP($A22,[4]Sheet1!$A$1:$G$32,4,FALSE),0)</f>
        <v>0</v>
      </c>
      <c r="M22" s="4">
        <f>IFERROR(VLOOKUP($A22,[4]Sheet1!$A$1:$G$32,5,FALSE),0)</f>
        <v>0</v>
      </c>
      <c r="N22" s="4">
        <f>IFERROR(VLOOKUP($A22,[4]Sheet1!$A$1:$G$32,6,FALSE),0)</f>
        <v>0</v>
      </c>
    </row>
    <row r="23" spans="1:14">
      <c r="M23" s="7" t="str">
        <f t="shared" ref="M23" si="4">IFERROR((I23-E23)/I23,"")</f>
        <v/>
      </c>
    </row>
  </sheetData>
  <mergeCells count="5">
    <mergeCell ref="K1:N1"/>
    <mergeCell ref="C1:F2"/>
    <mergeCell ref="K2:N2"/>
    <mergeCell ref="G1:J1"/>
    <mergeCell ref="G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J73"/>
  <sheetViews>
    <sheetView workbookViewId="0">
      <selection activeCell="J15" sqref="J15"/>
    </sheetView>
  </sheetViews>
  <sheetFormatPr defaultRowHeight="13.5"/>
  <cols>
    <col min="1" max="1" width="23.875" bestFit="1" customWidth="1"/>
    <col min="3" max="3" width="17.25" bestFit="1" customWidth="1"/>
    <col min="4" max="4" width="13.875" customWidth="1"/>
    <col min="5" max="5" width="16.125" bestFit="1" customWidth="1"/>
    <col min="6" max="6" width="17.25" bestFit="1" customWidth="1"/>
    <col min="7" max="10" width="16.125" bestFit="1" customWidth="1"/>
  </cols>
  <sheetData>
    <row r="1" spans="1:10">
      <c r="B1" s="10"/>
      <c r="C1" s="10"/>
      <c r="D1" s="10"/>
      <c r="E1" s="12" t="s">
        <v>25</v>
      </c>
      <c r="F1" s="12"/>
      <c r="G1" s="13" t="s">
        <v>92</v>
      </c>
      <c r="H1" s="13"/>
      <c r="I1" s="11" t="s">
        <v>33</v>
      </c>
      <c r="J1" s="11"/>
    </row>
    <row r="2" spans="1:10">
      <c r="B2" s="10"/>
      <c r="C2" s="10"/>
      <c r="D2" s="10"/>
      <c r="E2" s="12"/>
      <c r="F2" s="12"/>
      <c r="G2" s="13" t="s">
        <v>94</v>
      </c>
      <c r="H2" s="13"/>
      <c r="I2" s="11" t="s">
        <v>95</v>
      </c>
      <c r="J2" s="11"/>
    </row>
    <row r="3" spans="1:10">
      <c r="A3" t="s">
        <v>34</v>
      </c>
      <c r="B3" s="2" t="s">
        <v>0</v>
      </c>
      <c r="C3" s="2" t="s">
        <v>35</v>
      </c>
      <c r="D3" s="2" t="s">
        <v>36</v>
      </c>
      <c r="E3" s="1" t="s">
        <v>37</v>
      </c>
      <c r="F3" s="1" t="s">
        <v>38</v>
      </c>
      <c r="G3" s="2" t="s">
        <v>37</v>
      </c>
      <c r="H3" s="2" t="s">
        <v>38</v>
      </c>
      <c r="I3" s="1" t="s">
        <v>37</v>
      </c>
      <c r="J3" s="1" t="s">
        <v>38</v>
      </c>
    </row>
    <row r="4" spans="1:10">
      <c r="A4" t="str">
        <f t="shared" ref="A4:A35" si="0">B4&amp;"_"&amp;C4&amp;"_"&amp;D4</f>
        <v>MMA_FR007_POS_FIXED</v>
      </c>
      <c r="B4" s="8" t="s">
        <v>7</v>
      </c>
      <c r="C4" s="8" t="s">
        <v>39</v>
      </c>
      <c r="D4" s="8" t="s">
        <v>40</v>
      </c>
      <c r="E4" s="7">
        <f t="shared" ref="E4:E35" si="1">IFERROR((I4-G4)/I4, "")</f>
        <v>-1.3476121112153159</v>
      </c>
      <c r="F4" s="7">
        <f t="shared" ref="F4:F35" si="2">IFERROR((J4-H4)/J4, "")</f>
        <v>-0.76576127264955007</v>
      </c>
      <c r="G4" s="5">
        <f>IFERROR(VLOOKUP($A4,[5]Sheet1!$A$1:$F$99,5,FALSE),0)</f>
        <v>-61265912.687835</v>
      </c>
      <c r="H4" s="5">
        <f>IFERROR(VLOOKUP($A4,[5]Sheet1!$A$1:$F$99,6,FALSE),0)</f>
        <v>-46152333.934471898</v>
      </c>
      <c r="I4" s="5">
        <f>IFERROR(VLOOKUP($A4,[6]Sheet1!$A$1:$F$99,5,FALSE),0)</f>
        <v>-26097119.023686904</v>
      </c>
      <c r="J4" s="5">
        <f>IFERROR(VLOOKUP($A4,[6]Sheet1!$A$1:$F$99,6,FALSE),0)</f>
        <v>-26137357.665127438</v>
      </c>
    </row>
    <row r="5" spans="1:10">
      <c r="A5" t="str">
        <f t="shared" si="0"/>
        <v>MMA_FR007_POS_FLOAT</v>
      </c>
      <c r="B5" s="8" t="s">
        <v>7</v>
      </c>
      <c r="C5" s="8" t="s">
        <v>39</v>
      </c>
      <c r="D5" s="8" t="s">
        <v>41</v>
      </c>
      <c r="E5" s="7">
        <f t="shared" si="1"/>
        <v>-0.2949633870279616</v>
      </c>
      <c r="F5" s="7">
        <f t="shared" si="2"/>
        <v>-0.1848356570455581</v>
      </c>
      <c r="G5" s="5">
        <f>IFERROR(VLOOKUP($A5,[5]Sheet1!$A$1:$F$99,5,FALSE),0)</f>
        <v>142751003.16289401</v>
      </c>
      <c r="H5" s="5">
        <f>IFERROR(VLOOKUP($A5,[5]Sheet1!$A$1:$F$99,6,FALSE),0)</f>
        <v>130976000.33454753</v>
      </c>
      <c r="I5" s="5">
        <f>IFERROR(VLOOKUP($A5,[6]Sheet1!$A$1:$F$99,5,FALSE),0)</f>
        <v>110235551.51664813</v>
      </c>
      <c r="J5" s="5">
        <f>IFERROR(VLOOKUP($A5,[6]Sheet1!$A$1:$F$99,6,FALSE),0)</f>
        <v>110543601.17853153</v>
      </c>
    </row>
    <row r="6" spans="1:10">
      <c r="A6" t="str">
        <f t="shared" si="0"/>
        <v>MMA_SHB3M_POS_FIXED</v>
      </c>
      <c r="B6" s="8" t="s">
        <v>7</v>
      </c>
      <c r="C6" s="8" t="s">
        <v>42</v>
      </c>
      <c r="D6" s="8" t="s">
        <v>40</v>
      </c>
      <c r="E6" s="7">
        <f t="shared" si="1"/>
        <v>3.3640261411218642E-3</v>
      </c>
      <c r="F6" s="7">
        <f t="shared" si="2"/>
        <v>-2.3235376591588395E-2</v>
      </c>
      <c r="G6" s="5">
        <f>IFERROR(VLOOKUP($A6,[5]Sheet1!$A$1:$F$99,5,FALSE),0)</f>
        <v>-197896102.30275801</v>
      </c>
      <c r="H6" s="5">
        <f>IFERROR(VLOOKUP($A6,[5]Sheet1!$A$1:$F$99,6,FALSE),0)</f>
        <v>-203422440.65224829</v>
      </c>
      <c r="I6" s="5">
        <f>IFERROR(VLOOKUP($A6,[6]Sheet1!$A$1:$F$99,5,FALSE),0)</f>
        <v>-198564077.04863736</v>
      </c>
      <c r="J6" s="5">
        <f>IFERROR(VLOOKUP($A6,[6]Sheet1!$A$1:$F$99,6,FALSE),0)</f>
        <v>-198803174.03592059</v>
      </c>
    </row>
    <row r="7" spans="1:10">
      <c r="A7" t="str">
        <f t="shared" si="0"/>
        <v>MMA_SHB3M_POS_FLOAT</v>
      </c>
      <c r="B7" s="8" t="s">
        <v>7</v>
      </c>
      <c r="C7" s="8" t="s">
        <v>42</v>
      </c>
      <c r="D7" s="8" t="s">
        <v>41</v>
      </c>
      <c r="E7" s="7">
        <f t="shared" si="1"/>
        <v>9.3642457936381814E-3</v>
      </c>
      <c r="F7" s="7">
        <f t="shared" si="2"/>
        <v>-2.5195508535587795E-2</v>
      </c>
      <c r="G7" s="5">
        <f>IFERROR(VLOOKUP($A7,[5]Sheet1!$A$1:$F$99,5,FALSE),0)</f>
        <v>190657352.65017101</v>
      </c>
      <c r="H7" s="5">
        <f>IFERROR(VLOOKUP($A7,[5]Sheet1!$A$1:$F$99,6,FALSE),0)</f>
        <v>197940089.53812665</v>
      </c>
      <c r="I7" s="5">
        <f>IFERROR(VLOOKUP($A7,[6]Sheet1!$A$1:$F$99,5,FALSE),0)</f>
        <v>192459591.57098493</v>
      </c>
      <c r="J7" s="5">
        <f>IFERROR(VLOOKUP($A7,[6]Sheet1!$A$1:$F$99,6,FALSE),0)</f>
        <v>193075455.25718182</v>
      </c>
    </row>
    <row r="8" spans="1:10">
      <c r="A8" t="str">
        <f t="shared" si="0"/>
        <v>MMB_FR007_POS_FIXED</v>
      </c>
      <c r="B8" s="8" t="s">
        <v>14</v>
      </c>
      <c r="C8" s="8" t="s">
        <v>39</v>
      </c>
      <c r="D8" s="8" t="s">
        <v>40</v>
      </c>
      <c r="E8" s="7" t="str">
        <f t="shared" si="1"/>
        <v/>
      </c>
      <c r="F8" s="7" t="str">
        <f t="shared" si="2"/>
        <v/>
      </c>
      <c r="G8" s="5">
        <f>IFERROR(VLOOKUP($A8,[5]Sheet1!$A$1:$F$99,5,FALSE),0)</f>
        <v>0</v>
      </c>
      <c r="H8" s="5">
        <f>IFERROR(VLOOKUP($A8,[5]Sheet1!$A$1:$F$99,6,FALSE),0)</f>
        <v>0</v>
      </c>
      <c r="I8" s="5">
        <f>IFERROR(VLOOKUP($A8,[6]Sheet1!$A$1:$F$99,5,FALSE),0)</f>
        <v>0</v>
      </c>
      <c r="J8" s="5">
        <f>IFERROR(VLOOKUP($A8,[6]Sheet1!$A$1:$F$99,6,FALSE),0)</f>
        <v>0</v>
      </c>
    </row>
    <row r="9" spans="1:10">
      <c r="A9" t="str">
        <f t="shared" si="0"/>
        <v>MMB_FR007_POS_FLOAT</v>
      </c>
      <c r="B9" s="8" t="s">
        <v>14</v>
      </c>
      <c r="C9" s="8" t="s">
        <v>39</v>
      </c>
      <c r="D9" s="8" t="s">
        <v>41</v>
      </c>
      <c r="E9" s="7" t="str">
        <f t="shared" si="1"/>
        <v/>
      </c>
      <c r="F9" s="7" t="str">
        <f t="shared" si="2"/>
        <v/>
      </c>
      <c r="G9" s="5">
        <f>IFERROR(VLOOKUP($A9,[5]Sheet1!$A$1:$F$99,5,FALSE),0)</f>
        <v>0</v>
      </c>
      <c r="H9" s="5">
        <f>IFERROR(VLOOKUP($A9,[5]Sheet1!$A$1:$F$99,6,FALSE),0)</f>
        <v>0</v>
      </c>
      <c r="I9" s="5">
        <f>IFERROR(VLOOKUP($A9,[6]Sheet1!$A$1:$F$99,5,FALSE),0)</f>
        <v>0</v>
      </c>
      <c r="J9" s="5">
        <f>IFERROR(VLOOKUP($A9,[6]Sheet1!$A$1:$F$99,6,FALSE),0)</f>
        <v>0</v>
      </c>
    </row>
    <row r="10" spans="1:10">
      <c r="A10" t="str">
        <f t="shared" si="0"/>
        <v>MMB_SHB3M_POS_FIXED</v>
      </c>
      <c r="B10" s="8" t="s">
        <v>14</v>
      </c>
      <c r="C10" s="8" t="s">
        <v>42</v>
      </c>
      <c r="D10" s="8" t="s">
        <v>40</v>
      </c>
      <c r="E10" s="7" t="str">
        <f t="shared" si="1"/>
        <v/>
      </c>
      <c r="F10" s="7" t="str">
        <f t="shared" si="2"/>
        <v/>
      </c>
      <c r="G10" s="5">
        <f>IFERROR(VLOOKUP($A10,[5]Sheet1!$A$1:$F$99,5,FALSE),0)</f>
        <v>0</v>
      </c>
      <c r="H10" s="5">
        <f>IFERROR(VLOOKUP($A10,[5]Sheet1!$A$1:$F$99,6,FALSE),0)</f>
        <v>0</v>
      </c>
      <c r="I10" s="5">
        <f>IFERROR(VLOOKUP($A10,[6]Sheet1!$A$1:$F$99,5,FALSE),0)</f>
        <v>0</v>
      </c>
      <c r="J10" s="5">
        <f>IFERROR(VLOOKUP($A10,[6]Sheet1!$A$1:$F$99,6,FALSE),0)</f>
        <v>0</v>
      </c>
    </row>
    <row r="11" spans="1:10">
      <c r="A11" t="str">
        <f t="shared" si="0"/>
        <v>MMB_SHB3M_POS_FLOAT</v>
      </c>
      <c r="B11" s="8" t="s">
        <v>14</v>
      </c>
      <c r="C11" s="8" t="s">
        <v>42</v>
      </c>
      <c r="D11" s="8" t="s">
        <v>41</v>
      </c>
      <c r="E11" s="7" t="str">
        <f t="shared" si="1"/>
        <v/>
      </c>
      <c r="F11" s="7" t="str">
        <f t="shared" si="2"/>
        <v/>
      </c>
      <c r="G11" s="5">
        <f>IFERROR(VLOOKUP($A11,[5]Sheet1!$A$1:$F$99,5,FALSE),0)</f>
        <v>0</v>
      </c>
      <c r="H11" s="5">
        <f>IFERROR(VLOOKUP($A11,[5]Sheet1!$A$1:$F$99,6,FALSE),0)</f>
        <v>0</v>
      </c>
      <c r="I11" s="5">
        <f>IFERROR(VLOOKUP($A11,[6]Sheet1!$A$1:$F$99,5,FALSE),0)</f>
        <v>0</v>
      </c>
      <c r="J11" s="5">
        <f>IFERROR(VLOOKUP($A11,[6]Sheet1!$A$1:$F$99,6,FALSE),0)</f>
        <v>0</v>
      </c>
    </row>
    <row r="12" spans="1:10">
      <c r="A12" t="str">
        <f t="shared" si="0"/>
        <v>MMC_FR007_POS_FIXED</v>
      </c>
      <c r="B12" s="8" t="s">
        <v>15</v>
      </c>
      <c r="C12" s="8" t="s">
        <v>39</v>
      </c>
      <c r="D12" s="8" t="s">
        <v>40</v>
      </c>
      <c r="E12" s="7" t="str">
        <f t="shared" si="1"/>
        <v/>
      </c>
      <c r="F12" s="7" t="str">
        <f t="shared" si="2"/>
        <v/>
      </c>
      <c r="G12" s="5">
        <f>IFERROR(VLOOKUP($A12,[5]Sheet1!$A$1:$F$99,5,FALSE),0)</f>
        <v>0</v>
      </c>
      <c r="H12" s="5">
        <f>IFERROR(VLOOKUP($A12,[5]Sheet1!$A$1:$F$99,6,FALSE),0)</f>
        <v>0</v>
      </c>
      <c r="I12" s="5">
        <f>IFERROR(VLOOKUP($A12,[6]Sheet1!$A$1:$F$99,5,FALSE),0)</f>
        <v>0</v>
      </c>
      <c r="J12" s="5">
        <f>IFERROR(VLOOKUP($A12,[6]Sheet1!$A$1:$F$99,6,FALSE),0)</f>
        <v>0</v>
      </c>
    </row>
    <row r="13" spans="1:10">
      <c r="A13" t="str">
        <f t="shared" si="0"/>
        <v>MMC_FR007_POS_FLOAT</v>
      </c>
      <c r="B13" s="8" t="s">
        <v>15</v>
      </c>
      <c r="C13" s="8" t="s">
        <v>39</v>
      </c>
      <c r="D13" s="8" t="s">
        <v>41</v>
      </c>
      <c r="E13" s="7" t="str">
        <f t="shared" si="1"/>
        <v/>
      </c>
      <c r="F13" s="7" t="str">
        <f t="shared" si="2"/>
        <v/>
      </c>
      <c r="G13" s="5">
        <f>IFERROR(VLOOKUP($A13,[5]Sheet1!$A$1:$F$99,5,FALSE),0)</f>
        <v>0</v>
      </c>
      <c r="H13" s="5">
        <f>IFERROR(VLOOKUP($A13,[5]Sheet1!$A$1:$F$99,6,FALSE),0)</f>
        <v>0</v>
      </c>
      <c r="I13" s="5">
        <f>IFERROR(VLOOKUP($A13,[6]Sheet1!$A$1:$F$99,5,FALSE),0)</f>
        <v>0</v>
      </c>
      <c r="J13" s="5">
        <f>IFERROR(VLOOKUP($A13,[6]Sheet1!$A$1:$F$99,6,FALSE),0)</f>
        <v>0</v>
      </c>
    </row>
    <row r="14" spans="1:10">
      <c r="A14" t="str">
        <f t="shared" si="0"/>
        <v>MMC_SHB3M_POS_FIXED</v>
      </c>
      <c r="B14" s="8" t="s">
        <v>15</v>
      </c>
      <c r="C14" s="8" t="s">
        <v>42</v>
      </c>
      <c r="D14" s="8" t="s">
        <v>40</v>
      </c>
      <c r="E14" s="7" t="str">
        <f t="shared" si="1"/>
        <v/>
      </c>
      <c r="F14" s="7" t="str">
        <f t="shared" si="2"/>
        <v/>
      </c>
      <c r="G14" s="5">
        <f>IFERROR(VLOOKUP($A14,[5]Sheet1!$A$1:$F$99,5,FALSE),0)</f>
        <v>0</v>
      </c>
      <c r="H14" s="5">
        <f>IFERROR(VLOOKUP($A14,[5]Sheet1!$A$1:$F$99,6,FALSE),0)</f>
        <v>0</v>
      </c>
      <c r="I14" s="5">
        <f>IFERROR(VLOOKUP($A14,[6]Sheet1!$A$1:$F$99,5,FALSE),0)</f>
        <v>0</v>
      </c>
      <c r="J14" s="5">
        <f>IFERROR(VLOOKUP($A14,[6]Sheet1!$A$1:$F$99,6,FALSE),0)</f>
        <v>0</v>
      </c>
    </row>
    <row r="15" spans="1:10">
      <c r="A15" t="str">
        <f t="shared" si="0"/>
        <v>MMC_SHB3M_POS_FLOAT</v>
      </c>
      <c r="B15" s="8" t="s">
        <v>15</v>
      </c>
      <c r="C15" s="8" t="s">
        <v>42</v>
      </c>
      <c r="D15" s="8" t="s">
        <v>41</v>
      </c>
      <c r="E15" s="7" t="str">
        <f t="shared" si="1"/>
        <v/>
      </c>
      <c r="F15" s="7" t="str">
        <f t="shared" si="2"/>
        <v/>
      </c>
      <c r="G15" s="5">
        <f>IFERROR(VLOOKUP($A15,[5]Sheet1!$A$1:$F$99,5,FALSE),0)</f>
        <v>0</v>
      </c>
      <c r="H15" s="5">
        <f>IFERROR(VLOOKUP($A15,[5]Sheet1!$A$1:$F$99,6,FALSE),0)</f>
        <v>0</v>
      </c>
      <c r="I15" s="5">
        <f>IFERROR(VLOOKUP($A15,[6]Sheet1!$A$1:$F$99,5,FALSE),0)</f>
        <v>0</v>
      </c>
      <c r="J15" s="5">
        <f>IFERROR(VLOOKUP($A15,[6]Sheet1!$A$1:$F$99,6,FALSE),0)</f>
        <v>0</v>
      </c>
    </row>
    <row r="16" spans="1:10">
      <c r="A16" t="str">
        <f t="shared" si="0"/>
        <v>SPG_FR007_POS_FIXED</v>
      </c>
      <c r="B16" s="8" t="s">
        <v>16</v>
      </c>
      <c r="C16" s="8" t="s">
        <v>39</v>
      </c>
      <c r="D16" s="8" t="s">
        <v>40</v>
      </c>
      <c r="E16" s="7" t="str">
        <f t="shared" si="1"/>
        <v/>
      </c>
      <c r="F16" s="7" t="str">
        <f t="shared" si="2"/>
        <v/>
      </c>
      <c r="G16" s="5">
        <f>IFERROR(VLOOKUP($A16,[5]Sheet1!$A$1:$F$99,5,FALSE),0)</f>
        <v>0</v>
      </c>
      <c r="H16" s="5">
        <f>IFERROR(VLOOKUP($A16,[5]Sheet1!$A$1:$F$99,6,FALSE),0)</f>
        <v>0</v>
      </c>
      <c r="I16" s="5">
        <f>IFERROR(VLOOKUP($A16,[6]Sheet1!$A$1:$F$99,5,FALSE),0)</f>
        <v>0</v>
      </c>
      <c r="J16" s="5">
        <f>IFERROR(VLOOKUP($A16,[6]Sheet1!$A$1:$F$99,6,FALSE),0)</f>
        <v>0</v>
      </c>
    </row>
    <row r="17" spans="1:10">
      <c r="A17" t="str">
        <f t="shared" si="0"/>
        <v>SPG_FR007_POS_FLOAT</v>
      </c>
      <c r="B17" s="8" t="s">
        <v>16</v>
      </c>
      <c r="C17" s="8" t="s">
        <v>39</v>
      </c>
      <c r="D17" s="8" t="s">
        <v>41</v>
      </c>
      <c r="E17" s="7" t="str">
        <f t="shared" si="1"/>
        <v/>
      </c>
      <c r="F17" s="7" t="str">
        <f t="shared" si="2"/>
        <v/>
      </c>
      <c r="G17" s="5">
        <f>IFERROR(VLOOKUP($A17,[5]Sheet1!$A$1:$F$99,5,FALSE),0)</f>
        <v>0</v>
      </c>
      <c r="H17" s="5">
        <f>IFERROR(VLOOKUP($A17,[5]Sheet1!$A$1:$F$99,6,FALSE),0)</f>
        <v>0</v>
      </c>
      <c r="I17" s="5">
        <f>IFERROR(VLOOKUP($A17,[6]Sheet1!$A$1:$F$99,5,FALSE),0)</f>
        <v>0</v>
      </c>
      <c r="J17" s="5">
        <f>IFERROR(VLOOKUP($A17,[6]Sheet1!$A$1:$F$99,6,FALSE),0)</f>
        <v>0</v>
      </c>
    </row>
    <row r="18" spans="1:10">
      <c r="A18" t="str">
        <f t="shared" si="0"/>
        <v>SPG_SHB3M_POS_FIXED</v>
      </c>
      <c r="B18" s="8" t="s">
        <v>16</v>
      </c>
      <c r="C18" s="8" t="s">
        <v>42</v>
      </c>
      <c r="D18" s="8" t="s">
        <v>40</v>
      </c>
      <c r="E18" s="7" t="str">
        <f t="shared" si="1"/>
        <v/>
      </c>
      <c r="F18" s="7" t="str">
        <f t="shared" si="2"/>
        <v/>
      </c>
      <c r="G18" s="5">
        <f>IFERROR(VLOOKUP($A18,[5]Sheet1!$A$1:$F$99,5,FALSE),0)</f>
        <v>0</v>
      </c>
      <c r="H18" s="5">
        <f>IFERROR(VLOOKUP($A18,[5]Sheet1!$A$1:$F$99,6,FALSE),0)</f>
        <v>0</v>
      </c>
      <c r="I18" s="5">
        <f>IFERROR(VLOOKUP($A18,[6]Sheet1!$A$1:$F$99,5,FALSE),0)</f>
        <v>0</v>
      </c>
      <c r="J18" s="5">
        <f>IFERROR(VLOOKUP($A18,[6]Sheet1!$A$1:$F$99,6,FALSE),0)</f>
        <v>0</v>
      </c>
    </row>
    <row r="19" spans="1:10">
      <c r="A19" t="str">
        <f t="shared" si="0"/>
        <v>SPG_SHB3M_POS_FLOAT</v>
      </c>
      <c r="B19" s="8" t="s">
        <v>16</v>
      </c>
      <c r="C19" s="8" t="s">
        <v>42</v>
      </c>
      <c r="D19" s="8" t="s">
        <v>41</v>
      </c>
      <c r="E19" s="7" t="str">
        <f t="shared" si="1"/>
        <v/>
      </c>
      <c r="F19" s="7" t="str">
        <f t="shared" si="2"/>
        <v/>
      </c>
      <c r="G19" s="5">
        <f>IFERROR(VLOOKUP($A19,[5]Sheet1!$A$1:$F$99,5,FALSE),0)</f>
        <v>0</v>
      </c>
      <c r="H19" s="5">
        <f>IFERROR(VLOOKUP($A19,[5]Sheet1!$A$1:$F$99,6,FALSE),0)</f>
        <v>0</v>
      </c>
      <c r="I19" s="5">
        <f>IFERROR(VLOOKUP($A19,[6]Sheet1!$A$1:$F$99,5,FALSE),0)</f>
        <v>0</v>
      </c>
      <c r="J19" s="5">
        <f>IFERROR(VLOOKUP($A19,[6]Sheet1!$A$1:$F$99,6,FALSE),0)</f>
        <v>0</v>
      </c>
    </row>
    <row r="20" spans="1:10">
      <c r="A20" t="str">
        <f t="shared" si="0"/>
        <v>MME_FR007_POS_FIXED</v>
      </c>
      <c r="B20" s="8" t="s">
        <v>17</v>
      </c>
      <c r="C20" s="8" t="s">
        <v>39</v>
      </c>
      <c r="D20" s="8" t="s">
        <v>40</v>
      </c>
      <c r="E20" s="7" t="str">
        <f t="shared" si="1"/>
        <v/>
      </c>
      <c r="F20" s="7" t="str">
        <f t="shared" si="2"/>
        <v/>
      </c>
      <c r="G20" s="5">
        <f>IFERROR(VLOOKUP($A20,[5]Sheet1!$A$1:$F$99,5,FALSE),0)</f>
        <v>0</v>
      </c>
      <c r="H20" s="5">
        <f>IFERROR(VLOOKUP($A20,[5]Sheet1!$A$1:$F$99,6,FALSE),0)</f>
        <v>0</v>
      </c>
      <c r="I20" s="5">
        <f>IFERROR(VLOOKUP($A20,[6]Sheet1!$A$1:$F$99,5,FALSE),0)</f>
        <v>0</v>
      </c>
      <c r="J20" s="5">
        <f>IFERROR(VLOOKUP($A20,[6]Sheet1!$A$1:$F$99,6,FALSE),0)</f>
        <v>0</v>
      </c>
    </row>
    <row r="21" spans="1:10">
      <c r="A21" t="str">
        <f t="shared" si="0"/>
        <v>MME_FR007_POS_FLOAT</v>
      </c>
      <c r="B21" s="8" t="s">
        <v>17</v>
      </c>
      <c r="C21" s="8" t="s">
        <v>39</v>
      </c>
      <c r="D21" s="8" t="s">
        <v>41</v>
      </c>
      <c r="E21" s="7" t="str">
        <f t="shared" si="1"/>
        <v/>
      </c>
      <c r="F21" s="7" t="str">
        <f t="shared" si="2"/>
        <v/>
      </c>
      <c r="G21" s="5">
        <f>IFERROR(VLOOKUP($A21,[5]Sheet1!$A$1:$F$99,5,FALSE),0)</f>
        <v>0</v>
      </c>
      <c r="H21" s="5">
        <f>IFERROR(VLOOKUP($A21,[5]Sheet1!$A$1:$F$99,6,FALSE),0)</f>
        <v>0</v>
      </c>
      <c r="I21" s="5">
        <f>IFERROR(VLOOKUP($A21,[6]Sheet1!$A$1:$F$99,5,FALSE),0)</f>
        <v>0</v>
      </c>
      <c r="J21" s="5">
        <f>IFERROR(VLOOKUP($A21,[6]Sheet1!$A$1:$F$99,6,FALSE),0)</f>
        <v>0</v>
      </c>
    </row>
    <row r="22" spans="1:10">
      <c r="A22" t="str">
        <f t="shared" si="0"/>
        <v>MME_SHB3M_POS_FIXED</v>
      </c>
      <c r="B22" s="8" t="s">
        <v>17</v>
      </c>
      <c r="C22" s="8" t="s">
        <v>42</v>
      </c>
      <c r="D22" s="8" t="s">
        <v>40</v>
      </c>
      <c r="E22" s="7" t="str">
        <f t="shared" si="1"/>
        <v/>
      </c>
      <c r="F22" s="7" t="str">
        <f t="shared" si="2"/>
        <v/>
      </c>
      <c r="G22" s="5">
        <f>IFERROR(VLOOKUP($A22,[5]Sheet1!$A$1:$F$99,5,FALSE),0)</f>
        <v>0</v>
      </c>
      <c r="H22" s="5">
        <f>IFERROR(VLOOKUP($A22,[5]Sheet1!$A$1:$F$99,6,FALSE),0)</f>
        <v>0</v>
      </c>
      <c r="I22" s="5">
        <f>IFERROR(VLOOKUP($A22,[6]Sheet1!$A$1:$F$99,5,FALSE),0)</f>
        <v>0</v>
      </c>
      <c r="J22" s="5">
        <f>IFERROR(VLOOKUP($A22,[6]Sheet1!$A$1:$F$99,6,FALSE),0)</f>
        <v>0</v>
      </c>
    </row>
    <row r="23" spans="1:10">
      <c r="A23" t="str">
        <f t="shared" si="0"/>
        <v>MME_SHB3M_POS_FLOAT</v>
      </c>
      <c r="B23" s="8" t="s">
        <v>17</v>
      </c>
      <c r="C23" s="8" t="s">
        <v>42</v>
      </c>
      <c r="D23" s="8" t="s">
        <v>41</v>
      </c>
      <c r="E23" s="7" t="str">
        <f t="shared" si="1"/>
        <v/>
      </c>
      <c r="F23" s="7" t="str">
        <f t="shared" si="2"/>
        <v/>
      </c>
      <c r="G23" s="5">
        <f>IFERROR(VLOOKUP($A23,[5]Sheet1!$A$1:$F$99,5,FALSE),0)</f>
        <v>0</v>
      </c>
      <c r="H23" s="5">
        <f>IFERROR(VLOOKUP($A23,[5]Sheet1!$A$1:$F$99,6,FALSE),0)</f>
        <v>0</v>
      </c>
      <c r="I23" s="5">
        <f>IFERROR(VLOOKUP($A23,[6]Sheet1!$A$1:$F$99,5,FALSE),0)</f>
        <v>0</v>
      </c>
      <c r="J23" s="5">
        <f>IFERROR(VLOOKUP($A23,[6]Sheet1!$A$1:$F$99,6,FALSE),0)</f>
        <v>0</v>
      </c>
    </row>
    <row r="24" spans="1:10">
      <c r="A24" t="str">
        <f t="shared" si="0"/>
        <v>Strat_FR007_POS_FIXED</v>
      </c>
      <c r="B24" s="8" t="s">
        <v>18</v>
      </c>
      <c r="C24" s="8" t="s">
        <v>39</v>
      </c>
      <c r="D24" s="8" t="s">
        <v>40</v>
      </c>
      <c r="E24" s="7">
        <f t="shared" si="1"/>
        <v>4.0211064927141119E-2</v>
      </c>
      <c r="F24" s="7">
        <f t="shared" si="2"/>
        <v>0.10187451142954548</v>
      </c>
      <c r="G24" s="5">
        <f>IFERROR(VLOOKUP($A24,[5]Sheet1!$A$1:$F$99,5,FALSE),0)</f>
        <v>-149773185.839421</v>
      </c>
      <c r="H24" s="5">
        <f>IFERROR(VLOOKUP($A24,[5]Sheet1!$A$1:$F$99,6,FALSE),0)</f>
        <v>-140289390.33818778</v>
      </c>
      <c r="I24" s="5">
        <f>IFERROR(VLOOKUP($A24,[6]Sheet1!$A$1:$F$99,5,FALSE),0)</f>
        <v>-156048043.86294734</v>
      </c>
      <c r="J24" s="5">
        <f>IFERROR(VLOOKUP($A24,[6]Sheet1!$A$1:$F$99,6,FALSE),0)</f>
        <v>-156202437.32475099</v>
      </c>
    </row>
    <row r="25" spans="1:10">
      <c r="A25" t="str">
        <f t="shared" si="0"/>
        <v>Strat_FR007_POS_FLOAT</v>
      </c>
      <c r="B25" s="8" t="s">
        <v>18</v>
      </c>
      <c r="C25" s="8" t="s">
        <v>39</v>
      </c>
      <c r="D25" s="8" t="s">
        <v>41</v>
      </c>
      <c r="E25" s="7">
        <f t="shared" si="1"/>
        <v>4.7854018662549201E-2</v>
      </c>
      <c r="F25" s="7">
        <f t="shared" si="2"/>
        <v>0.1532841564779899</v>
      </c>
      <c r="G25" s="5">
        <f>IFERROR(VLOOKUP($A25,[5]Sheet1!$A$1:$F$99,5,FALSE),0)</f>
        <v>97095787.264017999</v>
      </c>
      <c r="H25" s="5">
        <f>IFERROR(VLOOKUP($A25,[5]Sheet1!$A$1:$F$99,6,FALSE),0)</f>
        <v>86936028.197549522</v>
      </c>
      <c r="I25" s="5">
        <f>IFERROR(VLOOKUP($A25,[6]Sheet1!$A$1:$F$99,5,FALSE),0)</f>
        <v>101975736.03958341</v>
      </c>
      <c r="J25" s="5">
        <f>IFERROR(VLOOKUP($A25,[6]Sheet1!$A$1:$F$99,6,FALSE),0)</f>
        <v>102674384.63880551</v>
      </c>
    </row>
    <row r="26" spans="1:10">
      <c r="A26" t="str">
        <f t="shared" si="0"/>
        <v>Strat_SHB3M_POS_FIXED</v>
      </c>
      <c r="B26" s="8" t="s">
        <v>18</v>
      </c>
      <c r="C26" s="8" t="s">
        <v>42</v>
      </c>
      <c r="D26" s="8" t="s">
        <v>40</v>
      </c>
      <c r="E26" s="7">
        <f t="shared" si="1"/>
        <v>1.2362465852506666E-2</v>
      </c>
      <c r="F26" s="7">
        <f t="shared" si="2"/>
        <v>3.0979303700885289E-3</v>
      </c>
      <c r="G26" s="5">
        <f>IFERROR(VLOOKUP($A26,[5]Sheet1!$A$1:$F$99,5,FALSE),0)</f>
        <v>-79946295.446431994</v>
      </c>
      <c r="H26" s="5">
        <f>IFERROR(VLOOKUP($A26,[5]Sheet1!$A$1:$F$99,6,FALSE),0)</f>
        <v>-80806446.961709991</v>
      </c>
      <c r="I26" s="5">
        <f>IFERROR(VLOOKUP($A26,[6]Sheet1!$A$1:$F$99,5,FALSE),0)</f>
        <v>-80946999.969416767</v>
      </c>
      <c r="J26" s="5">
        <f>IFERROR(VLOOKUP($A26,[6]Sheet1!$A$1:$F$99,6,FALSE),0)</f>
        <v>-81057557.631220952</v>
      </c>
    </row>
    <row r="27" spans="1:10">
      <c r="A27" t="str">
        <f t="shared" si="0"/>
        <v>Strat_SHB3M_POS_FLOAT</v>
      </c>
      <c r="B27" s="8" t="s">
        <v>18</v>
      </c>
      <c r="C27" s="8" t="s">
        <v>42</v>
      </c>
      <c r="D27" s="8" t="s">
        <v>41</v>
      </c>
      <c r="E27" s="7">
        <f t="shared" si="1"/>
        <v>1.9363578406767973E-2</v>
      </c>
      <c r="F27" s="7">
        <f t="shared" si="2"/>
        <v>4.8675745130818612E-3</v>
      </c>
      <c r="G27" s="5">
        <f>IFERROR(VLOOKUP($A27,[5]Sheet1!$A$1:$F$99,5,FALSE),0)</f>
        <v>68985245.039887995</v>
      </c>
      <c r="H27" s="5">
        <f>IFERROR(VLOOKUP($A27,[5]Sheet1!$A$1:$F$99,6,FALSE),0)</f>
        <v>70034581.223869011</v>
      </c>
      <c r="I27" s="5">
        <f>IFERROR(VLOOKUP($A27,[6]Sheet1!$A$1:$F$99,5,FALSE),0)</f>
        <v>70347422.878510088</v>
      </c>
      <c r="J27" s="5">
        <f>IFERROR(VLOOKUP($A27,[6]Sheet1!$A$1:$F$99,6,FALSE),0)</f>
        <v>70377147.232039094</v>
      </c>
    </row>
    <row r="28" spans="1:10">
      <c r="A28" t="str">
        <f t="shared" si="0"/>
        <v>ASW_FR007_POS_FIXED</v>
      </c>
      <c r="B28" s="8" t="s">
        <v>19</v>
      </c>
      <c r="C28" s="8" t="s">
        <v>39</v>
      </c>
      <c r="D28" s="8" t="s">
        <v>40</v>
      </c>
      <c r="E28" s="7" t="str">
        <f t="shared" si="1"/>
        <v/>
      </c>
      <c r="F28" s="7" t="str">
        <f t="shared" si="2"/>
        <v/>
      </c>
      <c r="G28" s="5">
        <f>IFERROR(VLOOKUP($A28,[5]Sheet1!$A$1:$F$99,5,FALSE),0)</f>
        <v>0</v>
      </c>
      <c r="H28" s="5">
        <f>IFERROR(VLOOKUP($A28,[5]Sheet1!$A$1:$F$99,6,FALSE),0)</f>
        <v>0</v>
      </c>
      <c r="I28" s="5">
        <f>IFERROR(VLOOKUP($A28,[6]Sheet1!$A$1:$F$99,5,FALSE),0)</f>
        <v>0</v>
      </c>
      <c r="J28" s="5">
        <f>IFERROR(VLOOKUP($A28,[6]Sheet1!$A$1:$F$99,6,FALSE),0)</f>
        <v>0</v>
      </c>
    </row>
    <row r="29" spans="1:10">
      <c r="A29" t="str">
        <f t="shared" si="0"/>
        <v>ASW_FR007_POS_FLOAT</v>
      </c>
      <c r="B29" s="8" t="s">
        <v>19</v>
      </c>
      <c r="C29" s="8" t="s">
        <v>39</v>
      </c>
      <c r="D29" s="8" t="s">
        <v>41</v>
      </c>
      <c r="E29" s="7" t="str">
        <f t="shared" si="1"/>
        <v/>
      </c>
      <c r="F29" s="7" t="str">
        <f t="shared" si="2"/>
        <v/>
      </c>
      <c r="G29" s="5">
        <f>IFERROR(VLOOKUP($A29,[5]Sheet1!$A$1:$F$99,5,FALSE),0)</f>
        <v>0</v>
      </c>
      <c r="H29" s="5">
        <f>IFERROR(VLOOKUP($A29,[5]Sheet1!$A$1:$F$99,6,FALSE),0)</f>
        <v>0</v>
      </c>
      <c r="I29" s="5">
        <f>IFERROR(VLOOKUP($A29,[6]Sheet1!$A$1:$F$99,5,FALSE),0)</f>
        <v>0</v>
      </c>
      <c r="J29" s="5">
        <f>IFERROR(VLOOKUP($A29,[6]Sheet1!$A$1:$F$99,6,FALSE),0)</f>
        <v>0</v>
      </c>
    </row>
    <row r="30" spans="1:10">
      <c r="A30" t="str">
        <f t="shared" si="0"/>
        <v>ASW_SHB3M_POS_FIXED</v>
      </c>
      <c r="B30" s="8" t="s">
        <v>19</v>
      </c>
      <c r="C30" s="8" t="s">
        <v>42</v>
      </c>
      <c r="D30" s="8" t="s">
        <v>40</v>
      </c>
      <c r="E30" s="7" t="str">
        <f t="shared" si="1"/>
        <v/>
      </c>
      <c r="F30" s="7" t="str">
        <f t="shared" si="2"/>
        <v/>
      </c>
      <c r="G30" s="5">
        <f>IFERROR(VLOOKUP($A30,[5]Sheet1!$A$1:$F$99,5,FALSE),0)</f>
        <v>0</v>
      </c>
      <c r="H30" s="5">
        <f>IFERROR(VLOOKUP($A30,[5]Sheet1!$A$1:$F$99,6,FALSE),0)</f>
        <v>0</v>
      </c>
      <c r="I30" s="5">
        <f>IFERROR(VLOOKUP($A30,[6]Sheet1!$A$1:$F$99,5,FALSE),0)</f>
        <v>0</v>
      </c>
      <c r="J30" s="5">
        <f>IFERROR(VLOOKUP($A30,[6]Sheet1!$A$1:$F$99,6,FALSE),0)</f>
        <v>0</v>
      </c>
    </row>
    <row r="31" spans="1:10">
      <c r="A31" t="str">
        <f t="shared" si="0"/>
        <v>ASW_SHB3M_POS_FLOAT</v>
      </c>
      <c r="B31" s="8" t="s">
        <v>19</v>
      </c>
      <c r="C31" s="8" t="s">
        <v>42</v>
      </c>
      <c r="D31" s="8" t="s">
        <v>41</v>
      </c>
      <c r="E31" s="7" t="str">
        <f t="shared" si="1"/>
        <v/>
      </c>
      <c r="F31" s="7" t="str">
        <f t="shared" si="2"/>
        <v/>
      </c>
      <c r="G31" s="5">
        <f>IFERROR(VLOOKUP($A31,[5]Sheet1!$A$1:$F$99,5,FALSE),0)</f>
        <v>0</v>
      </c>
      <c r="H31" s="5">
        <f>IFERROR(VLOOKUP($A31,[5]Sheet1!$A$1:$F$99,6,FALSE),0)</f>
        <v>0</v>
      </c>
      <c r="I31" s="5">
        <f>IFERROR(VLOOKUP($A31,[6]Sheet1!$A$1:$F$99,5,FALSE),0)</f>
        <v>0</v>
      </c>
      <c r="J31" s="5">
        <f>IFERROR(VLOOKUP($A31,[6]Sheet1!$A$1:$F$99,6,FALSE),0)</f>
        <v>0</v>
      </c>
    </row>
    <row r="32" spans="1:10">
      <c r="A32" t="str">
        <f t="shared" si="0"/>
        <v>SPH_FR007_POS_FIXED</v>
      </c>
      <c r="B32" s="8" t="s">
        <v>12</v>
      </c>
      <c r="C32" s="8" t="s">
        <v>39</v>
      </c>
      <c r="D32" s="8" t="s">
        <v>40</v>
      </c>
      <c r="E32" s="7">
        <f t="shared" si="1"/>
        <v>5.398486469660733E-5</v>
      </c>
      <c r="F32" s="7">
        <f t="shared" si="2"/>
        <v>0</v>
      </c>
      <c r="G32" s="5">
        <f>IFERROR(VLOOKUP($A32,[5]Sheet1!$A$1:$F$99,5,FALSE),0)</f>
        <v>-11484935.634896001</v>
      </c>
      <c r="H32" s="5">
        <f>IFERROR(VLOOKUP($A32,[5]Sheet1!$A$1:$F$99,6,FALSE),0)</f>
        <v>-11488198.275065761</v>
      </c>
      <c r="I32" s="5">
        <f>IFERROR(VLOOKUP($A32,[6]Sheet1!$A$1:$F$99,5,FALSE),0)</f>
        <v>-11485555.681065409</v>
      </c>
      <c r="J32" s="5">
        <f>IFERROR(VLOOKUP($A32,[6]Sheet1!$A$1:$F$99,6,FALSE),0)</f>
        <v>-11488198.275065761</v>
      </c>
    </row>
    <row r="33" spans="1:10">
      <c r="A33" t="str">
        <f t="shared" si="0"/>
        <v>SPH_FR007_POS_FLOAT</v>
      </c>
      <c r="B33" s="8" t="s">
        <v>12</v>
      </c>
      <c r="C33" s="8" t="s">
        <v>39</v>
      </c>
      <c r="D33" s="8" t="s">
        <v>41</v>
      </c>
      <c r="E33" s="7">
        <f t="shared" si="1"/>
        <v>-2.2588203042856261E-3</v>
      </c>
      <c r="F33" s="7">
        <f t="shared" si="2"/>
        <v>2.1501044739625033E-4</v>
      </c>
      <c r="G33" s="5">
        <f>IFERROR(VLOOKUP($A33,[5]Sheet1!$A$1:$F$99,5,FALSE),0)</f>
        <v>11075316.08608</v>
      </c>
      <c r="H33" s="5">
        <f>IFERROR(VLOOKUP($A33,[5]Sheet1!$A$1:$F$99,6,FALSE),0)</f>
        <v>11140579.144671019</v>
      </c>
      <c r="I33" s="5">
        <f>IFERROR(VLOOKUP($A33,[6]Sheet1!$A$1:$F$99,5,FALSE),0)</f>
        <v>11050355.319115611</v>
      </c>
      <c r="J33" s="5">
        <f>IFERROR(VLOOKUP($A33,[6]Sheet1!$A$1:$F$99,6,FALSE),0)</f>
        <v>11142975.000711247</v>
      </c>
    </row>
    <row r="34" spans="1:10">
      <c r="A34" t="str">
        <f t="shared" si="0"/>
        <v>SPH_SHB3M_POS_FIXED</v>
      </c>
      <c r="B34" s="8" t="s">
        <v>12</v>
      </c>
      <c r="C34" s="8" t="s">
        <v>42</v>
      </c>
      <c r="D34" s="8" t="s">
        <v>40</v>
      </c>
      <c r="E34" s="7" t="str">
        <f t="shared" si="1"/>
        <v/>
      </c>
      <c r="F34" s="7" t="str">
        <f t="shared" si="2"/>
        <v/>
      </c>
      <c r="G34" s="5">
        <f>IFERROR(VLOOKUP($A34,[5]Sheet1!$A$1:$F$99,5,FALSE),0)</f>
        <v>0</v>
      </c>
      <c r="H34" s="5">
        <f>IFERROR(VLOOKUP($A34,[5]Sheet1!$A$1:$F$99,6,FALSE),0)</f>
        <v>0</v>
      </c>
      <c r="I34" s="5">
        <f>IFERROR(VLOOKUP($A34,[6]Sheet1!$A$1:$F$99,5,FALSE),0)</f>
        <v>0</v>
      </c>
      <c r="J34" s="5">
        <f>IFERROR(VLOOKUP($A34,[6]Sheet1!$A$1:$F$99,6,FALSE),0)</f>
        <v>0</v>
      </c>
    </row>
    <row r="35" spans="1:10">
      <c r="A35" t="str">
        <f t="shared" si="0"/>
        <v>SPH_SHB3M_POS_FLOAT</v>
      </c>
      <c r="B35" s="8" t="s">
        <v>12</v>
      </c>
      <c r="C35" s="8" t="s">
        <v>42</v>
      </c>
      <c r="D35" s="8" t="s">
        <v>41</v>
      </c>
      <c r="E35" s="7" t="str">
        <f t="shared" si="1"/>
        <v/>
      </c>
      <c r="F35" s="7" t="str">
        <f t="shared" si="2"/>
        <v/>
      </c>
      <c r="G35" s="5">
        <f>IFERROR(VLOOKUP($A35,[5]Sheet1!$A$1:$F$99,5,FALSE),0)</f>
        <v>0</v>
      </c>
      <c r="H35" s="5">
        <f>IFERROR(VLOOKUP($A35,[5]Sheet1!$A$1:$F$99,6,FALSE),0)</f>
        <v>0</v>
      </c>
      <c r="I35" s="5">
        <f>IFERROR(VLOOKUP($A35,[6]Sheet1!$A$1:$F$99,5,FALSE),0)</f>
        <v>0</v>
      </c>
      <c r="J35" s="5">
        <f>IFERROR(VLOOKUP($A35,[6]Sheet1!$A$1:$F$99,6,FALSE),0)</f>
        <v>0</v>
      </c>
    </row>
    <row r="36" spans="1:10">
      <c r="A36" t="str">
        <f t="shared" ref="A36:A67" si="3">B36&amp;"_"&amp;C36&amp;"_"&amp;D36</f>
        <v>SPL_FR007_POS_FIXED</v>
      </c>
      <c r="B36" s="8" t="s">
        <v>13</v>
      </c>
      <c r="C36" s="8" t="s">
        <v>39</v>
      </c>
      <c r="D36" s="8" t="s">
        <v>40</v>
      </c>
      <c r="E36" s="7">
        <f t="shared" ref="E36:E67" si="4">IFERROR((I36-G36)/I36, "")</f>
        <v>4.8078619000695498E-5</v>
      </c>
      <c r="F36" s="7">
        <f t="shared" ref="F36:F67" si="5">IFERROR((J36-H36)/J36, "")</f>
        <v>0</v>
      </c>
      <c r="G36" s="5">
        <f>IFERROR(VLOOKUP($A36,[5]Sheet1!$A$1:$F$99,5,FALSE),0)</f>
        <v>-14303519.458067</v>
      </c>
      <c r="H36" s="5">
        <f>IFERROR(VLOOKUP($A36,[5]Sheet1!$A$1:$F$99,6,FALSE),0)</f>
        <v>-14308596.540376702</v>
      </c>
      <c r="I36" s="5">
        <f>IFERROR(VLOOKUP($A36,[6]Sheet1!$A$1:$F$99,5,FALSE),0)</f>
        <v>-14304207.184594335</v>
      </c>
      <c r="J36" s="5">
        <f>IFERROR(VLOOKUP($A36,[6]Sheet1!$A$1:$F$99,6,FALSE),0)</f>
        <v>-14308596.540376702</v>
      </c>
    </row>
    <row r="37" spans="1:10">
      <c r="A37" t="str">
        <f t="shared" si="3"/>
        <v>SPL_FR007_POS_FLOAT</v>
      </c>
      <c r="B37" s="8" t="s">
        <v>13</v>
      </c>
      <c r="C37" s="8" t="s">
        <v>39</v>
      </c>
      <c r="D37" s="8" t="s">
        <v>41</v>
      </c>
      <c r="E37" s="7">
        <f t="shared" si="4"/>
        <v>-2.5777313925031578E-3</v>
      </c>
      <c r="F37" s="7">
        <f t="shared" si="5"/>
        <v>3.0923995805531515E-4</v>
      </c>
      <c r="G37" s="5">
        <f>IFERROR(VLOOKUP($A37,[5]Sheet1!$A$1:$F$99,5,FALSE),0)</f>
        <v>14362951.03231</v>
      </c>
      <c r="H37" s="5">
        <f>IFERROR(VLOOKUP($A37,[5]Sheet1!$A$1:$F$99,6,FALSE),0)</f>
        <v>14428915.220600856</v>
      </c>
      <c r="I37" s="5">
        <f>IFERROR(VLOOKUP($A37,[6]Sheet1!$A$1:$F$99,5,FALSE),0)</f>
        <v>14326022.394653598</v>
      </c>
      <c r="J37" s="5">
        <f>IFERROR(VLOOKUP($A37,[6]Sheet1!$A$1:$F$99,6,FALSE),0)</f>
        <v>14433378.597993096</v>
      </c>
    </row>
    <row r="38" spans="1:10">
      <c r="A38" t="str">
        <f t="shared" si="3"/>
        <v>SPL_SHB3M_POS_FIXED</v>
      </c>
      <c r="B38" s="8" t="s">
        <v>13</v>
      </c>
      <c r="C38" s="8" t="s">
        <v>42</v>
      </c>
      <c r="D38" s="8" t="s">
        <v>40</v>
      </c>
      <c r="E38" s="7" t="str">
        <f t="shared" si="4"/>
        <v/>
      </c>
      <c r="F38" s="7" t="str">
        <f t="shared" si="5"/>
        <v/>
      </c>
      <c r="G38" s="5">
        <f>IFERROR(VLOOKUP($A38,[5]Sheet1!$A$1:$F$99,5,FALSE),0)</f>
        <v>0</v>
      </c>
      <c r="H38" s="5">
        <f>IFERROR(VLOOKUP($A38,[5]Sheet1!$A$1:$F$99,6,FALSE),0)</f>
        <v>0</v>
      </c>
      <c r="I38" s="5">
        <f>IFERROR(VLOOKUP($A38,[6]Sheet1!$A$1:$F$99,5,FALSE),0)</f>
        <v>0</v>
      </c>
      <c r="J38" s="5">
        <f>IFERROR(VLOOKUP($A38,[6]Sheet1!$A$1:$F$99,6,FALSE),0)</f>
        <v>0</v>
      </c>
    </row>
    <row r="39" spans="1:10">
      <c r="A39" t="str">
        <f t="shared" si="3"/>
        <v>SPL_SHB3M_POS_FLOAT</v>
      </c>
      <c r="B39" s="8" t="s">
        <v>13</v>
      </c>
      <c r="C39" s="8" t="s">
        <v>42</v>
      </c>
      <c r="D39" s="8" t="s">
        <v>41</v>
      </c>
      <c r="E39" s="7" t="str">
        <f t="shared" si="4"/>
        <v/>
      </c>
      <c r="F39" s="7" t="str">
        <f t="shared" si="5"/>
        <v/>
      </c>
      <c r="G39" s="5">
        <f>IFERROR(VLOOKUP($A39,[5]Sheet1!$A$1:$F$99,5,FALSE),0)</f>
        <v>0</v>
      </c>
      <c r="H39" s="5">
        <f>IFERROR(VLOOKUP($A39,[5]Sheet1!$A$1:$F$99,6,FALSE),0)</f>
        <v>0</v>
      </c>
      <c r="I39" s="5">
        <f>IFERROR(VLOOKUP($A39,[6]Sheet1!$A$1:$F$99,5,FALSE),0)</f>
        <v>0</v>
      </c>
      <c r="J39" s="5">
        <f>IFERROR(VLOOKUP($A39,[6]Sheet1!$A$1:$F$99,6,FALSE),0)</f>
        <v>0</v>
      </c>
    </row>
    <row r="40" spans="1:10">
      <c r="A40" t="str">
        <f t="shared" si="3"/>
        <v>SPQ_FR007_POS_FIXED</v>
      </c>
      <c r="B40" s="8" t="s">
        <v>11</v>
      </c>
      <c r="C40" s="8" t="s">
        <v>39</v>
      </c>
      <c r="D40" s="8" t="s">
        <v>40</v>
      </c>
      <c r="E40" s="7">
        <f t="shared" si="4"/>
        <v>-2.4379770874856886E-5</v>
      </c>
      <c r="F40" s="7">
        <f t="shared" si="5"/>
        <v>0</v>
      </c>
      <c r="G40" s="5">
        <f>IFERROR(VLOOKUP($A40,[5]Sheet1!$A$1:$F$99,5,FALSE),0)</f>
        <v>81657.954461000001</v>
      </c>
      <c r="H40" s="5">
        <f>IFERROR(VLOOKUP($A40,[5]Sheet1!$A$1:$F$99,6,FALSE),0)</f>
        <v>81699.119461740076</v>
      </c>
      <c r="I40" s="5">
        <f>IFERROR(VLOOKUP($A40,[6]Sheet1!$A$1:$F$99,5,FALSE),0)</f>
        <v>81655.963707314251</v>
      </c>
      <c r="J40" s="5">
        <f>IFERROR(VLOOKUP($A40,[6]Sheet1!$A$1:$F$99,6,FALSE),0)</f>
        <v>81699.119461740076</v>
      </c>
    </row>
    <row r="41" spans="1:10">
      <c r="A41" t="str">
        <f t="shared" si="3"/>
        <v>SPQ_FR007_POS_FLOAT</v>
      </c>
      <c r="B41" s="8" t="s">
        <v>11</v>
      </c>
      <c r="C41" s="8" t="s">
        <v>39</v>
      </c>
      <c r="D41" s="8" t="s">
        <v>41</v>
      </c>
      <c r="E41" s="7">
        <f t="shared" si="4"/>
        <v>-2.6558441049310072E-2</v>
      </c>
      <c r="F41" s="7">
        <f t="shared" si="5"/>
        <v>0.15740250126985944</v>
      </c>
      <c r="G41" s="5">
        <f>IFERROR(VLOOKUP($A41,[5]Sheet1!$A$1:$F$99,5,FALSE),0)</f>
        <v>-6420.5400289999998</v>
      </c>
      <c r="H41" s="5">
        <f>IFERROR(VLOOKUP($A41,[5]Sheet1!$A$1:$F$99,6,FALSE),0)</f>
        <v>-5961.4411895925878</v>
      </c>
      <c r="I41" s="5">
        <f>IFERROR(VLOOKUP($A41,[6]Sheet1!$A$1:$F$99,5,FALSE),0)</f>
        <v>-6254.4320637382916</v>
      </c>
      <c r="J41" s="5">
        <f>IFERROR(VLOOKUP($A41,[6]Sheet1!$A$1:$F$99,6,FALSE),0)</f>
        <v>-7075.0758203969744</v>
      </c>
    </row>
    <row r="42" spans="1:10">
      <c r="A42" t="str">
        <f t="shared" si="3"/>
        <v>SPQ_SHB3M_POS_FIXED</v>
      </c>
      <c r="B42" s="8" t="s">
        <v>11</v>
      </c>
      <c r="C42" s="8" t="s">
        <v>42</v>
      </c>
      <c r="D42" s="8" t="s">
        <v>40</v>
      </c>
      <c r="E42" s="7" t="str">
        <f t="shared" si="4"/>
        <v/>
      </c>
      <c r="F42" s="7" t="str">
        <f t="shared" si="5"/>
        <v/>
      </c>
      <c r="G42" s="5">
        <f>IFERROR(VLOOKUP($A42,[5]Sheet1!$A$1:$F$99,5,FALSE),0)</f>
        <v>0</v>
      </c>
      <c r="H42" s="5">
        <f>IFERROR(VLOOKUP($A42,[5]Sheet1!$A$1:$F$99,6,FALSE),0)</f>
        <v>0</v>
      </c>
      <c r="I42" s="5">
        <f>IFERROR(VLOOKUP($A42,[6]Sheet1!$A$1:$F$99,5,FALSE),0)</f>
        <v>0</v>
      </c>
      <c r="J42" s="5">
        <f>IFERROR(VLOOKUP($A42,[6]Sheet1!$A$1:$F$99,6,FALSE),0)</f>
        <v>0</v>
      </c>
    </row>
    <row r="43" spans="1:10">
      <c r="A43" t="str">
        <f t="shared" si="3"/>
        <v>SPQ_SHB3M_POS_FLOAT</v>
      </c>
      <c r="B43" s="8" t="s">
        <v>11</v>
      </c>
      <c r="C43" s="8" t="s">
        <v>42</v>
      </c>
      <c r="D43" s="8" t="s">
        <v>41</v>
      </c>
      <c r="E43" s="7" t="str">
        <f t="shared" si="4"/>
        <v/>
      </c>
      <c r="F43" s="7" t="str">
        <f t="shared" si="5"/>
        <v/>
      </c>
      <c r="G43" s="5">
        <f>IFERROR(VLOOKUP($A43,[5]Sheet1!$A$1:$F$99,5,FALSE),0)</f>
        <v>0</v>
      </c>
      <c r="H43" s="5">
        <f>IFERROR(VLOOKUP($A43,[5]Sheet1!$A$1:$F$99,6,FALSE),0)</f>
        <v>0</v>
      </c>
      <c r="I43" s="5">
        <f>IFERROR(VLOOKUP($A43,[6]Sheet1!$A$1:$F$99,5,FALSE),0)</f>
        <v>0</v>
      </c>
      <c r="J43" s="5">
        <f>IFERROR(VLOOKUP($A43,[6]Sheet1!$A$1:$F$99,6,FALSE),0)</f>
        <v>0</v>
      </c>
    </row>
    <row r="44" spans="1:10">
      <c r="A44" t="str">
        <f t="shared" si="3"/>
        <v>SPC_FR007_POS_FIXED</v>
      </c>
      <c r="B44" s="8" t="s">
        <v>20</v>
      </c>
      <c r="C44" s="8" t="s">
        <v>39</v>
      </c>
      <c r="D44" s="8" t="s">
        <v>40</v>
      </c>
      <c r="E44" s="7" t="str">
        <f t="shared" si="4"/>
        <v/>
      </c>
      <c r="F44" s="7" t="str">
        <f t="shared" si="5"/>
        <v/>
      </c>
      <c r="G44" s="5">
        <f>IFERROR(VLOOKUP($A44,[5]Sheet1!$A$1:$F$99,5,FALSE),0)</f>
        <v>0</v>
      </c>
      <c r="H44" s="5">
        <f>IFERROR(VLOOKUP($A44,[5]Sheet1!$A$1:$F$99,6,FALSE),0)</f>
        <v>0</v>
      </c>
      <c r="I44" s="5">
        <f>IFERROR(VLOOKUP($A44,[6]Sheet1!$A$1:$F$99,5,FALSE),0)</f>
        <v>0</v>
      </c>
      <c r="J44" s="5">
        <f>IFERROR(VLOOKUP($A44,[6]Sheet1!$A$1:$F$99,6,FALSE),0)</f>
        <v>0</v>
      </c>
    </row>
    <row r="45" spans="1:10">
      <c r="A45" t="str">
        <f t="shared" si="3"/>
        <v>SPC_FR007_POS_FLOAT</v>
      </c>
      <c r="B45" s="8" t="s">
        <v>20</v>
      </c>
      <c r="C45" s="8" t="s">
        <v>39</v>
      </c>
      <c r="D45" s="8" t="s">
        <v>41</v>
      </c>
      <c r="E45" s="7" t="str">
        <f t="shared" si="4"/>
        <v/>
      </c>
      <c r="F45" s="7" t="str">
        <f t="shared" si="5"/>
        <v/>
      </c>
      <c r="G45" s="5">
        <f>IFERROR(VLOOKUP($A45,[5]Sheet1!$A$1:$F$99,5,FALSE),0)</f>
        <v>0</v>
      </c>
      <c r="H45" s="5">
        <f>IFERROR(VLOOKUP($A45,[5]Sheet1!$A$1:$F$99,6,FALSE),0)</f>
        <v>0</v>
      </c>
      <c r="I45" s="5">
        <f>IFERROR(VLOOKUP($A45,[6]Sheet1!$A$1:$F$99,5,FALSE),0)</f>
        <v>0</v>
      </c>
      <c r="J45" s="5">
        <f>IFERROR(VLOOKUP($A45,[6]Sheet1!$A$1:$F$99,6,FALSE),0)</f>
        <v>0</v>
      </c>
    </row>
    <row r="46" spans="1:10">
      <c r="A46" t="str">
        <f t="shared" si="3"/>
        <v>SPC_SHB3M_POS_FIXED</v>
      </c>
      <c r="B46" s="8" t="s">
        <v>20</v>
      </c>
      <c r="C46" s="8" t="s">
        <v>42</v>
      </c>
      <c r="D46" s="8" t="s">
        <v>40</v>
      </c>
      <c r="E46" s="7" t="str">
        <f t="shared" si="4"/>
        <v/>
      </c>
      <c r="F46" s="7" t="str">
        <f t="shared" si="5"/>
        <v/>
      </c>
      <c r="G46" s="5">
        <f>IFERROR(VLOOKUP($A46,[5]Sheet1!$A$1:$F$99,5,FALSE),0)</f>
        <v>0</v>
      </c>
      <c r="H46" s="5">
        <f>IFERROR(VLOOKUP($A46,[5]Sheet1!$A$1:$F$99,6,FALSE),0)</f>
        <v>0</v>
      </c>
      <c r="I46" s="5">
        <f>IFERROR(VLOOKUP($A46,[6]Sheet1!$A$1:$F$99,5,FALSE),0)</f>
        <v>0</v>
      </c>
      <c r="J46" s="5">
        <f>IFERROR(VLOOKUP($A46,[6]Sheet1!$A$1:$F$99,6,FALSE),0)</f>
        <v>0</v>
      </c>
    </row>
    <row r="47" spans="1:10">
      <c r="A47" t="str">
        <f t="shared" si="3"/>
        <v>SPC_SHB3M_POS_FLOAT</v>
      </c>
      <c r="B47" s="8" t="s">
        <v>20</v>
      </c>
      <c r="C47" s="8" t="s">
        <v>42</v>
      </c>
      <c r="D47" s="8" t="s">
        <v>41</v>
      </c>
      <c r="E47" s="7" t="str">
        <f t="shared" si="4"/>
        <v/>
      </c>
      <c r="F47" s="7" t="str">
        <f t="shared" si="5"/>
        <v/>
      </c>
      <c r="G47" s="5">
        <f>IFERROR(VLOOKUP($A47,[5]Sheet1!$A$1:$F$99,5,FALSE),0)</f>
        <v>0</v>
      </c>
      <c r="H47" s="5">
        <f>IFERROR(VLOOKUP($A47,[5]Sheet1!$A$1:$F$99,6,FALSE),0)</f>
        <v>0</v>
      </c>
      <c r="I47" s="5">
        <f>IFERROR(VLOOKUP($A47,[6]Sheet1!$A$1:$F$99,5,FALSE),0)</f>
        <v>0</v>
      </c>
      <c r="J47" s="5">
        <f>IFERROR(VLOOKUP($A47,[6]Sheet1!$A$1:$F$99,6,FALSE),0)</f>
        <v>0</v>
      </c>
    </row>
    <row r="48" spans="1:10">
      <c r="A48" t="str">
        <f t="shared" si="3"/>
        <v>SPR_FR007_POS_FIXED</v>
      </c>
      <c r="B48" s="8" t="s">
        <v>10</v>
      </c>
      <c r="C48" s="8" t="s">
        <v>39</v>
      </c>
      <c r="D48" s="8" t="s">
        <v>40</v>
      </c>
      <c r="E48" s="7">
        <f t="shared" si="4"/>
        <v>1.5066192835289506E-4</v>
      </c>
      <c r="F48" s="7">
        <f t="shared" si="5"/>
        <v>0</v>
      </c>
      <c r="G48" s="5">
        <f>IFERROR(VLOOKUP($A48,[5]Sheet1!$A$1:$F$99,5,FALSE),0)</f>
        <v>-17555166.660259999</v>
      </c>
      <c r="H48" s="5">
        <f>IFERROR(VLOOKUP($A48,[5]Sheet1!$A$1:$F$99,6,FALSE),0)</f>
        <v>-17557519.569003928</v>
      </c>
      <c r="I48" s="5">
        <f>IFERROR(VLOOKUP($A48,[6]Sheet1!$A$1:$F$99,5,FALSE),0)</f>
        <v>-17557811.954066657</v>
      </c>
      <c r="J48" s="5">
        <f>IFERROR(VLOOKUP($A48,[6]Sheet1!$A$1:$F$99,6,FALSE),0)</f>
        <v>-17557519.569003928</v>
      </c>
    </row>
    <row r="49" spans="1:10">
      <c r="A49" t="str">
        <f t="shared" si="3"/>
        <v>SPR_FR007_POS_FLOAT</v>
      </c>
      <c r="B49" s="8" t="s">
        <v>10</v>
      </c>
      <c r="C49" s="8" t="s">
        <v>39</v>
      </c>
      <c r="D49" s="8" t="s">
        <v>41</v>
      </c>
      <c r="E49" s="7">
        <f t="shared" si="4"/>
        <v>-9.0380597530570154E-3</v>
      </c>
      <c r="F49" s="7">
        <f t="shared" si="5"/>
        <v>-4.2688730527421295E-3</v>
      </c>
      <c r="G49" s="5">
        <f>IFERROR(VLOOKUP($A49,[5]Sheet1!$A$1:$F$99,5,FALSE),0)</f>
        <v>7235149.5475920001</v>
      </c>
      <c r="H49" s="5">
        <f>IFERROR(VLOOKUP($A49,[5]Sheet1!$A$1:$F$99,6,FALSE),0)</f>
        <v>7227739.1087136352</v>
      </c>
      <c r="I49" s="5">
        <f>IFERROR(VLOOKUP($A49,[6]Sheet1!$A$1:$F$99,5,FALSE),0)</f>
        <v>7170343.5541000962</v>
      </c>
      <c r="J49" s="5">
        <f>IFERROR(VLOOKUP($A49,[6]Sheet1!$A$1:$F$99,6,FALSE),0)</f>
        <v>7197015.9612166425</v>
      </c>
    </row>
    <row r="50" spans="1:10">
      <c r="A50" t="str">
        <f t="shared" si="3"/>
        <v>SPR_SHB3M_POS_FIXED</v>
      </c>
      <c r="B50" s="8" t="s">
        <v>10</v>
      </c>
      <c r="C50" s="8" t="s">
        <v>42</v>
      </c>
      <c r="D50" s="8" t="s">
        <v>40</v>
      </c>
      <c r="E50" s="7">
        <f t="shared" si="4"/>
        <v>-1.5787735051523577E-4</v>
      </c>
      <c r="F50" s="7">
        <f t="shared" si="5"/>
        <v>0</v>
      </c>
      <c r="G50" s="5">
        <f>IFERROR(VLOOKUP($A50,[5]Sheet1!$A$1:$F$99,5,FALSE),0)</f>
        <v>-7116940.3655679999</v>
      </c>
      <c r="H50" s="5">
        <f>IFERROR(VLOOKUP($A50,[5]Sheet1!$A$1:$F$99,6,FALSE),0)</f>
        <v>-7124412.4701540526</v>
      </c>
      <c r="I50" s="5">
        <f>IFERROR(VLOOKUP($A50,[6]Sheet1!$A$1:$F$99,5,FALSE),0)</f>
        <v>-7115816.9392428808</v>
      </c>
      <c r="J50" s="5">
        <f>IFERROR(VLOOKUP($A50,[6]Sheet1!$A$1:$F$99,6,FALSE),0)</f>
        <v>-7124412.4701540526</v>
      </c>
    </row>
    <row r="51" spans="1:10">
      <c r="A51" t="str">
        <f t="shared" si="3"/>
        <v>SPR_SHB3M_POS_FLOAT</v>
      </c>
      <c r="B51" s="8" t="s">
        <v>10</v>
      </c>
      <c r="C51" s="8" t="s">
        <v>42</v>
      </c>
      <c r="D51" s="8" t="s">
        <v>41</v>
      </c>
      <c r="E51" s="7">
        <f t="shared" si="4"/>
        <v>1.1324991422584983E-3</v>
      </c>
      <c r="F51" s="7">
        <f t="shared" si="5"/>
        <v>8.4706331552169156E-16</v>
      </c>
      <c r="G51" s="5">
        <f>IFERROR(VLOOKUP($A51,[5]Sheet1!$A$1:$F$99,5,FALSE),0)</f>
        <v>8781956.2269930001</v>
      </c>
      <c r="H51" s="5">
        <f>IFERROR(VLOOKUP($A51,[5]Sheet1!$A$1:$F$99,6,FALSE),0)</f>
        <v>8795777.6713953651</v>
      </c>
      <c r="I51" s="5">
        <f>IFERROR(VLOOKUP($A51,[6]Sheet1!$A$1:$F$99,5,FALSE),0)</f>
        <v>8791913.0609933864</v>
      </c>
      <c r="J51" s="5">
        <f>IFERROR(VLOOKUP($A51,[6]Sheet1!$A$1:$F$99,6,FALSE),0)</f>
        <v>8795777.6713953726</v>
      </c>
    </row>
    <row r="52" spans="1:10">
      <c r="A52" t="str">
        <f t="shared" si="3"/>
        <v>LM_FR007_POS_FIXED</v>
      </c>
      <c r="B52" s="8" t="s">
        <v>6</v>
      </c>
      <c r="C52" s="8" t="s">
        <v>39</v>
      </c>
      <c r="D52" s="8" t="s">
        <v>40</v>
      </c>
      <c r="E52" s="7">
        <f t="shared" si="4"/>
        <v>-6.0917193705886617E-5</v>
      </c>
      <c r="F52" s="7">
        <f t="shared" si="5"/>
        <v>0</v>
      </c>
      <c r="G52" s="5">
        <f>IFERROR(VLOOKUP($A52,[5]Sheet1!$A$1:$F$99,5,FALSE),0)</f>
        <v>-38591407.778160997</v>
      </c>
      <c r="H52" s="5">
        <f>IFERROR(VLOOKUP($A52,[5]Sheet1!$A$1:$F$99,6,FALSE),0)</f>
        <v>-38621469.526231185</v>
      </c>
      <c r="I52" s="5">
        <f>IFERROR(VLOOKUP($A52,[6]Sheet1!$A$1:$F$99,5,FALSE),0)</f>
        <v>-38589057.041098297</v>
      </c>
      <c r="J52" s="5">
        <f>IFERROR(VLOOKUP($A52,[6]Sheet1!$A$1:$F$99,6,FALSE),0)</f>
        <v>-38621469.526231185</v>
      </c>
    </row>
    <row r="53" spans="1:10">
      <c r="A53" t="str">
        <f t="shared" si="3"/>
        <v>LM_FR007_POS_FLOAT</v>
      </c>
      <c r="B53" s="8" t="s">
        <v>6</v>
      </c>
      <c r="C53" s="8" t="s">
        <v>39</v>
      </c>
      <c r="D53" s="8" t="s">
        <v>41</v>
      </c>
      <c r="E53" s="7">
        <f t="shared" si="4"/>
        <v>-2.411399961376444E-3</v>
      </c>
      <c r="F53" s="7">
        <f t="shared" si="5"/>
        <v>1.541183819289032E-3</v>
      </c>
      <c r="G53" s="5">
        <f>IFERROR(VLOOKUP($A53,[5]Sheet1!$A$1:$F$99,5,FALSE),0)</f>
        <v>38816248.695288002</v>
      </c>
      <c r="H53" s="5">
        <f>IFERROR(VLOOKUP($A53,[5]Sheet1!$A$1:$F$99,6,FALSE),0)</f>
        <v>38761611.557014093</v>
      </c>
      <c r="I53" s="5">
        <f>IFERROR(VLOOKUP($A53,[6]Sheet1!$A$1:$F$99,5,FALSE),0)</f>
        <v>38722872.362369001</v>
      </c>
      <c r="J53" s="5">
        <f>IFERROR(VLOOKUP($A53,[6]Sheet1!$A$1:$F$99,6,FALSE),0)</f>
        <v>38821442.536092177</v>
      </c>
    </row>
    <row r="54" spans="1:10">
      <c r="A54" t="str">
        <f t="shared" si="3"/>
        <v>LM_SHB3M_POS_FIXED</v>
      </c>
      <c r="B54" s="8" t="s">
        <v>6</v>
      </c>
      <c r="C54" s="8" t="s">
        <v>42</v>
      </c>
      <c r="D54" s="8" t="s">
        <v>40</v>
      </c>
      <c r="E54" s="7">
        <f t="shared" si="4"/>
        <v>-1.1896840350551076E-4</v>
      </c>
      <c r="F54" s="7">
        <f t="shared" si="5"/>
        <v>0</v>
      </c>
      <c r="G54" s="5">
        <f>IFERROR(VLOOKUP($A54,[5]Sheet1!$A$1:$F$99,5,FALSE),0)</f>
        <v>-10977259.45184</v>
      </c>
      <c r="H54" s="5">
        <f>IFERROR(VLOOKUP($A54,[5]Sheet1!$A$1:$F$99,6,FALSE),0)</f>
        <v>-10989203.073409665</v>
      </c>
      <c r="I54" s="5">
        <f>IFERROR(VLOOKUP($A54,[6]Sheet1!$A$1:$F$99,5,FALSE),0)</f>
        <v>-10975953.660156101</v>
      </c>
      <c r="J54" s="5">
        <f>IFERROR(VLOOKUP($A54,[6]Sheet1!$A$1:$F$99,6,FALSE),0)</f>
        <v>-10989203.073409665</v>
      </c>
    </row>
    <row r="55" spans="1:10">
      <c r="A55" t="str">
        <f t="shared" si="3"/>
        <v>LM_SHB3M_POS_FLOAT</v>
      </c>
      <c r="B55" s="8" t="s">
        <v>6</v>
      </c>
      <c r="C55" s="8" t="s">
        <v>42</v>
      </c>
      <c r="D55" s="8" t="s">
        <v>41</v>
      </c>
      <c r="E55" s="7">
        <f t="shared" si="4"/>
        <v>-2.5027113417265822E-4</v>
      </c>
      <c r="F55" s="7">
        <f t="shared" si="5"/>
        <v>0</v>
      </c>
      <c r="G55" s="5">
        <f>IFERROR(VLOOKUP($A55,[5]Sheet1!$A$1:$F$99,5,FALSE),0)</f>
        <v>11035337.625670001</v>
      </c>
      <c r="H55" s="5">
        <f>IFERROR(VLOOKUP($A55,[5]Sheet1!$A$1:$F$99,6,FALSE),0)</f>
        <v>11042914.375573261</v>
      </c>
      <c r="I55" s="5">
        <f>IFERROR(VLOOKUP($A55,[6]Sheet1!$A$1:$F$99,5,FALSE),0)</f>
        <v>11032576.490238942</v>
      </c>
      <c r="J55" s="5">
        <f>IFERROR(VLOOKUP($A55,[6]Sheet1!$A$1:$F$99,6,FALSE),0)</f>
        <v>11042914.375573261</v>
      </c>
    </row>
    <row r="56" spans="1:10">
      <c r="A56" t="str">
        <f t="shared" si="3"/>
        <v>Curve_FR007_POS_FIXED</v>
      </c>
      <c r="B56" s="8" t="s">
        <v>21</v>
      </c>
      <c r="C56" s="8" t="s">
        <v>39</v>
      </c>
      <c r="D56" s="8" t="s">
        <v>40</v>
      </c>
      <c r="E56" s="7" t="str">
        <f t="shared" si="4"/>
        <v/>
      </c>
      <c r="F56" s="7" t="str">
        <f t="shared" si="5"/>
        <v/>
      </c>
      <c r="G56" s="5">
        <f>IFERROR(VLOOKUP($A56,[5]Sheet1!$A$1:$F$99,5,FALSE),0)</f>
        <v>0</v>
      </c>
      <c r="H56" s="5">
        <f>IFERROR(VLOOKUP($A56,[5]Sheet1!$A$1:$F$99,6,FALSE),0)</f>
        <v>0</v>
      </c>
      <c r="I56" s="5">
        <f>IFERROR(VLOOKUP($A56,[6]Sheet1!$A$1:$F$99,5,FALSE),0)</f>
        <v>0</v>
      </c>
      <c r="J56" s="5">
        <f>IFERROR(VLOOKUP($A56,[6]Sheet1!$A$1:$F$99,6,FALSE),0)</f>
        <v>0</v>
      </c>
    </row>
    <row r="57" spans="1:10">
      <c r="A57" t="str">
        <f t="shared" si="3"/>
        <v>Curve_FR007_POS_FLOAT</v>
      </c>
      <c r="B57" s="8" t="s">
        <v>21</v>
      </c>
      <c r="C57" s="8" t="s">
        <v>39</v>
      </c>
      <c r="D57" s="8" t="s">
        <v>41</v>
      </c>
      <c r="E57" s="7" t="str">
        <f t="shared" si="4"/>
        <v/>
      </c>
      <c r="F57" s="7" t="str">
        <f t="shared" si="5"/>
        <v/>
      </c>
      <c r="G57" s="5">
        <f>IFERROR(VLOOKUP($A57,[5]Sheet1!$A$1:$F$99,5,FALSE),0)</f>
        <v>0</v>
      </c>
      <c r="H57" s="5">
        <f>IFERROR(VLOOKUP($A57,[5]Sheet1!$A$1:$F$99,6,FALSE),0)</f>
        <v>0</v>
      </c>
      <c r="I57" s="5">
        <f>IFERROR(VLOOKUP($A57,[6]Sheet1!$A$1:$F$99,5,FALSE),0)</f>
        <v>0</v>
      </c>
      <c r="J57" s="5">
        <f>IFERROR(VLOOKUP($A57,[6]Sheet1!$A$1:$F$99,6,FALSE),0)</f>
        <v>0</v>
      </c>
    </row>
    <row r="58" spans="1:10">
      <c r="A58" t="str">
        <f t="shared" si="3"/>
        <v>Curve_SHB3M_POS_FIXED</v>
      </c>
      <c r="B58" s="8" t="s">
        <v>21</v>
      </c>
      <c r="C58" s="8" t="s">
        <v>42</v>
      </c>
      <c r="D58" s="8" t="s">
        <v>40</v>
      </c>
      <c r="E58" s="7" t="str">
        <f t="shared" si="4"/>
        <v/>
      </c>
      <c r="F58" s="7" t="str">
        <f t="shared" si="5"/>
        <v/>
      </c>
      <c r="G58" s="5">
        <f>IFERROR(VLOOKUP($A58,[5]Sheet1!$A$1:$F$99,5,FALSE),0)</f>
        <v>0</v>
      </c>
      <c r="H58" s="5">
        <f>IFERROR(VLOOKUP($A58,[5]Sheet1!$A$1:$F$99,6,FALSE),0)</f>
        <v>0</v>
      </c>
      <c r="I58" s="5">
        <f>IFERROR(VLOOKUP($A58,[6]Sheet1!$A$1:$F$99,5,FALSE),0)</f>
        <v>0</v>
      </c>
      <c r="J58" s="5">
        <f>IFERROR(VLOOKUP($A58,[6]Sheet1!$A$1:$F$99,6,FALSE),0)</f>
        <v>0</v>
      </c>
    </row>
    <row r="59" spans="1:10">
      <c r="A59" t="str">
        <f t="shared" si="3"/>
        <v>Curve_SHB3M_POS_FLOAT</v>
      </c>
      <c r="B59" s="8" t="s">
        <v>21</v>
      </c>
      <c r="C59" s="8" t="s">
        <v>42</v>
      </c>
      <c r="D59" s="8" t="s">
        <v>41</v>
      </c>
      <c r="E59" s="7" t="str">
        <f t="shared" si="4"/>
        <v/>
      </c>
      <c r="F59" s="7" t="str">
        <f t="shared" si="5"/>
        <v/>
      </c>
      <c r="G59" s="5">
        <f>IFERROR(VLOOKUP($A59,[5]Sheet1!$A$1:$F$99,5,FALSE),0)</f>
        <v>0</v>
      </c>
      <c r="H59" s="5">
        <f>IFERROR(VLOOKUP($A59,[5]Sheet1!$A$1:$F$99,6,FALSE),0)</f>
        <v>0</v>
      </c>
      <c r="I59" s="5">
        <f>IFERROR(VLOOKUP($A59,[6]Sheet1!$A$1:$F$99,5,FALSE),0)</f>
        <v>0</v>
      </c>
      <c r="J59" s="5">
        <f>IFERROR(VLOOKUP($A59,[6]Sheet1!$A$1:$F$99,6,FALSE),0)</f>
        <v>0</v>
      </c>
    </row>
    <row r="60" spans="1:10">
      <c r="A60" t="str">
        <f t="shared" si="3"/>
        <v>BMR_FR007_POS_FIXED</v>
      </c>
      <c r="B60" s="8" t="s">
        <v>9</v>
      </c>
      <c r="C60" s="8" t="s">
        <v>39</v>
      </c>
      <c r="D60" s="8" t="s">
        <v>40</v>
      </c>
      <c r="E60" s="7">
        <f t="shared" si="4"/>
        <v>-2.7054390449042613E-3</v>
      </c>
      <c r="F60" s="7">
        <f t="shared" si="5"/>
        <v>0</v>
      </c>
      <c r="G60" s="5">
        <f>IFERROR(VLOOKUP($A60,[5]Sheet1!$A$1:$F$99,5,FALSE),0)</f>
        <v>-140652494.448531</v>
      </c>
      <c r="H60" s="5">
        <f>IFERROR(VLOOKUP($A60,[5]Sheet1!$A$1:$F$99,6,FALSE),0)</f>
        <v>-140355921.72108555</v>
      </c>
      <c r="I60" s="5">
        <f>IFERROR(VLOOKUP($A60,[6]Sheet1!$A$1:$F$99,5,FALSE),0)</f>
        <v>-140272994.41250178</v>
      </c>
      <c r="J60" s="5">
        <f>IFERROR(VLOOKUP($A60,[6]Sheet1!$A$1:$F$99,6,FALSE),0)</f>
        <v>-140355921.72108555</v>
      </c>
    </row>
    <row r="61" spans="1:10">
      <c r="A61" t="str">
        <f t="shared" si="3"/>
        <v>BMR_FR007_POS_FLOAT</v>
      </c>
      <c r="B61" s="8" t="s">
        <v>9</v>
      </c>
      <c r="C61" s="8" t="s">
        <v>39</v>
      </c>
      <c r="D61" s="8" t="s">
        <v>41</v>
      </c>
      <c r="E61" s="7">
        <f t="shared" si="4"/>
        <v>-3.8930943232205265E-3</v>
      </c>
      <c r="F61" s="7">
        <f t="shared" si="5"/>
        <v>1.7998392459004888E-4</v>
      </c>
      <c r="G61" s="5">
        <f>IFERROR(VLOOKUP($A61,[5]Sheet1!$A$1:$F$99,5,FALSE),0)</f>
        <v>142211538.203118</v>
      </c>
      <c r="H61" s="5">
        <f>IFERROR(VLOOKUP($A61,[5]Sheet1!$A$1:$F$99,6,FALSE),0)</f>
        <v>142392850.69734854</v>
      </c>
      <c r="I61" s="5">
        <f>IFERROR(VLOOKUP($A61,[6]Sheet1!$A$1:$F$99,5,FALSE),0)</f>
        <v>141660042.29662582</v>
      </c>
      <c r="J61" s="5">
        <f>IFERROR(VLOOKUP($A61,[6]Sheet1!$A$1:$F$99,6,FALSE),0)</f>
        <v>142418483.73498532</v>
      </c>
    </row>
    <row r="62" spans="1:10">
      <c r="A62" t="str">
        <f t="shared" si="3"/>
        <v>BMR_SHB3M_POS_FIXED</v>
      </c>
      <c r="B62" s="8" t="s">
        <v>9</v>
      </c>
      <c r="C62" s="8" t="s">
        <v>42</v>
      </c>
      <c r="D62" s="8" t="s">
        <v>40</v>
      </c>
      <c r="E62" s="7">
        <f t="shared" si="4"/>
        <v>-8.8382416294139252E-5</v>
      </c>
      <c r="F62" s="7">
        <f t="shared" si="5"/>
        <v>0</v>
      </c>
      <c r="G62" s="5">
        <f>IFERROR(VLOOKUP($A62,[5]Sheet1!$A$1:$F$99,5,FALSE),0)</f>
        <v>-59927432.843460001</v>
      </c>
      <c r="H62" s="5">
        <f>IFERROR(VLOOKUP($A62,[5]Sheet1!$A$1:$F$99,6,FALSE),0)</f>
        <v>-59990912.84485817</v>
      </c>
      <c r="I62" s="5">
        <f>IFERROR(VLOOKUP($A62,[6]Sheet1!$A$1:$F$99,5,FALSE),0)</f>
        <v>-59922136.780221857</v>
      </c>
      <c r="J62" s="5">
        <f>IFERROR(VLOOKUP($A62,[6]Sheet1!$A$1:$F$99,6,FALSE),0)</f>
        <v>-59990912.84485817</v>
      </c>
    </row>
    <row r="63" spans="1:10">
      <c r="A63" t="str">
        <f t="shared" si="3"/>
        <v>BMR_SHB3M_POS_FLOAT</v>
      </c>
      <c r="B63" s="8" t="s">
        <v>9</v>
      </c>
      <c r="C63" s="8" t="s">
        <v>42</v>
      </c>
      <c r="D63" s="8" t="s">
        <v>41</v>
      </c>
      <c r="E63" s="7">
        <f t="shared" si="4"/>
        <v>-1.4783422855323015E-3</v>
      </c>
      <c r="F63" s="7">
        <f t="shared" si="5"/>
        <v>0</v>
      </c>
      <c r="G63" s="5">
        <f>IFERROR(VLOOKUP($A63,[5]Sheet1!$A$1:$F$99,5,FALSE),0)</f>
        <v>61312282.710928999</v>
      </c>
      <c r="H63" s="5">
        <f>IFERROR(VLOOKUP($A63,[5]Sheet1!$A$1:$F$99,6,FALSE),0)</f>
        <v>61405481.642247893</v>
      </c>
      <c r="I63" s="5">
        <f>IFERROR(VLOOKUP($A63,[6]Sheet1!$A$1:$F$99,5,FALSE),0)</f>
        <v>61221775.970716104</v>
      </c>
      <c r="J63" s="5">
        <f>IFERROR(VLOOKUP($A63,[6]Sheet1!$A$1:$F$99,6,FALSE),0)</f>
        <v>61405481.642247893</v>
      </c>
    </row>
    <row r="64" spans="1:10">
      <c r="A64" t="str">
        <f t="shared" si="3"/>
        <v>BMY_FR007_POS_FIXED</v>
      </c>
      <c r="B64" s="8" t="s">
        <v>22</v>
      </c>
      <c r="C64" s="8" t="s">
        <v>39</v>
      </c>
      <c r="D64" s="8" t="s">
        <v>40</v>
      </c>
      <c r="E64" s="7" t="str">
        <f t="shared" si="4"/>
        <v/>
      </c>
      <c r="F64" s="7" t="str">
        <f t="shared" si="5"/>
        <v/>
      </c>
      <c r="G64" s="5">
        <f>IFERROR(VLOOKUP($A64,[5]Sheet1!$A$1:$F$99,5,FALSE),0)</f>
        <v>0</v>
      </c>
      <c r="H64" s="5">
        <f>IFERROR(VLOOKUP($A64,[5]Sheet1!$A$1:$F$99,6,FALSE),0)</f>
        <v>0</v>
      </c>
      <c r="I64" s="5">
        <f>IFERROR(VLOOKUP($A64,[6]Sheet1!$A$1:$F$99,5,FALSE),0)</f>
        <v>0</v>
      </c>
      <c r="J64" s="5">
        <f>IFERROR(VLOOKUP($A64,[6]Sheet1!$A$1:$F$99,6,FALSE),0)</f>
        <v>0</v>
      </c>
    </row>
    <row r="65" spans="1:10">
      <c r="A65" t="str">
        <f t="shared" si="3"/>
        <v>BMY_FR007_POS_FLOAT</v>
      </c>
      <c r="B65" s="8" t="s">
        <v>22</v>
      </c>
      <c r="C65" s="8" t="s">
        <v>39</v>
      </c>
      <c r="D65" s="8" t="s">
        <v>41</v>
      </c>
      <c r="E65" s="7" t="str">
        <f t="shared" si="4"/>
        <v/>
      </c>
      <c r="F65" s="7" t="str">
        <f t="shared" si="5"/>
        <v/>
      </c>
      <c r="G65" s="5">
        <f>IFERROR(VLOOKUP($A65,[5]Sheet1!$A$1:$F$99,5,FALSE),0)</f>
        <v>0</v>
      </c>
      <c r="H65" s="5">
        <f>IFERROR(VLOOKUP($A65,[5]Sheet1!$A$1:$F$99,6,FALSE),0)</f>
        <v>0</v>
      </c>
      <c r="I65" s="5">
        <f>IFERROR(VLOOKUP($A65,[6]Sheet1!$A$1:$F$99,5,FALSE),0)</f>
        <v>0</v>
      </c>
      <c r="J65" s="5">
        <f>IFERROR(VLOOKUP($A65,[6]Sheet1!$A$1:$F$99,6,FALSE),0)</f>
        <v>0</v>
      </c>
    </row>
    <row r="66" spans="1:10">
      <c r="A66" t="str">
        <f t="shared" si="3"/>
        <v>BMY_SHB3M_POS_FIXED</v>
      </c>
      <c r="B66" s="8" t="s">
        <v>22</v>
      </c>
      <c r="C66" s="8" t="s">
        <v>42</v>
      </c>
      <c r="D66" s="8" t="s">
        <v>40</v>
      </c>
      <c r="E66" s="7" t="str">
        <f t="shared" si="4"/>
        <v/>
      </c>
      <c r="F66" s="7" t="str">
        <f t="shared" si="5"/>
        <v/>
      </c>
      <c r="G66" s="5">
        <f>IFERROR(VLOOKUP($A66,[5]Sheet1!$A$1:$F$99,5,FALSE),0)</f>
        <v>0</v>
      </c>
      <c r="H66" s="5">
        <f>IFERROR(VLOOKUP($A66,[5]Sheet1!$A$1:$F$99,6,FALSE),0)</f>
        <v>0</v>
      </c>
      <c r="I66" s="5">
        <f>IFERROR(VLOOKUP($A66,[6]Sheet1!$A$1:$F$99,5,FALSE),0)</f>
        <v>0</v>
      </c>
      <c r="J66" s="5">
        <f>IFERROR(VLOOKUP($A66,[6]Sheet1!$A$1:$F$99,6,FALSE),0)</f>
        <v>0</v>
      </c>
    </row>
    <row r="67" spans="1:10">
      <c r="A67" t="str">
        <f t="shared" si="3"/>
        <v>BMY_SHB3M_POS_FLOAT</v>
      </c>
      <c r="B67" s="8" t="s">
        <v>22</v>
      </c>
      <c r="C67" s="8" t="s">
        <v>42</v>
      </c>
      <c r="D67" s="8" t="s">
        <v>41</v>
      </c>
      <c r="E67" s="7" t="str">
        <f t="shared" si="4"/>
        <v/>
      </c>
      <c r="F67" s="7" t="str">
        <f t="shared" si="5"/>
        <v/>
      </c>
      <c r="G67" s="5">
        <f>IFERROR(VLOOKUP($A67,[5]Sheet1!$A$1:$F$99,5,FALSE),0)</f>
        <v>0</v>
      </c>
      <c r="H67" s="5">
        <f>IFERROR(VLOOKUP($A67,[5]Sheet1!$A$1:$F$99,6,FALSE),0)</f>
        <v>0</v>
      </c>
      <c r="I67" s="5">
        <f>IFERROR(VLOOKUP($A67,[6]Sheet1!$A$1:$F$99,5,FALSE),0)</f>
        <v>0</v>
      </c>
      <c r="J67" s="5">
        <f>IFERROR(VLOOKUP($A67,[6]Sheet1!$A$1:$F$99,6,FALSE),0)</f>
        <v>0</v>
      </c>
    </row>
    <row r="68" spans="1:10">
      <c r="A68" t="str">
        <f t="shared" ref="A68:A73" si="6">B68&amp;"_"&amp;C68&amp;"_"&amp;D68</f>
        <v>BMH_FR007_POS_FIXED</v>
      </c>
      <c r="B68" s="8" t="s">
        <v>8</v>
      </c>
      <c r="C68" s="8" t="s">
        <v>39</v>
      </c>
      <c r="D68" s="8" t="s">
        <v>40</v>
      </c>
      <c r="E68" s="7">
        <f t="shared" ref="E68:E73" si="7">IFERROR((I68-G68)/I68, "")</f>
        <v>4.0145125576403398E-5</v>
      </c>
      <c r="F68" s="7">
        <f t="shared" ref="F68:F73" si="8">IFERROR((J68-H68)/J68, "")</f>
        <v>0</v>
      </c>
      <c r="G68" s="5">
        <f>IFERROR(VLOOKUP($A68,[5]Sheet1!$A$1:$F$99,5,FALSE),0)</f>
        <v>-89818710.494828999</v>
      </c>
      <c r="H68" s="5">
        <f>IFERROR(VLOOKUP($A68,[5]Sheet1!$A$1:$F$99,6,FALSE),0)</f>
        <v>-89851930.519611552</v>
      </c>
      <c r="I68" s="5">
        <f>IFERROR(VLOOKUP($A68,[6]Sheet1!$A$1:$F$99,5,FALSE),0)</f>
        <v>-89822316.423001364</v>
      </c>
      <c r="J68" s="5">
        <f>IFERROR(VLOOKUP($A68,[6]Sheet1!$A$1:$F$99,6,FALSE),0)</f>
        <v>-89851930.519611552</v>
      </c>
    </row>
    <row r="69" spans="1:10">
      <c r="A69" t="str">
        <f t="shared" si="6"/>
        <v>BMH_FR007_POS_FLOAT</v>
      </c>
      <c r="B69" s="8" t="s">
        <v>8</v>
      </c>
      <c r="C69" s="8" t="s">
        <v>39</v>
      </c>
      <c r="D69" s="8" t="s">
        <v>41</v>
      </c>
      <c r="E69" s="7">
        <f t="shared" si="7"/>
        <v>-2.3928610700889256E-3</v>
      </c>
      <c r="F69" s="7">
        <f t="shared" si="8"/>
        <v>3.0559556505222021E-5</v>
      </c>
      <c r="G69" s="5">
        <f>IFERROR(VLOOKUP($A69,[5]Sheet1!$A$1:$F$99,5,FALSE),0)</f>
        <v>90297348.263720006</v>
      </c>
      <c r="H69" s="5">
        <f>IFERROR(VLOOKUP($A69,[5]Sheet1!$A$1:$F$99,6,FALSE),0)</f>
        <v>90741003.672500014</v>
      </c>
      <c r="I69" s="5">
        <f>IFERROR(VLOOKUP($A69,[6]Sheet1!$A$1:$F$99,5,FALSE),0)</f>
        <v>90081795.043237314</v>
      </c>
      <c r="J69" s="5">
        <f>IFERROR(VLOOKUP($A69,[6]Sheet1!$A$1:$F$99,6,FALSE),0)</f>
        <v>90743776.762073472</v>
      </c>
    </row>
    <row r="70" spans="1:10">
      <c r="A70" t="str">
        <f t="shared" si="6"/>
        <v>BMH_SHB3M_POS_FIXED</v>
      </c>
      <c r="B70" s="8" t="s">
        <v>8</v>
      </c>
      <c r="C70" s="8" t="s">
        <v>42</v>
      </c>
      <c r="D70" s="8" t="s">
        <v>40</v>
      </c>
      <c r="E70" s="7" t="str">
        <f t="shared" si="7"/>
        <v/>
      </c>
      <c r="F70" s="7" t="str">
        <f t="shared" si="8"/>
        <v/>
      </c>
      <c r="G70" s="5">
        <f>IFERROR(VLOOKUP($A70,[5]Sheet1!$A$1:$F$99,5,FALSE),0)</f>
        <v>0</v>
      </c>
      <c r="H70" s="5">
        <f>IFERROR(VLOOKUP($A70,[5]Sheet1!$A$1:$F$99,6,FALSE),0)</f>
        <v>0</v>
      </c>
      <c r="I70" s="5">
        <f>IFERROR(VLOOKUP($A70,[6]Sheet1!$A$1:$F$99,5,FALSE),0)</f>
        <v>0</v>
      </c>
      <c r="J70" s="5">
        <f>IFERROR(VLOOKUP($A70,[6]Sheet1!$A$1:$F$99,6,FALSE),0)</f>
        <v>0</v>
      </c>
    </row>
    <row r="71" spans="1:10">
      <c r="A71" t="str">
        <f t="shared" si="6"/>
        <v>BMH_SHB3M_POS_FLOAT</v>
      </c>
      <c r="B71" s="8" t="s">
        <v>8</v>
      </c>
      <c r="C71" s="8" t="s">
        <v>42</v>
      </c>
      <c r="D71" s="8" t="s">
        <v>41</v>
      </c>
      <c r="E71" s="7" t="str">
        <f t="shared" si="7"/>
        <v/>
      </c>
      <c r="F71" s="7" t="str">
        <f t="shared" si="8"/>
        <v/>
      </c>
      <c r="G71" s="5">
        <f>IFERROR(VLOOKUP($A71,[5]Sheet1!$A$1:$F$99,5,FALSE),0)</f>
        <v>0</v>
      </c>
      <c r="H71" s="5">
        <f>IFERROR(VLOOKUP($A71,[5]Sheet1!$A$1:$F$99,6,FALSE),0)</f>
        <v>0</v>
      </c>
      <c r="I71" s="5">
        <f>IFERROR(VLOOKUP($A71,[6]Sheet1!$A$1:$F$99,5,FALSE),0)</f>
        <v>0</v>
      </c>
      <c r="J71" s="5">
        <f>IFERROR(VLOOKUP($A71,[6]Sheet1!$A$1:$F$99,6,FALSE),0)</f>
        <v>0</v>
      </c>
    </row>
    <row r="72" spans="1:10">
      <c r="A72" t="str">
        <f t="shared" si="6"/>
        <v>BMC_FR007_POS_FIXED</v>
      </c>
      <c r="B72" s="8" t="s">
        <v>23</v>
      </c>
      <c r="C72" s="8" t="s">
        <v>39</v>
      </c>
      <c r="D72" s="8" t="s">
        <v>40</v>
      </c>
      <c r="E72" s="7" t="str">
        <f t="shared" si="7"/>
        <v/>
      </c>
      <c r="F72" s="7" t="str">
        <f t="shared" si="8"/>
        <v/>
      </c>
      <c r="G72" s="5">
        <f>IFERROR(VLOOKUP($A72,[5]Sheet1!$A$1:$F$99,5,FALSE),0)</f>
        <v>0</v>
      </c>
      <c r="H72" s="5">
        <f>IFERROR(VLOOKUP($A72,[5]Sheet1!$A$1:$F$99,6,FALSE),0)</f>
        <v>0</v>
      </c>
      <c r="I72" s="5">
        <f>IFERROR(VLOOKUP($A72,[6]Sheet1!$A$1:$F$99,5,FALSE),0)</f>
        <v>0</v>
      </c>
      <c r="J72" s="5">
        <f>IFERROR(VLOOKUP($A72,[6]Sheet1!$A$1:$F$99,6,FALSE),0)</f>
        <v>0</v>
      </c>
    </row>
    <row r="73" spans="1:10">
      <c r="A73" t="str">
        <f t="shared" si="6"/>
        <v>BMC_FR007_POS_FLOAT</v>
      </c>
      <c r="B73" s="8" t="s">
        <v>23</v>
      </c>
      <c r="C73" s="8" t="s">
        <v>39</v>
      </c>
      <c r="D73" s="8" t="s">
        <v>41</v>
      </c>
      <c r="E73" s="7" t="str">
        <f t="shared" si="7"/>
        <v/>
      </c>
      <c r="F73" s="7" t="str">
        <f t="shared" si="8"/>
        <v/>
      </c>
      <c r="G73" s="5">
        <f>IFERROR(VLOOKUP($A73,[5]Sheet1!$A$1:$F$99,5,FALSE),0)</f>
        <v>0</v>
      </c>
      <c r="H73" s="5">
        <f>IFERROR(VLOOKUP($A73,[5]Sheet1!$A$1:$F$99,6,FALSE),0)</f>
        <v>0</v>
      </c>
      <c r="I73" s="5">
        <f>IFERROR(VLOOKUP($A73,[6]Sheet1!$A$1:$F$99,5,FALSE),0)</f>
        <v>0</v>
      </c>
      <c r="J73" s="5">
        <f>IFERROR(VLOOKUP($A73,[6]Sheet1!$A$1:$F$99,6,FALSE),0)</f>
        <v>0</v>
      </c>
    </row>
  </sheetData>
  <mergeCells count="5">
    <mergeCell ref="I1:J1"/>
    <mergeCell ref="E1:F2"/>
    <mergeCell ref="I2:J2"/>
    <mergeCell ref="G1:H1"/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Z45"/>
  <sheetViews>
    <sheetView workbookViewId="0">
      <selection activeCell="K16" sqref="K16"/>
    </sheetView>
  </sheetViews>
  <sheetFormatPr defaultRowHeight="13.5"/>
  <cols>
    <col min="1" max="1" width="17.25" bestFit="1" customWidth="1"/>
    <col min="2" max="2" width="10.375" bestFit="1" customWidth="1"/>
    <col min="3" max="3" width="11.625" bestFit="1" customWidth="1"/>
    <col min="4" max="4" width="10.5" bestFit="1" customWidth="1"/>
    <col min="5" max="5" width="15" bestFit="1" customWidth="1"/>
    <col min="7" max="7" width="13.875" bestFit="1" customWidth="1"/>
    <col min="10" max="10" width="11.625" bestFit="1" customWidth="1"/>
    <col min="11" max="11" width="16.125" bestFit="1" customWidth="1"/>
    <col min="12" max="12" width="6.5" bestFit="1" customWidth="1"/>
    <col min="13" max="13" width="12.125" customWidth="1"/>
    <col min="14" max="14" width="10.375" bestFit="1" customWidth="1"/>
    <col min="15" max="15" width="13.875" bestFit="1" customWidth="1"/>
    <col min="16" max="17" width="12.75" bestFit="1" customWidth="1"/>
    <col min="18" max="18" width="13.875" bestFit="1" customWidth="1"/>
    <col min="19" max="19" width="16.125" bestFit="1" customWidth="1"/>
    <col min="20" max="20" width="6.25" customWidth="1"/>
    <col min="21" max="21" width="15" bestFit="1" customWidth="1"/>
    <col min="22" max="23" width="13.875" bestFit="1" customWidth="1"/>
    <col min="24" max="24" width="10.5" bestFit="1" customWidth="1"/>
    <col min="26" max="26" width="13.875" bestFit="1" customWidth="1"/>
  </cols>
  <sheetData>
    <row r="1" spans="1:26">
      <c r="D1" s="12" t="s">
        <v>77</v>
      </c>
      <c r="E1" s="12"/>
      <c r="F1" s="12"/>
      <c r="G1" s="12"/>
      <c r="H1" s="12"/>
      <c r="I1" s="12"/>
      <c r="J1" s="12"/>
      <c r="K1" s="14" t="s">
        <v>74</v>
      </c>
      <c r="L1" s="14"/>
      <c r="M1" s="14"/>
      <c r="N1" s="14"/>
      <c r="O1" s="14"/>
      <c r="P1" s="14"/>
      <c r="Q1" s="14"/>
      <c r="R1" s="14"/>
      <c r="S1" s="11" t="s">
        <v>64</v>
      </c>
      <c r="T1" s="11"/>
      <c r="U1" s="11"/>
      <c r="V1" s="11"/>
      <c r="W1" s="11"/>
      <c r="X1" s="11"/>
      <c r="Y1" s="11"/>
      <c r="Z1" s="11"/>
    </row>
    <row r="2" spans="1:26">
      <c r="D2" s="12"/>
      <c r="E2" s="12"/>
      <c r="F2" s="12"/>
      <c r="G2" s="12"/>
      <c r="H2" s="12"/>
      <c r="I2" s="12"/>
      <c r="J2" s="12"/>
      <c r="K2" s="14" t="s">
        <v>75</v>
      </c>
      <c r="L2" s="14"/>
      <c r="M2" s="14"/>
      <c r="N2" s="14"/>
      <c r="O2" s="14"/>
      <c r="P2" s="14"/>
      <c r="Q2" s="14"/>
      <c r="R2" s="14"/>
      <c r="S2" s="11" t="s">
        <v>75</v>
      </c>
      <c r="T2" s="11"/>
      <c r="U2" s="11"/>
      <c r="V2" s="11"/>
      <c r="W2" s="11"/>
      <c r="X2" s="11"/>
      <c r="Y2" s="11"/>
      <c r="Z2" s="11"/>
    </row>
    <row r="3" spans="1:26">
      <c r="A3" t="s">
        <v>60</v>
      </c>
      <c r="B3" s="1" t="s">
        <v>0</v>
      </c>
      <c r="C3" s="1" t="s">
        <v>51</v>
      </c>
      <c r="D3" s="1" t="s">
        <v>76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52</v>
      </c>
      <c r="L3" s="1" t="s">
        <v>67</v>
      </c>
      <c r="M3" s="1" t="s">
        <v>68</v>
      </c>
      <c r="N3" s="1" t="s">
        <v>69</v>
      </c>
      <c r="O3" s="1" t="s">
        <v>70</v>
      </c>
      <c r="P3" s="1" t="s">
        <v>71</v>
      </c>
      <c r="Q3" s="1" t="s">
        <v>72</v>
      </c>
      <c r="R3" s="1" t="s">
        <v>73</v>
      </c>
      <c r="S3" s="1" t="s">
        <v>52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</row>
    <row r="4" spans="1:26">
      <c r="A4" s="8" t="s">
        <v>99</v>
      </c>
      <c r="B4" s="1" t="str">
        <f>LEFT($A4,SEARCH("_",$A4,1)-1)</f>
        <v>BMH</v>
      </c>
      <c r="C4" s="1" t="str">
        <f>RIGHT($A4,LEN($A4)-SEARCH("_",$A4,1))</f>
        <v>019569.SH</v>
      </c>
      <c r="D4" s="7">
        <f>IFERROR((S4-K4)/S4,0)</f>
        <v>0</v>
      </c>
      <c r="E4" s="7">
        <f t="shared" ref="E4:J4" si="0">IFERROR((U4-M4)/U4,0)</f>
        <v>0</v>
      </c>
      <c r="F4" s="7">
        <f t="shared" si="0"/>
        <v>-1.4705882352929776E-2</v>
      </c>
      <c r="G4" s="7">
        <f t="shared" si="0"/>
        <v>9.9999999999919043E-2</v>
      </c>
      <c r="H4" s="7">
        <f t="shared" si="0"/>
        <v>-1.545692207348594E-5</v>
      </c>
      <c r="I4" s="7">
        <f t="shared" si="0"/>
        <v>0</v>
      </c>
      <c r="J4" s="7">
        <f t="shared" si="0"/>
        <v>-9.3205477785795465E-2</v>
      </c>
      <c r="K4" s="5">
        <f>IFERROR(VLOOKUP($A4,[7]Sheet1!$A$1:$P$100,4,FALSE),0)</f>
        <v>30000000</v>
      </c>
      <c r="L4" s="5" t="str">
        <f>IFERROR(VLOOKUP($A4,[7]Sheet1!$A$1:$P$100,5,FALSE),"")</f>
        <v>CGB</v>
      </c>
      <c r="M4" s="5">
        <f>IFERROR(VLOOKUP($A4,[7]Sheet1!$A$1:$P$100,6,FALSE),0)</f>
        <v>0.86547945205479593</v>
      </c>
      <c r="N4" s="5">
        <f>IFERROR(VLOOKUP($A4,[7]Sheet1!$A$1:$P$100,7,FALSE),0)</f>
        <v>0.76561643835615367</v>
      </c>
      <c r="O4" s="5">
        <f>IFERROR(VLOOKUP($A4,[7]Sheet1!$A$1:$P$100,8,FALSE),0)</f>
        <v>29958.904109592677</v>
      </c>
      <c r="P4" s="5">
        <f>IFERROR(VLOOKUP($A4,[7]Sheet1!$A$1:$P$100,9,FALSE),0)</f>
        <v>97.045400000000001</v>
      </c>
      <c r="Q4" s="5">
        <f>IFERROR(VLOOKUP($A4,[7]Sheet1!$A$1:$P$100,10,FALSE),0)</f>
        <v>96.797799999999995</v>
      </c>
      <c r="R4" s="5">
        <f>IFERROR(VLOOKUP($A4,[7]Sheet1!$A$1:$P$100,11,FALSE),0)</f>
        <v>-44321.095890408993</v>
      </c>
      <c r="S4" s="5">
        <f>IFERROR(VLOOKUP($A4,[8]Sheet1!$A$1:$P$100,4,FALSE),0)</f>
        <v>30000000</v>
      </c>
      <c r="T4" s="5" t="str">
        <f>IFERROR(VLOOKUP($A4,[8]Sheet1!$A$1:$P$100,5,FALSE),"")</f>
        <v>CGB</v>
      </c>
      <c r="U4" s="5">
        <f>IFERROR(VLOOKUP($A4,[8]Sheet1!$A$1:$P$100,6,FALSE),0)</f>
        <v>0.86547945205479593</v>
      </c>
      <c r="V4" s="5">
        <f>IFERROR(VLOOKUP($A4,[8]Sheet1!$A$1:$P$100,7,FALSE),0)</f>
        <v>0.7545205479452034</v>
      </c>
      <c r="W4" s="5">
        <f>IFERROR(VLOOKUP($A4,[8]Sheet1!$A$1:$P$100,8,FALSE),0)</f>
        <v>33287.671232877758</v>
      </c>
      <c r="X4" s="5">
        <f>IFERROR(VLOOKUP($A4,[8]Sheet1!$A$1:$P$100,9,FALSE),0)</f>
        <v>97.043899999999994</v>
      </c>
      <c r="Y4" s="5">
        <f>IFERROR(VLOOKUP($A4,[8]Sheet1!$A$1:$P$100,10,FALSE),0)</f>
        <v>96.797799999999995</v>
      </c>
      <c r="Z4" s="5">
        <f>IFERROR(VLOOKUP($A4,[8]Sheet1!$A$1:$P$100,11,FALSE),0)</f>
        <v>-40542.328767120707</v>
      </c>
    </row>
    <row r="5" spans="1:26">
      <c r="A5" s="8" t="s">
        <v>100</v>
      </c>
      <c r="B5" s="1" t="str">
        <f t="shared" ref="B5:B45" si="1">LEFT($A5,SEARCH("_",$A5,1)-1)</f>
        <v>BMH</v>
      </c>
      <c r="C5" s="1" t="str">
        <f t="shared" ref="C5:C45" si="2">RIGHT($A5,LEN($A5)-SEARCH("_",$A5,1))</f>
        <v>170020.IB</v>
      </c>
      <c r="D5" s="7">
        <f t="shared" ref="D5:D45" si="3">IFERROR((S5-K5)/S5,0)</f>
        <v>0</v>
      </c>
      <c r="E5" s="7">
        <f t="shared" ref="E5:E45" si="4">IFERROR((U5-M5)/U5,0)</f>
        <v>5.2631578947313663E-2</v>
      </c>
      <c r="F5" s="7">
        <f t="shared" ref="F5:F45" si="5">IFERROR((V5-N5)/V5,0)</f>
        <v>0</v>
      </c>
      <c r="G5" s="7">
        <f t="shared" ref="G5:G45" si="6">IFERROR((W5-O5)/W5,0)</f>
        <v>9.9999999999890107E-2</v>
      </c>
      <c r="H5" s="7">
        <f t="shared" ref="H5:H45" si="7">IFERROR((X5-P5)/X5,0)</f>
        <v>2.4391877504790883E-4</v>
      </c>
      <c r="I5" s="7">
        <f t="shared" ref="I5:I45" si="8">IFERROR((Y5-Q5)/Y5,0)</f>
        <v>0</v>
      </c>
      <c r="J5" s="7">
        <f t="shared" ref="J5:J45" si="9">IFERROR((Z5-R5)/Z5,0)</f>
        <v>-2.9797200799810799</v>
      </c>
      <c r="K5" s="5">
        <f>IFERROR(VLOOKUP($A5,[7]Sheet1!$A$1:$P$100,4,FALSE),0)</f>
        <v>150000000</v>
      </c>
      <c r="L5" s="5" t="str">
        <f>IFERROR(VLOOKUP($A5,[7]Sheet1!$A$1:$P$100,5,FALSE),"")</f>
        <v>CGB</v>
      </c>
      <c r="M5" s="5">
        <f>IFERROR(VLOOKUP($A5,[7]Sheet1!$A$1:$P$100,6,FALSE),0)</f>
        <v>0.18197260273973281</v>
      </c>
      <c r="N5" s="5">
        <f>IFERROR(VLOOKUP($A5,[7]Sheet1!$A$1:$P$100,7,FALSE),0)</f>
        <v>9.0986301369855305E-2</v>
      </c>
      <c r="O5" s="5">
        <f>IFERROR(VLOOKUP($A5,[7]Sheet1!$A$1:$P$100,8,FALSE),0)</f>
        <v>136479.45205481627</v>
      </c>
      <c r="P5" s="5">
        <f>IFERROR(VLOOKUP($A5,[7]Sheet1!$A$1:$P$100,9,FALSE),0)</f>
        <v>100.0089</v>
      </c>
      <c r="Q5" s="5">
        <f>IFERROR(VLOOKUP($A5,[7]Sheet1!$A$1:$P$100,10,FALSE),0)</f>
        <v>99.936999999999998</v>
      </c>
      <c r="R5" s="5">
        <f>IFERROR(VLOOKUP($A5,[7]Sheet1!$A$1:$P$100,11,FALSE),0)</f>
        <v>28629.452054817157</v>
      </c>
      <c r="S5" s="5">
        <f>IFERROR(VLOOKUP($A5,[8]Sheet1!$A$1:$P$100,4,FALSE),0)</f>
        <v>150000000</v>
      </c>
      <c r="T5" s="5" t="str">
        <f>IFERROR(VLOOKUP($A5,[8]Sheet1!$A$1:$P$100,5,FALSE),"")</f>
        <v>CGB</v>
      </c>
      <c r="U5" s="5">
        <f>IFERROR(VLOOKUP($A5,[8]Sheet1!$A$1:$P$100,6,FALSE),0)</f>
        <v>0.19208219178081798</v>
      </c>
      <c r="V5" s="5">
        <f>IFERROR(VLOOKUP($A5,[8]Sheet1!$A$1:$P$100,7,FALSE),0)</f>
        <v>9.0986301369855305E-2</v>
      </c>
      <c r="W5" s="5">
        <f>IFERROR(VLOOKUP($A5,[8]Sheet1!$A$1:$P$100,8,FALSE),0)</f>
        <v>151643.835616444</v>
      </c>
      <c r="X5" s="5">
        <f>IFERROR(VLOOKUP($A5,[8]Sheet1!$A$1:$P$100,9,FALSE),0)</f>
        <v>100.0333</v>
      </c>
      <c r="Y5" s="5">
        <f>IFERROR(VLOOKUP($A5,[8]Sheet1!$A$1:$P$100,10,FALSE),0)</f>
        <v>99.936999999999998</v>
      </c>
      <c r="Z5" s="5">
        <f>IFERROR(VLOOKUP($A5,[8]Sheet1!$A$1:$P$100,11,FALSE),0)</f>
        <v>7193.8356164369388</v>
      </c>
    </row>
    <row r="6" spans="1:26">
      <c r="A6" s="8" t="s">
        <v>83</v>
      </c>
      <c r="B6" s="1" t="str">
        <f t="shared" si="1"/>
        <v>BMH</v>
      </c>
      <c r="C6" s="1" t="str">
        <f t="shared" si="2"/>
        <v>170208.IB</v>
      </c>
      <c r="D6" s="7">
        <f t="shared" si="3"/>
        <v>0</v>
      </c>
      <c r="E6" s="7">
        <f t="shared" si="4"/>
        <v>2.0000000000015079E-2</v>
      </c>
      <c r="F6" s="7">
        <f t="shared" si="5"/>
        <v>0</v>
      </c>
      <c r="G6" s="7">
        <f t="shared" si="6"/>
        <v>0.10000000000007546</v>
      </c>
      <c r="H6" s="7">
        <f t="shared" si="7"/>
        <v>2.167788865392585E-4</v>
      </c>
      <c r="I6" s="7">
        <f t="shared" si="8"/>
        <v>0</v>
      </c>
      <c r="J6" s="7">
        <f t="shared" si="9"/>
        <v>-0.33503154942664148</v>
      </c>
      <c r="K6" s="5">
        <f>IFERROR(VLOOKUP($A6,[7]Sheet1!$A$1:$P$100,4,FALSE),0)</f>
        <v>140000000</v>
      </c>
      <c r="L6" s="5" t="str">
        <f>IFERROR(VLOOKUP($A6,[7]Sheet1!$A$1:$P$100,5,FALSE),"")</f>
        <v>CDB</v>
      </c>
      <c r="M6" s="5">
        <f>IFERROR(VLOOKUP($A6,[7]Sheet1!$A$1:$P$100,6,FALSE),0)</f>
        <v>0.57726027397260182</v>
      </c>
      <c r="N6" s="5">
        <f>IFERROR(VLOOKUP($A6,[7]Sheet1!$A$1:$P$100,7,FALSE),0)</f>
        <v>0.47123287671233527</v>
      </c>
      <c r="O6" s="5">
        <f>IFERROR(VLOOKUP($A6,[7]Sheet1!$A$1:$P$100,8,FALSE),0)</f>
        <v>148438.35616437317</v>
      </c>
      <c r="P6" s="5">
        <f>IFERROR(VLOOKUP($A6,[7]Sheet1!$A$1:$P$100,9,FALSE),0)</f>
        <v>99.619100000000003</v>
      </c>
      <c r="Q6" s="5">
        <f>IFERROR(VLOOKUP($A6,[7]Sheet1!$A$1:$P$100,10,FALSE),0)</f>
        <v>99.552199999999999</v>
      </c>
      <c r="R6" s="5">
        <f>IFERROR(VLOOKUP($A6,[7]Sheet1!$A$1:$P$100,11,FALSE),0)</f>
        <v>54778.356164367637</v>
      </c>
      <c r="S6" s="5">
        <f>IFERROR(VLOOKUP($A6,[8]Sheet1!$A$1:$P$100,4,FALSE),0)</f>
        <v>140000000</v>
      </c>
      <c r="T6" s="5" t="str">
        <f>IFERROR(VLOOKUP($A6,[8]Sheet1!$A$1:$P$100,5,FALSE),"")</f>
        <v>SDBC</v>
      </c>
      <c r="U6" s="5">
        <f>IFERROR(VLOOKUP($A6,[8]Sheet1!$A$1:$P$100,6,FALSE),0)</f>
        <v>0.58904109589041909</v>
      </c>
      <c r="V6" s="5">
        <f>IFERROR(VLOOKUP($A6,[8]Sheet1!$A$1:$P$100,7,FALSE),0)</f>
        <v>0.47123287671233527</v>
      </c>
      <c r="W6" s="5">
        <f>IFERROR(VLOOKUP($A6,[8]Sheet1!$A$1:$P$100,8,FALSE),0)</f>
        <v>164931.50684931735</v>
      </c>
      <c r="X6" s="5">
        <f>IFERROR(VLOOKUP($A6,[8]Sheet1!$A$1:$P$100,9,FALSE),0)</f>
        <v>99.640699999999995</v>
      </c>
      <c r="Y6" s="5">
        <f>IFERROR(VLOOKUP($A6,[8]Sheet1!$A$1:$P$100,10,FALSE),0)</f>
        <v>99.552199999999999</v>
      </c>
      <c r="Z6" s="5">
        <f>IFERROR(VLOOKUP($A6,[8]Sheet1!$A$1:$P$100,11,FALSE),0)</f>
        <v>41031.506849327568</v>
      </c>
    </row>
    <row r="7" spans="1:26">
      <c r="A7" s="8" t="s">
        <v>101</v>
      </c>
      <c r="B7" s="1" t="str">
        <f t="shared" si="1"/>
        <v>BMH</v>
      </c>
      <c r="C7" s="1" t="str">
        <f t="shared" si="2"/>
        <v>170215.IB</v>
      </c>
      <c r="D7" s="7">
        <f t="shared" si="3"/>
        <v>0</v>
      </c>
      <c r="E7" s="7">
        <f t="shared" si="4"/>
        <v>2.1276595744683446E-2</v>
      </c>
      <c r="F7" s="7">
        <f t="shared" si="5"/>
        <v>0</v>
      </c>
      <c r="G7" s="7">
        <f t="shared" si="6"/>
        <v>0.10000000000001907</v>
      </c>
      <c r="H7" s="7">
        <f t="shared" si="7"/>
        <v>-3.7055188324028267E-4</v>
      </c>
      <c r="I7" s="7">
        <f t="shared" si="8"/>
        <v>0</v>
      </c>
      <c r="J7" s="7">
        <f t="shared" si="9"/>
        <v>-0.38855572758796209</v>
      </c>
      <c r="K7" s="5">
        <f>IFERROR(VLOOKUP($A7,[7]Sheet1!$A$1:$P$100,4,FALSE),0)</f>
        <v>-80000000</v>
      </c>
      <c r="L7" s="5" t="str">
        <f>IFERROR(VLOOKUP($A7,[7]Sheet1!$A$1:$P$100,5,FALSE),"")</f>
        <v>CDB</v>
      </c>
      <c r="M7" s="5">
        <f>IFERROR(VLOOKUP($A7,[7]Sheet1!$A$1:$P$100,6,FALSE),0)</f>
        <v>0.53435616438355371</v>
      </c>
      <c r="N7" s="5">
        <f>IFERROR(VLOOKUP($A7,[7]Sheet1!$A$1:$P$100,7,FALSE),0)</f>
        <v>0.42980821917808498</v>
      </c>
      <c r="O7" s="5">
        <f>IFERROR(VLOOKUP($A7,[7]Sheet1!$A$1:$P$100,8,FALSE),0)</f>
        <v>-83638.356164374985</v>
      </c>
      <c r="P7" s="5">
        <f>IFERROR(VLOOKUP($A7,[7]Sheet1!$A$1:$P$100,9,FALSE),0)</f>
        <v>100.428</v>
      </c>
      <c r="Q7" s="5">
        <f>IFERROR(VLOOKUP($A7,[7]Sheet1!$A$1:$P$100,10,FALSE),0)</f>
        <v>100.149</v>
      </c>
      <c r="R7" s="5">
        <f>IFERROR(VLOOKUP($A7,[7]Sheet1!$A$1:$P$100,11,FALSE),0)</f>
        <v>139561.64383562212</v>
      </c>
      <c r="S7" s="5">
        <f>IFERROR(VLOOKUP($A7,[8]Sheet1!$A$1:$P$100,4,FALSE),0)</f>
        <v>-80000000</v>
      </c>
      <c r="T7" s="5" t="str">
        <f>IFERROR(VLOOKUP($A7,[8]Sheet1!$A$1:$P$100,5,FALSE),"")</f>
        <v>SDBC</v>
      </c>
      <c r="U7" s="5">
        <f>IFERROR(VLOOKUP($A7,[8]Sheet1!$A$1:$P$100,6,FALSE),0)</f>
        <v>0.54597260273971937</v>
      </c>
      <c r="V7" s="5">
        <f>IFERROR(VLOOKUP($A7,[8]Sheet1!$A$1:$P$100,7,FALSE),0)</f>
        <v>0.42980821917808498</v>
      </c>
      <c r="W7" s="5">
        <f>IFERROR(VLOOKUP($A7,[8]Sheet1!$A$1:$P$100,8,FALSE),0)</f>
        <v>-92931.506849307509</v>
      </c>
      <c r="X7" s="5">
        <f>IFERROR(VLOOKUP($A7,[8]Sheet1!$A$1:$P$100,9,FALSE),0)</f>
        <v>100.3908</v>
      </c>
      <c r="Y7" s="5">
        <f>IFERROR(VLOOKUP($A7,[8]Sheet1!$A$1:$P$100,10,FALSE),0)</f>
        <v>100.149</v>
      </c>
      <c r="Z7" s="5">
        <f>IFERROR(VLOOKUP($A7,[8]Sheet1!$A$1:$P$100,11,FALSE),0)</f>
        <v>100508.49315068717</v>
      </c>
    </row>
    <row r="8" spans="1:26">
      <c r="A8" s="8" t="s">
        <v>84</v>
      </c>
      <c r="B8" s="1" t="str">
        <f t="shared" si="1"/>
        <v>BMH</v>
      </c>
      <c r="C8" s="1" t="str">
        <f t="shared" si="2"/>
        <v>170303.IB</v>
      </c>
      <c r="D8" s="7">
        <f t="shared" si="3"/>
        <v>0</v>
      </c>
      <c r="E8" s="7">
        <f t="shared" si="4"/>
        <v>4.9019607843133941E-3</v>
      </c>
      <c r="F8" s="7">
        <f t="shared" si="5"/>
        <v>0</v>
      </c>
      <c r="G8" s="7">
        <f t="shared" si="6"/>
        <v>0.10000000000000019</v>
      </c>
      <c r="H8" s="7">
        <f t="shared" si="7"/>
        <v>3.1393941988479317E-4</v>
      </c>
      <c r="I8" s="7">
        <f t="shared" si="8"/>
        <v>0</v>
      </c>
      <c r="J8" s="7">
        <f t="shared" si="9"/>
        <v>0.10765851780849671</v>
      </c>
      <c r="K8" s="5">
        <f>IFERROR(VLOOKUP($A8,[7]Sheet1!$A$1:$P$100,4,FALSE),0)</f>
        <v>70000000</v>
      </c>
      <c r="L8" s="5" t="str">
        <f>IFERROR(VLOOKUP($A8,[7]Sheet1!$A$1:$P$100,5,FALSE),"")</f>
        <v>EXIM</v>
      </c>
      <c r="M8" s="5">
        <f>IFERROR(VLOOKUP($A8,[7]Sheet1!$A$1:$P$100,6,FALSE),0)</f>
        <v>2.2858356164383586</v>
      </c>
      <c r="N8" s="5">
        <f>IFERROR(VLOOKUP($A8,[7]Sheet1!$A$1:$P$100,7,FALSE),0)</f>
        <v>2.1844931506849408</v>
      </c>
      <c r="O8" s="5">
        <f>IFERROR(VLOOKUP($A8,[7]Sheet1!$A$1:$P$100,8,FALSE),0)</f>
        <v>70939.726027392506</v>
      </c>
      <c r="P8" s="5">
        <f>IFERROR(VLOOKUP($A8,[7]Sheet1!$A$1:$P$100,9,FALSE),0)</f>
        <v>98.077299999999994</v>
      </c>
      <c r="Q8" s="5">
        <f>IFERROR(VLOOKUP($A8,[7]Sheet1!$A$1:$P$100,10,FALSE),0)</f>
        <v>97.813999999999993</v>
      </c>
      <c r="R8" s="5">
        <f>IFERROR(VLOOKUP($A8,[7]Sheet1!$A$1:$P$100,11,FALSE),0)</f>
        <v>-113370.27397260816</v>
      </c>
      <c r="S8" s="5">
        <f>IFERROR(VLOOKUP($A8,[8]Sheet1!$A$1:$P$100,4,FALSE),0)</f>
        <v>70000000</v>
      </c>
      <c r="T8" s="5" t="str">
        <f>IFERROR(VLOOKUP($A8,[8]Sheet1!$A$1:$P$100,5,FALSE),"")</f>
        <v>EXIMCH</v>
      </c>
      <c r="U8" s="5">
        <f>IFERROR(VLOOKUP($A8,[8]Sheet1!$A$1:$P$100,6,FALSE),0)</f>
        <v>2.2970958904109606</v>
      </c>
      <c r="V8" s="5">
        <f>IFERROR(VLOOKUP($A8,[8]Sheet1!$A$1:$P$100,7,FALSE),0)</f>
        <v>2.1844931506849408</v>
      </c>
      <c r="W8" s="5">
        <f>IFERROR(VLOOKUP($A8,[8]Sheet1!$A$1:$P$100,8,FALSE),0)</f>
        <v>78821.917808213911</v>
      </c>
      <c r="X8" s="5">
        <f>IFERROR(VLOOKUP($A8,[8]Sheet1!$A$1:$P$100,9,FALSE),0)</f>
        <v>98.108099999999993</v>
      </c>
      <c r="Y8" s="5">
        <f>IFERROR(VLOOKUP($A8,[8]Sheet1!$A$1:$P$100,10,FALSE),0)</f>
        <v>97.813999999999993</v>
      </c>
      <c r="Z8" s="5">
        <f>IFERROR(VLOOKUP($A8,[8]Sheet1!$A$1:$P$100,11,FALSE),0)</f>
        <v>-127048.08219178814</v>
      </c>
    </row>
    <row r="9" spans="1:26">
      <c r="A9" s="8" t="s">
        <v>85</v>
      </c>
      <c r="B9" s="1" t="str">
        <f t="shared" si="1"/>
        <v>BMH</v>
      </c>
      <c r="C9" s="1" t="str">
        <f t="shared" si="2"/>
        <v>170309.IB</v>
      </c>
      <c r="D9" s="7">
        <f t="shared" si="3"/>
        <v>0</v>
      </c>
      <c r="E9" s="7">
        <f t="shared" si="4"/>
        <v>1.0869565217390605E-2</v>
      </c>
      <c r="F9" s="7">
        <f t="shared" si="5"/>
        <v>0</v>
      </c>
      <c r="G9" s="7">
        <f t="shared" si="6"/>
        <v>9.9999999999999908E-2</v>
      </c>
      <c r="H9" s="7">
        <f t="shared" si="7"/>
        <v>-1.9175203837525775E-5</v>
      </c>
      <c r="I9" s="7">
        <f t="shared" si="8"/>
        <v>0</v>
      </c>
      <c r="J9" s="7">
        <f t="shared" si="9"/>
        <v>0.3140671483214037</v>
      </c>
      <c r="K9" s="5">
        <f>IFERROR(VLOOKUP($A9,[7]Sheet1!$A$1:$P$100,4,FALSE),0)</f>
        <v>180000000</v>
      </c>
      <c r="L9" s="5" t="str">
        <f>IFERROR(VLOOKUP($A9,[7]Sheet1!$A$1:$P$100,5,FALSE),"")</f>
        <v>EXIM</v>
      </c>
      <c r="M9" s="5">
        <f>IFERROR(VLOOKUP($A9,[7]Sheet1!$A$1:$P$100,6,FALSE),0)</f>
        <v>1.0246849315068474</v>
      </c>
      <c r="N9" s="5">
        <f>IFERROR(VLOOKUP($A9,[7]Sheet1!$A$1:$P$100,7,FALSE),0)</f>
        <v>0.92334246575342949</v>
      </c>
      <c r="O9" s="5">
        <f>IFERROR(VLOOKUP($A9,[7]Sheet1!$A$1:$P$100,8,FALSE),0)</f>
        <v>182416.43835615218</v>
      </c>
      <c r="P9" s="5">
        <f>IFERROR(VLOOKUP($A9,[7]Sheet1!$A$1:$P$100,9,FALSE),0)</f>
        <v>99.088200000000001</v>
      </c>
      <c r="Q9" s="5">
        <f>IFERROR(VLOOKUP($A9,[7]Sheet1!$A$1:$P$100,10,FALSE),0)</f>
        <v>99.015600000000006</v>
      </c>
      <c r="R9" s="5">
        <f>IFERROR(VLOOKUP($A9,[7]Sheet1!$A$1:$P$100,11,FALSE),0)</f>
        <v>51736.438356162573</v>
      </c>
      <c r="S9" s="5">
        <f>IFERROR(VLOOKUP($A9,[8]Sheet1!$A$1:$P$100,4,FALSE),0)</f>
        <v>180000000</v>
      </c>
      <c r="T9" s="5" t="str">
        <f>IFERROR(VLOOKUP($A9,[8]Sheet1!$A$1:$P$100,5,FALSE),"")</f>
        <v>EXIMCH</v>
      </c>
      <c r="U9" s="5">
        <f>IFERROR(VLOOKUP($A9,[8]Sheet1!$A$1:$P$100,6,FALSE),0)</f>
        <v>1.0359452054794493</v>
      </c>
      <c r="V9" s="5">
        <f>IFERROR(VLOOKUP($A9,[8]Sheet1!$A$1:$P$100,7,FALSE),0)</f>
        <v>0.92334246575342949</v>
      </c>
      <c r="W9" s="5">
        <f>IFERROR(VLOOKUP($A9,[8]Sheet1!$A$1:$P$100,8,FALSE),0)</f>
        <v>202684.93150683574</v>
      </c>
      <c r="X9" s="5">
        <f>IFERROR(VLOOKUP($A9,[8]Sheet1!$A$1:$P$100,9,FALSE),0)</f>
        <v>99.086299999999994</v>
      </c>
      <c r="Y9" s="5">
        <f>IFERROR(VLOOKUP($A9,[8]Sheet1!$A$1:$P$100,10,FALSE),0)</f>
        <v>99.015600000000006</v>
      </c>
      <c r="Z9" s="5">
        <f>IFERROR(VLOOKUP($A9,[8]Sheet1!$A$1:$P$100,11,FALSE),0)</f>
        <v>75424.931506858964</v>
      </c>
    </row>
    <row r="10" spans="1:26">
      <c r="A10" s="8" t="s">
        <v>86</v>
      </c>
      <c r="B10" s="1" t="str">
        <f t="shared" si="1"/>
        <v>BMH</v>
      </c>
      <c r="C10" s="1" t="str">
        <f t="shared" si="2"/>
        <v>170404.IB</v>
      </c>
      <c r="D10" s="7">
        <f t="shared" si="3"/>
        <v>0</v>
      </c>
      <c r="E10" s="7">
        <f t="shared" si="4"/>
        <v>3.6101083032492503E-3</v>
      </c>
      <c r="F10" s="7">
        <f t="shared" si="5"/>
        <v>0</v>
      </c>
      <c r="G10" s="7">
        <f t="shared" si="6"/>
        <v>0.10000000000000425</v>
      </c>
      <c r="H10" s="7">
        <f t="shared" si="7"/>
        <v>1.4519213243992921E-4</v>
      </c>
      <c r="I10" s="7">
        <f t="shared" si="8"/>
        <v>0</v>
      </c>
      <c r="J10" s="7">
        <f t="shared" si="9"/>
        <v>-0.66406052963534601</v>
      </c>
      <c r="K10" s="5">
        <f>IFERROR(VLOOKUP($A10,[7]Sheet1!$A$1:$P$100,4,FALSE),0)</f>
        <v>40000000</v>
      </c>
      <c r="L10" s="5" t="str">
        <f>IFERROR(VLOOKUP($A10,[7]Sheet1!$A$1:$P$100,5,FALSE),"")</f>
        <v>ADB</v>
      </c>
      <c r="M10" s="5">
        <f>IFERROR(VLOOKUP($A10,[7]Sheet1!$A$1:$P$100,6,FALSE),0)</f>
        <v>2.8961095890410955</v>
      </c>
      <c r="N10" s="5">
        <f>IFERROR(VLOOKUP($A10,[7]Sheet1!$A$1:$P$100,7,FALSE),0)</f>
        <v>2.8016712328767124</v>
      </c>
      <c r="O10" s="5">
        <f>IFERROR(VLOOKUP($A10,[7]Sheet1!$A$1:$P$100,8,FALSE),0)</f>
        <v>37775.342465753245</v>
      </c>
      <c r="P10" s="5">
        <f>IFERROR(VLOOKUP($A10,[7]Sheet1!$A$1:$P$100,9,FALSE),0)</f>
        <v>97.098600000000005</v>
      </c>
      <c r="Q10" s="5">
        <f>IFERROR(VLOOKUP($A10,[7]Sheet1!$A$1:$P$100,10,FALSE),0)</f>
        <v>97.013199999999998</v>
      </c>
      <c r="R10" s="5">
        <f>IFERROR(VLOOKUP($A10,[7]Sheet1!$A$1:$P$100,11,FALSE),0)</f>
        <v>3615.3424657504293</v>
      </c>
      <c r="S10" s="5">
        <f>IFERROR(VLOOKUP($A10,[8]Sheet1!$A$1:$P$100,4,FALSE),0)</f>
        <v>40000000</v>
      </c>
      <c r="T10" s="5" t="str">
        <f>IFERROR(VLOOKUP($A10,[8]Sheet1!$A$1:$P$100,5,FALSE),"")</f>
        <v>ADBCH</v>
      </c>
      <c r="U10" s="5">
        <f>IFERROR(VLOOKUP($A10,[8]Sheet1!$A$1:$P$100,6,FALSE),0)</f>
        <v>2.9066027397260275</v>
      </c>
      <c r="V10" s="5">
        <f>IFERROR(VLOOKUP($A10,[8]Sheet1!$A$1:$P$100,7,FALSE),0)</f>
        <v>2.8016712328767124</v>
      </c>
      <c r="W10" s="5">
        <f>IFERROR(VLOOKUP($A10,[8]Sheet1!$A$1:$P$100,8,FALSE),0)</f>
        <v>41972.602739726026</v>
      </c>
      <c r="X10" s="5">
        <f>IFERROR(VLOOKUP($A10,[8]Sheet1!$A$1:$P$100,9,FALSE),0)</f>
        <v>97.112700000000004</v>
      </c>
      <c r="Y10" s="5">
        <f>IFERROR(VLOOKUP($A10,[8]Sheet1!$A$1:$P$100,10,FALSE),0)</f>
        <v>97.013199999999998</v>
      </c>
      <c r="Z10" s="5">
        <f>IFERROR(VLOOKUP($A10,[8]Sheet1!$A$1:$P$100,11,FALSE),0)</f>
        <v>2172.6027397228618</v>
      </c>
    </row>
    <row r="11" spans="1:26">
      <c r="A11" s="8" t="s">
        <v>102</v>
      </c>
      <c r="B11" s="1" t="str">
        <f t="shared" si="1"/>
        <v>BMR</v>
      </c>
      <c r="C11" s="1" t="str">
        <f t="shared" si="2"/>
        <v>019568.SH</v>
      </c>
      <c r="D11" s="7">
        <f t="shared" si="3"/>
        <v>0</v>
      </c>
      <c r="E11" s="7">
        <f t="shared" si="4"/>
        <v>0</v>
      </c>
      <c r="F11" s="7">
        <f t="shared" si="5"/>
        <v>-1.2658227848098271E-2</v>
      </c>
      <c r="G11" s="7">
        <f t="shared" si="6"/>
        <v>9.9999999999976746E-2</v>
      </c>
      <c r="H11" s="7">
        <f t="shared" si="7"/>
        <v>5.1891474411764314E-4</v>
      </c>
      <c r="I11" s="7">
        <f t="shared" si="8"/>
        <v>0</v>
      </c>
      <c r="J11" s="7">
        <f t="shared" si="9"/>
        <v>0.99908960853173767</v>
      </c>
      <c r="K11" s="5">
        <f>IFERROR(VLOOKUP($A11,[7]Sheet1!$A$1:$P$100,4,FALSE),0)</f>
        <v>10000000</v>
      </c>
      <c r="L11" s="5" t="str">
        <f>IFERROR(VLOOKUP($A11,[7]Sheet1!$A$1:$P$100,5,FALSE),"")</f>
        <v>CGB</v>
      </c>
      <c r="M11" s="5">
        <f>IFERROR(VLOOKUP($A11,[7]Sheet1!$A$1:$P$100,6,FALSE),0)</f>
        <v>0.84610958904109967</v>
      </c>
      <c r="N11" s="5">
        <f>IFERROR(VLOOKUP($A11,[7]Sheet1!$A$1:$P$100,7,FALSE),0)</f>
        <v>0.76054794520548086</v>
      </c>
      <c r="O11" s="5">
        <f>IFERROR(VLOOKUP($A11,[7]Sheet1!$A$1:$P$100,8,FALSE),0)</f>
        <v>8556.1643835618816</v>
      </c>
      <c r="P11" s="5">
        <f>IFERROR(VLOOKUP($A11,[7]Sheet1!$A$1:$P$100,9,FALSE),0)</f>
        <v>99.386700000000005</v>
      </c>
      <c r="Q11" s="5">
        <f>IFERROR(VLOOKUP($A11,[7]Sheet1!$A$1:$P$100,10,FALSE),0)</f>
        <v>99.301100000000005</v>
      </c>
      <c r="R11" s="5">
        <f>IFERROR(VLOOKUP($A11,[7]Sheet1!$A$1:$P$100,11,FALSE),0)</f>
        <v>-3.8356164380638802</v>
      </c>
      <c r="S11" s="5">
        <f>IFERROR(VLOOKUP($A11,[8]Sheet1!$A$1:$P$100,4,FALSE),0)</f>
        <v>10000000</v>
      </c>
      <c r="T11" s="5" t="str">
        <f>IFERROR(VLOOKUP($A11,[8]Sheet1!$A$1:$P$100,5,FALSE),"")</f>
        <v>CGB</v>
      </c>
      <c r="U11" s="5">
        <f>IFERROR(VLOOKUP($A11,[8]Sheet1!$A$1:$P$100,6,FALSE),0)</f>
        <v>0.84610958904109967</v>
      </c>
      <c r="V11" s="5">
        <f>IFERROR(VLOOKUP($A11,[8]Sheet1!$A$1:$P$100,7,FALSE),0)</f>
        <v>0.75104109589041457</v>
      </c>
      <c r="W11" s="5">
        <f>IFERROR(VLOOKUP($A11,[8]Sheet1!$A$1:$P$100,8,FALSE),0)</f>
        <v>9506.8493150685117</v>
      </c>
      <c r="X11" s="5">
        <f>IFERROR(VLOOKUP($A11,[8]Sheet1!$A$1:$P$100,9,FALSE),0)</f>
        <v>99.438299999999998</v>
      </c>
      <c r="Y11" s="5">
        <f>IFERROR(VLOOKUP($A11,[8]Sheet1!$A$1:$P$100,10,FALSE),0)</f>
        <v>99.301100000000005</v>
      </c>
      <c r="Z11" s="5">
        <f>IFERROR(VLOOKUP($A11,[8]Sheet1!$A$1:$P$100,11,FALSE),0)</f>
        <v>-4213.1506849301559</v>
      </c>
    </row>
    <row r="12" spans="1:26">
      <c r="A12" s="8" t="s">
        <v>103</v>
      </c>
      <c r="B12" s="1" t="str">
        <f t="shared" si="1"/>
        <v>BMR</v>
      </c>
      <c r="C12" s="1" t="str">
        <f t="shared" si="2"/>
        <v>019569.SH</v>
      </c>
      <c r="D12" s="7">
        <f t="shared" si="3"/>
        <v>0</v>
      </c>
      <c r="E12" s="7">
        <f t="shared" si="4"/>
        <v>0</v>
      </c>
      <c r="F12" s="7">
        <f t="shared" si="5"/>
        <v>-1.4705882352929776E-2</v>
      </c>
      <c r="G12" s="7">
        <f t="shared" si="6"/>
        <v>9.9999999999919043E-2</v>
      </c>
      <c r="H12" s="7">
        <f t="shared" si="7"/>
        <v>-1.545692207348594E-5</v>
      </c>
      <c r="I12" s="7">
        <f t="shared" si="8"/>
        <v>0</v>
      </c>
      <c r="J12" s="7">
        <f t="shared" si="9"/>
        <v>-9.3205477785795465E-2</v>
      </c>
      <c r="K12" s="5">
        <f>IFERROR(VLOOKUP($A12,[7]Sheet1!$A$1:$P$100,4,FALSE),0)</f>
        <v>60000000</v>
      </c>
      <c r="L12" s="5" t="str">
        <f>IFERROR(VLOOKUP($A12,[7]Sheet1!$A$1:$P$100,5,FALSE),"")</f>
        <v>CGB</v>
      </c>
      <c r="M12" s="5">
        <f>IFERROR(VLOOKUP($A12,[7]Sheet1!$A$1:$P$100,6,FALSE),0)</f>
        <v>0.86547945205479593</v>
      </c>
      <c r="N12" s="5">
        <f>IFERROR(VLOOKUP($A12,[7]Sheet1!$A$1:$P$100,7,FALSE),0)</f>
        <v>0.76561643835615367</v>
      </c>
      <c r="O12" s="5">
        <f>IFERROR(VLOOKUP($A12,[7]Sheet1!$A$1:$P$100,8,FALSE),0)</f>
        <v>59917.808219185354</v>
      </c>
      <c r="P12" s="5">
        <f>IFERROR(VLOOKUP($A12,[7]Sheet1!$A$1:$P$100,9,FALSE),0)</f>
        <v>97.045400000000001</v>
      </c>
      <c r="Q12" s="5">
        <f>IFERROR(VLOOKUP($A12,[7]Sheet1!$A$1:$P$100,10,FALSE),0)</f>
        <v>96.797799999999995</v>
      </c>
      <c r="R12" s="5">
        <f>IFERROR(VLOOKUP($A12,[7]Sheet1!$A$1:$P$100,11,FALSE),0)</f>
        <v>-88642.191780817986</v>
      </c>
      <c r="S12" s="5">
        <f>IFERROR(VLOOKUP($A12,[8]Sheet1!$A$1:$P$100,4,FALSE),0)</f>
        <v>60000000</v>
      </c>
      <c r="T12" s="5" t="str">
        <f>IFERROR(VLOOKUP($A12,[8]Sheet1!$A$1:$P$100,5,FALSE),"")</f>
        <v>CGB</v>
      </c>
      <c r="U12" s="5">
        <f>IFERROR(VLOOKUP($A12,[8]Sheet1!$A$1:$P$100,6,FALSE),0)</f>
        <v>0.86547945205479593</v>
      </c>
      <c r="V12" s="5">
        <f>IFERROR(VLOOKUP($A12,[8]Sheet1!$A$1:$P$100,7,FALSE),0)</f>
        <v>0.7545205479452034</v>
      </c>
      <c r="W12" s="5">
        <f>IFERROR(VLOOKUP($A12,[8]Sheet1!$A$1:$P$100,8,FALSE),0)</f>
        <v>66575.342465755515</v>
      </c>
      <c r="X12" s="5">
        <f>IFERROR(VLOOKUP($A12,[8]Sheet1!$A$1:$P$100,9,FALSE),0)</f>
        <v>97.043899999999994</v>
      </c>
      <c r="Y12" s="5">
        <f>IFERROR(VLOOKUP($A12,[8]Sheet1!$A$1:$P$100,10,FALSE),0)</f>
        <v>96.797799999999995</v>
      </c>
      <c r="Z12" s="5">
        <f>IFERROR(VLOOKUP($A12,[8]Sheet1!$A$1:$P$100,11,FALSE),0)</f>
        <v>-81084.657534241414</v>
      </c>
    </row>
    <row r="13" spans="1:26">
      <c r="A13" s="8" t="s">
        <v>104</v>
      </c>
      <c r="B13" s="1" t="str">
        <f t="shared" si="1"/>
        <v>BMR</v>
      </c>
      <c r="C13" s="1" t="str">
        <f t="shared" si="2"/>
        <v>019575.SH</v>
      </c>
      <c r="D13" s="7">
        <f t="shared" si="3"/>
        <v>0</v>
      </c>
      <c r="E13" s="7">
        <f t="shared" si="4"/>
        <v>0</v>
      </c>
      <c r="F13" s="7">
        <f t="shared" si="5"/>
        <v>-0.11111111111124669</v>
      </c>
      <c r="G13" s="7">
        <f t="shared" si="6"/>
        <v>0.10000000000010981</v>
      </c>
      <c r="H13" s="7">
        <f t="shared" si="7"/>
        <v>2.4391877504790883E-4</v>
      </c>
      <c r="I13" s="7">
        <f t="shared" si="8"/>
        <v>0</v>
      </c>
      <c r="J13" s="7">
        <f t="shared" si="9"/>
        <v>-2.9797200799764507</v>
      </c>
      <c r="K13" s="5">
        <f>IFERROR(VLOOKUP($A13,[7]Sheet1!$A$1:$P$100,4,FALSE),0)</f>
        <v>60000000</v>
      </c>
      <c r="L13" s="5" t="str">
        <f>IFERROR(VLOOKUP($A13,[7]Sheet1!$A$1:$P$100,5,FALSE),"")</f>
        <v>CGB</v>
      </c>
      <c r="M13" s="5">
        <f>IFERROR(VLOOKUP($A13,[7]Sheet1!$A$1:$P$100,6,FALSE),0)</f>
        <v>0.19208219178081798</v>
      </c>
      <c r="N13" s="5">
        <f>IFERROR(VLOOKUP($A13,[7]Sheet1!$A$1:$P$100,7,FALSE),0)</f>
        <v>0.10109589041096267</v>
      </c>
      <c r="O13" s="5">
        <f>IFERROR(VLOOKUP($A13,[7]Sheet1!$A$1:$P$100,8,FALSE),0)</f>
        <v>54591.780821913184</v>
      </c>
      <c r="P13" s="5">
        <f>IFERROR(VLOOKUP($A13,[7]Sheet1!$A$1:$P$100,9,FALSE),0)</f>
        <v>100.0089</v>
      </c>
      <c r="Q13" s="5">
        <f>IFERROR(VLOOKUP($A13,[7]Sheet1!$A$1:$P$100,10,FALSE),0)</f>
        <v>99.936999999999998</v>
      </c>
      <c r="R13" s="5">
        <f>IFERROR(VLOOKUP($A13,[7]Sheet1!$A$1:$P$100,11,FALSE),0)</f>
        <v>11451.78082191354</v>
      </c>
      <c r="S13" s="5">
        <f>IFERROR(VLOOKUP($A13,[8]Sheet1!$A$1:$P$100,4,FALSE),0)</f>
        <v>60000000</v>
      </c>
      <c r="T13" s="5" t="str">
        <f>IFERROR(VLOOKUP($A13,[8]Sheet1!$A$1:$P$100,5,FALSE),"")</f>
        <v>CGB</v>
      </c>
      <c r="U13" s="5">
        <f>IFERROR(VLOOKUP($A13,[8]Sheet1!$A$1:$P$100,6,FALSE),0)</f>
        <v>0.19208219178081798</v>
      </c>
      <c r="V13" s="5">
        <f>IFERROR(VLOOKUP($A13,[8]Sheet1!$A$1:$P$100,7,FALSE),0)</f>
        <v>9.0986301369855305E-2</v>
      </c>
      <c r="W13" s="5">
        <f>IFERROR(VLOOKUP($A13,[8]Sheet1!$A$1:$P$100,8,FALSE),0)</f>
        <v>60657.534246577605</v>
      </c>
      <c r="X13" s="5">
        <f>IFERROR(VLOOKUP($A13,[8]Sheet1!$A$1:$P$100,9,FALSE),0)</f>
        <v>100.0333</v>
      </c>
      <c r="Y13" s="5">
        <f>IFERROR(VLOOKUP($A13,[8]Sheet1!$A$1:$P$100,10,FALSE),0)</f>
        <v>99.936999999999998</v>
      </c>
      <c r="Z13" s="5">
        <f>IFERROR(VLOOKUP($A13,[8]Sheet1!$A$1:$P$100,11,FALSE),0)</f>
        <v>2877.5342465747754</v>
      </c>
    </row>
    <row r="14" spans="1:26">
      <c r="A14" s="8" t="s">
        <v>105</v>
      </c>
      <c r="B14" s="1" t="str">
        <f t="shared" si="1"/>
        <v>BMR</v>
      </c>
      <c r="C14" s="1" t="str">
        <f t="shared" si="2"/>
        <v>1700003.IB</v>
      </c>
      <c r="D14" s="7">
        <f t="shared" si="3"/>
        <v>0</v>
      </c>
      <c r="E14" s="7">
        <f t="shared" si="4"/>
        <v>4.7619047619006663E-2</v>
      </c>
      <c r="F14" s="7">
        <f t="shared" si="5"/>
        <v>0</v>
      </c>
      <c r="G14" s="7">
        <f t="shared" si="6"/>
        <v>9.999999999990955E-2</v>
      </c>
      <c r="H14" s="7">
        <f t="shared" si="7"/>
        <v>5.3933330798432155E-4</v>
      </c>
      <c r="I14" s="7">
        <f t="shared" si="8"/>
        <v>0</v>
      </c>
      <c r="J14" s="7">
        <f t="shared" si="9"/>
        <v>0.94267795914796604</v>
      </c>
      <c r="K14" s="5">
        <f>IFERROR(VLOOKUP($A14,[7]Sheet1!$A$1:$P$100,4,FALSE),0)</f>
        <v>80000000</v>
      </c>
      <c r="L14" s="5" t="str">
        <f>IFERROR(VLOOKUP($A14,[7]Sheet1!$A$1:$P$100,5,FALSE),"")</f>
        <v>CGB</v>
      </c>
      <c r="M14" s="5">
        <f>IFERROR(VLOOKUP($A14,[7]Sheet1!$A$1:$P$100,6,FALSE),0)</f>
        <v>0.19671232876712352</v>
      </c>
      <c r="N14" s="5">
        <f>IFERROR(VLOOKUP($A14,[7]Sheet1!$A$1:$P$100,7,FALSE),0)</f>
        <v>0.10819178082190906</v>
      </c>
      <c r="O14" s="5">
        <f>IFERROR(VLOOKUP($A14,[7]Sheet1!$A$1:$P$100,8,FALSE),0)</f>
        <v>70816.43835617158</v>
      </c>
      <c r="P14" s="5">
        <f>IFERROR(VLOOKUP($A14,[7]Sheet1!$A$1:$P$100,9,FALSE),0)</f>
        <v>99.884299999999996</v>
      </c>
      <c r="Q14" s="5">
        <f>IFERROR(VLOOKUP($A14,[7]Sheet1!$A$1:$P$100,10,FALSE),0)</f>
        <v>99.793099999999995</v>
      </c>
      <c r="R14" s="5">
        <f>IFERROR(VLOOKUP($A14,[7]Sheet1!$A$1:$P$100,11,FALSE),0)</f>
        <v>-2143.5616438289144</v>
      </c>
      <c r="S14" s="5">
        <f>IFERROR(VLOOKUP($A14,[8]Sheet1!$A$1:$P$100,4,FALSE),0)</f>
        <v>80000000</v>
      </c>
      <c r="T14" s="5" t="str">
        <f>IFERROR(VLOOKUP($A14,[8]Sheet1!$A$1:$P$100,5,FALSE),"")</f>
        <v>CGB</v>
      </c>
      <c r="U14" s="5">
        <f>IFERROR(VLOOKUP($A14,[8]Sheet1!$A$1:$P$100,6,FALSE),0)</f>
        <v>0.20654794520547082</v>
      </c>
      <c r="V14" s="5">
        <f>IFERROR(VLOOKUP($A14,[8]Sheet1!$A$1:$P$100,7,FALSE),0)</f>
        <v>0.10819178082190906</v>
      </c>
      <c r="W14" s="5">
        <f>IFERROR(VLOOKUP($A14,[8]Sheet1!$A$1:$P$100,8,FALSE),0)</f>
        <v>78684.931506849403</v>
      </c>
      <c r="X14" s="5">
        <f>IFERROR(VLOOKUP($A14,[8]Sheet1!$A$1:$P$100,9,FALSE),0)</f>
        <v>99.938199999999995</v>
      </c>
      <c r="Y14" s="5">
        <f>IFERROR(VLOOKUP($A14,[8]Sheet1!$A$1:$P$100,10,FALSE),0)</f>
        <v>99.793099999999995</v>
      </c>
      <c r="Z14" s="5">
        <f>IFERROR(VLOOKUP($A14,[8]Sheet1!$A$1:$P$100,11,FALSE),0)</f>
        <v>-37395.068493149352</v>
      </c>
    </row>
    <row r="15" spans="1:26">
      <c r="A15" s="8" t="s">
        <v>106</v>
      </c>
      <c r="B15" s="1" t="str">
        <f t="shared" si="1"/>
        <v>BMR</v>
      </c>
      <c r="C15" s="1" t="str">
        <f t="shared" si="2"/>
        <v>170014.IB</v>
      </c>
      <c r="D15" s="7">
        <f t="shared" si="3"/>
        <v>0</v>
      </c>
      <c r="E15" s="7">
        <f t="shared" si="4"/>
        <v>1.1235955056177121E-2</v>
      </c>
      <c r="F15" s="7">
        <f t="shared" si="5"/>
        <v>0</v>
      </c>
      <c r="G15" s="7">
        <f t="shared" si="6"/>
        <v>9.9999999999976719E-2</v>
      </c>
      <c r="H15" s="7">
        <f t="shared" si="7"/>
        <v>5.1891474411764314E-4</v>
      </c>
      <c r="I15" s="7">
        <f t="shared" si="8"/>
        <v>0</v>
      </c>
      <c r="J15" s="7">
        <f t="shared" si="9"/>
        <v>0.99908960853173756</v>
      </c>
      <c r="K15" s="5">
        <f>IFERROR(VLOOKUP($A15,[7]Sheet1!$A$1:$P$100,4,FALSE),0)</f>
        <v>400000000</v>
      </c>
      <c r="L15" s="5" t="str">
        <f>IFERROR(VLOOKUP($A15,[7]Sheet1!$A$1:$P$100,5,FALSE),"")</f>
        <v>CGB</v>
      </c>
      <c r="M15" s="5">
        <f>IFERROR(VLOOKUP($A15,[7]Sheet1!$A$1:$P$100,6,FALSE),0)</f>
        <v>0.83660273972603338</v>
      </c>
      <c r="N15" s="5">
        <f>IFERROR(VLOOKUP($A15,[7]Sheet1!$A$1:$P$100,7,FALSE),0)</f>
        <v>0.75104109589041457</v>
      </c>
      <c r="O15" s="5">
        <f>IFERROR(VLOOKUP($A15,[7]Sheet1!$A$1:$P$100,8,FALSE),0)</f>
        <v>342246.57534247526</v>
      </c>
      <c r="P15" s="5">
        <f>IFERROR(VLOOKUP($A15,[7]Sheet1!$A$1:$P$100,9,FALSE),0)</f>
        <v>99.386700000000005</v>
      </c>
      <c r="Q15" s="5">
        <f>IFERROR(VLOOKUP($A15,[7]Sheet1!$A$1:$P$100,10,FALSE),0)</f>
        <v>99.301100000000005</v>
      </c>
      <c r="R15" s="5">
        <f>IFERROR(VLOOKUP($A15,[7]Sheet1!$A$1:$P$100,11,FALSE),0)</f>
        <v>-153.42465752258431</v>
      </c>
      <c r="S15" s="5">
        <f>IFERROR(VLOOKUP($A15,[8]Sheet1!$A$1:$P$100,4,FALSE),0)</f>
        <v>400000000</v>
      </c>
      <c r="T15" s="5" t="str">
        <f>IFERROR(VLOOKUP($A15,[8]Sheet1!$A$1:$P$100,5,FALSE),"")</f>
        <v>CGB</v>
      </c>
      <c r="U15" s="5">
        <f>IFERROR(VLOOKUP($A15,[8]Sheet1!$A$1:$P$100,6,FALSE),0)</f>
        <v>0.84610958904109967</v>
      </c>
      <c r="V15" s="5">
        <f>IFERROR(VLOOKUP($A15,[8]Sheet1!$A$1:$P$100,7,FALSE),0)</f>
        <v>0.75104109589041457</v>
      </c>
      <c r="W15" s="5">
        <f>IFERROR(VLOOKUP($A15,[8]Sheet1!$A$1:$P$100,8,FALSE),0)</f>
        <v>380273.97260274045</v>
      </c>
      <c r="X15" s="5">
        <f>IFERROR(VLOOKUP($A15,[8]Sheet1!$A$1:$P$100,9,FALSE),0)</f>
        <v>99.438299999999998</v>
      </c>
      <c r="Y15" s="5">
        <f>IFERROR(VLOOKUP($A15,[8]Sheet1!$A$1:$P$100,10,FALSE),0)</f>
        <v>99.301100000000005</v>
      </c>
      <c r="Z15" s="5">
        <f>IFERROR(VLOOKUP($A15,[8]Sheet1!$A$1:$P$100,11,FALSE),0)</f>
        <v>-168526.02739720623</v>
      </c>
    </row>
    <row r="16" spans="1:26">
      <c r="A16" s="8" t="s">
        <v>107</v>
      </c>
      <c r="B16" s="1" t="str">
        <f t="shared" si="1"/>
        <v>BMR</v>
      </c>
      <c r="C16" s="1" t="str">
        <f t="shared" si="2"/>
        <v>170020.IB</v>
      </c>
      <c r="D16" s="7">
        <f t="shared" si="3"/>
        <v>0</v>
      </c>
      <c r="E16" s="7">
        <f t="shared" si="4"/>
        <v>5.2631578947313663E-2</v>
      </c>
      <c r="F16" s="7">
        <f t="shared" si="5"/>
        <v>0</v>
      </c>
      <c r="G16" s="7">
        <f t="shared" si="6"/>
        <v>9.9999999999890232E-2</v>
      </c>
      <c r="H16" s="7">
        <f t="shared" si="7"/>
        <v>2.4391877504790883E-4</v>
      </c>
      <c r="I16" s="7">
        <f t="shared" si="8"/>
        <v>0</v>
      </c>
      <c r="J16" s="7">
        <f t="shared" si="9"/>
        <v>-2.9797200799810777</v>
      </c>
      <c r="K16" s="5">
        <f>IFERROR(VLOOKUP($A16,[7]Sheet1!$A$1:$P$100,4,FALSE),0)</f>
        <v>310000000</v>
      </c>
      <c r="L16" s="5" t="str">
        <f>IFERROR(VLOOKUP($A16,[7]Sheet1!$A$1:$P$100,5,FALSE),"")</f>
        <v>CGB</v>
      </c>
      <c r="M16" s="5">
        <f>IFERROR(VLOOKUP($A16,[7]Sheet1!$A$1:$P$100,6,FALSE),0)</f>
        <v>0.18197260273973281</v>
      </c>
      <c r="N16" s="5">
        <f>IFERROR(VLOOKUP($A16,[7]Sheet1!$A$1:$P$100,7,FALSE),0)</f>
        <v>9.0986301369855305E-2</v>
      </c>
      <c r="O16" s="5">
        <f>IFERROR(VLOOKUP($A16,[7]Sheet1!$A$1:$P$100,8,FALSE),0)</f>
        <v>282057.53424662026</v>
      </c>
      <c r="P16" s="5">
        <f>IFERROR(VLOOKUP($A16,[7]Sheet1!$A$1:$P$100,9,FALSE),0)</f>
        <v>100.0089</v>
      </c>
      <c r="Q16" s="5">
        <f>IFERROR(VLOOKUP($A16,[7]Sheet1!$A$1:$P$100,10,FALSE),0)</f>
        <v>99.936999999999998</v>
      </c>
      <c r="R16" s="5">
        <f>IFERROR(VLOOKUP($A16,[7]Sheet1!$A$1:$P$100,11,FALSE),0)</f>
        <v>59167.53424662209</v>
      </c>
      <c r="S16" s="5">
        <f>IFERROR(VLOOKUP($A16,[8]Sheet1!$A$1:$P$100,4,FALSE),0)</f>
        <v>310000000</v>
      </c>
      <c r="T16" s="5" t="str">
        <f>IFERROR(VLOOKUP($A16,[8]Sheet1!$A$1:$P$100,5,FALSE),"")</f>
        <v>CGB</v>
      </c>
      <c r="U16" s="5">
        <f>IFERROR(VLOOKUP($A16,[8]Sheet1!$A$1:$P$100,6,FALSE),0)</f>
        <v>0.19208219178081798</v>
      </c>
      <c r="V16" s="5">
        <f>IFERROR(VLOOKUP($A16,[8]Sheet1!$A$1:$P$100,7,FALSE),0)</f>
        <v>9.0986301369855305E-2</v>
      </c>
      <c r="W16" s="5">
        <f>IFERROR(VLOOKUP($A16,[8]Sheet1!$A$1:$P$100,8,FALSE),0)</f>
        <v>313397.26027398428</v>
      </c>
      <c r="X16" s="5">
        <f>IFERROR(VLOOKUP($A16,[8]Sheet1!$A$1:$P$100,9,FALSE),0)</f>
        <v>100.0333</v>
      </c>
      <c r="Y16" s="5">
        <f>IFERROR(VLOOKUP($A16,[8]Sheet1!$A$1:$P$100,10,FALSE),0)</f>
        <v>99.936999999999998</v>
      </c>
      <c r="Z16" s="5">
        <f>IFERROR(VLOOKUP($A16,[8]Sheet1!$A$1:$P$100,11,FALSE),0)</f>
        <v>14867.260273969674</v>
      </c>
    </row>
    <row r="17" spans="1:26">
      <c r="A17" s="8" t="s">
        <v>87</v>
      </c>
      <c r="B17" s="1" t="str">
        <f t="shared" si="1"/>
        <v>BMR</v>
      </c>
      <c r="C17" s="1" t="str">
        <f t="shared" si="2"/>
        <v>170210.IB</v>
      </c>
      <c r="D17" s="7">
        <f t="shared" si="3"/>
        <v>0</v>
      </c>
      <c r="E17" s="7">
        <f t="shared" si="4"/>
        <v>5.4644808743193963E-3</v>
      </c>
      <c r="F17" s="7">
        <f t="shared" si="5"/>
        <v>0</v>
      </c>
      <c r="G17" s="7">
        <f t="shared" si="6"/>
        <v>0.10000000000004014</v>
      </c>
      <c r="H17" s="7">
        <f t="shared" si="7"/>
        <v>-2.3885667272649993E-4</v>
      </c>
      <c r="I17" s="7">
        <f t="shared" si="8"/>
        <v>0</v>
      </c>
      <c r="J17" s="7">
        <f t="shared" si="9"/>
        <v>-0.3586169545636495</v>
      </c>
      <c r="K17" s="5">
        <f>IFERROR(VLOOKUP($A17,[7]Sheet1!$A$1:$P$100,4,FALSE),0)</f>
        <v>-500000000</v>
      </c>
      <c r="L17" s="5" t="str">
        <f>IFERROR(VLOOKUP($A17,[7]Sheet1!$A$1:$P$100,5,FALSE),"")</f>
        <v>CDB</v>
      </c>
      <c r="M17" s="5">
        <f>IFERROR(VLOOKUP($A17,[7]Sheet1!$A$1:$P$100,6,FALSE),0)</f>
        <v>2.0144657534246546</v>
      </c>
      <c r="N17" s="5">
        <f>IFERROR(VLOOKUP($A17,[7]Sheet1!$A$1:$P$100,7,FALSE),0)</f>
        <v>1.9148493150684898</v>
      </c>
      <c r="O17" s="5">
        <f>IFERROR(VLOOKUP($A17,[7]Sheet1!$A$1:$P$100,8,FALSE),0)</f>
        <v>-498082.19178082421</v>
      </c>
      <c r="P17" s="5">
        <f>IFERROR(VLOOKUP($A17,[7]Sheet1!$A$1:$P$100,9,FALSE),0)</f>
        <v>97.990099999999998</v>
      </c>
      <c r="Q17" s="5">
        <f>IFERROR(VLOOKUP($A17,[7]Sheet1!$A$1:$P$100,10,FALSE),0)</f>
        <v>97.759900000000002</v>
      </c>
      <c r="R17" s="5">
        <f>IFERROR(VLOOKUP($A17,[7]Sheet1!$A$1:$P$100,11,FALSE),0)</f>
        <v>652917.80821915786</v>
      </c>
      <c r="S17" s="5">
        <f>IFERROR(VLOOKUP($A17,[8]Sheet1!$A$1:$P$100,4,FALSE),0)</f>
        <v>-500000000</v>
      </c>
      <c r="T17" s="5" t="str">
        <f>IFERROR(VLOOKUP($A17,[8]Sheet1!$A$1:$P$100,5,FALSE),"")</f>
        <v>SDBC</v>
      </c>
      <c r="U17" s="5">
        <f>IFERROR(VLOOKUP($A17,[8]Sheet1!$A$1:$P$100,6,FALSE),0)</f>
        <v>2.0255342465753445</v>
      </c>
      <c r="V17" s="5">
        <f>IFERROR(VLOOKUP($A17,[8]Sheet1!$A$1:$P$100,7,FALSE),0)</f>
        <v>1.9148493150684898</v>
      </c>
      <c r="W17" s="5">
        <f>IFERROR(VLOOKUP($A17,[8]Sheet1!$A$1:$P$100,8,FALSE),0)</f>
        <v>-553424.65753427381</v>
      </c>
      <c r="X17" s="5">
        <f>IFERROR(VLOOKUP($A17,[8]Sheet1!$A$1:$P$100,9,FALSE),0)</f>
        <v>97.966700000000003</v>
      </c>
      <c r="Y17" s="5">
        <f>IFERROR(VLOOKUP($A17,[8]Sheet1!$A$1:$P$100,10,FALSE),0)</f>
        <v>97.759900000000002</v>
      </c>
      <c r="Z17" s="5">
        <f>IFERROR(VLOOKUP($A17,[8]Sheet1!$A$1:$P$100,11,FALSE),0)</f>
        <v>480575.34246571886</v>
      </c>
    </row>
    <row r="18" spans="1:26">
      <c r="A18" s="8" t="s">
        <v>108</v>
      </c>
      <c r="B18" s="1" t="str">
        <f t="shared" si="1"/>
        <v>BMR</v>
      </c>
      <c r="C18" s="1" t="str">
        <f t="shared" si="2"/>
        <v>170303.IB</v>
      </c>
      <c r="D18" s="7">
        <f t="shared" si="3"/>
        <v>0</v>
      </c>
      <c r="E18" s="7">
        <f t="shared" si="4"/>
        <v>4.9019607843133941E-3</v>
      </c>
      <c r="F18" s="7">
        <f t="shared" si="5"/>
        <v>0</v>
      </c>
      <c r="G18" s="7">
        <f t="shared" si="6"/>
        <v>9.9999999999999992E-2</v>
      </c>
      <c r="H18" s="7">
        <f t="shared" si="7"/>
        <v>3.1393941988479317E-4</v>
      </c>
      <c r="I18" s="7">
        <f t="shared" si="8"/>
        <v>0</v>
      </c>
      <c r="J18" s="7">
        <f t="shared" si="9"/>
        <v>0.10765851780849663</v>
      </c>
      <c r="K18" s="5">
        <f>IFERROR(VLOOKUP($A18,[7]Sheet1!$A$1:$P$100,4,FALSE),0)</f>
        <v>430000000</v>
      </c>
      <c r="L18" s="5" t="str">
        <f>IFERROR(VLOOKUP($A18,[7]Sheet1!$A$1:$P$100,5,FALSE),"")</f>
        <v>EXIM</v>
      </c>
      <c r="M18" s="5">
        <f>IFERROR(VLOOKUP($A18,[7]Sheet1!$A$1:$P$100,6,FALSE),0)</f>
        <v>2.2858356164383586</v>
      </c>
      <c r="N18" s="5">
        <f>IFERROR(VLOOKUP($A18,[7]Sheet1!$A$1:$P$100,7,FALSE),0)</f>
        <v>2.1844931506849408</v>
      </c>
      <c r="O18" s="5">
        <f>IFERROR(VLOOKUP($A18,[7]Sheet1!$A$1:$P$100,8,FALSE),0)</f>
        <v>435772.60273969686</v>
      </c>
      <c r="P18" s="5">
        <f>IFERROR(VLOOKUP($A18,[7]Sheet1!$A$1:$P$100,9,FALSE),0)</f>
        <v>98.077299999999994</v>
      </c>
      <c r="Q18" s="5">
        <f>IFERROR(VLOOKUP($A18,[7]Sheet1!$A$1:$P$100,10,FALSE),0)</f>
        <v>97.813999999999993</v>
      </c>
      <c r="R18" s="5">
        <f>IFERROR(VLOOKUP($A18,[7]Sheet1!$A$1:$P$100,11,FALSE),0)</f>
        <v>-696417.39726030733</v>
      </c>
      <c r="S18" s="5">
        <f>IFERROR(VLOOKUP($A18,[8]Sheet1!$A$1:$P$100,4,FALSE),0)</f>
        <v>430000000</v>
      </c>
      <c r="T18" s="5" t="str">
        <f>IFERROR(VLOOKUP($A18,[8]Sheet1!$A$1:$P$100,5,FALSE),"")</f>
        <v>EXIMCH</v>
      </c>
      <c r="U18" s="5">
        <f>IFERROR(VLOOKUP($A18,[8]Sheet1!$A$1:$P$100,6,FALSE),0)</f>
        <v>2.2970958904109606</v>
      </c>
      <c r="V18" s="5">
        <f>IFERROR(VLOOKUP($A18,[8]Sheet1!$A$1:$P$100,7,FALSE),0)</f>
        <v>2.1844931506849408</v>
      </c>
      <c r="W18" s="5">
        <f>IFERROR(VLOOKUP($A18,[8]Sheet1!$A$1:$P$100,8,FALSE),0)</f>
        <v>484191.78082188539</v>
      </c>
      <c r="X18" s="5">
        <f>IFERROR(VLOOKUP($A18,[8]Sheet1!$A$1:$P$100,9,FALSE),0)</f>
        <v>98.108099999999993</v>
      </c>
      <c r="Y18" s="5">
        <f>IFERROR(VLOOKUP($A18,[8]Sheet1!$A$1:$P$100,10,FALSE),0)</f>
        <v>97.813999999999993</v>
      </c>
      <c r="Z18" s="5">
        <f>IFERROR(VLOOKUP($A18,[8]Sheet1!$A$1:$P$100,11,FALSE),0)</f>
        <v>-780438.21917812712</v>
      </c>
    </row>
    <row r="19" spans="1:26">
      <c r="A19" s="8" t="s">
        <v>109</v>
      </c>
      <c r="B19" s="1" t="str">
        <f t="shared" si="1"/>
        <v>BMR</v>
      </c>
      <c r="C19" s="1" t="str">
        <f t="shared" si="2"/>
        <v>170309.IB</v>
      </c>
      <c r="D19" s="7">
        <f t="shared" si="3"/>
        <v>0</v>
      </c>
      <c r="E19" s="7">
        <f t="shared" si="4"/>
        <v>1.0869565217390605E-2</v>
      </c>
      <c r="F19" s="7">
        <f t="shared" si="5"/>
        <v>0</v>
      </c>
      <c r="G19" s="7">
        <f t="shared" si="6"/>
        <v>0.10000000000000019</v>
      </c>
      <c r="H19" s="7">
        <f t="shared" si="7"/>
        <v>-1.9175203837525775E-5</v>
      </c>
      <c r="I19" s="7">
        <f t="shared" si="8"/>
        <v>0</v>
      </c>
      <c r="J19" s="7">
        <f t="shared" si="9"/>
        <v>0.31406714832140387</v>
      </c>
      <c r="K19" s="5">
        <f>IFERROR(VLOOKUP($A19,[7]Sheet1!$A$1:$P$100,4,FALSE),0)</f>
        <v>140000000</v>
      </c>
      <c r="L19" s="5" t="str">
        <f>IFERROR(VLOOKUP($A19,[7]Sheet1!$A$1:$P$100,5,FALSE),"")</f>
        <v>EXIM</v>
      </c>
      <c r="M19" s="5">
        <f>IFERROR(VLOOKUP($A19,[7]Sheet1!$A$1:$P$100,6,FALSE),0)</f>
        <v>1.0246849315068474</v>
      </c>
      <c r="N19" s="5">
        <f>IFERROR(VLOOKUP($A19,[7]Sheet1!$A$1:$P$100,7,FALSE),0)</f>
        <v>0.92334246575342949</v>
      </c>
      <c r="O19" s="5">
        <f>IFERROR(VLOOKUP($A19,[7]Sheet1!$A$1:$P$100,8,FALSE),0)</f>
        <v>141879.45205478501</v>
      </c>
      <c r="P19" s="5">
        <f>IFERROR(VLOOKUP($A19,[7]Sheet1!$A$1:$P$100,9,FALSE),0)</f>
        <v>99.088200000000001</v>
      </c>
      <c r="Q19" s="5">
        <f>IFERROR(VLOOKUP($A19,[7]Sheet1!$A$1:$P$100,10,FALSE),0)</f>
        <v>99.015600000000006</v>
      </c>
      <c r="R19" s="5">
        <f>IFERROR(VLOOKUP($A19,[7]Sheet1!$A$1:$P$100,11,FALSE),0)</f>
        <v>40239.452054793102</v>
      </c>
      <c r="S19" s="5">
        <f>IFERROR(VLOOKUP($A19,[8]Sheet1!$A$1:$P$100,4,FALSE),0)</f>
        <v>140000000</v>
      </c>
      <c r="T19" s="5" t="str">
        <f>IFERROR(VLOOKUP($A19,[8]Sheet1!$A$1:$P$100,5,FALSE),"")</f>
        <v>EXIMCH</v>
      </c>
      <c r="U19" s="5">
        <f>IFERROR(VLOOKUP($A19,[8]Sheet1!$A$1:$P$100,6,FALSE),0)</f>
        <v>1.0359452054794493</v>
      </c>
      <c r="V19" s="5">
        <f>IFERROR(VLOOKUP($A19,[8]Sheet1!$A$1:$P$100,7,FALSE),0)</f>
        <v>0.92334246575342949</v>
      </c>
      <c r="W19" s="5">
        <f>IFERROR(VLOOKUP($A19,[8]Sheet1!$A$1:$P$100,8,FALSE),0)</f>
        <v>157643.83561642782</v>
      </c>
      <c r="X19" s="5">
        <f>IFERROR(VLOOKUP($A19,[8]Sheet1!$A$1:$P$100,9,FALSE),0)</f>
        <v>99.086299999999994</v>
      </c>
      <c r="Y19" s="5">
        <f>IFERROR(VLOOKUP($A19,[8]Sheet1!$A$1:$P$100,10,FALSE),0)</f>
        <v>99.015600000000006</v>
      </c>
      <c r="Z19" s="5">
        <f>IFERROR(VLOOKUP($A19,[8]Sheet1!$A$1:$P$100,11,FALSE),0)</f>
        <v>58663.83561644586</v>
      </c>
    </row>
    <row r="20" spans="1:26">
      <c r="A20" s="8" t="s">
        <v>110</v>
      </c>
      <c r="B20" s="1" t="str">
        <f t="shared" si="1"/>
        <v>BMR</v>
      </c>
      <c r="C20" s="1" t="str">
        <f t="shared" si="2"/>
        <v>170310.IB</v>
      </c>
      <c r="D20" s="7">
        <f t="shared" si="3"/>
        <v>0</v>
      </c>
      <c r="E20" s="7">
        <f t="shared" si="4"/>
        <v>1.56249999999946E-2</v>
      </c>
      <c r="F20" s="7">
        <f t="shared" si="5"/>
        <v>0</v>
      </c>
      <c r="G20" s="7">
        <f t="shared" si="6"/>
        <v>9.9999999999959732E-2</v>
      </c>
      <c r="H20" s="7">
        <f t="shared" si="7"/>
        <v>-8.0493505683157E-6</v>
      </c>
      <c r="I20" s="7">
        <f t="shared" si="8"/>
        <v>0</v>
      </c>
      <c r="J20" s="7">
        <f t="shared" si="9"/>
        <v>0.16443463704141154</v>
      </c>
      <c r="K20" s="5">
        <f>IFERROR(VLOOKUP($A20,[7]Sheet1!$A$1:$P$100,4,FALSE),0)</f>
        <v>140000000</v>
      </c>
      <c r="L20" s="5" t="str">
        <f>IFERROR(VLOOKUP($A20,[7]Sheet1!$A$1:$P$100,5,FALSE),"")</f>
        <v>EXIM</v>
      </c>
      <c r="M20" s="5">
        <f>IFERROR(VLOOKUP($A20,[7]Sheet1!$A$1:$P$100,6,FALSE),0)</f>
        <v>0.69558904109590092</v>
      </c>
      <c r="N20" s="5">
        <f>IFERROR(VLOOKUP($A20,[7]Sheet1!$A$1:$P$100,7,FALSE),0)</f>
        <v>0.59621917808219127</v>
      </c>
      <c r="O20" s="5">
        <f>IFERROR(VLOOKUP($A20,[7]Sheet1!$A$1:$P$100,8,FALSE),0)</f>
        <v>139117.80821919351</v>
      </c>
      <c r="P20" s="5">
        <f>IFERROR(VLOOKUP($A20,[7]Sheet1!$A$1:$P$100,9,FALSE),0)</f>
        <v>99.387699999999995</v>
      </c>
      <c r="Q20" s="5">
        <f>IFERROR(VLOOKUP($A20,[7]Sheet1!$A$1:$P$100,10,FALSE),0)</f>
        <v>99.348500000000001</v>
      </c>
      <c r="R20" s="5">
        <f>IFERROR(VLOOKUP($A20,[7]Sheet1!$A$1:$P$100,11,FALSE),0)</f>
        <v>84237.808219202037</v>
      </c>
      <c r="S20" s="5">
        <f>IFERROR(VLOOKUP($A20,[8]Sheet1!$A$1:$P$100,4,FALSE),0)</f>
        <v>140000000</v>
      </c>
      <c r="T20" s="5" t="str">
        <f>IFERROR(VLOOKUP($A20,[8]Sheet1!$A$1:$P$100,5,FALSE),"")</f>
        <v>EXIMCH</v>
      </c>
      <c r="U20" s="5">
        <f>IFERROR(VLOOKUP($A20,[8]Sheet1!$A$1:$P$100,6,FALSE),0)</f>
        <v>0.70663013698630817</v>
      </c>
      <c r="V20" s="5">
        <f>IFERROR(VLOOKUP($A20,[8]Sheet1!$A$1:$P$100,7,FALSE),0)</f>
        <v>0.59621917808219127</v>
      </c>
      <c r="W20" s="5">
        <f>IFERROR(VLOOKUP($A20,[8]Sheet1!$A$1:$P$100,8,FALSE),0)</f>
        <v>154575.34246576365</v>
      </c>
      <c r="X20" s="5">
        <f>IFERROR(VLOOKUP($A20,[8]Sheet1!$A$1:$P$100,9,FALSE),0)</f>
        <v>99.386899999999997</v>
      </c>
      <c r="Y20" s="5">
        <f>IFERROR(VLOOKUP($A20,[8]Sheet1!$A$1:$P$100,10,FALSE),0)</f>
        <v>99.348500000000001</v>
      </c>
      <c r="Z20" s="5">
        <f>IFERROR(VLOOKUP($A20,[8]Sheet1!$A$1:$P$100,11,FALSE),0)</f>
        <v>100815.34246576585</v>
      </c>
    </row>
    <row r="21" spans="1:26">
      <c r="A21" s="8" t="s">
        <v>88</v>
      </c>
      <c r="B21" s="1" t="str">
        <f t="shared" si="1"/>
        <v>BMR</v>
      </c>
      <c r="C21" s="1" t="str">
        <f t="shared" si="2"/>
        <v>170405.IB</v>
      </c>
      <c r="D21" s="7">
        <f t="shared" si="3"/>
        <v>0</v>
      </c>
      <c r="E21" s="7">
        <f t="shared" si="4"/>
        <v>3.6101083032476027E-3</v>
      </c>
      <c r="F21" s="7">
        <f t="shared" si="5"/>
        <v>0</v>
      </c>
      <c r="G21" s="7">
        <f t="shared" si="6"/>
        <v>9.999999999996162E-2</v>
      </c>
      <c r="H21" s="7">
        <f t="shared" si="7"/>
        <v>-1.0164077246985496E-4</v>
      </c>
      <c r="I21" s="7">
        <f t="shared" si="8"/>
        <v>0</v>
      </c>
      <c r="J21" s="7">
        <f t="shared" si="9"/>
        <v>-0.27601456815802061</v>
      </c>
      <c r="K21" s="5">
        <f>IFERROR(VLOOKUP($A21,[7]Sheet1!$A$1:$P$100,4,FALSE),0)</f>
        <v>250000000</v>
      </c>
      <c r="L21" s="5" t="str">
        <f>IFERROR(VLOOKUP($A21,[7]Sheet1!$A$1:$P$100,5,FALSE),"")</f>
        <v>ADB</v>
      </c>
      <c r="M21" s="5">
        <f>IFERROR(VLOOKUP($A21,[7]Sheet1!$A$1:$P$100,6,FALSE),0)</f>
        <v>2.911232876712333</v>
      </c>
      <c r="N21" s="5">
        <f>IFERROR(VLOOKUP($A21,[7]Sheet1!$A$1:$P$100,7,FALSE),0)</f>
        <v>2.8163013698630168</v>
      </c>
      <c r="O21" s="5">
        <f>IFERROR(VLOOKUP($A21,[7]Sheet1!$A$1:$P$100,8,FALSE),0)</f>
        <v>237328.76712329042</v>
      </c>
      <c r="P21" s="5">
        <f>IFERROR(VLOOKUP($A21,[7]Sheet1!$A$1:$P$100,9,FALSE),0)</f>
        <v>96.427800000000005</v>
      </c>
      <c r="Q21" s="5">
        <f>IFERROR(VLOOKUP($A21,[7]Sheet1!$A$1:$P$100,10,FALSE),0)</f>
        <v>96.238799999999998</v>
      </c>
      <c r="R21" s="5">
        <f>IFERROR(VLOOKUP($A21,[7]Sheet1!$A$1:$P$100,11,FALSE),0)</f>
        <v>-235171.23287672744</v>
      </c>
      <c r="S21" s="5">
        <f>IFERROR(VLOOKUP($A21,[8]Sheet1!$A$1:$P$100,4,FALSE),0)</f>
        <v>250000000</v>
      </c>
      <c r="T21" s="5" t="str">
        <f>IFERROR(VLOOKUP($A21,[8]Sheet1!$A$1:$P$100,5,FALSE),"")</f>
        <v>ADBCH</v>
      </c>
      <c r="U21" s="5">
        <f>IFERROR(VLOOKUP($A21,[8]Sheet1!$A$1:$P$100,6,FALSE),0)</f>
        <v>2.9217808219178081</v>
      </c>
      <c r="V21" s="5">
        <f>IFERROR(VLOOKUP($A21,[8]Sheet1!$A$1:$P$100,7,FALSE),0)</f>
        <v>2.8163013698630168</v>
      </c>
      <c r="W21" s="5">
        <f>IFERROR(VLOOKUP($A21,[8]Sheet1!$A$1:$P$100,8,FALSE),0)</f>
        <v>263698.63013697811</v>
      </c>
      <c r="X21" s="5">
        <f>IFERROR(VLOOKUP($A21,[8]Sheet1!$A$1:$P$100,9,FALSE),0)</f>
        <v>96.418000000000006</v>
      </c>
      <c r="Y21" s="5">
        <f>IFERROR(VLOOKUP($A21,[8]Sheet1!$A$1:$P$100,10,FALSE),0)</f>
        <v>96.238799999999998</v>
      </c>
      <c r="Z21" s="5">
        <f>IFERROR(VLOOKUP($A21,[8]Sheet1!$A$1:$P$100,11,FALSE),0)</f>
        <v>-184301.36986304692</v>
      </c>
    </row>
    <row r="22" spans="1:26">
      <c r="A22" s="8" t="s">
        <v>111</v>
      </c>
      <c r="B22" s="1" t="str">
        <f t="shared" si="1"/>
        <v>BMR</v>
      </c>
      <c r="C22" s="1" t="str">
        <f t="shared" si="2"/>
        <v>170415.IB</v>
      </c>
      <c r="D22" s="7">
        <f t="shared" si="3"/>
        <v>0</v>
      </c>
      <c r="E22" s="7">
        <f t="shared" si="4"/>
        <v>3.1249999999996395E-2</v>
      </c>
      <c r="F22" s="7">
        <f t="shared" si="5"/>
        <v>0</v>
      </c>
      <c r="G22" s="7">
        <f t="shared" si="6"/>
        <v>9.9999999999981562E-2</v>
      </c>
      <c r="H22" s="7">
        <f t="shared" si="7"/>
        <v>-3.6591501623747384E-4</v>
      </c>
      <c r="I22" s="7">
        <f t="shared" si="8"/>
        <v>0</v>
      </c>
      <c r="J22" s="7">
        <f t="shared" si="9"/>
        <v>-0.48475452196379509</v>
      </c>
      <c r="K22" s="5">
        <f>IFERROR(VLOOKUP($A22,[7]Sheet1!$A$1:$P$100,4,FALSE),0)</f>
        <v>50000000</v>
      </c>
      <c r="L22" s="5" t="str">
        <f>IFERROR(VLOOKUP($A22,[7]Sheet1!$A$1:$P$100,5,FALSE),"")</f>
        <v>ADB</v>
      </c>
      <c r="M22" s="5">
        <f>IFERROR(VLOOKUP($A22,[7]Sheet1!$A$1:$P$100,6,FALSE),0)</f>
        <v>0.37284931506849084</v>
      </c>
      <c r="N22" s="5">
        <f>IFERROR(VLOOKUP($A22,[7]Sheet1!$A$1:$P$100,7,FALSE),0)</f>
        <v>0.26460273972601644</v>
      </c>
      <c r="O22" s="5">
        <f>IFERROR(VLOOKUP($A22,[7]Sheet1!$A$1:$P$100,8,FALSE),0)</f>
        <v>54123.287671237194</v>
      </c>
      <c r="P22" s="5">
        <f>IFERROR(VLOOKUP($A22,[7]Sheet1!$A$1:$P$100,9,FALSE),0)</f>
        <v>100.6066</v>
      </c>
      <c r="Q22" s="5">
        <f>IFERROR(VLOOKUP($A22,[7]Sheet1!$A$1:$P$100,10,FALSE),0)</f>
        <v>100.3488</v>
      </c>
      <c r="R22" s="5">
        <f>IFERROR(VLOOKUP($A22,[7]Sheet1!$A$1:$P$100,11,FALSE),0)</f>
        <v>-74776.712328764377</v>
      </c>
      <c r="S22" s="5">
        <f>IFERROR(VLOOKUP($A22,[8]Sheet1!$A$1:$P$100,4,FALSE),0)</f>
        <v>50000000</v>
      </c>
      <c r="T22" s="5" t="str">
        <f>IFERROR(VLOOKUP($A22,[8]Sheet1!$A$1:$P$100,5,FALSE),"")</f>
        <v>ADBCH</v>
      </c>
      <c r="U22" s="5">
        <f>IFERROR(VLOOKUP($A22,[8]Sheet1!$A$1:$P$100,6,FALSE),0)</f>
        <v>0.3848767123287633</v>
      </c>
      <c r="V22" s="5">
        <f>IFERROR(VLOOKUP($A22,[8]Sheet1!$A$1:$P$100,7,FALSE),0)</f>
        <v>0.26460273972601644</v>
      </c>
      <c r="W22" s="5">
        <f>IFERROR(VLOOKUP($A22,[8]Sheet1!$A$1:$P$100,8,FALSE),0)</f>
        <v>60136.986301373428</v>
      </c>
      <c r="X22" s="5">
        <f>IFERROR(VLOOKUP($A22,[8]Sheet1!$A$1:$P$100,9,FALSE),0)</f>
        <v>100.5698</v>
      </c>
      <c r="Y22" s="5">
        <f>IFERROR(VLOOKUP($A22,[8]Sheet1!$A$1:$P$100,10,FALSE),0)</f>
        <v>100.3488</v>
      </c>
      <c r="Z22" s="5">
        <f>IFERROR(VLOOKUP($A22,[8]Sheet1!$A$1:$P$100,11,FALSE),0)</f>
        <v>-50363.013698629278</v>
      </c>
    </row>
    <row r="23" spans="1:26">
      <c r="A23" s="8" t="s">
        <v>112</v>
      </c>
      <c r="B23" s="1" t="str">
        <f t="shared" si="1"/>
        <v>BMZ</v>
      </c>
      <c r="C23" s="1" t="str">
        <f t="shared" si="2"/>
        <v>170205.IB</v>
      </c>
      <c r="D23" s="7">
        <f t="shared" si="3"/>
        <v>0</v>
      </c>
      <c r="E23" s="7">
        <f t="shared" si="4"/>
        <v>0</v>
      </c>
      <c r="F23" s="7">
        <f t="shared" si="5"/>
        <v>0</v>
      </c>
      <c r="G23" s="7">
        <f t="shared" si="6"/>
        <v>0</v>
      </c>
      <c r="H23" s="7">
        <f t="shared" si="7"/>
        <v>0</v>
      </c>
      <c r="I23" s="7">
        <f t="shared" si="8"/>
        <v>0</v>
      </c>
      <c r="J23" s="7">
        <f t="shared" si="9"/>
        <v>0</v>
      </c>
      <c r="K23" s="5">
        <f>IFERROR(VLOOKUP($A23,[7]Sheet1!$A$1:$P$100,4,FALSE),0)</f>
        <v>150000000</v>
      </c>
      <c r="L23" s="5" t="str">
        <f>IFERROR(VLOOKUP($A23,[7]Sheet1!$A$1:$P$100,5,FALSE),"")</f>
        <v>CDB</v>
      </c>
      <c r="M23" s="5">
        <f>IFERROR(VLOOKUP($A23,[7]Sheet1!$A$1:$P$100,6,FALSE),0)</f>
        <v>1.839013698630132</v>
      </c>
      <c r="N23" s="5">
        <f>IFERROR(VLOOKUP($A23,[7]Sheet1!$A$1:$P$100,7,FALSE),0)</f>
        <v>1.743342465753428</v>
      </c>
      <c r="O23" s="5">
        <f>IFERROR(VLOOKUP($A23,[7]Sheet1!$A$1:$P$100,8,FALSE),0)</f>
        <v>143506.849315056</v>
      </c>
      <c r="P23" s="5">
        <f>IFERROR(VLOOKUP($A23,[7]Sheet1!$A$1:$P$100,9,FALSE),0)</f>
        <v>99.119</v>
      </c>
      <c r="Q23" s="5">
        <f>IFERROR(VLOOKUP($A23,[7]Sheet1!$A$1:$P$100,10,FALSE),0)</f>
        <v>99.075199999999995</v>
      </c>
      <c r="R23" s="5">
        <f>IFERROR(VLOOKUP($A23,[7]Sheet1!$A$1:$P$100,11,FALSE),0)</f>
        <v>77806.849315049243</v>
      </c>
      <c r="S23" s="5">
        <f>IFERROR(VLOOKUP($A23,[8]Sheet1!$A$1:$P$100,4,FALSE),0)</f>
        <v>0</v>
      </c>
      <c r="T23" s="5" t="str">
        <f>IFERROR(VLOOKUP($A23,[8]Sheet1!$A$1:$P$100,5,FALSE),"")</f>
        <v/>
      </c>
      <c r="U23" s="5">
        <f>IFERROR(VLOOKUP($A23,[8]Sheet1!$A$1:$P$100,6,FALSE),0)</f>
        <v>0</v>
      </c>
      <c r="V23" s="5">
        <f>IFERROR(VLOOKUP($A23,[8]Sheet1!$A$1:$P$100,7,FALSE),0)</f>
        <v>0</v>
      </c>
      <c r="W23" s="5">
        <f>IFERROR(VLOOKUP($A23,[8]Sheet1!$A$1:$P$100,8,FALSE),0)</f>
        <v>0</v>
      </c>
      <c r="X23" s="5">
        <f>IFERROR(VLOOKUP($A23,[8]Sheet1!$A$1:$P$100,9,FALSE),0)</f>
        <v>0</v>
      </c>
      <c r="Y23" s="5">
        <f>IFERROR(VLOOKUP($A23,[8]Sheet1!$A$1:$P$100,10,FALSE),0)</f>
        <v>0</v>
      </c>
      <c r="Z23" s="5">
        <f>IFERROR(VLOOKUP($A23,[8]Sheet1!$A$1:$P$100,11,FALSE),0)</f>
        <v>0</v>
      </c>
    </row>
    <row r="24" spans="1:26">
      <c r="A24" s="8" t="s">
        <v>113</v>
      </c>
      <c r="B24" s="1" t="str">
        <f t="shared" si="1"/>
        <v>BMZ</v>
      </c>
      <c r="C24" s="1" t="str">
        <f t="shared" si="2"/>
        <v>170215.IB</v>
      </c>
      <c r="D24" s="7">
        <f t="shared" si="3"/>
        <v>0</v>
      </c>
      <c r="E24" s="7">
        <f t="shared" si="4"/>
        <v>0</v>
      </c>
      <c r="F24" s="7">
        <f t="shared" si="5"/>
        <v>0</v>
      </c>
      <c r="G24" s="7">
        <f t="shared" si="6"/>
        <v>0</v>
      </c>
      <c r="H24" s="7">
        <f t="shared" si="7"/>
        <v>0</v>
      </c>
      <c r="I24" s="7">
        <f t="shared" si="8"/>
        <v>0</v>
      </c>
      <c r="J24" s="7">
        <f t="shared" si="9"/>
        <v>0</v>
      </c>
      <c r="K24" s="5">
        <f>IFERROR(VLOOKUP($A24,[7]Sheet1!$A$1:$P$100,4,FALSE),0)</f>
        <v>-130000000</v>
      </c>
      <c r="L24" s="5" t="str">
        <f>IFERROR(VLOOKUP($A24,[7]Sheet1!$A$1:$P$100,5,FALSE),"")</f>
        <v>CDB</v>
      </c>
      <c r="M24" s="5">
        <f>IFERROR(VLOOKUP($A24,[7]Sheet1!$A$1:$P$100,6,FALSE),0)</f>
        <v>0.53435616438355371</v>
      </c>
      <c r="N24" s="5">
        <f>IFERROR(VLOOKUP($A24,[7]Sheet1!$A$1:$P$100,7,FALSE),0)</f>
        <v>0.42980821917808498</v>
      </c>
      <c r="O24" s="5">
        <f>IFERROR(VLOOKUP($A24,[7]Sheet1!$A$1:$P$100,8,FALSE),0)</f>
        <v>-135912.32876710934</v>
      </c>
      <c r="P24" s="5">
        <f>IFERROR(VLOOKUP($A24,[7]Sheet1!$A$1:$P$100,9,FALSE),0)</f>
        <v>100.428</v>
      </c>
      <c r="Q24" s="5">
        <f>IFERROR(VLOOKUP($A24,[7]Sheet1!$A$1:$P$100,10,FALSE),0)</f>
        <v>100.149</v>
      </c>
      <c r="R24" s="5">
        <f>IFERROR(VLOOKUP($A24,[7]Sheet1!$A$1:$P$100,11,FALSE),0)</f>
        <v>226787.67123288594</v>
      </c>
      <c r="S24" s="5">
        <f>IFERROR(VLOOKUP($A24,[8]Sheet1!$A$1:$P$100,4,FALSE),0)</f>
        <v>0</v>
      </c>
      <c r="T24" s="5" t="str">
        <f>IFERROR(VLOOKUP($A24,[8]Sheet1!$A$1:$P$100,5,FALSE),"")</f>
        <v/>
      </c>
      <c r="U24" s="5">
        <f>IFERROR(VLOOKUP($A24,[8]Sheet1!$A$1:$P$100,6,FALSE),0)</f>
        <v>0</v>
      </c>
      <c r="V24" s="5">
        <f>IFERROR(VLOOKUP($A24,[8]Sheet1!$A$1:$P$100,7,FALSE),0)</f>
        <v>0</v>
      </c>
      <c r="W24" s="5">
        <f>IFERROR(VLOOKUP($A24,[8]Sheet1!$A$1:$P$100,8,FALSE),0)</f>
        <v>0</v>
      </c>
      <c r="X24" s="5">
        <f>IFERROR(VLOOKUP($A24,[8]Sheet1!$A$1:$P$100,9,FALSE),0)</f>
        <v>0</v>
      </c>
      <c r="Y24" s="5">
        <f>IFERROR(VLOOKUP($A24,[8]Sheet1!$A$1:$P$100,10,FALSE),0)</f>
        <v>0</v>
      </c>
      <c r="Z24" s="5">
        <f>IFERROR(VLOOKUP($A24,[8]Sheet1!$A$1:$P$100,11,FALSE),0)</f>
        <v>0</v>
      </c>
    </row>
    <row r="25" spans="1:26">
      <c r="A25" s="8" t="s">
        <v>79</v>
      </c>
      <c r="B25" s="1" t="str">
        <f t="shared" si="1"/>
        <v>LM</v>
      </c>
      <c r="C25" s="1" t="str">
        <f t="shared" si="2"/>
        <v>170009.IB</v>
      </c>
      <c r="D25" s="7">
        <f t="shared" si="3"/>
        <v>0</v>
      </c>
      <c r="E25" s="7">
        <f t="shared" si="4"/>
        <v>6.2893081761010152E-3</v>
      </c>
      <c r="F25" s="7">
        <f t="shared" si="5"/>
        <v>0</v>
      </c>
      <c r="G25" s="7">
        <f t="shared" si="6"/>
        <v>0.10000000000000005</v>
      </c>
      <c r="H25" s="7">
        <f t="shared" si="7"/>
        <v>5.0034123272026046E-5</v>
      </c>
      <c r="I25" s="7">
        <f t="shared" si="8"/>
        <v>0</v>
      </c>
      <c r="J25" s="7">
        <f t="shared" si="9"/>
        <v>5.3639984213067517E-2</v>
      </c>
      <c r="K25" s="5">
        <f>IFERROR(VLOOKUP($A25,[7]Sheet1!$A$1:$P$100,4,FALSE),0)</f>
        <v>50000000</v>
      </c>
      <c r="L25" s="5" t="str">
        <f>IFERROR(VLOOKUP($A25,[7]Sheet1!$A$1:$P$100,5,FALSE),"")</f>
        <v>CGB</v>
      </c>
      <c r="M25" s="5">
        <f>IFERROR(VLOOKUP($A25,[7]Sheet1!$A$1:$P$100,6,FALSE),0)</f>
        <v>1.4371506849315097</v>
      </c>
      <c r="N25" s="5">
        <f>IFERROR(VLOOKUP($A25,[7]Sheet1!$A$1:$P$100,7,FALSE),0)</f>
        <v>1.3552876712328743</v>
      </c>
      <c r="O25" s="5">
        <f>IFERROR(VLOOKUP($A25,[7]Sheet1!$A$1:$P$100,8,FALSE),0)</f>
        <v>40931.506849317673</v>
      </c>
      <c r="P25" s="5">
        <f>IFERROR(VLOOKUP($A25,[7]Sheet1!$A$1:$P$100,9,FALSE),0)</f>
        <v>99.9268</v>
      </c>
      <c r="Q25" s="5">
        <f>IFERROR(VLOOKUP($A25,[7]Sheet1!$A$1:$P$100,10,FALSE),0)</f>
        <v>99.917199999999994</v>
      </c>
      <c r="R25" s="5">
        <f>IFERROR(VLOOKUP($A25,[7]Sheet1!$A$1:$P$100,11,FALSE),0)</f>
        <v>36131.506849314646</v>
      </c>
      <c r="S25" s="5">
        <f>IFERROR(VLOOKUP($A25,[8]Sheet1!$A$1:$P$100,4,FALSE),0)</f>
        <v>50000000</v>
      </c>
      <c r="T25" s="5" t="str">
        <f>IFERROR(VLOOKUP($A25,[8]Sheet1!$A$1:$P$100,5,FALSE),"")</f>
        <v>CGB</v>
      </c>
      <c r="U25" s="5">
        <f>IFERROR(VLOOKUP($A25,[8]Sheet1!$A$1:$P$100,6,FALSE),0)</f>
        <v>1.4462465753424691</v>
      </c>
      <c r="V25" s="5">
        <f>IFERROR(VLOOKUP($A25,[8]Sheet1!$A$1:$P$100,7,FALSE),0)</f>
        <v>1.3552876712328743</v>
      </c>
      <c r="W25" s="5">
        <f>IFERROR(VLOOKUP($A25,[8]Sheet1!$A$1:$P$100,8,FALSE),0)</f>
        <v>45479.452054797417</v>
      </c>
      <c r="X25" s="5">
        <f>IFERROR(VLOOKUP($A25,[8]Sheet1!$A$1:$P$100,9,FALSE),0)</f>
        <v>99.931799999999996</v>
      </c>
      <c r="Y25" s="5">
        <f>IFERROR(VLOOKUP($A25,[8]Sheet1!$A$1:$P$100,10,FALSE),0)</f>
        <v>99.917199999999994</v>
      </c>
      <c r="Z25" s="5">
        <f>IFERROR(VLOOKUP($A25,[8]Sheet1!$A$1:$P$100,11,FALSE),0)</f>
        <v>38179.452054797555</v>
      </c>
    </row>
    <row r="26" spans="1:26">
      <c r="A26" s="8" t="s">
        <v>114</v>
      </c>
      <c r="B26" s="1" t="str">
        <f t="shared" si="1"/>
        <v>MMA</v>
      </c>
      <c r="C26" s="1" t="str">
        <f t="shared" si="2"/>
        <v>019569.SH</v>
      </c>
      <c r="D26" s="7">
        <f t="shared" si="3"/>
        <v>0</v>
      </c>
      <c r="E26" s="7">
        <f t="shared" si="4"/>
        <v>0</v>
      </c>
      <c r="F26" s="7">
        <f t="shared" si="5"/>
        <v>-1.4705882352929776E-2</v>
      </c>
      <c r="G26" s="7">
        <f t="shared" si="6"/>
        <v>9.9999999999919043E-2</v>
      </c>
      <c r="H26" s="7">
        <f t="shared" si="7"/>
        <v>-1.545692207348594E-5</v>
      </c>
      <c r="I26" s="7">
        <f t="shared" si="8"/>
        <v>0</v>
      </c>
      <c r="J26" s="7">
        <f t="shared" si="9"/>
        <v>-9.3205477785795465E-2</v>
      </c>
      <c r="K26" s="5">
        <f>IFERROR(VLOOKUP($A26,[7]Sheet1!$A$1:$P$100,4,FALSE),0)</f>
        <v>30000000</v>
      </c>
      <c r="L26" s="5" t="str">
        <f>IFERROR(VLOOKUP($A26,[7]Sheet1!$A$1:$P$100,5,FALSE),"")</f>
        <v>CGB</v>
      </c>
      <c r="M26" s="5">
        <f>IFERROR(VLOOKUP($A26,[7]Sheet1!$A$1:$P$100,6,FALSE),0)</f>
        <v>0.86547945205479593</v>
      </c>
      <c r="N26" s="5">
        <f>IFERROR(VLOOKUP($A26,[7]Sheet1!$A$1:$P$100,7,FALSE),0)</f>
        <v>0.76561643835615367</v>
      </c>
      <c r="O26" s="5">
        <f>IFERROR(VLOOKUP($A26,[7]Sheet1!$A$1:$P$100,8,FALSE),0)</f>
        <v>29958.904109592677</v>
      </c>
      <c r="P26" s="5">
        <f>IFERROR(VLOOKUP($A26,[7]Sheet1!$A$1:$P$100,9,FALSE),0)</f>
        <v>97.045400000000001</v>
      </c>
      <c r="Q26" s="5">
        <f>IFERROR(VLOOKUP($A26,[7]Sheet1!$A$1:$P$100,10,FALSE),0)</f>
        <v>96.797799999999995</v>
      </c>
      <c r="R26" s="5">
        <f>IFERROR(VLOOKUP($A26,[7]Sheet1!$A$1:$P$100,11,FALSE),0)</f>
        <v>-44321.095890408993</v>
      </c>
      <c r="S26" s="5">
        <f>IFERROR(VLOOKUP($A26,[8]Sheet1!$A$1:$P$100,4,FALSE),0)</f>
        <v>30000000</v>
      </c>
      <c r="T26" s="5" t="str">
        <f>IFERROR(VLOOKUP($A26,[8]Sheet1!$A$1:$P$100,5,FALSE),"")</f>
        <v>CGB</v>
      </c>
      <c r="U26" s="5">
        <f>IFERROR(VLOOKUP($A26,[8]Sheet1!$A$1:$P$100,6,FALSE),0)</f>
        <v>0.86547945205479593</v>
      </c>
      <c r="V26" s="5">
        <f>IFERROR(VLOOKUP($A26,[8]Sheet1!$A$1:$P$100,7,FALSE),0)</f>
        <v>0.7545205479452034</v>
      </c>
      <c r="W26" s="5">
        <f>IFERROR(VLOOKUP($A26,[8]Sheet1!$A$1:$P$100,8,FALSE),0)</f>
        <v>33287.671232877758</v>
      </c>
      <c r="X26" s="5">
        <f>IFERROR(VLOOKUP($A26,[8]Sheet1!$A$1:$P$100,9,FALSE),0)</f>
        <v>97.043899999999994</v>
      </c>
      <c r="Y26" s="5">
        <f>IFERROR(VLOOKUP($A26,[8]Sheet1!$A$1:$P$100,10,FALSE),0)</f>
        <v>96.797799999999995</v>
      </c>
      <c r="Z26" s="5">
        <f>IFERROR(VLOOKUP($A26,[8]Sheet1!$A$1:$P$100,11,FALSE),0)</f>
        <v>-40542.328767120707</v>
      </c>
    </row>
    <row r="27" spans="1:26">
      <c r="A27" s="8" t="s">
        <v>78</v>
      </c>
      <c r="B27" s="1" t="str">
        <f t="shared" si="1"/>
        <v>MMA</v>
      </c>
      <c r="C27" s="1" t="str">
        <f t="shared" si="2"/>
        <v>101505.SZ</v>
      </c>
      <c r="D27" s="7">
        <f t="shared" si="3"/>
        <v>0</v>
      </c>
      <c r="E27" s="7">
        <f t="shared" si="4"/>
        <v>0.99456521739130965</v>
      </c>
      <c r="F27" s="7">
        <f t="shared" si="5"/>
        <v>-5.7471264367760745E-3</v>
      </c>
      <c r="G27" s="7">
        <f t="shared" si="6"/>
        <v>18.400000000001647</v>
      </c>
      <c r="H27" s="7">
        <f t="shared" si="7"/>
        <v>-2.3101624044080779E-5</v>
      </c>
      <c r="I27" s="7">
        <f t="shared" si="8"/>
        <v>0</v>
      </c>
      <c r="J27" s="7">
        <f t="shared" si="9"/>
        <v>1.0154382771757871</v>
      </c>
      <c r="K27" s="5">
        <f>IFERROR(VLOOKUP($A27,[7]Sheet1!$A$1:$P$100,4,FALSE),0)</f>
        <v>6000</v>
      </c>
      <c r="L27" s="5" t="str">
        <f>IFERROR(VLOOKUP($A27,[7]Sheet1!$A$1:$P$100,5,FALSE),"")</f>
        <v>CGB</v>
      </c>
      <c r="M27" s="5">
        <f>IFERROR(VLOOKUP($A27,[7]Sheet1!$A$1:$P$100,6,FALSE),0)</f>
        <v>9.9726027397162298E-3</v>
      </c>
      <c r="N27" s="5">
        <f>IFERROR(VLOOKUP($A27,[7]Sheet1!$A$1:$P$100,7,FALSE),0)</f>
        <v>1.7452054794520502</v>
      </c>
      <c r="O27" s="5">
        <f>IFERROR(VLOOKUP($A27,[7]Sheet1!$A$1:$P$100,8,FALSE),0)</f>
        <v>-104.11397260274003</v>
      </c>
      <c r="P27" s="5">
        <f>IFERROR(VLOOKUP($A27,[7]Sheet1!$A$1:$P$100,9,FALSE),0)</f>
        <v>99.562399999999997</v>
      </c>
      <c r="Q27" s="5">
        <f>IFERROR(VLOOKUP($A27,[7]Sheet1!$A$1:$P$100,10,FALSE),0)</f>
        <v>99.449700000000007</v>
      </c>
      <c r="R27" s="5">
        <f>IFERROR(VLOOKUP($A27,[7]Sheet1!$A$1:$P$100,11,FALSE),0)</f>
        <v>-1.6759726027394493</v>
      </c>
      <c r="S27" s="5">
        <f>IFERROR(VLOOKUP($A27,[8]Sheet1!$A$1:$P$100,4,FALSE),0)</f>
        <v>6000</v>
      </c>
      <c r="T27" s="5" t="str">
        <f>IFERROR(VLOOKUP($A27,[8]Sheet1!$A$1:$P$100,5,FALSE),"")</f>
        <v>CGB</v>
      </c>
      <c r="U27" s="5">
        <f>IFERROR(VLOOKUP($A27,[8]Sheet1!$A$1:$P$100,6,FALSE),0)</f>
        <v>1.8349589041095848</v>
      </c>
      <c r="V27" s="5">
        <f>IFERROR(VLOOKUP($A27,[8]Sheet1!$A$1:$P$100,7,FALSE),0)</f>
        <v>1.7352328767123337</v>
      </c>
      <c r="W27" s="5">
        <f>IFERROR(VLOOKUP($A27,[8]Sheet1!$A$1:$P$100,8,FALSE),0)</f>
        <v>5.9835616438350669</v>
      </c>
      <c r="X27" s="5">
        <f>IFERROR(VLOOKUP($A27,[8]Sheet1!$A$1:$P$100,9,FALSE),0)</f>
        <v>99.560100000000006</v>
      </c>
      <c r="Y27" s="5">
        <f>IFERROR(VLOOKUP($A27,[8]Sheet1!$A$1:$P$100,10,FALSE),0)</f>
        <v>99.449700000000007</v>
      </c>
      <c r="Z27" s="5">
        <f>IFERROR(VLOOKUP($A27,[8]Sheet1!$A$1:$P$100,11,FALSE),0)</f>
        <v>108.5595616438347</v>
      </c>
    </row>
    <row r="28" spans="1:26">
      <c r="A28" s="8" t="s">
        <v>82</v>
      </c>
      <c r="B28" s="1" t="str">
        <f t="shared" si="1"/>
        <v>MMA</v>
      </c>
      <c r="C28" s="1" t="str">
        <f t="shared" si="2"/>
        <v>160218.IB</v>
      </c>
      <c r="D28" s="7">
        <f t="shared" si="3"/>
        <v>0</v>
      </c>
      <c r="E28" s="7">
        <f t="shared" si="4"/>
        <v>3.2679738562117243E-3</v>
      </c>
      <c r="F28" s="7">
        <f t="shared" si="5"/>
        <v>0</v>
      </c>
      <c r="G28" s="7">
        <f t="shared" si="6"/>
        <v>0.10000000000007092</v>
      </c>
      <c r="H28" s="7">
        <f t="shared" si="7"/>
        <v>-2.8892310105224496E-5</v>
      </c>
      <c r="I28" s="7">
        <f t="shared" si="8"/>
        <v>0</v>
      </c>
      <c r="J28" s="7">
        <f t="shared" si="9"/>
        <v>1.749312377209076</v>
      </c>
      <c r="K28" s="5">
        <f>IFERROR(VLOOKUP($A28,[7]Sheet1!$A$1:$P$100,4,FALSE),0)</f>
        <v>10000000</v>
      </c>
      <c r="L28" s="5" t="str">
        <f>IFERROR(VLOOKUP($A28,[7]Sheet1!$A$1:$P$100,5,FALSE),"")</f>
        <v>CDB</v>
      </c>
      <c r="M28" s="5">
        <f>IFERROR(VLOOKUP($A28,[7]Sheet1!$A$1:$P$100,6,FALSE),0)</f>
        <v>2.8661643835616424</v>
      </c>
      <c r="N28" s="5">
        <f>IFERROR(VLOOKUP($A28,[7]Sheet1!$A$1:$P$100,7,FALSE),0)</f>
        <v>2.7815890410958888</v>
      </c>
      <c r="O28" s="5">
        <f>IFERROR(VLOOKUP($A28,[7]Sheet1!$A$1:$P$100,8,FALSE),0)</f>
        <v>8457.5342465753602</v>
      </c>
      <c r="P28" s="5">
        <f>IFERROR(VLOOKUP($A28,[7]Sheet1!$A$1:$P$100,9,FALSE),0)</f>
        <v>96.914400000000001</v>
      </c>
      <c r="Q28" s="5">
        <f>IFERROR(VLOOKUP($A28,[7]Sheet1!$A$1:$P$100,10,FALSE),0)</f>
        <v>96.824600000000004</v>
      </c>
      <c r="R28" s="5">
        <f>IFERROR(VLOOKUP($A28,[7]Sheet1!$A$1:$P$100,11,FALSE),0)</f>
        <v>-522.46575342431788</v>
      </c>
      <c r="S28" s="5">
        <f>IFERROR(VLOOKUP($A28,[8]Sheet1!$A$1:$P$100,4,FALSE),0)</f>
        <v>10000000</v>
      </c>
      <c r="T28" s="5" t="str">
        <f>IFERROR(VLOOKUP($A28,[8]Sheet1!$A$1:$P$100,5,FALSE),"")</f>
        <v>SDBC</v>
      </c>
      <c r="U28" s="5">
        <f>IFERROR(VLOOKUP($A28,[8]Sheet1!$A$1:$P$100,6,FALSE),0)</f>
        <v>2.8755616438356224</v>
      </c>
      <c r="V28" s="5">
        <f>IFERROR(VLOOKUP($A28,[8]Sheet1!$A$1:$P$100,7,FALSE),0)</f>
        <v>2.7815890410958888</v>
      </c>
      <c r="W28" s="5">
        <f>IFERROR(VLOOKUP($A28,[8]Sheet1!$A$1:$P$100,8,FALSE),0)</f>
        <v>9397.2602739733629</v>
      </c>
      <c r="X28" s="5">
        <f>IFERROR(VLOOKUP($A28,[8]Sheet1!$A$1:$P$100,9,FALSE),0)</f>
        <v>96.911600000000007</v>
      </c>
      <c r="Y28" s="5">
        <f>IFERROR(VLOOKUP($A28,[8]Sheet1!$A$1:$P$100,10,FALSE),0)</f>
        <v>96.824600000000004</v>
      </c>
      <c r="Z28" s="5">
        <f>IFERROR(VLOOKUP($A28,[8]Sheet1!$A$1:$P$100,11,FALSE),0)</f>
        <v>697.26027397321036</v>
      </c>
    </row>
    <row r="29" spans="1:26">
      <c r="A29" s="8" t="s">
        <v>115</v>
      </c>
      <c r="B29" s="1" t="str">
        <f t="shared" si="1"/>
        <v>MMA</v>
      </c>
      <c r="C29" s="1" t="str">
        <f t="shared" si="2"/>
        <v>170020.IB</v>
      </c>
      <c r="D29" s="7">
        <f t="shared" si="3"/>
        <v>0</v>
      </c>
      <c r="E29" s="7">
        <f t="shared" si="4"/>
        <v>5.2631578947313663E-2</v>
      </c>
      <c r="F29" s="7">
        <f t="shared" si="5"/>
        <v>0</v>
      </c>
      <c r="G29" s="7">
        <f t="shared" si="6"/>
        <v>9.9999999999890052E-2</v>
      </c>
      <c r="H29" s="7">
        <f t="shared" si="7"/>
        <v>2.4391877504790883E-4</v>
      </c>
      <c r="I29" s="7">
        <f t="shared" si="8"/>
        <v>0</v>
      </c>
      <c r="J29" s="7">
        <f t="shared" si="9"/>
        <v>-2.979720079981083</v>
      </c>
      <c r="K29" s="5">
        <f>IFERROR(VLOOKUP($A29,[7]Sheet1!$A$1:$P$100,4,FALSE),0)</f>
        <v>120000000</v>
      </c>
      <c r="L29" s="5" t="str">
        <f>IFERROR(VLOOKUP($A29,[7]Sheet1!$A$1:$P$100,5,FALSE),"")</f>
        <v>CGB</v>
      </c>
      <c r="M29" s="5">
        <f>IFERROR(VLOOKUP($A29,[7]Sheet1!$A$1:$P$100,6,FALSE),0)</f>
        <v>0.18197260273973281</v>
      </c>
      <c r="N29" s="5">
        <f>IFERROR(VLOOKUP($A29,[7]Sheet1!$A$1:$P$100,7,FALSE),0)</f>
        <v>9.0986301369855305E-2</v>
      </c>
      <c r="O29" s="5">
        <f>IFERROR(VLOOKUP($A29,[7]Sheet1!$A$1:$P$100,8,FALSE),0)</f>
        <v>109183.56164385303</v>
      </c>
      <c r="P29" s="5">
        <f>IFERROR(VLOOKUP($A29,[7]Sheet1!$A$1:$P$100,9,FALSE),0)</f>
        <v>100.0089</v>
      </c>
      <c r="Q29" s="5">
        <f>IFERROR(VLOOKUP($A29,[7]Sheet1!$A$1:$P$100,10,FALSE),0)</f>
        <v>99.936999999999998</v>
      </c>
      <c r="R29" s="5">
        <f>IFERROR(VLOOKUP($A29,[7]Sheet1!$A$1:$P$100,11,FALSE),0)</f>
        <v>22903.56164385374</v>
      </c>
      <c r="S29" s="5">
        <f>IFERROR(VLOOKUP($A29,[8]Sheet1!$A$1:$P$100,4,FALSE),0)</f>
        <v>120000000</v>
      </c>
      <c r="T29" s="5" t="str">
        <f>IFERROR(VLOOKUP($A29,[8]Sheet1!$A$1:$P$100,5,FALSE),"")</f>
        <v>CGB</v>
      </c>
      <c r="U29" s="5">
        <f>IFERROR(VLOOKUP($A29,[8]Sheet1!$A$1:$P$100,6,FALSE),0)</f>
        <v>0.19208219178081798</v>
      </c>
      <c r="V29" s="5">
        <f>IFERROR(VLOOKUP($A29,[8]Sheet1!$A$1:$P$100,7,FALSE),0)</f>
        <v>9.0986301369855305E-2</v>
      </c>
      <c r="W29" s="5">
        <f>IFERROR(VLOOKUP($A29,[8]Sheet1!$A$1:$P$100,8,FALSE),0)</f>
        <v>121315.06849315521</v>
      </c>
      <c r="X29" s="5">
        <f>IFERROR(VLOOKUP($A29,[8]Sheet1!$A$1:$P$100,9,FALSE),0)</f>
        <v>100.0333</v>
      </c>
      <c r="Y29" s="5">
        <f>IFERROR(VLOOKUP($A29,[8]Sheet1!$A$1:$P$100,10,FALSE),0)</f>
        <v>99.936999999999998</v>
      </c>
      <c r="Z29" s="5">
        <f>IFERROR(VLOOKUP($A29,[8]Sheet1!$A$1:$P$100,11,FALSE),0)</f>
        <v>5755.0684931495507</v>
      </c>
    </row>
    <row r="30" spans="1:26">
      <c r="A30" s="8" t="s">
        <v>81</v>
      </c>
      <c r="B30" s="1" t="str">
        <f t="shared" si="1"/>
        <v>MMA</v>
      </c>
      <c r="C30" s="1" t="str">
        <f t="shared" si="2"/>
        <v>170206.IB</v>
      </c>
      <c r="D30" s="7">
        <f t="shared" si="3"/>
        <v>0</v>
      </c>
      <c r="E30" s="7">
        <f t="shared" si="4"/>
        <v>5.6818181818118034E-3</v>
      </c>
      <c r="F30" s="7">
        <f t="shared" si="5"/>
        <v>0</v>
      </c>
      <c r="G30" s="7">
        <f t="shared" si="6"/>
        <v>9.9999999999899336E-2</v>
      </c>
      <c r="H30" s="7">
        <f t="shared" si="7"/>
        <v>-1.4127571974972428E-5</v>
      </c>
      <c r="I30" s="7">
        <f t="shared" si="8"/>
        <v>0</v>
      </c>
      <c r="J30" s="7">
        <f t="shared" si="9"/>
        <v>-0.7925485394424483</v>
      </c>
      <c r="K30" s="5">
        <f>IFERROR(VLOOKUP($A30,[7]Sheet1!$A$1:$P$100,4,FALSE),0)</f>
        <v>260000000</v>
      </c>
      <c r="L30" s="5" t="str">
        <f>IFERROR(VLOOKUP($A30,[7]Sheet1!$A$1:$P$100,5,FALSE),"")</f>
        <v>CDB</v>
      </c>
      <c r="M30" s="5">
        <f>IFERROR(VLOOKUP($A30,[7]Sheet1!$A$1:$P$100,6,FALSE),0)</f>
        <v>1.9273972602739775</v>
      </c>
      <c r="N30" s="5">
        <f>IFERROR(VLOOKUP($A30,[7]Sheet1!$A$1:$P$100,7,FALSE),0)</f>
        <v>1.8282739726027453</v>
      </c>
      <c r="O30" s="5">
        <f>IFERROR(VLOOKUP($A30,[7]Sheet1!$A$1:$P$100,8,FALSE),0)</f>
        <v>257720.54794520381</v>
      </c>
      <c r="P30" s="5">
        <f>IFERROR(VLOOKUP($A30,[7]Sheet1!$A$1:$P$100,9,FALSE),0)</f>
        <v>99.098399999999998</v>
      </c>
      <c r="Q30" s="5">
        <f>IFERROR(VLOOKUP($A30,[7]Sheet1!$A$1:$P$100,10,FALSE),0)</f>
        <v>98.971199999999996</v>
      </c>
      <c r="R30" s="5">
        <f>IFERROR(VLOOKUP($A30,[7]Sheet1!$A$1:$P$100,11,FALSE),0)</f>
        <v>-72999.45205480131</v>
      </c>
      <c r="S30" s="5">
        <f>IFERROR(VLOOKUP($A30,[8]Sheet1!$A$1:$P$100,4,FALSE),0)</f>
        <v>260000000</v>
      </c>
      <c r="T30" s="5" t="str">
        <f>IFERROR(VLOOKUP($A30,[8]Sheet1!$A$1:$P$100,5,FALSE),"")</f>
        <v>SDBC</v>
      </c>
      <c r="U30" s="5">
        <f>IFERROR(VLOOKUP($A30,[8]Sheet1!$A$1:$P$100,6,FALSE),0)</f>
        <v>1.9384109589041021</v>
      </c>
      <c r="V30" s="5">
        <f>IFERROR(VLOOKUP($A30,[8]Sheet1!$A$1:$P$100,7,FALSE),0)</f>
        <v>1.8282739726027453</v>
      </c>
      <c r="W30" s="5">
        <f>IFERROR(VLOOKUP($A30,[8]Sheet1!$A$1:$P$100,8,FALSE),0)</f>
        <v>286356.16438352776</v>
      </c>
      <c r="X30" s="5">
        <f>IFERROR(VLOOKUP($A30,[8]Sheet1!$A$1:$P$100,9,FALSE),0)</f>
        <v>99.096999999999994</v>
      </c>
      <c r="Y30" s="5">
        <f>IFERROR(VLOOKUP($A30,[8]Sheet1!$A$1:$P$100,10,FALSE),0)</f>
        <v>98.971199999999996</v>
      </c>
      <c r="Z30" s="5">
        <f>IFERROR(VLOOKUP($A30,[8]Sheet1!$A$1:$P$100,11,FALSE),0)</f>
        <v>-40723.835616472039</v>
      </c>
    </row>
    <row r="31" spans="1:26">
      <c r="A31" s="8" t="s">
        <v>80</v>
      </c>
      <c r="B31" s="1" t="str">
        <f t="shared" si="1"/>
        <v>MMA</v>
      </c>
      <c r="C31" s="1" t="str">
        <f t="shared" si="2"/>
        <v>170210.IB</v>
      </c>
      <c r="D31" s="7">
        <f t="shared" si="3"/>
        <v>0</v>
      </c>
      <c r="E31" s="7">
        <f t="shared" si="4"/>
        <v>5.4644808743193963E-3</v>
      </c>
      <c r="F31" s="7">
        <f t="shared" si="5"/>
        <v>0</v>
      </c>
      <c r="G31" s="7">
        <f t="shared" si="6"/>
        <v>0.10000000000004011</v>
      </c>
      <c r="H31" s="7">
        <f t="shared" si="7"/>
        <v>-2.3885667272649993E-4</v>
      </c>
      <c r="I31" s="7">
        <f t="shared" si="8"/>
        <v>0</v>
      </c>
      <c r="J31" s="7">
        <f t="shared" si="9"/>
        <v>-0.35861695456364917</v>
      </c>
      <c r="K31" s="5">
        <f>IFERROR(VLOOKUP($A31,[7]Sheet1!$A$1:$P$100,4,FALSE),0)</f>
        <v>290000000</v>
      </c>
      <c r="L31" s="5" t="str">
        <f>IFERROR(VLOOKUP($A31,[7]Sheet1!$A$1:$P$100,5,FALSE),"")</f>
        <v>CDB</v>
      </c>
      <c r="M31" s="5">
        <f>IFERROR(VLOOKUP($A31,[7]Sheet1!$A$1:$P$100,6,FALSE),0)</f>
        <v>2.0144657534246546</v>
      </c>
      <c r="N31" s="5">
        <f>IFERROR(VLOOKUP($A31,[7]Sheet1!$A$1:$P$100,7,FALSE),0)</f>
        <v>1.9148493150684898</v>
      </c>
      <c r="O31" s="5">
        <f>IFERROR(VLOOKUP($A31,[7]Sheet1!$A$1:$P$100,8,FALSE),0)</f>
        <v>288887.67123287806</v>
      </c>
      <c r="P31" s="5">
        <f>IFERROR(VLOOKUP($A31,[7]Sheet1!$A$1:$P$100,9,FALSE),0)</f>
        <v>97.990099999999998</v>
      </c>
      <c r="Q31" s="5">
        <f>IFERROR(VLOOKUP($A31,[7]Sheet1!$A$1:$P$100,10,FALSE),0)</f>
        <v>97.759900000000002</v>
      </c>
      <c r="R31" s="5">
        <f>IFERROR(VLOOKUP($A31,[7]Sheet1!$A$1:$P$100,11,FALSE),0)</f>
        <v>-378692.32876711147</v>
      </c>
      <c r="S31" s="5">
        <f>IFERROR(VLOOKUP($A31,[8]Sheet1!$A$1:$P$100,4,FALSE),0)</f>
        <v>290000000</v>
      </c>
      <c r="T31" s="5" t="str">
        <f>IFERROR(VLOOKUP($A31,[8]Sheet1!$A$1:$P$100,5,FALSE),"")</f>
        <v>SDBC</v>
      </c>
      <c r="U31" s="5">
        <f>IFERROR(VLOOKUP($A31,[8]Sheet1!$A$1:$P$100,6,FALSE),0)</f>
        <v>2.0255342465753445</v>
      </c>
      <c r="V31" s="5">
        <f>IFERROR(VLOOKUP($A31,[8]Sheet1!$A$1:$P$100,7,FALSE),0)</f>
        <v>1.9148493150684898</v>
      </c>
      <c r="W31" s="5">
        <f>IFERROR(VLOOKUP($A31,[8]Sheet1!$A$1:$P$100,8,FALSE),0)</f>
        <v>320986.30136987881</v>
      </c>
      <c r="X31" s="5">
        <f>IFERROR(VLOOKUP($A31,[8]Sheet1!$A$1:$P$100,9,FALSE),0)</f>
        <v>97.966700000000003</v>
      </c>
      <c r="Y31" s="5">
        <f>IFERROR(VLOOKUP($A31,[8]Sheet1!$A$1:$P$100,10,FALSE),0)</f>
        <v>97.759900000000002</v>
      </c>
      <c r="Z31" s="5">
        <f>IFERROR(VLOOKUP($A31,[8]Sheet1!$A$1:$P$100,11,FALSE),0)</f>
        <v>-278733.69863011694</v>
      </c>
    </row>
    <row r="32" spans="1:26">
      <c r="A32" s="8" t="s">
        <v>116</v>
      </c>
      <c r="B32" s="1" t="str">
        <f t="shared" si="1"/>
        <v>MMA</v>
      </c>
      <c r="C32" s="1" t="str">
        <f t="shared" si="2"/>
        <v>170215.IB</v>
      </c>
      <c r="D32" s="7">
        <f t="shared" si="3"/>
        <v>0</v>
      </c>
      <c r="E32" s="7">
        <f t="shared" si="4"/>
        <v>2.1276595744683446E-2</v>
      </c>
      <c r="F32" s="7">
        <f t="shared" si="5"/>
        <v>0</v>
      </c>
      <c r="G32" s="7">
        <f t="shared" si="6"/>
        <v>0.10000000000001913</v>
      </c>
      <c r="H32" s="7">
        <f t="shared" si="7"/>
        <v>-3.7055188324028267E-4</v>
      </c>
      <c r="I32" s="7">
        <f t="shared" si="8"/>
        <v>0</v>
      </c>
      <c r="J32" s="7">
        <f t="shared" si="9"/>
        <v>-0.38855572758796192</v>
      </c>
      <c r="K32" s="5">
        <f>IFERROR(VLOOKUP($A32,[7]Sheet1!$A$1:$P$100,4,FALSE),0)</f>
        <v>-70000000</v>
      </c>
      <c r="L32" s="5" t="str">
        <f>IFERROR(VLOOKUP($A32,[7]Sheet1!$A$1:$P$100,5,FALSE),"")</f>
        <v>CDB</v>
      </c>
      <c r="M32" s="5">
        <f>IFERROR(VLOOKUP($A32,[7]Sheet1!$A$1:$P$100,6,FALSE),0)</f>
        <v>0.53435616438355371</v>
      </c>
      <c r="N32" s="5">
        <f>IFERROR(VLOOKUP($A32,[7]Sheet1!$A$1:$P$100,7,FALSE),0)</f>
        <v>0.42980821917808498</v>
      </c>
      <c r="O32" s="5">
        <f>IFERROR(VLOOKUP($A32,[7]Sheet1!$A$1:$P$100,8,FALSE),0)</f>
        <v>-73183.561643828114</v>
      </c>
      <c r="P32" s="5">
        <f>IFERROR(VLOOKUP($A32,[7]Sheet1!$A$1:$P$100,9,FALSE),0)</f>
        <v>100.428</v>
      </c>
      <c r="Q32" s="5">
        <f>IFERROR(VLOOKUP($A32,[7]Sheet1!$A$1:$P$100,10,FALSE),0)</f>
        <v>100.149</v>
      </c>
      <c r="R32" s="5">
        <f>IFERROR(VLOOKUP($A32,[7]Sheet1!$A$1:$P$100,11,FALSE),0)</f>
        <v>122116.43835616935</v>
      </c>
      <c r="S32" s="5">
        <f>IFERROR(VLOOKUP($A32,[8]Sheet1!$A$1:$P$100,4,FALSE),0)</f>
        <v>-70000000</v>
      </c>
      <c r="T32" s="5" t="str">
        <f>IFERROR(VLOOKUP($A32,[8]Sheet1!$A$1:$P$100,5,FALSE),"")</f>
        <v>SDBC</v>
      </c>
      <c r="U32" s="5">
        <f>IFERROR(VLOOKUP($A32,[8]Sheet1!$A$1:$P$100,6,FALSE),0)</f>
        <v>0.54597260273971937</v>
      </c>
      <c r="V32" s="5">
        <f>IFERROR(VLOOKUP($A32,[8]Sheet1!$A$1:$P$100,7,FALSE),0)</f>
        <v>0.42980821917808498</v>
      </c>
      <c r="W32" s="5">
        <f>IFERROR(VLOOKUP($A32,[8]Sheet1!$A$1:$P$100,8,FALSE),0)</f>
        <v>-81315.068493144077</v>
      </c>
      <c r="X32" s="5">
        <f>IFERROR(VLOOKUP($A32,[8]Sheet1!$A$1:$P$100,9,FALSE),0)</f>
        <v>100.3908</v>
      </c>
      <c r="Y32" s="5">
        <f>IFERROR(VLOOKUP($A32,[8]Sheet1!$A$1:$P$100,10,FALSE),0)</f>
        <v>100.149</v>
      </c>
      <c r="Z32" s="5">
        <f>IFERROR(VLOOKUP($A32,[8]Sheet1!$A$1:$P$100,11,FALSE),0)</f>
        <v>87944.931506851281</v>
      </c>
    </row>
    <row r="33" spans="1:26">
      <c r="A33" s="8" t="s">
        <v>117</v>
      </c>
      <c r="B33" s="1" t="str">
        <f t="shared" si="1"/>
        <v>Strat</v>
      </c>
      <c r="C33" s="1" t="str">
        <f t="shared" si="2"/>
        <v>019567.SH</v>
      </c>
      <c r="D33" s="7">
        <f t="shared" si="3"/>
        <v>0</v>
      </c>
      <c r="E33" s="7">
        <f t="shared" si="4"/>
        <v>0</v>
      </c>
      <c r="F33" s="7">
        <f t="shared" si="5"/>
        <v>-9.9999999999961422E-3</v>
      </c>
      <c r="G33" s="7">
        <f t="shared" si="6"/>
        <v>9.9999999999956665E-2</v>
      </c>
      <c r="H33" s="7">
        <f t="shared" si="7"/>
        <v>4.6007606859458863E-4</v>
      </c>
      <c r="I33" s="7">
        <f t="shared" si="8"/>
        <v>0</v>
      </c>
      <c r="J33" s="7">
        <f t="shared" si="9"/>
        <v>-7.9674870859768676</v>
      </c>
      <c r="K33" s="5">
        <f>IFERROR(VLOOKUP($A33,[7]Sheet1!$A$1:$P$100,4,FALSE),0)</f>
        <v>30000000</v>
      </c>
      <c r="L33" s="5" t="str">
        <f>IFERROR(VLOOKUP($A33,[7]Sheet1!$A$1:$P$100,5,FALSE),"")</f>
        <v>CGB</v>
      </c>
      <c r="M33" s="5">
        <f>IFERROR(VLOOKUP($A33,[7]Sheet1!$A$1:$P$100,6,FALSE),0)</f>
        <v>1.0758904109589018</v>
      </c>
      <c r="N33" s="5">
        <f>IFERROR(VLOOKUP($A33,[7]Sheet1!$A$1:$P$100,7,FALSE),0)</f>
        <v>0.98786301369862006</v>
      </c>
      <c r="O33" s="5">
        <f>IFERROR(VLOOKUP($A33,[7]Sheet1!$A$1:$P$100,8,FALSE),0)</f>
        <v>26408.219178084528</v>
      </c>
      <c r="P33" s="5">
        <f>IFERROR(VLOOKUP($A33,[7]Sheet1!$A$1:$P$100,9,FALSE),0)</f>
        <v>99.285700000000006</v>
      </c>
      <c r="Q33" s="5">
        <f>IFERROR(VLOOKUP($A33,[7]Sheet1!$A$1:$P$100,10,FALSE),0)</f>
        <v>99.238100000000003</v>
      </c>
      <c r="R33" s="5">
        <f>IFERROR(VLOOKUP($A33,[7]Sheet1!$A$1:$P$100,11,FALSE),0)</f>
        <v>12128.219178083704</v>
      </c>
      <c r="S33" s="5">
        <f>IFERROR(VLOOKUP($A33,[8]Sheet1!$A$1:$P$100,4,FALSE),0)</f>
        <v>30000000</v>
      </c>
      <c r="T33" s="5" t="str">
        <f>IFERROR(VLOOKUP($A33,[8]Sheet1!$A$1:$P$100,5,FALSE),"")</f>
        <v>CGB</v>
      </c>
      <c r="U33" s="5">
        <f>IFERROR(VLOOKUP($A33,[8]Sheet1!$A$1:$P$100,6,FALSE),0)</f>
        <v>1.0758904109589018</v>
      </c>
      <c r="V33" s="5">
        <f>IFERROR(VLOOKUP($A33,[8]Sheet1!$A$1:$P$100,7,FALSE),0)</f>
        <v>0.97808219178081568</v>
      </c>
      <c r="W33" s="5">
        <f>IFERROR(VLOOKUP($A33,[8]Sheet1!$A$1:$P$100,8,FALSE),0)</f>
        <v>29342.46575342584</v>
      </c>
      <c r="X33" s="5">
        <f>IFERROR(VLOOKUP($A33,[8]Sheet1!$A$1:$P$100,9,FALSE),0)</f>
        <v>99.331400000000002</v>
      </c>
      <c r="Y33" s="5">
        <f>IFERROR(VLOOKUP($A33,[8]Sheet1!$A$1:$P$100,10,FALSE),0)</f>
        <v>99.238100000000003</v>
      </c>
      <c r="Z33" s="5">
        <f>IFERROR(VLOOKUP($A33,[8]Sheet1!$A$1:$P$100,11,FALSE),0)</f>
        <v>1352.4657534271234</v>
      </c>
    </row>
    <row r="34" spans="1:26">
      <c r="A34" s="8" t="s">
        <v>118</v>
      </c>
      <c r="B34" s="1" t="str">
        <f t="shared" si="1"/>
        <v>Strat</v>
      </c>
      <c r="C34" s="1" t="str">
        <f t="shared" si="2"/>
        <v>140227.IB</v>
      </c>
      <c r="D34" s="7">
        <f t="shared" si="3"/>
        <v>0</v>
      </c>
      <c r="E34" s="7">
        <f t="shared" si="4"/>
        <v>3.0864197530912638E-3</v>
      </c>
      <c r="F34" s="7">
        <f t="shared" si="5"/>
        <v>0</v>
      </c>
      <c r="G34" s="7">
        <f t="shared" si="6"/>
        <v>0.10000000000015889</v>
      </c>
      <c r="H34" s="7">
        <f t="shared" si="7"/>
        <v>-1.0036422175982279E-5</v>
      </c>
      <c r="I34" s="7">
        <f t="shared" si="8"/>
        <v>0</v>
      </c>
      <c r="J34" s="7">
        <f t="shared" si="9"/>
        <v>0.1513165733349924</v>
      </c>
      <c r="K34" s="5">
        <f>IFERROR(VLOOKUP($A34,[7]Sheet1!$A$1:$P$100,4,FALSE),0)</f>
        <v>50000000</v>
      </c>
      <c r="L34" s="5" t="str">
        <f>IFERROR(VLOOKUP($A34,[7]Sheet1!$A$1:$P$100,5,FALSE),"")</f>
        <v>CDB</v>
      </c>
      <c r="M34" s="5">
        <f>IFERROR(VLOOKUP($A34,[7]Sheet1!$A$1:$P$100,6,FALSE),0)</f>
        <v>3.6105205479451952</v>
      </c>
      <c r="N34" s="5">
        <f>IFERROR(VLOOKUP($A34,[7]Sheet1!$A$1:$P$100,7,FALSE),0)</f>
        <v>3.5099178082191873</v>
      </c>
      <c r="O34" s="5">
        <f>IFERROR(VLOOKUP($A34,[7]Sheet1!$A$1:$P$100,8,FALSE),0)</f>
        <v>50301.369863003929</v>
      </c>
      <c r="P34" s="5">
        <f>IFERROR(VLOOKUP($A34,[7]Sheet1!$A$1:$P$100,9,FALSE),0)</f>
        <v>99.638099999999994</v>
      </c>
      <c r="Q34" s="5">
        <f>IFERROR(VLOOKUP($A34,[7]Sheet1!$A$1:$P$100,10,FALSE),0)</f>
        <v>99.605800000000002</v>
      </c>
      <c r="R34" s="5">
        <f>IFERROR(VLOOKUP($A34,[7]Sheet1!$A$1:$P$100,11,FALSE),0)</f>
        <v>34151.369863007814</v>
      </c>
      <c r="S34" s="5">
        <f>IFERROR(VLOOKUP($A34,[8]Sheet1!$A$1:$P$100,4,FALSE),0)</f>
        <v>50000000</v>
      </c>
      <c r="T34" s="5" t="str">
        <f>IFERROR(VLOOKUP($A34,[8]Sheet1!$A$1:$P$100,5,FALSE),"")</f>
        <v>SDBC</v>
      </c>
      <c r="U34" s="5">
        <f>IFERROR(VLOOKUP($A34,[8]Sheet1!$A$1:$P$100,6,FALSE),0)</f>
        <v>3.6216986301369936</v>
      </c>
      <c r="V34" s="5">
        <f>IFERROR(VLOOKUP($A34,[8]Sheet1!$A$1:$P$100,7,FALSE),0)</f>
        <v>3.5099178082191873</v>
      </c>
      <c r="W34" s="5">
        <f>IFERROR(VLOOKUP($A34,[8]Sheet1!$A$1:$P$100,8,FALSE),0)</f>
        <v>55890.410958903121</v>
      </c>
      <c r="X34" s="5">
        <f>IFERROR(VLOOKUP($A34,[8]Sheet1!$A$1:$P$100,9,FALSE),0)</f>
        <v>99.637100000000004</v>
      </c>
      <c r="Y34" s="5">
        <f>IFERROR(VLOOKUP($A34,[8]Sheet1!$A$1:$P$100,10,FALSE),0)</f>
        <v>99.605800000000002</v>
      </c>
      <c r="Z34" s="5">
        <f>IFERROR(VLOOKUP($A34,[8]Sheet1!$A$1:$P$100,11,FALSE),0)</f>
        <v>40240.410958900517</v>
      </c>
    </row>
    <row r="35" spans="1:26">
      <c r="A35" s="8" t="s">
        <v>119</v>
      </c>
      <c r="B35" s="1" t="str">
        <f t="shared" si="1"/>
        <v>Strat</v>
      </c>
      <c r="C35" s="1" t="str">
        <f t="shared" si="2"/>
        <v>160206.IB</v>
      </c>
      <c r="D35" s="7">
        <f t="shared" si="3"/>
        <v>0</v>
      </c>
      <c r="E35" s="7">
        <f t="shared" si="4"/>
        <v>4.2735042735034231E-3</v>
      </c>
      <c r="F35" s="7">
        <f t="shared" si="5"/>
        <v>0</v>
      </c>
      <c r="G35" s="7">
        <f t="shared" si="6"/>
        <v>9.9999999999972639E-2</v>
      </c>
      <c r="H35" s="7">
        <f t="shared" si="7"/>
        <v>-3.7499882812926841E-5</v>
      </c>
      <c r="I35" s="7">
        <f t="shared" si="8"/>
        <v>0</v>
      </c>
      <c r="J35" s="7">
        <f t="shared" si="9"/>
        <v>0.31063304019184795</v>
      </c>
      <c r="K35" s="5">
        <f>IFERROR(VLOOKUP($A35,[7]Sheet1!$A$1:$P$100,4,FALSE),0)</f>
        <v>330000000</v>
      </c>
      <c r="L35" s="5" t="str">
        <f>IFERROR(VLOOKUP($A35,[7]Sheet1!$A$1:$P$100,5,FALSE),"")</f>
        <v>CDB</v>
      </c>
      <c r="M35" s="5">
        <f>IFERROR(VLOOKUP($A35,[7]Sheet1!$A$1:$P$100,6,FALSE),0)</f>
        <v>1.8895342465753417</v>
      </c>
      <c r="N35" s="5">
        <f>IFERROR(VLOOKUP($A35,[7]Sheet1!$A$1:$P$100,7,FALSE),0)</f>
        <v>1.8165479452054711</v>
      </c>
      <c r="O35" s="5">
        <f>IFERROR(VLOOKUP($A35,[7]Sheet1!$A$1:$P$100,8,FALSE),0)</f>
        <v>240854.79452057302</v>
      </c>
      <c r="P35" s="5">
        <f>IFERROR(VLOOKUP($A35,[7]Sheet1!$A$1:$P$100,9,FALSE),0)</f>
        <v>96.003900000000002</v>
      </c>
      <c r="Q35" s="5">
        <f>IFERROR(VLOOKUP($A35,[7]Sheet1!$A$1:$P$100,10,FALSE),0)</f>
        <v>95.956900000000005</v>
      </c>
      <c r="R35" s="5">
        <f>IFERROR(VLOOKUP($A35,[7]Sheet1!$A$1:$P$100,11,FALSE),0)</f>
        <v>85754.794520582771</v>
      </c>
      <c r="S35" s="5">
        <f>IFERROR(VLOOKUP($A35,[8]Sheet1!$A$1:$P$100,4,FALSE),0)</f>
        <v>330000000</v>
      </c>
      <c r="T35" s="5" t="str">
        <f>IFERROR(VLOOKUP($A35,[8]Sheet1!$A$1:$P$100,5,FALSE),"")</f>
        <v>SDBC</v>
      </c>
      <c r="U35" s="5">
        <f>IFERROR(VLOOKUP($A35,[8]Sheet1!$A$1:$P$100,6,FALSE),0)</f>
        <v>1.897643835616436</v>
      </c>
      <c r="V35" s="5">
        <f>IFERROR(VLOOKUP($A35,[8]Sheet1!$A$1:$P$100,7,FALSE),0)</f>
        <v>1.8165479452054711</v>
      </c>
      <c r="W35" s="5">
        <f>IFERROR(VLOOKUP($A35,[8]Sheet1!$A$1:$P$100,8,FALSE),0)</f>
        <v>267616.43835618411</v>
      </c>
      <c r="X35" s="5">
        <f>IFERROR(VLOOKUP($A35,[8]Sheet1!$A$1:$P$100,9,FALSE),0)</f>
        <v>96.000299999999996</v>
      </c>
      <c r="Y35" s="5">
        <f>IFERROR(VLOOKUP($A35,[8]Sheet1!$A$1:$P$100,10,FALSE),0)</f>
        <v>95.956900000000005</v>
      </c>
      <c r="Z35" s="5">
        <f>IFERROR(VLOOKUP($A35,[8]Sheet1!$A$1:$P$100,11,FALSE),0)</f>
        <v>124396.43835621013</v>
      </c>
    </row>
    <row r="36" spans="1:26">
      <c r="A36" s="8" t="s">
        <v>120</v>
      </c>
      <c r="B36" s="1" t="str">
        <f t="shared" si="1"/>
        <v>Strat</v>
      </c>
      <c r="C36" s="1" t="str">
        <f t="shared" si="2"/>
        <v>160208.IB</v>
      </c>
      <c r="D36" s="7">
        <f t="shared" si="3"/>
        <v>0</v>
      </c>
      <c r="E36" s="7">
        <f t="shared" si="4"/>
        <v>4.5248868778218444E-3</v>
      </c>
      <c r="F36" s="7">
        <f t="shared" si="5"/>
        <v>0</v>
      </c>
      <c r="G36" s="7">
        <f t="shared" si="6"/>
        <v>9.9999999999883779E-2</v>
      </c>
      <c r="H36" s="7">
        <f t="shared" si="7"/>
        <v>1.9388388192186063E-5</v>
      </c>
      <c r="I36" s="7">
        <f t="shared" si="8"/>
        <v>0</v>
      </c>
      <c r="J36" s="7">
        <f t="shared" si="9"/>
        <v>2.8808836700155011E-2</v>
      </c>
      <c r="K36" s="5">
        <f>IFERROR(VLOOKUP($A36,[7]Sheet1!$A$1:$P$100,4,FALSE),0)</f>
        <v>750000000</v>
      </c>
      <c r="L36" s="5" t="str">
        <f>IFERROR(VLOOKUP($A36,[7]Sheet1!$A$1:$P$100,5,FALSE),"")</f>
        <v>CDB</v>
      </c>
      <c r="M36" s="5">
        <f>IFERROR(VLOOKUP($A36,[7]Sheet1!$A$1:$P$100,6,FALSE),0)</f>
        <v>1.6394520547945211</v>
      </c>
      <c r="N36" s="5">
        <f>IFERROR(VLOOKUP($A36,[7]Sheet1!$A$1:$P$100,7,FALSE),0)</f>
        <v>1.572383561643842</v>
      </c>
      <c r="O36" s="5">
        <f>IFERROR(VLOOKUP($A36,[7]Sheet1!$A$1:$P$100,8,FALSE),0)</f>
        <v>503013.69863009319</v>
      </c>
      <c r="P36" s="5">
        <f>IFERROR(VLOOKUP($A36,[7]Sheet1!$A$1:$P$100,9,FALSE),0)</f>
        <v>97.994900000000001</v>
      </c>
      <c r="Q36" s="5">
        <f>IFERROR(VLOOKUP($A36,[7]Sheet1!$A$1:$P$100,10,FALSE),0)</f>
        <v>98.114999999999995</v>
      </c>
      <c r="R36" s="5">
        <f>IFERROR(VLOOKUP($A36,[7]Sheet1!$A$1:$P$100,11,FALSE),0)</f>
        <v>1403763.6986300456</v>
      </c>
      <c r="S36" s="5">
        <f>IFERROR(VLOOKUP($A36,[8]Sheet1!$A$1:$P$100,4,FALSE),0)</f>
        <v>750000000</v>
      </c>
      <c r="T36" s="5" t="str">
        <f>IFERROR(VLOOKUP($A36,[8]Sheet1!$A$1:$P$100,5,FALSE),"")</f>
        <v>SDBC</v>
      </c>
      <c r="U36" s="5">
        <f>IFERROR(VLOOKUP($A36,[8]Sheet1!$A$1:$P$100,6,FALSE),0)</f>
        <v>1.6469041095890313</v>
      </c>
      <c r="V36" s="5">
        <f>IFERROR(VLOOKUP($A36,[8]Sheet1!$A$1:$P$100,7,FALSE),0)</f>
        <v>1.572383561643842</v>
      </c>
      <c r="W36" s="5">
        <f>IFERROR(VLOOKUP($A36,[8]Sheet1!$A$1:$P$100,8,FALSE),0)</f>
        <v>558904.10958892026</v>
      </c>
      <c r="X36" s="5">
        <f>IFERROR(VLOOKUP($A36,[8]Sheet1!$A$1:$P$100,9,FALSE),0)</f>
        <v>97.996799999999993</v>
      </c>
      <c r="Y36" s="5">
        <f>IFERROR(VLOOKUP($A36,[8]Sheet1!$A$1:$P$100,10,FALSE),0)</f>
        <v>98.114999999999995</v>
      </c>
      <c r="Z36" s="5">
        <f>IFERROR(VLOOKUP($A36,[8]Sheet1!$A$1:$P$100,11,FALSE),0)</f>
        <v>1445404.109588926</v>
      </c>
    </row>
    <row r="37" spans="1:26">
      <c r="A37" s="8" t="s">
        <v>121</v>
      </c>
      <c r="B37" s="1" t="str">
        <f t="shared" si="1"/>
        <v>Strat</v>
      </c>
      <c r="C37" s="1" t="str">
        <f t="shared" si="2"/>
        <v>160215.IB</v>
      </c>
      <c r="D37" s="7">
        <f t="shared" si="3"/>
        <v>0</v>
      </c>
      <c r="E37" s="7">
        <f t="shared" si="4"/>
        <v>2.8169014084488599E-3</v>
      </c>
      <c r="F37" s="7">
        <f t="shared" si="5"/>
        <v>0</v>
      </c>
      <c r="G37" s="7">
        <f t="shared" si="6"/>
        <v>9.9999999999938902E-2</v>
      </c>
      <c r="H37" s="7">
        <f t="shared" si="7"/>
        <v>-4.6420418382001515E-5</v>
      </c>
      <c r="I37" s="7">
        <f t="shared" si="8"/>
        <v>0</v>
      </c>
      <c r="J37" s="7">
        <f t="shared" si="9"/>
        <v>0.14626708011022002</v>
      </c>
      <c r="K37" s="5">
        <f>IFERROR(VLOOKUP($A37,[7]Sheet1!$A$1:$P$100,4,FALSE),0)</f>
        <v>200000000</v>
      </c>
      <c r="L37" s="5" t="str">
        <f>IFERROR(VLOOKUP($A37,[7]Sheet1!$A$1:$P$100,5,FALSE),"")</f>
        <v>CDB</v>
      </c>
      <c r="M37" s="5">
        <f>IFERROR(VLOOKUP($A37,[7]Sheet1!$A$1:$P$100,6,FALSE),0)</f>
        <v>2.5701369863013745</v>
      </c>
      <c r="N37" s="5">
        <f>IFERROR(VLOOKUP($A37,[7]Sheet1!$A$1:$P$100,7,FALSE),0)</f>
        <v>2.5047945205479483</v>
      </c>
      <c r="O37" s="5">
        <f>IFERROR(VLOOKUP($A37,[7]Sheet1!$A$1:$P$100,8,FALSE),0)</f>
        <v>130684.93150685256</v>
      </c>
      <c r="P37" s="5">
        <f>IFERROR(VLOOKUP($A37,[7]Sheet1!$A$1:$P$100,9,FALSE),0)</f>
        <v>96.944599999999994</v>
      </c>
      <c r="Q37" s="5">
        <f>IFERROR(VLOOKUP($A37,[7]Sheet1!$A$1:$P$100,10,FALSE),0)</f>
        <v>96.947900000000004</v>
      </c>
      <c r="R37" s="5">
        <f>IFERROR(VLOOKUP($A37,[7]Sheet1!$A$1:$P$100,11,FALSE),0)</f>
        <v>137284.9315068727</v>
      </c>
      <c r="S37" s="5">
        <f>IFERROR(VLOOKUP($A37,[8]Sheet1!$A$1:$P$100,4,FALSE),0)</f>
        <v>200000000</v>
      </c>
      <c r="T37" s="5" t="str">
        <f>IFERROR(VLOOKUP($A37,[8]Sheet1!$A$1:$P$100,5,FALSE),"")</f>
        <v>SDBC</v>
      </c>
      <c r="U37" s="5">
        <f>IFERROR(VLOOKUP($A37,[8]Sheet1!$A$1:$P$100,6,FALSE),0)</f>
        <v>2.5773972602739725</v>
      </c>
      <c r="V37" s="5">
        <f>IFERROR(VLOOKUP($A37,[8]Sheet1!$A$1:$P$100,7,FALSE),0)</f>
        <v>2.5047945205479483</v>
      </c>
      <c r="W37" s="5">
        <f>IFERROR(VLOOKUP($A37,[8]Sheet1!$A$1:$P$100,8,FALSE),0)</f>
        <v>145205.47945204854</v>
      </c>
      <c r="X37" s="5">
        <f>IFERROR(VLOOKUP($A37,[8]Sheet1!$A$1:$P$100,9,FALSE),0)</f>
        <v>96.940100000000001</v>
      </c>
      <c r="Y37" s="5">
        <f>IFERROR(VLOOKUP($A37,[8]Sheet1!$A$1:$P$100,10,FALSE),0)</f>
        <v>96.947900000000004</v>
      </c>
      <c r="Z37" s="5">
        <f>IFERROR(VLOOKUP($A37,[8]Sheet1!$A$1:$P$100,11,FALSE),0)</f>
        <v>160805.4794520477</v>
      </c>
    </row>
    <row r="38" spans="1:26">
      <c r="A38" s="8" t="s">
        <v>122</v>
      </c>
      <c r="B38" s="1" t="str">
        <f t="shared" si="1"/>
        <v>Strat</v>
      </c>
      <c r="C38" s="1" t="str">
        <f t="shared" si="2"/>
        <v>170004.IB</v>
      </c>
      <c r="D38" s="7">
        <f t="shared" si="3"/>
        <v>0</v>
      </c>
      <c r="E38" s="7">
        <f t="shared" si="4"/>
        <v>1.6129032258058888E-2</v>
      </c>
      <c r="F38" s="7">
        <f t="shared" si="5"/>
        <v>0</v>
      </c>
      <c r="G38" s="7">
        <f t="shared" si="6"/>
        <v>9.9999999999951947E-2</v>
      </c>
      <c r="H38" s="7">
        <f t="shared" si="7"/>
        <v>-4.2565913824266796E-5</v>
      </c>
      <c r="I38" s="7">
        <f t="shared" si="8"/>
        <v>0</v>
      </c>
      <c r="J38" s="7">
        <f t="shared" si="9"/>
        <v>-8.5323101554058992E-2</v>
      </c>
      <c r="K38" s="5">
        <f>IFERROR(VLOOKUP($A38,[7]Sheet1!$A$1:$P$100,4,FALSE),0)</f>
        <v>-280000000</v>
      </c>
      <c r="L38" s="5" t="str">
        <f>IFERROR(VLOOKUP($A38,[7]Sheet1!$A$1:$P$100,5,FALSE),"")</f>
        <v>CGB</v>
      </c>
      <c r="M38" s="5">
        <f>IFERROR(VLOOKUP($A38,[7]Sheet1!$A$1:$P$100,6,FALSE),0)</f>
        <v>0.5635869565217444</v>
      </c>
      <c r="N38" s="5">
        <f>IFERROR(VLOOKUP($A38,[7]Sheet1!$A$1:$P$100,7,FALSE),0)</f>
        <v>0.48043478260868527</v>
      </c>
      <c r="O38" s="5">
        <f>IFERROR(VLOOKUP($A38,[7]Sheet1!$A$1:$P$100,8,FALSE),0)</f>
        <v>-232826.08695656556</v>
      </c>
      <c r="P38" s="5">
        <f>IFERROR(VLOOKUP($A38,[7]Sheet1!$A$1:$P$100,9,FALSE),0)</f>
        <v>98.674700000000001</v>
      </c>
      <c r="Q38" s="5">
        <f>IFERROR(VLOOKUP($A38,[7]Sheet1!$A$1:$P$100,10,FALSE),0)</f>
        <v>98.420599999999993</v>
      </c>
      <c r="R38" s="5">
        <f>IFERROR(VLOOKUP($A38,[7]Sheet1!$A$1:$P$100,11,FALSE),0)</f>
        <v>478653.91304345737</v>
      </c>
      <c r="S38" s="5">
        <f>IFERROR(VLOOKUP($A38,[8]Sheet1!$A$1:$P$100,4,FALSE),0)</f>
        <v>-280000000</v>
      </c>
      <c r="T38" s="5" t="str">
        <f>IFERROR(VLOOKUP($A38,[8]Sheet1!$A$1:$P$100,5,FALSE),"")</f>
        <v>CGB</v>
      </c>
      <c r="U38" s="5">
        <f>IFERROR(VLOOKUP($A38,[8]Sheet1!$A$1:$P$100,6,FALSE),0)</f>
        <v>0.57282608695652382</v>
      </c>
      <c r="V38" s="5">
        <f>IFERROR(VLOOKUP($A38,[8]Sheet1!$A$1:$P$100,7,FALSE),0)</f>
        <v>0.48043478260868527</v>
      </c>
      <c r="W38" s="5">
        <f>IFERROR(VLOOKUP($A38,[8]Sheet1!$A$1:$P$100,8,FALSE),0)</f>
        <v>-258695.65217394792</v>
      </c>
      <c r="X38" s="5">
        <f>IFERROR(VLOOKUP($A38,[8]Sheet1!$A$1:$P$100,9,FALSE),0)</f>
        <v>98.670500000000004</v>
      </c>
      <c r="Y38" s="5">
        <f>IFERROR(VLOOKUP($A38,[8]Sheet1!$A$1:$P$100,10,FALSE),0)</f>
        <v>98.420599999999993</v>
      </c>
      <c r="Z38" s="5">
        <f>IFERROR(VLOOKUP($A38,[8]Sheet1!$A$1:$P$100,11,FALSE),0)</f>
        <v>441024.34782608011</v>
      </c>
    </row>
    <row r="39" spans="1:26">
      <c r="A39" s="8" t="s">
        <v>123</v>
      </c>
      <c r="B39" s="1" t="str">
        <f t="shared" si="1"/>
        <v>Strat</v>
      </c>
      <c r="C39" s="1" t="str">
        <f t="shared" si="2"/>
        <v>170013.IB</v>
      </c>
      <c r="D39" s="7">
        <f t="shared" si="3"/>
        <v>0</v>
      </c>
      <c r="E39" s="7">
        <f t="shared" si="4"/>
        <v>9.0909090909053383E-3</v>
      </c>
      <c r="F39" s="7">
        <f t="shared" si="5"/>
        <v>0</v>
      </c>
      <c r="G39" s="7">
        <f t="shared" si="6"/>
        <v>9.9999999999954597E-2</v>
      </c>
      <c r="H39" s="7">
        <f t="shared" si="7"/>
        <v>4.6007606859458863E-4</v>
      </c>
      <c r="I39" s="7">
        <f t="shared" si="8"/>
        <v>0</v>
      </c>
      <c r="J39" s="7">
        <f t="shared" si="9"/>
        <v>-7.9674870859769102</v>
      </c>
      <c r="K39" s="5">
        <f>IFERROR(VLOOKUP($A39,[7]Sheet1!$A$1:$P$100,4,FALSE),0)</f>
        <v>300000000</v>
      </c>
      <c r="L39" s="5" t="str">
        <f>IFERROR(VLOOKUP($A39,[7]Sheet1!$A$1:$P$100,5,FALSE),"")</f>
        <v>CGB</v>
      </c>
      <c r="M39" s="5">
        <f>IFERROR(VLOOKUP($A39,[7]Sheet1!$A$1:$P$100,6,FALSE),0)</f>
        <v>1.0661095890410976</v>
      </c>
      <c r="N39" s="5">
        <f>IFERROR(VLOOKUP($A39,[7]Sheet1!$A$1:$P$100,7,FALSE),0)</f>
        <v>0.97808219178081568</v>
      </c>
      <c r="O39" s="5">
        <f>IFERROR(VLOOKUP($A39,[7]Sheet1!$A$1:$P$100,8,FALSE),0)</f>
        <v>264082.19178084587</v>
      </c>
      <c r="P39" s="5">
        <f>IFERROR(VLOOKUP($A39,[7]Sheet1!$A$1:$P$100,9,FALSE),0)</f>
        <v>99.285700000000006</v>
      </c>
      <c r="Q39" s="5">
        <f>IFERROR(VLOOKUP($A39,[7]Sheet1!$A$1:$P$100,10,FALSE),0)</f>
        <v>99.238100000000003</v>
      </c>
      <c r="R39" s="5">
        <f>IFERROR(VLOOKUP($A39,[7]Sheet1!$A$1:$P$100,11,FALSE),0)</f>
        <v>121282.1917808376</v>
      </c>
      <c r="S39" s="5">
        <f>IFERROR(VLOOKUP($A39,[8]Sheet1!$A$1:$P$100,4,FALSE),0)</f>
        <v>300000000</v>
      </c>
      <c r="T39" s="5" t="str">
        <f>IFERROR(VLOOKUP($A39,[8]Sheet1!$A$1:$P$100,5,FALSE),"")</f>
        <v>CGB</v>
      </c>
      <c r="U39" s="5">
        <f>IFERROR(VLOOKUP($A39,[8]Sheet1!$A$1:$P$100,6,FALSE),0)</f>
        <v>1.0758904109589018</v>
      </c>
      <c r="V39" s="5">
        <f>IFERROR(VLOOKUP($A39,[8]Sheet1!$A$1:$P$100,7,FALSE),0)</f>
        <v>0.97808219178081568</v>
      </c>
      <c r="W39" s="5">
        <f>IFERROR(VLOOKUP($A39,[8]Sheet1!$A$1:$P$100,8,FALSE),0)</f>
        <v>293424.65753425838</v>
      </c>
      <c r="X39" s="5">
        <f>IFERROR(VLOOKUP($A39,[8]Sheet1!$A$1:$P$100,9,FALSE),0)</f>
        <v>99.331400000000002</v>
      </c>
      <c r="Y39" s="5">
        <f>IFERROR(VLOOKUP($A39,[8]Sheet1!$A$1:$P$100,10,FALSE),0)</f>
        <v>99.238100000000003</v>
      </c>
      <c r="Z39" s="5">
        <f>IFERROR(VLOOKUP($A39,[8]Sheet1!$A$1:$P$100,11,FALSE),0)</f>
        <v>13524.657534271233</v>
      </c>
    </row>
    <row r="40" spans="1:26">
      <c r="A40" s="8" t="s">
        <v>124</v>
      </c>
      <c r="B40" s="1" t="str">
        <f t="shared" si="1"/>
        <v>Strat</v>
      </c>
      <c r="C40" s="1" t="str">
        <f t="shared" si="2"/>
        <v>170201.IB</v>
      </c>
      <c r="D40" s="7">
        <f t="shared" si="3"/>
        <v>0</v>
      </c>
      <c r="E40" s="7">
        <f t="shared" si="4"/>
        <v>3.6496350364946962E-3</v>
      </c>
      <c r="F40" s="7">
        <f t="shared" si="5"/>
        <v>0</v>
      </c>
      <c r="G40" s="7">
        <f t="shared" si="6"/>
        <v>9.9999999999958039E-2</v>
      </c>
      <c r="H40" s="7">
        <f t="shared" si="7"/>
        <v>1.4291016502532476E-4</v>
      </c>
      <c r="I40" s="7">
        <f t="shared" si="8"/>
        <v>0</v>
      </c>
      <c r="J40" s="7">
        <f t="shared" si="9"/>
        <v>-0.15977799543018148</v>
      </c>
      <c r="K40" s="5">
        <f>IFERROR(VLOOKUP($A40,[7]Sheet1!$A$1:$P$100,4,FALSE),0)</f>
        <v>370000000</v>
      </c>
      <c r="L40" s="5" t="str">
        <f>IFERROR(VLOOKUP($A40,[7]Sheet1!$A$1:$P$100,5,FALSE),"")</f>
        <v>CDB</v>
      </c>
      <c r="M40" s="5">
        <f>IFERROR(VLOOKUP($A40,[7]Sheet1!$A$1:$P$100,6,FALSE),0)</f>
        <v>2.8795890410958869</v>
      </c>
      <c r="N40" s="5">
        <f>IFERROR(VLOOKUP($A40,[7]Sheet1!$A$1:$P$100,7,FALSE),0)</f>
        <v>2.7846575342465707</v>
      </c>
      <c r="O40" s="5">
        <f>IFERROR(VLOOKUP($A40,[7]Sheet1!$A$1:$P$100,8,FALSE),0)</f>
        <v>351246.57534246979</v>
      </c>
      <c r="P40" s="5">
        <f>IFERROR(VLOOKUP($A40,[7]Sheet1!$A$1:$P$100,9,FALSE),0)</f>
        <v>97.25</v>
      </c>
      <c r="Q40" s="5">
        <f>IFERROR(VLOOKUP($A40,[7]Sheet1!$A$1:$P$100,10,FALSE),0)</f>
        <v>97.179400000000001</v>
      </c>
      <c r="R40" s="5">
        <f>IFERROR(VLOOKUP($A40,[7]Sheet1!$A$1:$P$100,11,FALSE),0)</f>
        <v>90026.575342473923</v>
      </c>
      <c r="S40" s="5">
        <f>IFERROR(VLOOKUP($A40,[8]Sheet1!$A$1:$P$100,4,FALSE),0)</f>
        <v>370000000</v>
      </c>
      <c r="T40" s="5" t="str">
        <f>IFERROR(VLOOKUP($A40,[8]Sheet1!$A$1:$P$100,5,FALSE),"")</f>
        <v>SDBC</v>
      </c>
      <c r="U40" s="5">
        <f>IFERROR(VLOOKUP($A40,[8]Sheet1!$A$1:$P$100,6,FALSE),0)</f>
        <v>2.8901369863013615</v>
      </c>
      <c r="V40" s="5">
        <f>IFERROR(VLOOKUP($A40,[8]Sheet1!$A$1:$P$100,7,FALSE),0)</f>
        <v>2.7846575342465707</v>
      </c>
      <c r="W40" s="5">
        <f>IFERROR(VLOOKUP($A40,[8]Sheet1!$A$1:$P$100,8,FALSE),0)</f>
        <v>390273.97260272602</v>
      </c>
      <c r="X40" s="5">
        <f>IFERROR(VLOOKUP($A40,[8]Sheet1!$A$1:$P$100,9,FALSE),0)</f>
        <v>97.263900000000007</v>
      </c>
      <c r="Y40" s="5">
        <f>IFERROR(VLOOKUP($A40,[8]Sheet1!$A$1:$P$100,10,FALSE),0)</f>
        <v>97.179400000000001</v>
      </c>
      <c r="Z40" s="5">
        <f>IFERROR(VLOOKUP($A40,[8]Sheet1!$A$1:$P$100,11,FALSE),0)</f>
        <v>77623.972602688955</v>
      </c>
    </row>
    <row r="41" spans="1:26">
      <c r="A41" s="8" t="s">
        <v>125</v>
      </c>
      <c r="B41" s="1" t="str">
        <f t="shared" si="1"/>
        <v>Strat</v>
      </c>
      <c r="C41" s="1" t="str">
        <f t="shared" si="2"/>
        <v>170205.IB</v>
      </c>
      <c r="D41" s="7">
        <f t="shared" si="3"/>
        <v>0</v>
      </c>
      <c r="E41" s="7">
        <f t="shared" si="4"/>
        <v>5.747126436781126E-3</v>
      </c>
      <c r="F41" s="7">
        <f t="shared" si="5"/>
        <v>0</v>
      </c>
      <c r="G41" s="7">
        <f t="shared" si="6"/>
        <v>0.1000000000000001</v>
      </c>
      <c r="H41" s="7">
        <f t="shared" si="7"/>
        <v>-1.2106806244662445E-5</v>
      </c>
      <c r="I41" s="7">
        <f t="shared" si="8"/>
        <v>0</v>
      </c>
      <c r="J41" s="7">
        <f t="shared" si="9"/>
        <v>0.18571244247559393</v>
      </c>
      <c r="K41" s="5">
        <f>IFERROR(VLOOKUP($A41,[7]Sheet1!$A$1:$P$100,4,FALSE),0)</f>
        <v>70000000</v>
      </c>
      <c r="L41" s="5" t="str">
        <f>IFERROR(VLOOKUP($A41,[7]Sheet1!$A$1:$P$100,5,FALSE),"")</f>
        <v>CDB</v>
      </c>
      <c r="M41" s="5">
        <f>IFERROR(VLOOKUP($A41,[7]Sheet1!$A$1:$P$100,6,FALSE),0)</f>
        <v>1.839013698630132</v>
      </c>
      <c r="N41" s="5">
        <f>IFERROR(VLOOKUP($A41,[7]Sheet1!$A$1:$P$100,7,FALSE),0)</f>
        <v>1.743342465753428</v>
      </c>
      <c r="O41" s="5">
        <f>IFERROR(VLOOKUP($A41,[7]Sheet1!$A$1:$P$100,8,FALSE),0)</f>
        <v>66969.863013692782</v>
      </c>
      <c r="P41" s="5">
        <f>IFERROR(VLOOKUP($A41,[7]Sheet1!$A$1:$P$100,9,FALSE),0)</f>
        <v>99.119</v>
      </c>
      <c r="Q41" s="5">
        <f>IFERROR(VLOOKUP($A41,[7]Sheet1!$A$1:$P$100,10,FALSE),0)</f>
        <v>99.075199999999995</v>
      </c>
      <c r="R41" s="5">
        <f>IFERROR(VLOOKUP($A41,[7]Sheet1!$A$1:$P$100,11,FALSE),0)</f>
        <v>36309.863013689624</v>
      </c>
      <c r="S41" s="5">
        <f>IFERROR(VLOOKUP($A41,[8]Sheet1!$A$1:$P$100,4,FALSE),0)</f>
        <v>70000000</v>
      </c>
      <c r="T41" s="5" t="str">
        <f>IFERROR(VLOOKUP($A41,[8]Sheet1!$A$1:$P$100,5,FALSE),"")</f>
        <v>SDBC</v>
      </c>
      <c r="U41" s="5">
        <f>IFERROR(VLOOKUP($A41,[8]Sheet1!$A$1:$P$100,6,FALSE),0)</f>
        <v>1.8496438356164324</v>
      </c>
      <c r="V41" s="5">
        <f>IFERROR(VLOOKUP($A41,[8]Sheet1!$A$1:$P$100,7,FALSE),0)</f>
        <v>1.743342465753428</v>
      </c>
      <c r="W41" s="5">
        <f>IFERROR(VLOOKUP($A41,[8]Sheet1!$A$1:$P$100,8,FALSE),0)</f>
        <v>74410.958904103099</v>
      </c>
      <c r="X41" s="5">
        <f>IFERROR(VLOOKUP($A41,[8]Sheet1!$A$1:$P$100,9,FALSE),0)</f>
        <v>99.117800000000003</v>
      </c>
      <c r="Y41" s="5">
        <f>IFERROR(VLOOKUP($A41,[8]Sheet1!$A$1:$P$100,10,FALSE),0)</f>
        <v>99.075199999999995</v>
      </c>
      <c r="Z41" s="5">
        <f>IFERROR(VLOOKUP($A41,[8]Sheet1!$A$1:$P$100,11,FALSE),0)</f>
        <v>44590.95890409861</v>
      </c>
    </row>
    <row r="42" spans="1:26">
      <c r="A42" s="8" t="s">
        <v>126</v>
      </c>
      <c r="B42" s="1" t="str">
        <f t="shared" si="1"/>
        <v>Strat</v>
      </c>
      <c r="C42" s="1" t="str">
        <f t="shared" si="2"/>
        <v>170210.IB</v>
      </c>
      <c r="D42" s="7">
        <f t="shared" si="3"/>
        <v>0</v>
      </c>
      <c r="E42" s="7">
        <f t="shared" si="4"/>
        <v>5.4644808743193963E-3</v>
      </c>
      <c r="F42" s="7">
        <f t="shared" si="5"/>
        <v>0</v>
      </c>
      <c r="G42" s="7">
        <f t="shared" si="6"/>
        <v>0.10000000000004007</v>
      </c>
      <c r="H42" s="7">
        <f t="shared" si="7"/>
        <v>-2.3885667272649993E-4</v>
      </c>
      <c r="I42" s="7">
        <f t="shared" si="8"/>
        <v>0</v>
      </c>
      <c r="J42" s="7">
        <f t="shared" si="9"/>
        <v>-0.35861695456364967</v>
      </c>
      <c r="K42" s="5">
        <f>IFERROR(VLOOKUP($A42,[7]Sheet1!$A$1:$P$100,4,FALSE),0)</f>
        <v>-900000000</v>
      </c>
      <c r="L42" s="5" t="str">
        <f>IFERROR(VLOOKUP($A42,[7]Sheet1!$A$1:$P$100,5,FALSE),"")</f>
        <v>CDB</v>
      </c>
      <c r="M42" s="5">
        <f>IFERROR(VLOOKUP($A42,[7]Sheet1!$A$1:$P$100,6,FALSE),0)</f>
        <v>2.0144657534246546</v>
      </c>
      <c r="N42" s="5">
        <f>IFERROR(VLOOKUP($A42,[7]Sheet1!$A$1:$P$100,7,FALSE),0)</f>
        <v>1.9148493150684898</v>
      </c>
      <c r="O42" s="5">
        <f>IFERROR(VLOOKUP($A42,[7]Sheet1!$A$1:$P$100,8,FALSE),0)</f>
        <v>-896547.94520548359</v>
      </c>
      <c r="P42" s="5">
        <f>IFERROR(VLOOKUP($A42,[7]Sheet1!$A$1:$P$100,9,FALSE),0)</f>
        <v>97.990099999999998</v>
      </c>
      <c r="Q42" s="5">
        <f>IFERROR(VLOOKUP($A42,[7]Sheet1!$A$1:$P$100,10,FALSE),0)</f>
        <v>97.759900000000002</v>
      </c>
      <c r="R42" s="5">
        <f>IFERROR(VLOOKUP($A42,[7]Sheet1!$A$1:$P$100,11,FALSE),0)</f>
        <v>1175252.0547944843</v>
      </c>
      <c r="S42" s="5">
        <f>IFERROR(VLOOKUP($A42,[8]Sheet1!$A$1:$P$100,4,FALSE),0)</f>
        <v>-900000000</v>
      </c>
      <c r="T42" s="5" t="str">
        <f>IFERROR(VLOOKUP($A42,[8]Sheet1!$A$1:$P$100,5,FALSE),"")</f>
        <v>SDBC</v>
      </c>
      <c r="U42" s="5">
        <f>IFERROR(VLOOKUP($A42,[8]Sheet1!$A$1:$P$100,6,FALSE),0)</f>
        <v>2.0255342465753445</v>
      </c>
      <c r="V42" s="5">
        <f>IFERROR(VLOOKUP($A42,[8]Sheet1!$A$1:$P$100,7,FALSE),0)</f>
        <v>1.9148493150684898</v>
      </c>
      <c r="W42" s="5">
        <f>IFERROR(VLOOKUP($A42,[8]Sheet1!$A$1:$P$100,8,FALSE),0)</f>
        <v>-996164.38356169278</v>
      </c>
      <c r="X42" s="5">
        <f>IFERROR(VLOOKUP($A42,[8]Sheet1!$A$1:$P$100,9,FALSE),0)</f>
        <v>97.966700000000003</v>
      </c>
      <c r="Y42" s="5">
        <f>IFERROR(VLOOKUP($A42,[8]Sheet1!$A$1:$P$100,10,FALSE),0)</f>
        <v>97.759900000000002</v>
      </c>
      <c r="Z42" s="5">
        <f>IFERROR(VLOOKUP($A42,[8]Sheet1!$A$1:$P$100,11,FALSE),0)</f>
        <v>865035.61643829395</v>
      </c>
    </row>
    <row r="43" spans="1:26">
      <c r="A43" s="8" t="s">
        <v>127</v>
      </c>
      <c r="B43" s="1" t="str">
        <f t="shared" si="1"/>
        <v>Strat</v>
      </c>
      <c r="C43" s="1" t="str">
        <f t="shared" si="2"/>
        <v>170215.IB</v>
      </c>
      <c r="D43" s="7">
        <f t="shared" si="3"/>
        <v>0</v>
      </c>
      <c r="E43" s="7">
        <f t="shared" si="4"/>
        <v>2.1276595744683446E-2</v>
      </c>
      <c r="F43" s="7">
        <f t="shared" si="5"/>
        <v>0</v>
      </c>
      <c r="G43" s="7">
        <f t="shared" si="6"/>
        <v>0.10000000000001917</v>
      </c>
      <c r="H43" s="7">
        <f t="shared" si="7"/>
        <v>-3.7055188324028267E-4</v>
      </c>
      <c r="I43" s="7">
        <f t="shared" si="8"/>
        <v>0</v>
      </c>
      <c r="J43" s="7">
        <f t="shared" si="9"/>
        <v>-0.38855572758796203</v>
      </c>
      <c r="K43" s="5">
        <f>IFERROR(VLOOKUP($A43,[7]Sheet1!$A$1:$P$100,4,FALSE),0)</f>
        <v>-130000000</v>
      </c>
      <c r="L43" s="5" t="str">
        <f>IFERROR(VLOOKUP($A43,[7]Sheet1!$A$1:$P$100,5,FALSE),"")</f>
        <v>CDB</v>
      </c>
      <c r="M43" s="5">
        <f>IFERROR(VLOOKUP($A43,[7]Sheet1!$A$1:$P$100,6,FALSE),0)</f>
        <v>0.53435616438355371</v>
      </c>
      <c r="N43" s="5">
        <f>IFERROR(VLOOKUP($A43,[7]Sheet1!$A$1:$P$100,7,FALSE),0)</f>
        <v>0.42980821917808498</v>
      </c>
      <c r="O43" s="5">
        <f>IFERROR(VLOOKUP($A43,[7]Sheet1!$A$1:$P$100,8,FALSE),0)</f>
        <v>-135912.32876710934</v>
      </c>
      <c r="P43" s="5">
        <f>IFERROR(VLOOKUP($A43,[7]Sheet1!$A$1:$P$100,9,FALSE),0)</f>
        <v>100.428</v>
      </c>
      <c r="Q43" s="5">
        <f>IFERROR(VLOOKUP($A43,[7]Sheet1!$A$1:$P$100,10,FALSE),0)</f>
        <v>100.149</v>
      </c>
      <c r="R43" s="5">
        <f>IFERROR(VLOOKUP($A43,[7]Sheet1!$A$1:$P$100,11,FALSE),0)</f>
        <v>226787.67123288594</v>
      </c>
      <c r="S43" s="5">
        <f>IFERROR(VLOOKUP($A43,[8]Sheet1!$A$1:$P$100,4,FALSE),0)</f>
        <v>-130000000</v>
      </c>
      <c r="T43" s="5" t="str">
        <f>IFERROR(VLOOKUP($A43,[8]Sheet1!$A$1:$P$100,5,FALSE),"")</f>
        <v>SDBC</v>
      </c>
      <c r="U43" s="5">
        <f>IFERROR(VLOOKUP($A43,[8]Sheet1!$A$1:$P$100,6,FALSE),0)</f>
        <v>0.54597260273971937</v>
      </c>
      <c r="V43" s="5">
        <f>IFERROR(VLOOKUP($A43,[8]Sheet1!$A$1:$P$100,7,FALSE),0)</f>
        <v>0.42980821917808498</v>
      </c>
      <c r="W43" s="5">
        <f>IFERROR(VLOOKUP($A43,[8]Sheet1!$A$1:$P$100,8,FALSE),0)</f>
        <v>-151013.69863012471</v>
      </c>
      <c r="X43" s="5">
        <f>IFERROR(VLOOKUP($A43,[8]Sheet1!$A$1:$P$100,9,FALSE),0)</f>
        <v>100.3908</v>
      </c>
      <c r="Y43" s="5">
        <f>IFERROR(VLOOKUP($A43,[8]Sheet1!$A$1:$P$100,10,FALSE),0)</f>
        <v>100.149</v>
      </c>
      <c r="Z43" s="5">
        <f>IFERROR(VLOOKUP($A43,[8]Sheet1!$A$1:$P$100,11,FALSE),0)</f>
        <v>163326.30136986665</v>
      </c>
    </row>
    <row r="44" spans="1:26">
      <c r="A44" s="8" t="s">
        <v>128</v>
      </c>
      <c r="B44" s="1" t="str">
        <f t="shared" si="1"/>
        <v>Strat</v>
      </c>
      <c r="C44" s="1" t="str">
        <f t="shared" si="2"/>
        <v>170405.IB</v>
      </c>
      <c r="D44" s="7">
        <f t="shared" si="3"/>
        <v>0</v>
      </c>
      <c r="E44" s="7">
        <f t="shared" si="4"/>
        <v>3.6101083032476027E-3</v>
      </c>
      <c r="F44" s="7">
        <f t="shared" si="5"/>
        <v>0</v>
      </c>
      <c r="G44" s="7">
        <f t="shared" si="6"/>
        <v>9.9999999999961661E-2</v>
      </c>
      <c r="H44" s="7">
        <f t="shared" si="7"/>
        <v>-1.0164077246985496E-4</v>
      </c>
      <c r="I44" s="7">
        <f t="shared" si="8"/>
        <v>0</v>
      </c>
      <c r="J44" s="7">
        <f t="shared" si="9"/>
        <v>-0.27601456815802078</v>
      </c>
      <c r="K44" s="5">
        <f>IFERROR(VLOOKUP($A44,[7]Sheet1!$A$1:$P$100,4,FALSE),0)</f>
        <v>470000000</v>
      </c>
      <c r="L44" s="5" t="str">
        <f>IFERROR(VLOOKUP($A44,[7]Sheet1!$A$1:$P$100,5,FALSE),"")</f>
        <v>ADB</v>
      </c>
      <c r="M44" s="5">
        <f>IFERROR(VLOOKUP($A44,[7]Sheet1!$A$1:$P$100,6,FALSE),0)</f>
        <v>2.911232876712333</v>
      </c>
      <c r="N44" s="5">
        <f>IFERROR(VLOOKUP($A44,[7]Sheet1!$A$1:$P$100,7,FALSE),0)</f>
        <v>2.8163013698630168</v>
      </c>
      <c r="O44" s="5">
        <f>IFERROR(VLOOKUP($A44,[7]Sheet1!$A$1:$P$100,8,FALSE),0)</f>
        <v>446178.08219178603</v>
      </c>
      <c r="P44" s="5">
        <f>IFERROR(VLOOKUP($A44,[7]Sheet1!$A$1:$P$100,9,FALSE),0)</f>
        <v>96.427800000000005</v>
      </c>
      <c r="Q44" s="5">
        <f>IFERROR(VLOOKUP($A44,[7]Sheet1!$A$1:$P$100,10,FALSE),0)</f>
        <v>96.238799999999998</v>
      </c>
      <c r="R44" s="5">
        <f>IFERROR(VLOOKUP($A44,[7]Sheet1!$A$1:$P$100,11,FALSE),0)</f>
        <v>-442121.91780824761</v>
      </c>
      <c r="S44" s="5">
        <f>IFERROR(VLOOKUP($A44,[8]Sheet1!$A$1:$P$100,4,FALSE),0)</f>
        <v>470000000</v>
      </c>
      <c r="T44" s="5" t="str">
        <f>IFERROR(VLOOKUP($A44,[8]Sheet1!$A$1:$P$100,5,FALSE),"")</f>
        <v>ADBCH</v>
      </c>
      <c r="U44" s="5">
        <f>IFERROR(VLOOKUP($A44,[8]Sheet1!$A$1:$P$100,6,FALSE),0)</f>
        <v>2.9217808219178081</v>
      </c>
      <c r="V44" s="5">
        <f>IFERROR(VLOOKUP($A44,[8]Sheet1!$A$1:$P$100,7,FALSE),0)</f>
        <v>2.8163013698630168</v>
      </c>
      <c r="W44" s="5">
        <f>IFERROR(VLOOKUP($A44,[8]Sheet1!$A$1:$P$100,8,FALSE),0)</f>
        <v>495753.42465751892</v>
      </c>
      <c r="X44" s="5">
        <f>IFERROR(VLOOKUP($A44,[8]Sheet1!$A$1:$P$100,9,FALSE),0)</f>
        <v>96.418000000000006</v>
      </c>
      <c r="Y44" s="5">
        <f>IFERROR(VLOOKUP($A44,[8]Sheet1!$A$1:$P$100,10,FALSE),0)</f>
        <v>96.238799999999998</v>
      </c>
      <c r="Z44" s="5">
        <f>IFERROR(VLOOKUP($A44,[8]Sheet1!$A$1:$P$100,11,FALSE),0)</f>
        <v>-346486.57534252817</v>
      </c>
    </row>
    <row r="45" spans="1:26">
      <c r="A45" s="8" t="s">
        <v>129</v>
      </c>
      <c r="B45" s="1" t="str">
        <f t="shared" si="1"/>
        <v>Strat</v>
      </c>
      <c r="C45" s="1" t="str">
        <f t="shared" si="2"/>
        <v>170415.IB</v>
      </c>
      <c r="D45" s="7">
        <f t="shared" si="3"/>
        <v>0</v>
      </c>
      <c r="E45" s="7">
        <f t="shared" si="4"/>
        <v>3.1249999999996395E-2</v>
      </c>
      <c r="F45" s="7">
        <f t="shared" si="5"/>
        <v>0</v>
      </c>
      <c r="G45" s="7">
        <f t="shared" si="6"/>
        <v>9.999999999998152E-2</v>
      </c>
      <c r="H45" s="7">
        <f t="shared" si="7"/>
        <v>-3.6591501623747384E-4</v>
      </c>
      <c r="I45" s="7">
        <f t="shared" si="8"/>
        <v>0</v>
      </c>
      <c r="J45" s="7">
        <f t="shared" si="9"/>
        <v>-0.48475452196379537</v>
      </c>
      <c r="K45" s="5">
        <f>IFERROR(VLOOKUP($A45,[7]Sheet1!$A$1:$P$100,4,FALSE),0)</f>
        <v>110000000</v>
      </c>
      <c r="L45" s="5" t="str">
        <f>IFERROR(VLOOKUP($A45,[7]Sheet1!$A$1:$P$100,5,FALSE),"")</f>
        <v>ADB</v>
      </c>
      <c r="M45" s="5">
        <f>IFERROR(VLOOKUP($A45,[7]Sheet1!$A$1:$P$100,6,FALSE),0)</f>
        <v>0.37284931506849084</v>
      </c>
      <c r="N45" s="5">
        <f>IFERROR(VLOOKUP($A45,[7]Sheet1!$A$1:$P$100,7,FALSE),0)</f>
        <v>0.26460273972601644</v>
      </c>
      <c r="O45" s="5">
        <f>IFERROR(VLOOKUP($A45,[7]Sheet1!$A$1:$P$100,8,FALSE),0)</f>
        <v>119071.23287672183</v>
      </c>
      <c r="P45" s="5">
        <f>IFERROR(VLOOKUP($A45,[7]Sheet1!$A$1:$P$100,9,FALSE),0)</f>
        <v>100.6066</v>
      </c>
      <c r="Q45" s="5">
        <f>IFERROR(VLOOKUP($A45,[7]Sheet1!$A$1:$P$100,10,FALSE),0)</f>
        <v>100.3488</v>
      </c>
      <c r="R45" s="5">
        <f>IFERROR(VLOOKUP($A45,[7]Sheet1!$A$1:$P$100,11,FALSE),0)</f>
        <v>-164508.76712328166</v>
      </c>
      <c r="S45" s="5">
        <f>IFERROR(VLOOKUP($A45,[8]Sheet1!$A$1:$P$100,4,FALSE),0)</f>
        <v>110000000</v>
      </c>
      <c r="T45" s="5" t="str">
        <f>IFERROR(VLOOKUP($A45,[8]Sheet1!$A$1:$P$100,5,FALSE),"")</f>
        <v>ADBCH</v>
      </c>
      <c r="U45" s="5">
        <f>IFERROR(VLOOKUP($A45,[8]Sheet1!$A$1:$P$100,6,FALSE),0)</f>
        <v>0.3848767123287633</v>
      </c>
      <c r="V45" s="5">
        <f>IFERROR(VLOOKUP($A45,[8]Sheet1!$A$1:$P$100,7,FALSE),0)</f>
        <v>0.26460273972601644</v>
      </c>
      <c r="W45" s="5">
        <f>IFERROR(VLOOKUP($A45,[8]Sheet1!$A$1:$P$100,8,FALSE),0)</f>
        <v>132301.36986302154</v>
      </c>
      <c r="X45" s="5">
        <f>IFERROR(VLOOKUP($A45,[8]Sheet1!$A$1:$P$100,9,FALSE),0)</f>
        <v>100.5698</v>
      </c>
      <c r="Y45" s="5">
        <f>IFERROR(VLOOKUP($A45,[8]Sheet1!$A$1:$P$100,10,FALSE),0)</f>
        <v>100.3488</v>
      </c>
      <c r="Z45" s="5">
        <f>IFERROR(VLOOKUP($A45,[8]Sheet1!$A$1:$P$100,11,FALSE),0)</f>
        <v>-110798.63013698442</v>
      </c>
    </row>
  </sheetData>
  <mergeCells count="5">
    <mergeCell ref="K1:R1"/>
    <mergeCell ref="K2:R2"/>
    <mergeCell ref="S1:Z1"/>
    <mergeCell ref="S2:Z2"/>
    <mergeCell ref="D1:J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/>
  </sheetPr>
  <dimension ref="A1:N40"/>
  <sheetViews>
    <sheetView workbookViewId="0">
      <selection activeCell="E17" sqref="E17"/>
    </sheetView>
  </sheetViews>
  <sheetFormatPr defaultRowHeight="13.5"/>
  <cols>
    <col min="1" max="1" width="13.875" bestFit="1" customWidth="1"/>
    <col min="4" max="4" width="16.125" bestFit="1" customWidth="1"/>
    <col min="5" max="7" width="15" bestFit="1" customWidth="1"/>
    <col min="8" max="8" width="15" customWidth="1"/>
    <col min="9" max="9" width="16.125" bestFit="1" customWidth="1"/>
    <col min="10" max="10" width="12.875" bestFit="1" customWidth="1"/>
    <col min="11" max="11" width="12.75" bestFit="1" customWidth="1"/>
    <col min="12" max="12" width="14" bestFit="1" customWidth="1"/>
    <col min="13" max="13" width="17.25" bestFit="1" customWidth="1"/>
    <col min="14" max="14" width="19.375" bestFit="1" customWidth="1"/>
  </cols>
  <sheetData>
    <row r="1" spans="1:14">
      <c r="D1" s="15" t="s">
        <v>66</v>
      </c>
      <c r="E1" s="15"/>
      <c r="F1" s="15"/>
      <c r="G1" s="13" t="s">
        <v>62</v>
      </c>
      <c r="H1" s="13"/>
      <c r="I1" s="13"/>
      <c r="J1" s="13"/>
      <c r="K1" s="11" t="s">
        <v>64</v>
      </c>
      <c r="L1" s="11"/>
      <c r="M1" s="11"/>
      <c r="N1" s="11"/>
    </row>
    <row r="2" spans="1:14">
      <c r="D2" s="15"/>
      <c r="E2" s="15"/>
      <c r="F2" s="15"/>
      <c r="G2" s="13" t="s">
        <v>63</v>
      </c>
      <c r="H2" s="13"/>
      <c r="I2" s="13"/>
      <c r="J2" s="13"/>
      <c r="K2" s="11" t="s">
        <v>63</v>
      </c>
      <c r="L2" s="11"/>
      <c r="M2" s="11"/>
      <c r="N2" s="11"/>
    </row>
    <row r="3" spans="1:14">
      <c r="A3" t="s">
        <v>60</v>
      </c>
      <c r="B3" s="1" t="s">
        <v>0</v>
      </c>
      <c r="C3" s="1" t="s">
        <v>61</v>
      </c>
      <c r="D3" s="1" t="s">
        <v>53</v>
      </c>
      <c r="E3" s="1" t="s">
        <v>54</v>
      </c>
      <c r="F3" s="1" t="s">
        <v>55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65</v>
      </c>
      <c r="L3" s="1" t="s">
        <v>53</v>
      </c>
      <c r="M3" s="1" t="s">
        <v>54</v>
      </c>
      <c r="N3" s="1" t="s">
        <v>55</v>
      </c>
    </row>
    <row r="4" spans="1:14">
      <c r="A4" t="str">
        <f>B4&amp;"_"&amp;C4</f>
        <v>STRAT_TF1712</v>
      </c>
      <c r="B4" s="1" t="s">
        <v>49</v>
      </c>
      <c r="C4" s="1" t="s">
        <v>56</v>
      </c>
      <c r="D4" s="9">
        <f>IFERROR((L4-H4)/H4, "")</f>
        <v>0</v>
      </c>
      <c r="E4" s="9">
        <f t="shared" ref="E4:F19" si="0">IFERROR((M4-I4)/I4, "")</f>
        <v>0</v>
      </c>
      <c r="F4" s="9">
        <f t="shared" si="0"/>
        <v>0</v>
      </c>
      <c r="G4" s="5">
        <f>IFERROR(VLOOKUP($A4,[9]Sheet1!$A$1:$G$137,4,FALSE), "")</f>
        <v>-100</v>
      </c>
      <c r="H4" s="5">
        <f>IFERROR(VLOOKUP($A4,[9]Sheet1!$A$1:$G$137,5,FALSE), "")</f>
        <v>97.694999999999993</v>
      </c>
      <c r="I4" s="5">
        <f>IFERROR(VLOOKUP($A4,[9]Sheet1!$A$1:$G$137,6,FALSE), "")</f>
        <v>97.49</v>
      </c>
      <c r="J4" s="5">
        <f>IFERROR(VLOOKUP($A4,[9]Sheet1!$A$1:$G$137,7,FALSE), "")</f>
        <v>204999.99999999828</v>
      </c>
      <c r="K4" s="5">
        <f>IFERROR(VLOOKUP($A4,[10]Sheet1!$A$1:$H$137,4,FALSE), 0)</f>
        <v>-100</v>
      </c>
      <c r="L4" s="5">
        <f>IFERROR(VLOOKUP($A4,[10]Sheet1!$A$1:$H$137,6,FALSE), 0)</f>
        <v>97.694999999999993</v>
      </c>
      <c r="M4" s="5">
        <f>IFERROR(VLOOKUP($A4,[10]Sheet1!$A$1:$H$137,7,FALSE), 0)</f>
        <v>97.49</v>
      </c>
      <c r="N4" s="5">
        <f>IFERROR(VLOOKUP($A4,[10]Sheet1!$A$1:$H$137,8,FALSE), 0)</f>
        <v>204999.99999999828</v>
      </c>
    </row>
    <row r="5" spans="1:14">
      <c r="A5" t="str">
        <f t="shared" ref="A5:A39" si="1">B5&amp;"_"&amp;C5</f>
        <v>STRAT_T1712</v>
      </c>
      <c r="B5" s="1" t="s">
        <v>49</v>
      </c>
      <c r="C5" s="1" t="s">
        <v>57</v>
      </c>
      <c r="D5" s="9">
        <f t="shared" ref="D5:F21" si="2">IFERROR((L5-H5)/H5, "")</f>
        <v>0</v>
      </c>
      <c r="E5" s="9">
        <f t="shared" si="0"/>
        <v>0</v>
      </c>
      <c r="F5" s="9">
        <f t="shared" si="0"/>
        <v>0</v>
      </c>
      <c r="G5" s="5">
        <f>IFERROR(VLOOKUP($A5,[9]Sheet1!$A$1:$G$137,4,FALSE), "")</f>
        <v>-100</v>
      </c>
      <c r="H5" s="5">
        <f>IFERROR(VLOOKUP($A5,[9]Sheet1!$A$1:$G$137,5,FALSE), "")</f>
        <v>95.21</v>
      </c>
      <c r="I5" s="5">
        <f>IFERROR(VLOOKUP($A5,[9]Sheet1!$A$1:$G$137,6,FALSE), "")</f>
        <v>94.905000000000001</v>
      </c>
      <c r="J5" s="5">
        <f>IFERROR(VLOOKUP($A5,[9]Sheet1!$A$1:$G$137,7,FALSE), "")</f>
        <v>304999.99999999261</v>
      </c>
      <c r="K5" s="5">
        <f>IFERROR(VLOOKUP($A5,[10]Sheet1!$A$1:$H$137,4,FALSE), 0)</f>
        <v>-100</v>
      </c>
      <c r="L5" s="5">
        <f>IFERROR(VLOOKUP($A5,[10]Sheet1!$A$1:$H$137,6,FALSE), 0)</f>
        <v>95.21</v>
      </c>
      <c r="M5" s="5">
        <f>IFERROR(VLOOKUP($A5,[10]Sheet1!$A$1:$H$137,7,FALSE), 0)</f>
        <v>94.905000000000001</v>
      </c>
      <c r="N5" s="5">
        <f>IFERROR(VLOOKUP($A5,[10]Sheet1!$A$1:$H$137,8,FALSE), 0)</f>
        <v>304999.99999999261</v>
      </c>
    </row>
    <row r="6" spans="1:14">
      <c r="A6" t="str">
        <f t="shared" si="1"/>
        <v>STRAT_TF1712</v>
      </c>
      <c r="B6" s="1" t="s">
        <v>49</v>
      </c>
      <c r="C6" s="1" t="s">
        <v>56</v>
      </c>
      <c r="D6" s="9">
        <f t="shared" si="2"/>
        <v>0</v>
      </c>
      <c r="E6" s="9">
        <f t="shared" si="0"/>
        <v>0</v>
      </c>
      <c r="F6" s="9">
        <f t="shared" si="0"/>
        <v>0</v>
      </c>
      <c r="G6" s="5">
        <f>IFERROR(VLOOKUP($A6,[9]Sheet1!$A$1:$G$137,4,FALSE), "")</f>
        <v>-100</v>
      </c>
      <c r="H6" s="5">
        <f>IFERROR(VLOOKUP($A6,[9]Sheet1!$A$1:$G$137,5,FALSE), "")</f>
        <v>97.694999999999993</v>
      </c>
      <c r="I6" s="5">
        <f>IFERROR(VLOOKUP($A6,[9]Sheet1!$A$1:$G$137,6,FALSE), "")</f>
        <v>97.49</v>
      </c>
      <c r="J6" s="5">
        <f>IFERROR(VLOOKUP($A6,[9]Sheet1!$A$1:$G$137,7,FALSE), "")</f>
        <v>204999.99999999828</v>
      </c>
      <c r="K6" s="5">
        <f>IFERROR(VLOOKUP($A6,[10]Sheet1!$A$1:$H$137,4,FALSE), 0)</f>
        <v>-100</v>
      </c>
      <c r="L6" s="5">
        <f>IFERROR(VLOOKUP($A6,[10]Sheet1!$A$1:$H$137,6,FALSE), 0)</f>
        <v>97.694999999999993</v>
      </c>
      <c r="M6" s="5">
        <f>IFERROR(VLOOKUP($A6,[10]Sheet1!$A$1:$H$137,7,FALSE), 0)</f>
        <v>97.49</v>
      </c>
      <c r="N6" s="5">
        <f>IFERROR(VLOOKUP($A6,[10]Sheet1!$A$1:$H$137,8,FALSE), 0)</f>
        <v>204999.99999999828</v>
      </c>
    </row>
    <row r="7" spans="1:14">
      <c r="A7" t="str">
        <f t="shared" si="1"/>
        <v>MMA_TF1712</v>
      </c>
      <c r="B7" s="1" t="s">
        <v>7</v>
      </c>
      <c r="C7" s="1" t="s">
        <v>56</v>
      </c>
      <c r="D7" s="9">
        <f t="shared" si="2"/>
        <v>0</v>
      </c>
      <c r="E7" s="9">
        <f t="shared" si="0"/>
        <v>0</v>
      </c>
      <c r="F7" s="9">
        <f t="shared" si="0"/>
        <v>0</v>
      </c>
      <c r="G7" s="5">
        <f>IFERROR(VLOOKUP($A7,[9]Sheet1!$A$1:$G$137,4,FALSE), "")</f>
        <v>-348</v>
      </c>
      <c r="H7" s="5">
        <f>IFERROR(VLOOKUP($A7,[9]Sheet1!$A$1:$G$137,5,FALSE), "")</f>
        <v>97.694999999999993</v>
      </c>
      <c r="I7" s="5">
        <f>IFERROR(VLOOKUP($A7,[9]Sheet1!$A$1:$G$137,6,FALSE), "")</f>
        <v>97.49</v>
      </c>
      <c r="J7" s="5">
        <f>IFERROR(VLOOKUP($A7,[9]Sheet1!$A$1:$G$137,7,FALSE), "")</f>
        <v>713399.99999999406</v>
      </c>
      <c r="K7" s="5">
        <f>IFERROR(VLOOKUP($A7,[10]Sheet1!$A$1:$H$137,4,FALSE), 0)</f>
        <v>-348</v>
      </c>
      <c r="L7" s="5">
        <f>IFERROR(VLOOKUP($A7,[10]Sheet1!$A$1:$H$137,6,FALSE), 0)</f>
        <v>97.694999999999993</v>
      </c>
      <c r="M7" s="5">
        <f>IFERROR(VLOOKUP($A7,[10]Sheet1!$A$1:$H$137,7,FALSE), 0)</f>
        <v>97.49</v>
      </c>
      <c r="N7" s="5">
        <f>IFERROR(VLOOKUP($A7,[10]Sheet1!$A$1:$H$137,8,FALSE), 0)</f>
        <v>713399.99999999406</v>
      </c>
    </row>
    <row r="8" spans="1:14">
      <c r="A8" t="str">
        <f t="shared" si="1"/>
        <v>MMA_T1803</v>
      </c>
      <c r="B8" s="1" t="s">
        <v>7</v>
      </c>
      <c r="C8" s="1" t="s">
        <v>58</v>
      </c>
      <c r="D8" s="9">
        <f t="shared" si="2"/>
        <v>0</v>
      </c>
      <c r="E8" s="9">
        <f t="shared" si="0"/>
        <v>0</v>
      </c>
      <c r="F8" s="9">
        <f t="shared" si="0"/>
        <v>-1.6784215949672778E-16</v>
      </c>
      <c r="G8" s="5">
        <f>IFERROR(VLOOKUP($A8,[9]Sheet1!$A$1:$G$137,4,FALSE), "")</f>
        <v>-17</v>
      </c>
      <c r="H8" s="5">
        <f>IFERROR(VLOOKUP($A8,[9]Sheet1!$A$1:$G$137,5,FALSE), "")</f>
        <v>95.45</v>
      </c>
      <c r="I8" s="5">
        <f>IFERROR(VLOOKUP($A8,[9]Sheet1!$A$1:$G$137,6,FALSE), "")</f>
        <v>95.194999999999993</v>
      </c>
      <c r="J8" s="5">
        <f>IFERROR(VLOOKUP($A8,[9]Sheet1!$A$1:$G$137,7,FALSE), "")</f>
        <v>43350.000000001644</v>
      </c>
      <c r="K8" s="5">
        <f>IFERROR(VLOOKUP($A8,[10]Sheet1!$A$1:$H$137,4,FALSE), 0)</f>
        <v>-17</v>
      </c>
      <c r="L8" s="5">
        <f>IFERROR(VLOOKUP($A8,[10]Sheet1!$A$1:$H$137,6,FALSE), 0)</f>
        <v>95.45</v>
      </c>
      <c r="M8" s="5">
        <f>IFERROR(VLOOKUP($A8,[10]Sheet1!$A$1:$H$137,7,FALSE), 0)</f>
        <v>95.194999999999993</v>
      </c>
      <c r="N8" s="5">
        <f>IFERROR(VLOOKUP($A8,[10]Sheet1!$A$1:$H$137,8,FALSE), 0)</f>
        <v>43350.000000001637</v>
      </c>
    </row>
    <row r="9" spans="1:14">
      <c r="A9" t="str">
        <f t="shared" si="1"/>
        <v>MMA_TF1803</v>
      </c>
      <c r="B9" s="1" t="s">
        <v>7</v>
      </c>
      <c r="C9" s="1" t="s">
        <v>59</v>
      </c>
      <c r="D9" s="9">
        <f t="shared" si="2"/>
        <v>0</v>
      </c>
      <c r="E9" s="9">
        <f t="shared" si="0"/>
        <v>0</v>
      </c>
      <c r="F9" s="9">
        <f t="shared" si="0"/>
        <v>0</v>
      </c>
      <c r="G9" s="5">
        <f>IFERROR(VLOOKUP($A9,[9]Sheet1!$A$1:$G$137,4,FALSE), "")</f>
        <v>-12</v>
      </c>
      <c r="H9" s="5">
        <f>IFERROR(VLOOKUP($A9,[9]Sheet1!$A$1:$G$137,5,FALSE), "")</f>
        <v>97.93</v>
      </c>
      <c r="I9" s="5">
        <f>IFERROR(VLOOKUP($A9,[9]Sheet1!$A$1:$G$137,6,FALSE), "")</f>
        <v>97.76</v>
      </c>
      <c r="J9" s="5">
        <f>IFERROR(VLOOKUP($A9,[9]Sheet1!$A$1:$G$137,7,FALSE), "")</f>
        <v>20400.000000000204</v>
      </c>
      <c r="K9" s="5">
        <f>IFERROR(VLOOKUP($A9,[10]Sheet1!$A$1:$H$137,4,FALSE), 0)</f>
        <v>-12</v>
      </c>
      <c r="L9" s="5">
        <f>IFERROR(VLOOKUP($A9,[10]Sheet1!$A$1:$H$137,6,FALSE), 0)</f>
        <v>97.93</v>
      </c>
      <c r="M9" s="5">
        <f>IFERROR(VLOOKUP($A9,[10]Sheet1!$A$1:$H$137,7,FALSE), 0)</f>
        <v>97.76</v>
      </c>
      <c r="N9" s="5">
        <f>IFERROR(VLOOKUP($A9,[10]Sheet1!$A$1:$H$137,8,FALSE), 0)</f>
        <v>20400.000000000204</v>
      </c>
    </row>
    <row r="10" spans="1:14">
      <c r="A10" t="str">
        <f t="shared" si="1"/>
        <v>MMA_T1712</v>
      </c>
      <c r="B10" s="1" t="s">
        <v>7</v>
      </c>
      <c r="C10" s="1" t="s">
        <v>57</v>
      </c>
      <c r="D10" s="9">
        <f t="shared" si="2"/>
        <v>0</v>
      </c>
      <c r="E10" s="9">
        <f t="shared" si="0"/>
        <v>0</v>
      </c>
      <c r="F10" s="9">
        <f t="shared" si="0"/>
        <v>0</v>
      </c>
      <c r="G10" s="5">
        <f>IFERROR(VLOOKUP($A10,[9]Sheet1!$A$1:$G$137,4,FALSE), "")</f>
        <v>-39</v>
      </c>
      <c r="H10" s="5">
        <f>IFERROR(VLOOKUP($A10,[9]Sheet1!$A$1:$G$137,5,FALSE), "")</f>
        <v>95.21</v>
      </c>
      <c r="I10" s="5">
        <f>IFERROR(VLOOKUP($A10,[9]Sheet1!$A$1:$G$137,6,FALSE), "")</f>
        <v>94.905000000000001</v>
      </c>
      <c r="J10" s="5">
        <f>IFERROR(VLOOKUP($A10,[9]Sheet1!$A$1:$G$137,7,FALSE), "")</f>
        <v>118949.99999999712</v>
      </c>
      <c r="K10" s="5">
        <f>IFERROR(VLOOKUP($A10,[10]Sheet1!$A$1:$H$137,4,FALSE), 0)</f>
        <v>-39</v>
      </c>
      <c r="L10" s="5">
        <f>IFERROR(VLOOKUP($A10,[10]Sheet1!$A$1:$H$137,6,FALSE), 0)</f>
        <v>95.21</v>
      </c>
      <c r="M10" s="5">
        <f>IFERROR(VLOOKUP($A10,[10]Sheet1!$A$1:$H$137,7,FALSE), 0)</f>
        <v>94.905000000000001</v>
      </c>
      <c r="N10" s="5">
        <f>IFERROR(VLOOKUP($A10,[10]Sheet1!$A$1:$H$137,8,FALSE), 0)</f>
        <v>118949.99999999712</v>
      </c>
    </row>
    <row r="11" spans="1:14">
      <c r="A11" t="str">
        <f t="shared" si="1"/>
        <v>BMR_TF1712</v>
      </c>
      <c r="B11" s="1" t="s">
        <v>9</v>
      </c>
      <c r="C11" s="1" t="s">
        <v>56</v>
      </c>
      <c r="D11" s="9">
        <f t="shared" si="2"/>
        <v>0</v>
      </c>
      <c r="E11" s="9">
        <f t="shared" si="0"/>
        <v>0</v>
      </c>
      <c r="F11" s="9">
        <f t="shared" si="0"/>
        <v>0.34545454545454524</v>
      </c>
      <c r="G11" s="5">
        <f>IFERROR(VLOOKUP($A11,[9]Sheet1!$A$1:$G$137,4,FALSE), "")</f>
        <v>-220</v>
      </c>
      <c r="H11" s="5">
        <f>IFERROR(VLOOKUP($A11,[9]Sheet1!$A$1:$G$137,5,FALSE), "")</f>
        <v>97.694999999999993</v>
      </c>
      <c r="I11" s="5">
        <f>IFERROR(VLOOKUP($A11,[9]Sheet1!$A$1:$G$137,6,FALSE), "")</f>
        <v>97.49</v>
      </c>
      <c r="J11" s="5">
        <f>IFERROR(VLOOKUP($A11,[9]Sheet1!$A$1:$G$137,7,FALSE), "")</f>
        <v>450999.99999999627</v>
      </c>
      <c r="K11" s="5">
        <f>IFERROR(VLOOKUP($A11,[10]Sheet1!$A$1:$H$137,4,FALSE), 0)</f>
        <v>-296</v>
      </c>
      <c r="L11" s="5">
        <f>IFERROR(VLOOKUP($A11,[10]Sheet1!$A$1:$H$137,6,FALSE), 0)</f>
        <v>97.694999999999993</v>
      </c>
      <c r="M11" s="5">
        <f>IFERROR(VLOOKUP($A11,[10]Sheet1!$A$1:$H$137,7,FALSE), 0)</f>
        <v>97.49</v>
      </c>
      <c r="N11" s="5">
        <f>IFERROR(VLOOKUP($A11,[10]Sheet1!$A$1:$H$137,8,FALSE), 0)</f>
        <v>606799.99999999488</v>
      </c>
    </row>
    <row r="12" spans="1:14">
      <c r="A12" t="str">
        <f t="shared" si="1"/>
        <v>BMR_TF1803</v>
      </c>
      <c r="B12" s="1" t="s">
        <v>9</v>
      </c>
      <c r="C12" s="1" t="s">
        <v>59</v>
      </c>
      <c r="D12" s="9">
        <f t="shared" si="2"/>
        <v>0</v>
      </c>
      <c r="E12" s="9">
        <f t="shared" si="0"/>
        <v>0</v>
      </c>
      <c r="F12" s="9">
        <f t="shared" si="0"/>
        <v>0</v>
      </c>
      <c r="G12" s="5">
        <f>IFERROR(VLOOKUP($A12,[9]Sheet1!$A$1:$G$137,4,FALSE), "")</f>
        <v>6</v>
      </c>
      <c r="H12" s="5">
        <f>IFERROR(VLOOKUP($A12,[9]Sheet1!$A$1:$G$137,5,FALSE), "")</f>
        <v>97.93</v>
      </c>
      <c r="I12" s="5">
        <f>IFERROR(VLOOKUP($A12,[9]Sheet1!$A$1:$G$137,6,FALSE), "")</f>
        <v>97.76</v>
      </c>
      <c r="J12" s="5">
        <f>IFERROR(VLOOKUP($A12,[9]Sheet1!$A$1:$G$137,7,FALSE), "")</f>
        <v>-10200.000000000102</v>
      </c>
      <c r="K12" s="5">
        <f>IFERROR(VLOOKUP($A12,[10]Sheet1!$A$1:$H$137,4,FALSE), 0)</f>
        <v>6</v>
      </c>
      <c r="L12" s="5">
        <f>IFERROR(VLOOKUP($A12,[10]Sheet1!$A$1:$H$137,6,FALSE), 0)</f>
        <v>97.93</v>
      </c>
      <c r="M12" s="5">
        <f>IFERROR(VLOOKUP($A12,[10]Sheet1!$A$1:$H$137,7,FALSE), 0)</f>
        <v>97.76</v>
      </c>
      <c r="N12" s="5">
        <f>IFERROR(VLOOKUP($A12,[10]Sheet1!$A$1:$H$137,8,FALSE), 0)</f>
        <v>-10200.000000000102</v>
      </c>
    </row>
    <row r="13" spans="1:14">
      <c r="A13" t="str">
        <f t="shared" si="1"/>
        <v>BMR_TF1712</v>
      </c>
      <c r="B13" s="1" t="s">
        <v>9</v>
      </c>
      <c r="C13" s="1" t="s">
        <v>56</v>
      </c>
      <c r="D13" s="9">
        <f t="shared" si="2"/>
        <v>0</v>
      </c>
      <c r="E13" s="9">
        <f t="shared" si="0"/>
        <v>0</v>
      </c>
      <c r="F13" s="9">
        <f t="shared" si="0"/>
        <v>0.34545454545454524</v>
      </c>
      <c r="G13" s="5">
        <f>IFERROR(VLOOKUP($A13,[9]Sheet1!$A$1:$G$137,4,FALSE), "")</f>
        <v>-220</v>
      </c>
      <c r="H13" s="5">
        <f>IFERROR(VLOOKUP($A13,[9]Sheet1!$A$1:$G$137,5,FALSE), "")</f>
        <v>97.694999999999993</v>
      </c>
      <c r="I13" s="5">
        <f>IFERROR(VLOOKUP($A13,[9]Sheet1!$A$1:$G$137,6,FALSE), "")</f>
        <v>97.49</v>
      </c>
      <c r="J13" s="5">
        <f>IFERROR(VLOOKUP($A13,[9]Sheet1!$A$1:$G$137,7,FALSE), "")</f>
        <v>450999.99999999627</v>
      </c>
      <c r="K13" s="5">
        <f>IFERROR(VLOOKUP($A13,[10]Sheet1!$A$1:$H$137,4,FALSE), 0)</f>
        <v>-296</v>
      </c>
      <c r="L13" s="5">
        <f>IFERROR(VLOOKUP($A13,[10]Sheet1!$A$1:$H$137,6,FALSE), 0)</f>
        <v>97.694999999999993</v>
      </c>
      <c r="M13" s="5">
        <f>IFERROR(VLOOKUP($A13,[10]Sheet1!$A$1:$H$137,7,FALSE), 0)</f>
        <v>97.49</v>
      </c>
      <c r="N13" s="5">
        <f>IFERROR(VLOOKUP($A13,[10]Sheet1!$A$1:$H$137,8,FALSE), 0)</f>
        <v>606799.99999999488</v>
      </c>
    </row>
    <row r="14" spans="1:14">
      <c r="A14" t="str">
        <f t="shared" si="1"/>
        <v>BMR_T1712</v>
      </c>
      <c r="B14" s="1" t="s">
        <v>9</v>
      </c>
      <c r="C14" s="1" t="s">
        <v>57</v>
      </c>
      <c r="D14" s="9">
        <f t="shared" si="2"/>
        <v>0</v>
      </c>
      <c r="E14" s="9">
        <f t="shared" si="0"/>
        <v>0</v>
      </c>
      <c r="F14" s="9">
        <f t="shared" si="0"/>
        <v>1.2820512820512824</v>
      </c>
      <c r="G14" s="5">
        <f>IFERROR(VLOOKUP($A14,[9]Sheet1!$A$1:$G$137,4,FALSE), "")</f>
        <v>-234</v>
      </c>
      <c r="H14" s="5">
        <f>IFERROR(VLOOKUP($A14,[9]Sheet1!$A$1:$G$137,5,FALSE), "")</f>
        <v>95.21</v>
      </c>
      <c r="I14" s="5">
        <f>IFERROR(VLOOKUP($A14,[9]Sheet1!$A$1:$G$137,6,FALSE), "")</f>
        <v>94.905000000000001</v>
      </c>
      <c r="J14" s="5">
        <f>IFERROR(VLOOKUP($A14,[9]Sheet1!$A$1:$G$137,7,FALSE), "")</f>
        <v>713699.99999998265</v>
      </c>
      <c r="K14" s="5">
        <f>IFERROR(VLOOKUP($A14,[10]Sheet1!$A$1:$H$137,4,FALSE), 0)</f>
        <v>-534</v>
      </c>
      <c r="L14" s="5">
        <f>IFERROR(VLOOKUP($A14,[10]Sheet1!$A$1:$H$137,6,FALSE), 0)</f>
        <v>95.21</v>
      </c>
      <c r="M14" s="5">
        <f>IFERROR(VLOOKUP($A14,[10]Sheet1!$A$1:$H$137,7,FALSE), 0)</f>
        <v>94.905000000000001</v>
      </c>
      <c r="N14" s="5">
        <f>IFERROR(VLOOKUP($A14,[10]Sheet1!$A$1:$H$137,8,FALSE), 0)</f>
        <v>1628699.9999999607</v>
      </c>
    </row>
    <row r="15" spans="1:14">
      <c r="A15" t="str">
        <f t="shared" si="1"/>
        <v>BMR_T1712</v>
      </c>
      <c r="B15" s="1" t="s">
        <v>9</v>
      </c>
      <c r="C15" s="1" t="s">
        <v>57</v>
      </c>
      <c r="D15" s="9">
        <f t="shared" si="2"/>
        <v>0</v>
      </c>
      <c r="E15" s="9">
        <f t="shared" si="0"/>
        <v>0</v>
      </c>
      <c r="F15" s="9">
        <f t="shared" si="0"/>
        <v>1.2820512820512824</v>
      </c>
      <c r="G15" s="5">
        <f>IFERROR(VLOOKUP($A15,[9]Sheet1!$A$1:$G$137,4,FALSE), "")</f>
        <v>-234</v>
      </c>
      <c r="H15" s="5">
        <f>IFERROR(VLOOKUP($A15,[9]Sheet1!$A$1:$G$137,5,FALSE), "")</f>
        <v>95.21</v>
      </c>
      <c r="I15" s="5">
        <f>IFERROR(VLOOKUP($A15,[9]Sheet1!$A$1:$G$137,6,FALSE), "")</f>
        <v>94.905000000000001</v>
      </c>
      <c r="J15" s="5">
        <f>IFERROR(VLOOKUP($A15,[9]Sheet1!$A$1:$G$137,7,FALSE), "")</f>
        <v>713699.99999998265</v>
      </c>
      <c r="K15" s="5">
        <f>IFERROR(VLOOKUP($A15,[10]Sheet1!$A$1:$H$137,4,FALSE), 0)</f>
        <v>-534</v>
      </c>
      <c r="L15" s="5">
        <f>IFERROR(VLOOKUP($A15,[10]Sheet1!$A$1:$H$137,6,FALSE), 0)</f>
        <v>95.21</v>
      </c>
      <c r="M15" s="5">
        <f>IFERROR(VLOOKUP($A15,[10]Sheet1!$A$1:$H$137,7,FALSE), 0)</f>
        <v>94.905000000000001</v>
      </c>
      <c r="N15" s="5">
        <f>IFERROR(VLOOKUP($A15,[10]Sheet1!$A$1:$H$137,8,FALSE), 0)</f>
        <v>1628699.9999999607</v>
      </c>
    </row>
    <row r="16" spans="1:14">
      <c r="A16" t="str">
        <f t="shared" si="1"/>
        <v>BMH_TF1712</v>
      </c>
      <c r="B16" s="1" t="s">
        <v>8</v>
      </c>
      <c r="C16" s="1" t="s">
        <v>56</v>
      </c>
      <c r="D16" s="9">
        <f t="shared" si="2"/>
        <v>0</v>
      </c>
      <c r="E16" s="9">
        <f t="shared" si="0"/>
        <v>0</v>
      </c>
      <c r="F16" s="9">
        <f t="shared" si="0"/>
        <v>0</v>
      </c>
      <c r="G16" s="5">
        <f>IFERROR(VLOOKUP($A16,[9]Sheet1!$A$1:$G$137,4,FALSE), "")</f>
        <v>-147</v>
      </c>
      <c r="H16" s="5">
        <f>IFERROR(VLOOKUP($A16,[9]Sheet1!$A$1:$G$137,5,FALSE), "")</f>
        <v>97.694999999999993</v>
      </c>
      <c r="I16" s="5">
        <f>IFERROR(VLOOKUP($A16,[9]Sheet1!$A$1:$G$137,6,FALSE), "")</f>
        <v>97.49</v>
      </c>
      <c r="J16" s="5">
        <f>IFERROR(VLOOKUP($A16,[9]Sheet1!$A$1:$G$137,7,FALSE), "")</f>
        <v>301349.9999999975</v>
      </c>
      <c r="K16" s="5">
        <f>IFERROR(VLOOKUP($A16,[10]Sheet1!$A$1:$H$137,4,FALSE), 0)</f>
        <v>-147</v>
      </c>
      <c r="L16" s="5">
        <f>IFERROR(VLOOKUP($A16,[10]Sheet1!$A$1:$H$137,6,FALSE), 0)</f>
        <v>97.694999999999993</v>
      </c>
      <c r="M16" s="5">
        <f>IFERROR(VLOOKUP($A16,[10]Sheet1!$A$1:$H$137,7,FALSE), 0)</f>
        <v>97.49</v>
      </c>
      <c r="N16" s="5">
        <f>IFERROR(VLOOKUP($A16,[10]Sheet1!$A$1:$H$137,8,FALSE), 0)</f>
        <v>301349.9999999975</v>
      </c>
    </row>
    <row r="17" spans="1:14">
      <c r="A17" t="str">
        <f t="shared" si="1"/>
        <v>BMH_T1712</v>
      </c>
      <c r="B17" s="1" t="s">
        <v>8</v>
      </c>
      <c r="C17" s="1" t="s">
        <v>57</v>
      </c>
      <c r="D17" s="9">
        <f t="shared" si="2"/>
        <v>0</v>
      </c>
      <c r="E17" s="9">
        <f t="shared" si="0"/>
        <v>0</v>
      </c>
      <c r="F17" s="9">
        <f t="shared" si="0"/>
        <v>0</v>
      </c>
      <c r="G17" s="5">
        <f>IFERROR(VLOOKUP($A17,[9]Sheet1!$A$1:$G$137,4,FALSE), "")</f>
        <v>-215</v>
      </c>
      <c r="H17" s="5">
        <f>IFERROR(VLOOKUP($A17,[9]Sheet1!$A$1:$G$137,5,FALSE), "")</f>
        <v>95.21</v>
      </c>
      <c r="I17" s="5">
        <f>IFERROR(VLOOKUP($A17,[9]Sheet1!$A$1:$G$137,6,FALSE), "")</f>
        <v>94.905000000000001</v>
      </c>
      <c r="J17" s="5">
        <f>IFERROR(VLOOKUP($A17,[9]Sheet1!$A$1:$G$137,7,FALSE), "")</f>
        <v>655749.99999998417</v>
      </c>
      <c r="K17" s="5">
        <f>IFERROR(VLOOKUP($A17,[10]Sheet1!$A$1:$H$137,4,FALSE), 0)</f>
        <v>-215</v>
      </c>
      <c r="L17" s="5">
        <f>IFERROR(VLOOKUP($A17,[10]Sheet1!$A$1:$H$137,6,FALSE), 0)</f>
        <v>95.21</v>
      </c>
      <c r="M17" s="5">
        <f>IFERROR(VLOOKUP($A17,[10]Sheet1!$A$1:$H$137,7,FALSE), 0)</f>
        <v>94.905000000000001</v>
      </c>
      <c r="N17" s="5">
        <f>IFERROR(VLOOKUP($A17,[10]Sheet1!$A$1:$H$137,8,FALSE), 0)</f>
        <v>655749.99999998417</v>
      </c>
    </row>
    <row r="18" spans="1:14">
      <c r="A18" t="str">
        <f t="shared" si="1"/>
        <v>EMZ_TF1803</v>
      </c>
      <c r="B18" s="1" t="s">
        <v>50</v>
      </c>
      <c r="C18" s="1" t="s">
        <v>59</v>
      </c>
      <c r="D18" s="9">
        <f t="shared" si="2"/>
        <v>-1</v>
      </c>
      <c r="E18" s="9">
        <f t="shared" si="0"/>
        <v>-1</v>
      </c>
      <c r="F18" s="9">
        <f t="shared" si="0"/>
        <v>-1</v>
      </c>
      <c r="G18" s="5">
        <f>IFERROR(VLOOKUP($A18,[9]Sheet1!$A$1:$G$137,4,FALSE), "")</f>
        <v>-35</v>
      </c>
      <c r="H18" s="5">
        <f>IFERROR(VLOOKUP($A18,[9]Sheet1!$A$1:$G$137,5,FALSE), "")</f>
        <v>97.93</v>
      </c>
      <c r="I18" s="5">
        <f>IFERROR(VLOOKUP($A18,[9]Sheet1!$A$1:$G$137,6,FALSE), "")</f>
        <v>97.76</v>
      </c>
      <c r="J18" s="5">
        <f>IFERROR(VLOOKUP($A18,[9]Sheet1!$A$1:$G$137,7,FALSE), "")</f>
        <v>59500.000000000597</v>
      </c>
      <c r="K18" s="5">
        <f>IFERROR(VLOOKUP($A18,[10]Sheet1!$A$1:$H$137,4,FALSE), 0)</f>
        <v>0</v>
      </c>
      <c r="L18" s="5">
        <f>IFERROR(VLOOKUP($A18,[10]Sheet1!$A$1:$H$137,6,FALSE), 0)</f>
        <v>0</v>
      </c>
      <c r="M18" s="5">
        <f>IFERROR(VLOOKUP($A18,[10]Sheet1!$A$1:$H$137,7,FALSE), 0)</f>
        <v>0</v>
      </c>
      <c r="N18" s="5">
        <f>IFERROR(VLOOKUP($A18,[10]Sheet1!$A$1:$H$137,8,FALSE), 0)</f>
        <v>0</v>
      </c>
    </row>
    <row r="19" spans="1:14">
      <c r="A19" t="str">
        <f t="shared" si="1"/>
        <v>EMZ_T1712</v>
      </c>
      <c r="B19" s="1" t="s">
        <v>50</v>
      </c>
      <c r="C19" s="1" t="s">
        <v>57</v>
      </c>
      <c r="D19" s="9">
        <f t="shared" si="2"/>
        <v>-1</v>
      </c>
      <c r="E19" s="9">
        <f t="shared" si="0"/>
        <v>-1</v>
      </c>
      <c r="F19" s="9">
        <f t="shared" si="0"/>
        <v>-1</v>
      </c>
      <c r="G19" s="5">
        <f>IFERROR(VLOOKUP($A19,[9]Sheet1!$A$1:$G$137,4,FALSE), "")</f>
        <v>-23</v>
      </c>
      <c r="H19" s="5">
        <f>IFERROR(VLOOKUP($A19,[9]Sheet1!$A$1:$G$137,5,FALSE), "")</f>
        <v>95.21</v>
      </c>
      <c r="I19" s="5">
        <f>IFERROR(VLOOKUP($A19,[9]Sheet1!$A$1:$G$137,6,FALSE), "")</f>
        <v>94.905000000000001</v>
      </c>
      <c r="J19" s="5">
        <f>IFERROR(VLOOKUP($A19,[9]Sheet1!$A$1:$G$137,7,FALSE), "")</f>
        <v>70149.999999998297</v>
      </c>
      <c r="K19" s="5">
        <f>IFERROR(VLOOKUP($A19,[10]Sheet1!$A$1:$H$137,4,FALSE), 0)</f>
        <v>0</v>
      </c>
      <c r="L19" s="5">
        <f>IFERROR(VLOOKUP($A19,[10]Sheet1!$A$1:$H$137,6,FALSE), 0)</f>
        <v>0</v>
      </c>
      <c r="M19" s="5">
        <f>IFERROR(VLOOKUP($A19,[10]Sheet1!$A$1:$H$137,7,FALSE), 0)</f>
        <v>0</v>
      </c>
      <c r="N19" s="5">
        <f>IFERROR(VLOOKUP($A19,[10]Sheet1!$A$1:$H$137,8,FALSE), 0)</f>
        <v>0</v>
      </c>
    </row>
    <row r="20" spans="1:14">
      <c r="A20" t="str">
        <f t="shared" si="1"/>
        <v>EMZ_T1803</v>
      </c>
      <c r="B20" s="1" t="s">
        <v>50</v>
      </c>
      <c r="C20" s="1" t="s">
        <v>58</v>
      </c>
      <c r="D20" s="9">
        <f t="shared" si="2"/>
        <v>-1</v>
      </c>
      <c r="E20" s="9">
        <f t="shared" si="2"/>
        <v>-1</v>
      </c>
      <c r="F20" s="9">
        <f t="shared" si="2"/>
        <v>-1</v>
      </c>
      <c r="G20" s="5">
        <f>IFERROR(VLOOKUP($A20,[9]Sheet1!$A$1:$G$137,4,FALSE), "")</f>
        <v>3</v>
      </c>
      <c r="H20" s="5">
        <f>IFERROR(VLOOKUP($A20,[9]Sheet1!$A$1:$G$137,5,FALSE), "")</f>
        <v>95.45</v>
      </c>
      <c r="I20" s="5">
        <f>IFERROR(VLOOKUP($A20,[9]Sheet1!$A$1:$G$137,6,FALSE), "")</f>
        <v>95.194999999999993</v>
      </c>
      <c r="J20" s="5">
        <f>IFERROR(VLOOKUP($A20,[9]Sheet1!$A$1:$G$137,7,FALSE), "")</f>
        <v>-7650.0000000002901</v>
      </c>
      <c r="K20" s="5">
        <f>IFERROR(VLOOKUP($A20,[10]Sheet1!$A$1:$H$137,4,FALSE), 0)</f>
        <v>0</v>
      </c>
      <c r="L20" s="5">
        <f>IFERROR(VLOOKUP($A20,[10]Sheet1!$A$1:$H$137,6,FALSE), 0)</f>
        <v>0</v>
      </c>
      <c r="M20" s="5">
        <f>IFERROR(VLOOKUP($A20,[10]Sheet1!$A$1:$H$137,7,FALSE), 0)</f>
        <v>0</v>
      </c>
      <c r="N20" s="5">
        <f>IFERROR(VLOOKUP($A20,[10]Sheet1!$A$1:$H$137,8,FALSE), 0)</f>
        <v>0</v>
      </c>
    </row>
    <row r="21" spans="1:14">
      <c r="A21" t="str">
        <f t="shared" si="1"/>
        <v>EMZ_TF1712</v>
      </c>
      <c r="B21" s="1" t="s">
        <v>50</v>
      </c>
      <c r="C21" s="1" t="s">
        <v>56</v>
      </c>
      <c r="D21" s="9">
        <f t="shared" si="2"/>
        <v>-1</v>
      </c>
      <c r="E21" s="9">
        <f t="shared" si="2"/>
        <v>-1</v>
      </c>
      <c r="F21" s="9">
        <f t="shared" si="2"/>
        <v>-1</v>
      </c>
      <c r="G21" s="5">
        <f>IFERROR(VLOOKUP($A21,[9]Sheet1!$A$1:$G$137,4,FALSE), "")</f>
        <v>79</v>
      </c>
      <c r="H21" s="5">
        <f>IFERROR(VLOOKUP($A21,[9]Sheet1!$A$1:$G$137,5,FALSE), "")</f>
        <v>97.694999999999993</v>
      </c>
      <c r="I21" s="5">
        <f>IFERROR(VLOOKUP($A21,[9]Sheet1!$A$1:$G$137,6,FALSE), "")</f>
        <v>97.49</v>
      </c>
      <c r="J21" s="5">
        <f>IFERROR(VLOOKUP($A21,[9]Sheet1!$A$1:$G$137,7,FALSE), "")</f>
        <v>-161949.99999999866</v>
      </c>
      <c r="K21" s="5">
        <f>IFERROR(VLOOKUP($A21,[10]Sheet1!$A$1:$H$137,4,FALSE), 0)</f>
        <v>0</v>
      </c>
      <c r="L21" s="5">
        <f>IFERROR(VLOOKUP($A21,[10]Sheet1!$A$1:$H$137,6,FALSE), 0)</f>
        <v>0</v>
      </c>
      <c r="M21" s="5">
        <f>IFERROR(VLOOKUP($A21,[10]Sheet1!$A$1:$H$137,7,FALSE), 0)</f>
        <v>0</v>
      </c>
      <c r="N21" s="5">
        <f>IFERROR(VLOOKUP($A21,[10]Sheet1!$A$1:$H$137,8,FALSE), 0)</f>
        <v>0</v>
      </c>
    </row>
    <row r="22" spans="1:14">
      <c r="A22" t="str">
        <f t="shared" si="1"/>
        <v>_</v>
      </c>
      <c r="D22" s="5"/>
      <c r="E22" s="5"/>
      <c r="F22" s="5"/>
      <c r="G22" s="5"/>
      <c r="H22" s="5"/>
      <c r="I22" s="4"/>
      <c r="J22" s="4"/>
      <c r="K22" s="4"/>
      <c r="L22" s="5" t="str">
        <f t="shared" ref="L22" si="3">IFERROR((H22-D22)/D22, "")</f>
        <v/>
      </c>
      <c r="M22" s="4"/>
      <c r="N22" s="4"/>
    </row>
    <row r="23" spans="1:14">
      <c r="A23" t="str">
        <f t="shared" si="1"/>
        <v>_</v>
      </c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</row>
    <row r="24" spans="1:14">
      <c r="A24" t="str">
        <f t="shared" si="1"/>
        <v>_</v>
      </c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</row>
    <row r="25" spans="1:14">
      <c r="A25" t="str">
        <f t="shared" si="1"/>
        <v>_</v>
      </c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</row>
    <row r="26" spans="1:14">
      <c r="A26" t="str">
        <f t="shared" si="1"/>
        <v>_</v>
      </c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</row>
    <row r="27" spans="1:14">
      <c r="A27" t="str">
        <f t="shared" si="1"/>
        <v>_</v>
      </c>
      <c r="D27" s="5"/>
      <c r="E27" s="5"/>
      <c r="F27" s="5"/>
      <c r="G27" s="5"/>
      <c r="H27" s="5"/>
      <c r="I27" s="4"/>
      <c r="J27" s="4"/>
      <c r="K27" s="4"/>
      <c r="L27" s="4"/>
      <c r="M27" s="4"/>
      <c r="N27" s="4"/>
    </row>
    <row r="28" spans="1:14">
      <c r="A28" t="str">
        <f t="shared" si="1"/>
        <v>_</v>
      </c>
      <c r="D28" s="5"/>
      <c r="E28" s="5"/>
      <c r="F28" s="5"/>
      <c r="G28" s="5"/>
      <c r="H28" s="5"/>
      <c r="I28" s="4"/>
      <c r="J28" s="4"/>
      <c r="K28" s="4"/>
      <c r="L28" s="4"/>
      <c r="M28" s="4"/>
      <c r="N28" s="4"/>
    </row>
    <row r="29" spans="1:14">
      <c r="A29" t="str">
        <f t="shared" si="1"/>
        <v>_</v>
      </c>
      <c r="D29" s="5"/>
      <c r="E29" s="5"/>
      <c r="F29" s="5"/>
      <c r="G29" s="5"/>
      <c r="H29" s="5"/>
      <c r="I29" s="4"/>
      <c r="J29" s="4"/>
      <c r="K29" s="4"/>
      <c r="L29" s="4"/>
      <c r="M29" s="4"/>
      <c r="N29" s="4"/>
    </row>
    <row r="30" spans="1:14">
      <c r="A30" t="str">
        <f t="shared" si="1"/>
        <v>_</v>
      </c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</row>
    <row r="31" spans="1:14">
      <c r="A31" t="str">
        <f t="shared" si="1"/>
        <v>_</v>
      </c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</row>
    <row r="32" spans="1:14">
      <c r="A32" t="str">
        <f t="shared" si="1"/>
        <v>_</v>
      </c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</row>
    <row r="33" spans="1:14">
      <c r="A33" t="str">
        <f t="shared" si="1"/>
        <v>_</v>
      </c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</row>
    <row r="34" spans="1:14">
      <c r="A34" t="str">
        <f t="shared" si="1"/>
        <v>_</v>
      </c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</row>
    <row r="35" spans="1:14">
      <c r="A35" t="str">
        <f t="shared" si="1"/>
        <v>_</v>
      </c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</row>
    <row r="36" spans="1:14">
      <c r="A36" t="str">
        <f t="shared" si="1"/>
        <v>_</v>
      </c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</row>
    <row r="37" spans="1:14">
      <c r="A37" t="str">
        <f t="shared" si="1"/>
        <v>_</v>
      </c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</row>
    <row r="38" spans="1:14">
      <c r="A38" t="str">
        <f t="shared" si="1"/>
        <v>_</v>
      </c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</row>
    <row r="39" spans="1:14">
      <c r="A39" t="str">
        <f t="shared" si="1"/>
        <v>_</v>
      </c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</row>
    <row r="40" spans="1:14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mergeCells count="5">
    <mergeCell ref="D1:F2"/>
    <mergeCell ref="K1:N1"/>
    <mergeCell ref="K2:N2"/>
    <mergeCell ref="G1:J1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22"/>
  <sheetViews>
    <sheetView workbookViewId="0">
      <selection activeCell="E24" sqref="E24"/>
    </sheetView>
  </sheetViews>
  <sheetFormatPr defaultRowHeight="13.5"/>
  <cols>
    <col min="2" max="11" width="11.625" bestFit="1" customWidth="1"/>
  </cols>
  <sheetData>
    <row r="1" spans="1:11">
      <c r="A1" s="10"/>
      <c r="B1" s="10"/>
      <c r="C1" s="12" t="s">
        <v>25</v>
      </c>
      <c r="D1" s="12"/>
      <c r="E1" s="12"/>
      <c r="F1" s="13" t="s">
        <v>92</v>
      </c>
      <c r="G1" s="13"/>
      <c r="H1" s="13"/>
      <c r="I1" s="11" t="s">
        <v>33</v>
      </c>
      <c r="J1" s="11"/>
      <c r="K1" s="11"/>
    </row>
    <row r="2" spans="1:11">
      <c r="A2" s="10"/>
      <c r="B2" s="10"/>
      <c r="C2" s="12"/>
      <c r="D2" s="12"/>
      <c r="E2" s="12"/>
      <c r="F2" s="13" t="s">
        <v>93</v>
      </c>
      <c r="G2" s="13"/>
      <c r="H2" s="13"/>
      <c r="I2" s="11" t="s">
        <v>43</v>
      </c>
      <c r="J2" s="11"/>
      <c r="K2" s="11"/>
    </row>
    <row r="3" spans="1:11">
      <c r="A3" s="2" t="s">
        <v>0</v>
      </c>
      <c r="B3" s="2" t="s">
        <v>1</v>
      </c>
      <c r="C3" s="8" t="s">
        <v>45</v>
      </c>
      <c r="D3" s="8" t="s">
        <v>46</v>
      </c>
      <c r="E3" s="8" t="s">
        <v>47</v>
      </c>
      <c r="F3" s="2" t="s">
        <v>39</v>
      </c>
      <c r="G3" s="2" t="s">
        <v>42</v>
      </c>
      <c r="H3" s="2" t="s">
        <v>44</v>
      </c>
      <c r="I3" s="8" t="s">
        <v>45</v>
      </c>
      <c r="J3" s="8" t="s">
        <v>46</v>
      </c>
      <c r="K3" s="8" t="s">
        <v>47</v>
      </c>
    </row>
    <row r="4" spans="1:11">
      <c r="A4" s="5" t="s">
        <v>7</v>
      </c>
      <c r="B4" s="2" t="s">
        <v>48</v>
      </c>
      <c r="C4" s="7">
        <f t="shared" ref="C4:C22" si="0">IFERROR((I4-F4)/I4, "")</f>
        <v>7.2049282081810842E-2</v>
      </c>
      <c r="D4" s="7">
        <f t="shared" ref="D4:D22" si="1">IFERROR((J4-G4)/J4, "")</f>
        <v>3.3399032947546356E-2</v>
      </c>
      <c r="E4" s="7">
        <f t="shared" ref="E4:E22" si="2">IFERROR((K4-H4)/K4, "")</f>
        <v>4.5983259540659507</v>
      </c>
      <c r="F4" s="4">
        <f>IFERROR(VLOOKUP($A4,[11]Sheet1!$A$1:$E$32,3,),0)</f>
        <v>231908.86699828506</v>
      </c>
      <c r="G4" s="4">
        <f>IFERROR(VLOOKUP($A4,[11]Sheet1!$A$1:$E$32,4,),0)</f>
        <v>304488.55251580477</v>
      </c>
      <c r="H4" s="4">
        <f>IFERROR(VLOOKUP($A4,[11]Sheet1!$A$1:$E$32,5,),0)</f>
        <v>28352.965401552618</v>
      </c>
      <c r="I4" s="5">
        <f>IFERROR(VLOOKUP($A4,[12]Sheet1!$A$1:$E$31,3,FALSE),0)</f>
        <v>249915.06824690104</v>
      </c>
      <c r="J4" s="5">
        <f>IFERROR(VLOOKUP($A4,[12]Sheet1!$A$1:$E$31,4,FALSE),0)</f>
        <v>315009.56743744016</v>
      </c>
      <c r="K4" s="5">
        <f>IFERROR(VLOOKUP($A4,[12]Sheet1!$A$1:$E$31,5,FALSE),0)</f>
        <v>-7879.4877850115299</v>
      </c>
    </row>
    <row r="5" spans="1:11">
      <c r="A5" s="5" t="s">
        <v>14</v>
      </c>
      <c r="B5" s="2" t="s">
        <v>48</v>
      </c>
      <c r="C5" s="7" t="str">
        <f t="shared" si="0"/>
        <v/>
      </c>
      <c r="D5" s="7" t="str">
        <f t="shared" si="1"/>
        <v/>
      </c>
      <c r="E5" s="7" t="str">
        <f t="shared" si="2"/>
        <v/>
      </c>
      <c r="F5" s="4">
        <f>IFERROR(VLOOKUP($A5,[11]Sheet1!$A$1:$E$32,3,),0)</f>
        <v>0</v>
      </c>
      <c r="G5" s="4">
        <f>IFERROR(VLOOKUP($A5,[11]Sheet1!$A$1:$E$32,4,),0)</f>
        <v>0</v>
      </c>
      <c r="H5" s="4">
        <f>IFERROR(VLOOKUP($A5,[11]Sheet1!$A$1:$E$32,5,),0)</f>
        <v>0</v>
      </c>
      <c r="I5" s="5">
        <f>IFERROR(VLOOKUP($A5,[12]Sheet1!$A$1:$E$31,3,FALSE),0)</f>
        <v>0</v>
      </c>
      <c r="J5" s="5">
        <f>IFERROR(VLOOKUP($A5,[12]Sheet1!$A$1:$E$31,4,FALSE),0)</f>
        <v>0</v>
      </c>
      <c r="K5" s="5">
        <f>IFERROR(VLOOKUP($A5,[12]Sheet1!$A$1:$E$31,5,FALSE),0)</f>
        <v>0</v>
      </c>
    </row>
    <row r="6" spans="1:11">
      <c r="A6" s="5" t="s">
        <v>15</v>
      </c>
      <c r="B6" s="2" t="s">
        <v>48</v>
      </c>
      <c r="C6" s="7" t="str">
        <f t="shared" si="0"/>
        <v/>
      </c>
      <c r="D6" s="7" t="str">
        <f t="shared" si="1"/>
        <v/>
      </c>
      <c r="E6" s="7" t="str">
        <f t="shared" si="2"/>
        <v/>
      </c>
      <c r="F6" s="4">
        <f>IFERROR(VLOOKUP($A6,[11]Sheet1!$A$1:$E$32,3,),0)</f>
        <v>0</v>
      </c>
      <c r="G6" s="4">
        <f>IFERROR(VLOOKUP($A6,[11]Sheet1!$A$1:$E$32,4,),0)</f>
        <v>0</v>
      </c>
      <c r="H6" s="4">
        <f>IFERROR(VLOOKUP($A6,[11]Sheet1!$A$1:$E$32,5,),0)</f>
        <v>0</v>
      </c>
      <c r="I6" s="5">
        <f>IFERROR(VLOOKUP($A6,[12]Sheet1!$A$1:$E$31,3,FALSE),0)</f>
        <v>0</v>
      </c>
      <c r="J6" s="5">
        <f>IFERROR(VLOOKUP($A6,[12]Sheet1!$A$1:$E$31,4,FALSE),0)</f>
        <v>0</v>
      </c>
      <c r="K6" s="5">
        <f>IFERROR(VLOOKUP($A6,[12]Sheet1!$A$1:$E$31,5,FALSE),0)</f>
        <v>0</v>
      </c>
    </row>
    <row r="7" spans="1:11">
      <c r="A7" s="5" t="s">
        <v>16</v>
      </c>
      <c r="B7" s="2" t="s">
        <v>48</v>
      </c>
      <c r="C7" s="7" t="str">
        <f t="shared" si="0"/>
        <v/>
      </c>
      <c r="D7" s="7" t="str">
        <f t="shared" si="1"/>
        <v/>
      </c>
      <c r="E7" s="7" t="str">
        <f t="shared" si="2"/>
        <v/>
      </c>
      <c r="F7" s="4">
        <f>IFERROR(VLOOKUP($A7,[11]Sheet1!$A$1:$E$32,3,),0)</f>
        <v>0</v>
      </c>
      <c r="G7" s="4">
        <f>IFERROR(VLOOKUP($A7,[11]Sheet1!$A$1:$E$32,4,),0)</f>
        <v>0</v>
      </c>
      <c r="H7" s="4">
        <f>IFERROR(VLOOKUP($A7,[11]Sheet1!$A$1:$E$32,5,),0)</f>
        <v>0</v>
      </c>
      <c r="I7" s="5">
        <f>IFERROR(VLOOKUP($A7,[12]Sheet1!$A$1:$E$31,3,FALSE),0)</f>
        <v>0</v>
      </c>
      <c r="J7" s="5">
        <f>IFERROR(VLOOKUP($A7,[12]Sheet1!$A$1:$E$31,4,FALSE),0)</f>
        <v>0</v>
      </c>
      <c r="K7" s="5">
        <f>IFERROR(VLOOKUP($A7,[12]Sheet1!$A$1:$E$31,5,FALSE),0)</f>
        <v>0</v>
      </c>
    </row>
    <row r="8" spans="1:11">
      <c r="A8" s="5" t="s">
        <v>17</v>
      </c>
      <c r="B8" s="2" t="s">
        <v>48</v>
      </c>
      <c r="C8" s="7" t="str">
        <f t="shared" si="0"/>
        <v/>
      </c>
      <c r="D8" s="7" t="str">
        <f t="shared" si="1"/>
        <v/>
      </c>
      <c r="E8" s="7" t="str">
        <f t="shared" si="2"/>
        <v/>
      </c>
      <c r="F8" s="4">
        <f>IFERROR(VLOOKUP($A8,[11]Sheet1!$A$1:$E$32,3,),0)</f>
        <v>0</v>
      </c>
      <c r="G8" s="4">
        <f>IFERROR(VLOOKUP($A8,[11]Sheet1!$A$1:$E$32,4,),0)</f>
        <v>0</v>
      </c>
      <c r="H8" s="4">
        <f>IFERROR(VLOOKUP($A8,[11]Sheet1!$A$1:$E$32,5,),0)</f>
        <v>0</v>
      </c>
      <c r="I8" s="5">
        <f>IFERROR(VLOOKUP($A8,[12]Sheet1!$A$1:$E$31,3,FALSE),0)</f>
        <v>0</v>
      </c>
      <c r="J8" s="5">
        <f>IFERROR(VLOOKUP($A8,[12]Sheet1!$A$1:$E$31,4,FALSE),0)</f>
        <v>0</v>
      </c>
      <c r="K8" s="5">
        <f>IFERROR(VLOOKUP($A8,[12]Sheet1!$A$1:$E$31,5,FALSE),0)</f>
        <v>0</v>
      </c>
    </row>
    <row r="9" spans="1:11">
      <c r="A9" s="5" t="s">
        <v>18</v>
      </c>
      <c r="B9" s="2" t="s">
        <v>48</v>
      </c>
      <c r="C9" s="7">
        <f t="shared" si="0"/>
        <v>-5.4394388573110374E-2</v>
      </c>
      <c r="D9" s="7">
        <f t="shared" si="1"/>
        <v>-0.18907439925826497</v>
      </c>
      <c r="E9" s="7">
        <f t="shared" si="2"/>
        <v>3.5149509232058995</v>
      </c>
      <c r="F9" s="4">
        <f>IFERROR(VLOOKUP($A9,[11]Sheet1!$A$1:$E$32,3,),0)</f>
        <v>259269.95937886834</v>
      </c>
      <c r="G9" s="4">
        <f>IFERROR(VLOOKUP($A9,[11]Sheet1!$A$1:$E$32,4,),0)</f>
        <v>25163.36902666837</v>
      </c>
      <c r="H9" s="4">
        <f>IFERROR(VLOOKUP($A9,[11]Sheet1!$A$1:$E$32,5,),0)</f>
        <v>-11365.3875579983</v>
      </c>
      <c r="I9" s="5">
        <f>IFERROR(VLOOKUP($A9,[12]Sheet1!$A$1:$E$31,3,FALSE),0)</f>
        <v>245894.66919463873</v>
      </c>
      <c r="J9" s="5">
        <f>IFERROR(VLOOKUP($A9,[12]Sheet1!$A$1:$E$31,4,FALSE),0)</f>
        <v>21162.148510105908</v>
      </c>
      <c r="K9" s="5">
        <f>IFERROR(VLOOKUP($A9,[12]Sheet1!$A$1:$E$31,5,FALSE),0)</f>
        <v>4519.1289631649852</v>
      </c>
    </row>
    <row r="10" spans="1:11">
      <c r="A10" s="5" t="s">
        <v>19</v>
      </c>
      <c r="B10" s="2" t="s">
        <v>48</v>
      </c>
      <c r="C10" s="7" t="str">
        <f t="shared" si="0"/>
        <v/>
      </c>
      <c r="D10" s="7" t="str">
        <f t="shared" si="1"/>
        <v/>
      </c>
      <c r="E10" s="7" t="str">
        <f t="shared" si="2"/>
        <v/>
      </c>
      <c r="F10" s="4">
        <f>IFERROR(VLOOKUP($A10,[11]Sheet1!$A$1:$E$32,3,),0)</f>
        <v>0</v>
      </c>
      <c r="G10" s="4">
        <f>IFERROR(VLOOKUP($A10,[11]Sheet1!$A$1:$E$32,4,),0)</f>
        <v>0</v>
      </c>
      <c r="H10" s="4">
        <f>IFERROR(VLOOKUP($A10,[11]Sheet1!$A$1:$E$32,5,),0)</f>
        <v>0</v>
      </c>
      <c r="I10" s="5">
        <f>IFERROR(VLOOKUP($A10,[12]Sheet1!$A$1:$E$31,3,FALSE),0)</f>
        <v>0</v>
      </c>
      <c r="J10" s="5">
        <f>IFERROR(VLOOKUP($A10,[12]Sheet1!$A$1:$E$31,4,FALSE),0)</f>
        <v>0</v>
      </c>
      <c r="K10" s="5">
        <f>IFERROR(VLOOKUP($A10,[12]Sheet1!$A$1:$E$31,5,FALSE),0)</f>
        <v>0</v>
      </c>
    </row>
    <row r="11" spans="1:11">
      <c r="A11" s="5" t="s">
        <v>12</v>
      </c>
      <c r="B11" s="2" t="s">
        <v>48</v>
      </c>
      <c r="C11" s="7">
        <f t="shared" si="0"/>
        <v>7.306434197720843E-2</v>
      </c>
      <c r="D11" s="7" t="str">
        <f t="shared" si="1"/>
        <v/>
      </c>
      <c r="E11" s="7">
        <f t="shared" si="2"/>
        <v>-27.506059319476005</v>
      </c>
      <c r="F11" s="4">
        <f>IFERROR(VLOOKUP($A11,[11]Sheet1!$A$1:$E$32,3,),0)</f>
        <v>31585.553927546367</v>
      </c>
      <c r="G11" s="4">
        <f>IFERROR(VLOOKUP($A11,[11]Sheet1!$A$1:$E$32,4,),0)</f>
        <v>0</v>
      </c>
      <c r="H11" s="4">
        <f>IFERROR(VLOOKUP($A11,[11]Sheet1!$A$1:$E$32,5,),0)</f>
        <v>3368.368039037101</v>
      </c>
      <c r="I11" s="5">
        <f>IFERROR(VLOOKUP($A11,[12]Sheet1!$A$1:$E$31,3,FALSE),0)</f>
        <v>34075.238830406219</v>
      </c>
      <c r="J11" s="5">
        <f>IFERROR(VLOOKUP($A11,[12]Sheet1!$A$1:$E$31,4,FALSE),0)</f>
        <v>0</v>
      </c>
      <c r="K11" s="5">
        <f>IFERROR(VLOOKUP($A11,[12]Sheet1!$A$1:$E$31,5,FALSE),0)</f>
        <v>118.16322983428836</v>
      </c>
    </row>
    <row r="12" spans="1:11">
      <c r="A12" s="5" t="s">
        <v>13</v>
      </c>
      <c r="B12" s="2" t="s">
        <v>48</v>
      </c>
      <c r="C12" s="7">
        <f t="shared" si="0"/>
        <v>7.9444158514448054E-2</v>
      </c>
      <c r="D12" s="7" t="str">
        <f t="shared" si="1"/>
        <v/>
      </c>
      <c r="E12" s="7">
        <f t="shared" si="2"/>
        <v>25.013938417258895</v>
      </c>
      <c r="F12" s="4">
        <f>IFERROR(VLOOKUP($A12,[11]Sheet1!$A$1:$E$32,3,),0)</f>
        <v>33051.380790593103</v>
      </c>
      <c r="G12" s="4">
        <f>IFERROR(VLOOKUP($A12,[11]Sheet1!$A$1:$E$32,4,),0)</f>
        <v>0</v>
      </c>
      <c r="H12" s="4">
        <f>IFERROR(VLOOKUP($A12,[11]Sheet1!$A$1:$E$32,5,),0)</f>
        <v>3515.8968755220994</v>
      </c>
      <c r="I12" s="5">
        <f>IFERROR(VLOOKUP($A12,[12]Sheet1!$A$1:$E$31,3,FALSE),0)</f>
        <v>35903.721752779558</v>
      </c>
      <c r="J12" s="5">
        <f>IFERROR(VLOOKUP($A12,[12]Sheet1!$A$1:$E$31,4,FALSE),0)</f>
        <v>0</v>
      </c>
      <c r="K12" s="5">
        <f>IFERROR(VLOOKUP($A12,[12]Sheet1!$A$1:$E$31,5,FALSE),0)</f>
        <v>-146.41067260317504</v>
      </c>
    </row>
    <row r="13" spans="1:11">
      <c r="A13" s="5" t="s">
        <v>11</v>
      </c>
      <c r="B13" s="2" t="s">
        <v>48</v>
      </c>
      <c r="C13" s="7">
        <f t="shared" si="0"/>
        <v>9.515565501417074E-2</v>
      </c>
      <c r="D13" s="7" t="str">
        <f t="shared" si="1"/>
        <v/>
      </c>
      <c r="E13" s="7">
        <f t="shared" si="2"/>
        <v>0.11664689925065459</v>
      </c>
      <c r="F13" s="4">
        <f>IFERROR(VLOOKUP($A13,[11]Sheet1!$A$1:$E$32,3,),0)</f>
        <v>17.240236751633347</v>
      </c>
      <c r="G13" s="4">
        <f>IFERROR(VLOOKUP($A13,[11]Sheet1!$A$1:$E$32,4,),0)</f>
        <v>0</v>
      </c>
      <c r="H13" s="4">
        <f>IFERROR(VLOOKUP($A13,[11]Sheet1!$A$1:$E$32,5,),0)</f>
        <v>-13.883875113446265</v>
      </c>
      <c r="I13" s="5">
        <f>IFERROR(VLOOKUP($A13,[12]Sheet1!$A$1:$E$31,3,FALSE),0)</f>
        <v>19.053262417088263</v>
      </c>
      <c r="J13" s="5">
        <f>IFERROR(VLOOKUP($A13,[12]Sheet1!$A$1:$E$31,4,FALSE),0)</f>
        <v>0</v>
      </c>
      <c r="K13" s="5">
        <f>IFERROR(VLOOKUP($A13,[12]Sheet1!$A$1:$E$31,5,FALSE),0)</f>
        <v>-15.717242744343821</v>
      </c>
    </row>
    <row r="14" spans="1:11">
      <c r="A14" s="5" t="s">
        <v>20</v>
      </c>
      <c r="B14" s="2" t="s">
        <v>48</v>
      </c>
      <c r="C14" s="7" t="str">
        <f t="shared" si="0"/>
        <v/>
      </c>
      <c r="D14" s="7" t="str">
        <f t="shared" si="1"/>
        <v/>
      </c>
      <c r="E14" s="7" t="str">
        <f t="shared" si="2"/>
        <v/>
      </c>
      <c r="F14" s="4">
        <f>IFERROR(VLOOKUP($A14,[11]Sheet1!$A$1:$E$32,3,),0)</f>
        <v>0</v>
      </c>
      <c r="G14" s="4">
        <f>IFERROR(VLOOKUP($A14,[11]Sheet1!$A$1:$E$32,4,),0)</f>
        <v>0</v>
      </c>
      <c r="H14" s="4">
        <f>IFERROR(VLOOKUP($A14,[11]Sheet1!$A$1:$E$32,5,),0)</f>
        <v>0</v>
      </c>
      <c r="I14" s="5">
        <f>IFERROR(VLOOKUP($A14,[12]Sheet1!$A$1:$E$31,3,FALSE),0)</f>
        <v>0</v>
      </c>
      <c r="J14" s="5">
        <f>IFERROR(VLOOKUP($A14,[12]Sheet1!$A$1:$E$31,4,FALSE),0)</f>
        <v>0</v>
      </c>
      <c r="K14" s="5">
        <f>IFERROR(VLOOKUP($A14,[12]Sheet1!$A$1:$E$31,5,FALSE),0)</f>
        <v>0</v>
      </c>
    </row>
    <row r="15" spans="1:11">
      <c r="A15" s="5" t="s">
        <v>10</v>
      </c>
      <c r="B15" s="2" t="s">
        <v>48</v>
      </c>
      <c r="C15" s="7">
        <f t="shared" si="0"/>
        <v>0.15757337663135551</v>
      </c>
      <c r="D15" s="7">
        <f t="shared" si="1"/>
        <v>1.2184671264645903E-2</v>
      </c>
      <c r="E15" s="7">
        <f t="shared" si="2"/>
        <v>-2.3798215652717123</v>
      </c>
      <c r="F15" s="4">
        <f>IFERROR(VLOOKUP($A15,[11]Sheet1!$A$1:$E$32,3,),0)</f>
        <v>16679.886642841622</v>
      </c>
      <c r="G15" s="4">
        <f>IFERROR(VLOOKUP($A15,[11]Sheet1!$A$1:$E$32,4,),0)</f>
        <v>15122.429017374292</v>
      </c>
      <c r="H15" s="4">
        <f>IFERROR(VLOOKUP($A15,[11]Sheet1!$A$1:$E$32,5,),0)</f>
        <v>5822.0975344311446</v>
      </c>
      <c r="I15" s="5">
        <f>IFERROR(VLOOKUP($A15,[12]Sheet1!$A$1:$E$31,3,FALSE),0)</f>
        <v>19799.809479124844</v>
      </c>
      <c r="J15" s="5">
        <f>IFERROR(VLOOKUP($A15,[12]Sheet1!$A$1:$E$31,4,FALSE),0)</f>
        <v>15308.963707553223</v>
      </c>
      <c r="K15" s="5">
        <f>IFERROR(VLOOKUP($A15,[12]Sheet1!$A$1:$E$31,5,FALSE),0)</f>
        <v>1722.6050020670518</v>
      </c>
    </row>
    <row r="16" spans="1:11">
      <c r="A16" s="5" t="s">
        <v>6</v>
      </c>
      <c r="B16" s="2" t="s">
        <v>48</v>
      </c>
      <c r="C16" s="7">
        <f t="shared" si="0"/>
        <v>1.1319031048748726E-2</v>
      </c>
      <c r="D16" s="7">
        <f t="shared" si="1"/>
        <v>6.2900664562542214E-3</v>
      </c>
      <c r="E16" s="7">
        <f t="shared" si="2"/>
        <v>116.03365377938188</v>
      </c>
      <c r="F16" s="4">
        <f>IFERROR(VLOOKUP($A16,[11]Sheet1!$A$1:$E$32,3,),0)</f>
        <v>73869.254598181695</v>
      </c>
      <c r="G16" s="4">
        <f>IFERROR(VLOOKUP($A16,[11]Sheet1!$A$1:$E$32,4,),0)</f>
        <v>12485.619630320929</v>
      </c>
      <c r="H16" s="4">
        <f>IFERROR(VLOOKUP($A16,[11]Sheet1!$A$1:$E$32,5,),0)</f>
        <v>1438.1117980824783</v>
      </c>
      <c r="I16" s="5">
        <f>IFERROR(VLOOKUP($A16,[12]Sheet1!$A$1:$E$31,3,FALSE),0)</f>
        <v>74714.955499283969</v>
      </c>
      <c r="J16" s="5">
        <f>IFERROR(VLOOKUP($A16,[12]Sheet1!$A$1:$E$31,4,FALSE),0)</f>
        <v>12564.652127200738</v>
      </c>
      <c r="K16" s="5">
        <f>IFERROR(VLOOKUP($A16,[12]Sheet1!$A$1:$E$31,5,FALSE),0)</f>
        <v>-12.501661477610469</v>
      </c>
    </row>
    <row r="17" spans="1:11">
      <c r="A17" s="5" t="s">
        <v>21</v>
      </c>
      <c r="B17" s="2" t="s">
        <v>48</v>
      </c>
      <c r="C17" s="7" t="str">
        <f t="shared" si="0"/>
        <v/>
      </c>
      <c r="D17" s="7" t="str">
        <f t="shared" si="1"/>
        <v/>
      </c>
      <c r="E17" s="7" t="str">
        <f t="shared" si="2"/>
        <v/>
      </c>
      <c r="F17" s="4">
        <f>IFERROR(VLOOKUP($A17,[11]Sheet1!$A$1:$E$32,3,),0)</f>
        <v>0</v>
      </c>
      <c r="G17" s="4">
        <f>IFERROR(VLOOKUP($A17,[11]Sheet1!$A$1:$E$32,4,),0)</f>
        <v>0</v>
      </c>
      <c r="H17" s="4">
        <f>IFERROR(VLOOKUP($A17,[11]Sheet1!$A$1:$E$32,5,),0)</f>
        <v>0</v>
      </c>
      <c r="I17" s="5">
        <f>IFERROR(VLOOKUP($A17,[12]Sheet1!$A$1:$E$31,3,FALSE),0)</f>
        <v>0</v>
      </c>
      <c r="J17" s="5">
        <f>IFERROR(VLOOKUP($A17,[12]Sheet1!$A$1:$E$31,4,FALSE),0)</f>
        <v>0</v>
      </c>
      <c r="K17" s="5">
        <f>IFERROR(VLOOKUP($A17,[12]Sheet1!$A$1:$E$31,5,FALSE),0)</f>
        <v>0</v>
      </c>
    </row>
    <row r="18" spans="1:11">
      <c r="A18" s="5" t="s">
        <v>9</v>
      </c>
      <c r="B18" s="2" t="s">
        <v>48</v>
      </c>
      <c r="C18" s="7">
        <f t="shared" si="0"/>
        <v>4.3681585590860578E-2</v>
      </c>
      <c r="D18" s="7">
        <f t="shared" si="1"/>
        <v>2.7454270948224845E-2</v>
      </c>
      <c r="E18" s="7">
        <f t="shared" si="2"/>
        <v>31.764578131191936</v>
      </c>
      <c r="F18" s="4">
        <f>IFERROR(VLOOKUP($A18,[11]Sheet1!$A$1:$E$32,3,),0)</f>
        <v>322683.51042521</v>
      </c>
      <c r="G18" s="4">
        <f>IFERROR(VLOOKUP($A18,[11]Sheet1!$A$1:$E$32,4,),0)</f>
        <v>114075.72477470338</v>
      </c>
      <c r="H18" s="4">
        <f>IFERROR(VLOOKUP($A18,[11]Sheet1!$A$1:$E$32,5,),0)</f>
        <v>23331.105342686176</v>
      </c>
      <c r="I18" s="5">
        <f>IFERROR(VLOOKUP($A18,[12]Sheet1!$A$1:$E$31,3,FALSE),0)</f>
        <v>337422.66755846143</v>
      </c>
      <c r="J18" s="5">
        <f>IFERROR(VLOOKUP($A18,[12]Sheet1!$A$1:$E$31,4,FALSE),0)</f>
        <v>117296.00096637756</v>
      </c>
      <c r="K18" s="5">
        <f>IFERROR(VLOOKUP($A18,[12]Sheet1!$A$1:$E$31,5,FALSE),0)</f>
        <v>-758.37559816986322</v>
      </c>
    </row>
    <row r="19" spans="1:11">
      <c r="A19" s="5" t="s">
        <v>22</v>
      </c>
      <c r="B19" s="2" t="s">
        <v>48</v>
      </c>
      <c r="C19" s="7" t="str">
        <f t="shared" si="0"/>
        <v/>
      </c>
      <c r="D19" s="7" t="str">
        <f t="shared" si="1"/>
        <v/>
      </c>
      <c r="E19" s="7" t="str">
        <f t="shared" si="2"/>
        <v/>
      </c>
      <c r="F19" s="4">
        <f>IFERROR(VLOOKUP($A19,[11]Sheet1!$A$1:$E$32,3,),0)</f>
        <v>0</v>
      </c>
      <c r="G19" s="4">
        <f>IFERROR(VLOOKUP($A19,[11]Sheet1!$A$1:$E$32,4,),0)</f>
        <v>0</v>
      </c>
      <c r="H19" s="4">
        <f>IFERROR(VLOOKUP($A19,[11]Sheet1!$A$1:$E$32,5,),0)</f>
        <v>0</v>
      </c>
      <c r="I19" s="5">
        <f>IFERROR(VLOOKUP($A19,[12]Sheet1!$A$1:$E$31,3,FALSE),0)</f>
        <v>0</v>
      </c>
      <c r="J19" s="5">
        <f>IFERROR(VLOOKUP($A19,[12]Sheet1!$A$1:$E$31,4,FALSE),0)</f>
        <v>0</v>
      </c>
      <c r="K19" s="5">
        <f>IFERROR(VLOOKUP($A19,[12]Sheet1!$A$1:$E$31,5,FALSE),0)</f>
        <v>0</v>
      </c>
    </row>
    <row r="20" spans="1:11">
      <c r="A20" s="5" t="s">
        <v>8</v>
      </c>
      <c r="B20" s="2" t="s">
        <v>48</v>
      </c>
      <c r="C20" s="7">
        <f t="shared" si="0"/>
        <v>7.5413144125099099E-2</v>
      </c>
      <c r="D20" s="7" t="str">
        <f t="shared" si="1"/>
        <v/>
      </c>
      <c r="E20" s="7">
        <f t="shared" si="2"/>
        <v>24.190154414052824</v>
      </c>
      <c r="F20" s="4">
        <f>IFERROR(VLOOKUP($A20,[11]Sheet1!$A$1:$E$32,3,),0)</f>
        <v>214067.61041293293</v>
      </c>
      <c r="G20" s="4">
        <f>IFERROR(VLOOKUP($A20,[11]Sheet1!$A$1:$E$32,4,),0)</f>
        <v>0</v>
      </c>
      <c r="H20" s="4">
        <f>IFERROR(VLOOKUP($A20,[11]Sheet1!$A$1:$E$32,5,),0)</f>
        <v>21596.112055405974</v>
      </c>
      <c r="I20" s="5">
        <f>IFERROR(VLOOKUP($A20,[12]Sheet1!$A$1:$E$31,3,FALSE),0)</f>
        <v>231527.85382220149</v>
      </c>
      <c r="J20" s="5">
        <f>IFERROR(VLOOKUP($A20,[12]Sheet1!$A$1:$E$31,4,FALSE),0)</f>
        <v>0</v>
      </c>
      <c r="K20" s="5">
        <f>IFERROR(VLOOKUP($A20,[12]Sheet1!$A$1:$E$31,5,FALSE),0)</f>
        <v>-931.26210674643517</v>
      </c>
    </row>
    <row r="21" spans="1:11">
      <c r="A21" s="5" t="s">
        <v>23</v>
      </c>
      <c r="B21" s="2" t="s">
        <v>48</v>
      </c>
      <c r="C21" s="7" t="str">
        <f t="shared" si="0"/>
        <v/>
      </c>
      <c r="D21" s="7" t="str">
        <f t="shared" si="1"/>
        <v/>
      </c>
      <c r="E21" s="7" t="str">
        <f t="shared" si="2"/>
        <v/>
      </c>
      <c r="F21" s="4">
        <f>IFERROR(VLOOKUP($A21,[11]Sheet1!$A$1:$E$32,3,),0)</f>
        <v>0</v>
      </c>
      <c r="G21" s="4">
        <f>IFERROR(VLOOKUP($A21,[11]Sheet1!$A$1:$E$32,4,),0)</f>
        <v>0</v>
      </c>
      <c r="H21" s="4">
        <f>IFERROR(VLOOKUP($A21,[11]Sheet1!$A$1:$E$32,5,),0)</f>
        <v>0</v>
      </c>
      <c r="I21" s="5">
        <f>IFERROR(VLOOKUP($A21,[12]Sheet1!$A$1:$E$31,3,FALSE),0)</f>
        <v>0</v>
      </c>
      <c r="J21" s="5">
        <f>IFERROR(VLOOKUP($A21,[12]Sheet1!$A$1:$E$31,4,FALSE),0)</f>
        <v>0</v>
      </c>
      <c r="K21" s="5">
        <f>IFERROR(VLOOKUP($A21,[12]Sheet1!$A$1:$E$31,5,FALSE),0)</f>
        <v>0</v>
      </c>
    </row>
    <row r="22" spans="1:11">
      <c r="A22" s="5" t="s">
        <v>24</v>
      </c>
      <c r="B22" s="2" t="s">
        <v>48</v>
      </c>
      <c r="C22" s="7" t="str">
        <f t="shared" si="0"/>
        <v/>
      </c>
      <c r="D22" s="7" t="str">
        <f t="shared" si="1"/>
        <v/>
      </c>
      <c r="E22" s="7" t="str">
        <f t="shared" si="2"/>
        <v/>
      </c>
      <c r="F22" s="4">
        <f>IFERROR(VLOOKUP($A22,[11]Sheet1!$A$1:$E$32,3,),0)</f>
        <v>0</v>
      </c>
      <c r="G22" s="4">
        <f>IFERROR(VLOOKUP($A22,[11]Sheet1!$A$1:$E$32,4,),0)</f>
        <v>0</v>
      </c>
      <c r="H22" s="4">
        <f>IFERROR(VLOOKUP($A22,[11]Sheet1!$A$1:$E$32,5,),0)</f>
        <v>0</v>
      </c>
      <c r="I22" s="5">
        <f>IFERROR(VLOOKUP($A22,[12]Sheet1!$A$1:$E$31,3,FALSE),0)</f>
        <v>0</v>
      </c>
      <c r="J22" s="5">
        <f>IFERROR(VLOOKUP($A22,[12]Sheet1!$A$1:$E$31,4,FALSE),0)</f>
        <v>0</v>
      </c>
      <c r="K22" s="5">
        <f>IFERROR(VLOOKUP($A22,[12]Sheet1!$A$1:$E$31,5,FALSE),0)</f>
        <v>0</v>
      </c>
    </row>
  </sheetData>
  <mergeCells count="5">
    <mergeCell ref="I1:K1"/>
    <mergeCell ref="C1:E2"/>
    <mergeCell ref="I2:K2"/>
    <mergeCell ref="F1:H1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26"/>
  <sheetViews>
    <sheetView workbookViewId="0">
      <selection activeCell="B19" sqref="B19"/>
    </sheetView>
  </sheetViews>
  <sheetFormatPr defaultRowHeight="13.5"/>
  <cols>
    <col min="2" max="7" width="11.625" bestFit="1" customWidth="1"/>
    <col min="8" max="8" width="10.375" bestFit="1" customWidth="1"/>
    <col min="9" max="11" width="11.625" bestFit="1" customWidth="1"/>
  </cols>
  <sheetData>
    <row r="1" spans="1:11">
      <c r="A1" s="10"/>
      <c r="B1" s="10"/>
      <c r="C1" s="12" t="s">
        <v>25</v>
      </c>
      <c r="D1" s="12"/>
      <c r="E1" s="12"/>
      <c r="F1" s="13" t="s">
        <v>90</v>
      </c>
      <c r="G1" s="13"/>
      <c r="H1" s="13"/>
      <c r="I1" s="11" t="s">
        <v>33</v>
      </c>
      <c r="J1" s="11"/>
      <c r="K1" s="11"/>
    </row>
    <row r="2" spans="1:11">
      <c r="A2" s="10"/>
      <c r="B2" s="10"/>
      <c r="C2" s="12"/>
      <c r="D2" s="12"/>
      <c r="E2" s="12"/>
      <c r="F2" s="13" t="s">
        <v>91</v>
      </c>
      <c r="G2" s="13"/>
      <c r="H2" s="13"/>
      <c r="I2" s="11" t="s">
        <v>89</v>
      </c>
      <c r="J2" s="11"/>
      <c r="K2" s="11"/>
    </row>
    <row r="3" spans="1:11">
      <c r="A3" s="2" t="s">
        <v>0</v>
      </c>
      <c r="B3" s="2" t="s">
        <v>1</v>
      </c>
      <c r="C3" s="8" t="s">
        <v>45</v>
      </c>
      <c r="D3" s="8" t="s">
        <v>46</v>
      </c>
      <c r="E3" s="8" t="s">
        <v>47</v>
      </c>
      <c r="F3" s="2" t="s">
        <v>39</v>
      </c>
      <c r="G3" s="2" t="s">
        <v>42</v>
      </c>
      <c r="H3" s="2" t="s">
        <v>44</v>
      </c>
      <c r="I3" s="8" t="s">
        <v>45</v>
      </c>
      <c r="J3" s="8" t="s">
        <v>46</v>
      </c>
      <c r="K3" s="8" t="s">
        <v>47</v>
      </c>
    </row>
    <row r="4" spans="1:11">
      <c r="A4" s="5" t="s">
        <v>7</v>
      </c>
      <c r="B4" s="2" t="s">
        <v>130</v>
      </c>
      <c r="C4" s="7">
        <f t="shared" ref="C4:C22" si="0">IFERROR((I4-F4)/I4, "")</f>
        <v>-0.25373029823703286</v>
      </c>
      <c r="D4" s="7">
        <f t="shared" ref="D4:D22" si="1">IFERROR((J4-G4)/J4, "")</f>
        <v>-9.3995580511583854E-2</v>
      </c>
      <c r="E4" s="7">
        <f t="shared" ref="E4:E22" si="2">IFERROR((K4-H4)/K4, "")</f>
        <v>5.2176342712646724</v>
      </c>
      <c r="F4" s="4">
        <f>IFERROR(VLOOKUP($A4,[13]Sheet1!$A$1:$E$32,3,),0)</f>
        <v>318654.23674228787</v>
      </c>
      <c r="G4" s="4">
        <f>IFERROR(VLOOKUP($A4,[13]Sheet1!$A$1:$E$32,4,),0)</f>
        <v>348916.61490353942</v>
      </c>
      <c r="H4" s="4">
        <f>IFERROR(VLOOKUP($A4,[13]Sheet1!$A$1:$E$32,5,),0)</f>
        <v>34709.272397451103</v>
      </c>
      <c r="I4" s="5">
        <f>IFERROR(VLOOKUP($A4,[14]Sheet1!$A$1:$E$31,3,FALSE),0)</f>
        <v>254164.90068906546</v>
      </c>
      <c r="J4" s="5">
        <f>IFERROR(VLOOKUP($A4,[14]Sheet1!$A$1:$E$31,4,FALSE),0)</f>
        <v>318937.8651240766</v>
      </c>
      <c r="K4" s="5">
        <f>IFERROR(VLOOKUP($A4,[14]Sheet1!$A$1:$E$31,5,FALSE),0)</f>
        <v>-8229.5595504641533</v>
      </c>
    </row>
    <row r="5" spans="1:11">
      <c r="A5" s="5" t="s">
        <v>14</v>
      </c>
      <c r="B5" s="2" t="s">
        <v>130</v>
      </c>
      <c r="C5" s="7" t="str">
        <f t="shared" si="0"/>
        <v/>
      </c>
      <c r="D5" s="7" t="str">
        <f t="shared" si="1"/>
        <v/>
      </c>
      <c r="E5" s="7" t="str">
        <f t="shared" si="2"/>
        <v/>
      </c>
      <c r="F5" s="4">
        <f>IFERROR(VLOOKUP($A5,[13]Sheet1!$A$1:$E$32,3,),0)</f>
        <v>0</v>
      </c>
      <c r="G5" s="4">
        <f>IFERROR(VLOOKUP($A5,[13]Sheet1!$A$1:$E$32,4,),0)</f>
        <v>0</v>
      </c>
      <c r="H5" s="4">
        <f>IFERROR(VLOOKUP($A5,[13]Sheet1!$A$1:$E$32,5,),0)</f>
        <v>0</v>
      </c>
      <c r="I5" s="5">
        <f>IFERROR(VLOOKUP($A5,[14]Sheet1!$A$1:$E$31,3,FALSE),0)</f>
        <v>0</v>
      </c>
      <c r="J5" s="5">
        <f>IFERROR(VLOOKUP($A5,[14]Sheet1!$A$1:$E$31,4,FALSE),0)</f>
        <v>0</v>
      </c>
      <c r="K5" s="5">
        <f>IFERROR(VLOOKUP($A5,[14]Sheet1!$A$1:$E$31,5,FALSE),0)</f>
        <v>0</v>
      </c>
    </row>
    <row r="6" spans="1:11">
      <c r="A6" s="5" t="s">
        <v>15</v>
      </c>
      <c r="B6" s="2" t="s">
        <v>130</v>
      </c>
      <c r="C6" s="7" t="str">
        <f t="shared" si="0"/>
        <v/>
      </c>
      <c r="D6" s="7" t="str">
        <f t="shared" si="1"/>
        <v/>
      </c>
      <c r="E6" s="7" t="str">
        <f t="shared" si="2"/>
        <v/>
      </c>
      <c r="F6" s="4">
        <f>IFERROR(VLOOKUP($A6,[13]Sheet1!$A$1:$E$32,3,),0)</f>
        <v>0</v>
      </c>
      <c r="G6" s="4">
        <f>IFERROR(VLOOKUP($A6,[13]Sheet1!$A$1:$E$32,4,),0)</f>
        <v>0</v>
      </c>
      <c r="H6" s="4">
        <f>IFERROR(VLOOKUP($A6,[13]Sheet1!$A$1:$E$32,5,),0)</f>
        <v>0</v>
      </c>
      <c r="I6" s="5">
        <f>IFERROR(VLOOKUP($A6,[14]Sheet1!$A$1:$E$31,3,FALSE),0)</f>
        <v>0</v>
      </c>
      <c r="J6" s="5">
        <f>IFERROR(VLOOKUP($A6,[14]Sheet1!$A$1:$E$31,4,FALSE),0)</f>
        <v>0</v>
      </c>
      <c r="K6" s="5">
        <f>IFERROR(VLOOKUP($A6,[14]Sheet1!$A$1:$E$31,5,FALSE),0)</f>
        <v>0</v>
      </c>
    </row>
    <row r="7" spans="1:11">
      <c r="A7" s="5" t="s">
        <v>16</v>
      </c>
      <c r="B7" s="2" t="s">
        <v>130</v>
      </c>
      <c r="C7" s="7" t="str">
        <f t="shared" si="0"/>
        <v/>
      </c>
      <c r="D7" s="7" t="str">
        <f t="shared" si="1"/>
        <v/>
      </c>
      <c r="E7" s="7" t="str">
        <f t="shared" si="2"/>
        <v/>
      </c>
      <c r="F7" s="4">
        <f>IFERROR(VLOOKUP($A7,[13]Sheet1!$A$1:$E$32,3,),0)</f>
        <v>0</v>
      </c>
      <c r="G7" s="4">
        <f>IFERROR(VLOOKUP($A7,[13]Sheet1!$A$1:$E$32,4,),0)</f>
        <v>0</v>
      </c>
      <c r="H7" s="4">
        <f>IFERROR(VLOOKUP($A7,[13]Sheet1!$A$1:$E$32,5,),0)</f>
        <v>0</v>
      </c>
      <c r="I7" s="5">
        <f>IFERROR(VLOOKUP($A7,[14]Sheet1!$A$1:$E$31,3,FALSE),0)</f>
        <v>0</v>
      </c>
      <c r="J7" s="5">
        <f>IFERROR(VLOOKUP($A7,[14]Sheet1!$A$1:$E$31,4,FALSE),0)</f>
        <v>0</v>
      </c>
      <c r="K7" s="5">
        <f>IFERROR(VLOOKUP($A7,[14]Sheet1!$A$1:$E$31,5,FALSE),0)</f>
        <v>0</v>
      </c>
    </row>
    <row r="8" spans="1:11">
      <c r="A8" s="5" t="s">
        <v>17</v>
      </c>
      <c r="B8" s="2" t="s">
        <v>130</v>
      </c>
      <c r="C8" s="7" t="str">
        <f t="shared" si="0"/>
        <v/>
      </c>
      <c r="D8" s="7" t="str">
        <f t="shared" si="1"/>
        <v/>
      </c>
      <c r="E8" s="7" t="str">
        <f t="shared" si="2"/>
        <v/>
      </c>
      <c r="F8" s="4">
        <f>IFERROR(VLOOKUP($A8,[13]Sheet1!$A$1:$E$32,3,),0)</f>
        <v>0</v>
      </c>
      <c r="G8" s="4">
        <f>IFERROR(VLOOKUP($A8,[13]Sheet1!$A$1:$E$32,4,),0)</f>
        <v>0</v>
      </c>
      <c r="H8" s="4">
        <f>IFERROR(VLOOKUP($A8,[13]Sheet1!$A$1:$E$32,5,),0)</f>
        <v>0</v>
      </c>
      <c r="I8" s="5">
        <f>IFERROR(VLOOKUP($A8,[14]Sheet1!$A$1:$E$31,3,FALSE),0)</f>
        <v>0</v>
      </c>
      <c r="J8" s="5">
        <f>IFERROR(VLOOKUP($A8,[14]Sheet1!$A$1:$E$31,4,FALSE),0)</f>
        <v>0</v>
      </c>
      <c r="K8" s="5">
        <f>IFERROR(VLOOKUP($A8,[14]Sheet1!$A$1:$E$31,5,FALSE),0)</f>
        <v>0</v>
      </c>
    </row>
    <row r="9" spans="1:11">
      <c r="A9" s="5" t="s">
        <v>18</v>
      </c>
      <c r="B9" s="2" t="s">
        <v>130</v>
      </c>
      <c r="C9" s="7">
        <f t="shared" si="0"/>
        <v>0.14248943265316047</v>
      </c>
      <c r="D9" s="7">
        <f t="shared" si="1"/>
        <v>-5.3667509008621614</v>
      </c>
      <c r="E9" s="7">
        <f t="shared" si="2"/>
        <v>2.9017202303419518</v>
      </c>
      <c r="F9" s="4">
        <f>IFERROR(VLOOKUP($A9,[13]Sheet1!$A$1:$E$32,3,),0)</f>
        <v>209335.19785806537</v>
      </c>
      <c r="G9" s="4">
        <f>IFERROR(VLOOKUP($A9,[13]Sheet1!$A$1:$E$32,4,),0)</f>
        <v>124502.02524583042</v>
      </c>
      <c r="H9" s="4">
        <f>IFERROR(VLOOKUP($A9,[13]Sheet1!$A$1:$E$32,5,),0)</f>
        <v>-7898.757895514369</v>
      </c>
      <c r="I9" s="5">
        <f>IFERROR(VLOOKUP($A9,[14]Sheet1!$A$1:$E$31,3,FALSE),0)</f>
        <v>244119.67132458091</v>
      </c>
      <c r="J9" s="5">
        <f>IFERROR(VLOOKUP($A9,[14]Sheet1!$A$1:$E$31,4,FALSE),0)</f>
        <v>19555.033200524747</v>
      </c>
      <c r="K9" s="5">
        <f>IFERROR(VLOOKUP($A9,[14]Sheet1!$A$1:$E$31,5,FALSE),0)</f>
        <v>4153.4805012270808</v>
      </c>
    </row>
    <row r="10" spans="1:11">
      <c r="A10" s="5" t="s">
        <v>19</v>
      </c>
      <c r="B10" s="2" t="s">
        <v>130</v>
      </c>
      <c r="C10" s="7" t="str">
        <f t="shared" si="0"/>
        <v/>
      </c>
      <c r="D10" s="7" t="str">
        <f t="shared" si="1"/>
        <v/>
      </c>
      <c r="E10" s="7" t="str">
        <f t="shared" si="2"/>
        <v/>
      </c>
      <c r="F10" s="4">
        <f>IFERROR(VLOOKUP($A10,[13]Sheet1!$A$1:$E$32,3,),0)</f>
        <v>0</v>
      </c>
      <c r="G10" s="4">
        <f>IFERROR(VLOOKUP($A10,[13]Sheet1!$A$1:$E$32,4,),0)</f>
        <v>0</v>
      </c>
      <c r="H10" s="4">
        <f>IFERROR(VLOOKUP($A10,[13]Sheet1!$A$1:$E$32,5,),0)</f>
        <v>0</v>
      </c>
      <c r="I10" s="5">
        <f>IFERROR(VLOOKUP($A10,[14]Sheet1!$A$1:$E$31,3,FALSE),0)</f>
        <v>0</v>
      </c>
      <c r="J10" s="5">
        <f>IFERROR(VLOOKUP($A10,[14]Sheet1!$A$1:$E$31,4,FALSE),0)</f>
        <v>0</v>
      </c>
      <c r="K10" s="5">
        <f>IFERROR(VLOOKUP($A10,[14]Sheet1!$A$1:$E$31,5,FALSE),0)</f>
        <v>0</v>
      </c>
    </row>
    <row r="11" spans="1:11">
      <c r="A11" s="5" t="s">
        <v>12</v>
      </c>
      <c r="B11" s="2" t="s">
        <v>130</v>
      </c>
      <c r="C11" s="7">
        <f t="shared" si="0"/>
        <v>0.15832817530929169</v>
      </c>
      <c r="D11" s="7">
        <f t="shared" si="1"/>
        <v>1</v>
      </c>
      <c r="E11" s="7">
        <f t="shared" si="2"/>
        <v>-15.516771007025225</v>
      </c>
      <c r="F11" s="4">
        <f>IFERROR(VLOOKUP($A11,[13]Sheet1!$A$1:$E$32,3,),0)</f>
        <v>29034.039757028222</v>
      </c>
      <c r="G11" s="4">
        <f>IFERROR(VLOOKUP($A11,[13]Sheet1!$A$1:$E$32,4,),0)</f>
        <v>0</v>
      </c>
      <c r="H11" s="4">
        <f>IFERROR(VLOOKUP($A11,[13]Sheet1!$A$1:$E$32,5,),0)</f>
        <v>3493.7579210475087</v>
      </c>
      <c r="I11" s="5">
        <f>IFERROR(VLOOKUP($A11,[14]Sheet1!$A$1:$E$31,3,FALSE),0)</f>
        <v>34495.677418805659</v>
      </c>
      <c r="J11" s="5">
        <f>IFERROR(VLOOKUP($A11,[14]Sheet1!$A$1:$E$31,4,FALSE),0)</f>
        <v>-2.0489096641540527E-8</v>
      </c>
      <c r="K11" s="5">
        <f>IFERROR(VLOOKUP($A11,[14]Sheet1!$A$1:$E$31,5,FALSE),0)</f>
        <v>211.5279021281749</v>
      </c>
    </row>
    <row r="12" spans="1:11">
      <c r="A12" s="5" t="s">
        <v>13</v>
      </c>
      <c r="B12" s="2" t="s">
        <v>130</v>
      </c>
      <c r="C12" s="7">
        <f t="shared" si="0"/>
        <v>9.2636754167730539E-2</v>
      </c>
      <c r="D12" s="7">
        <f t="shared" si="1"/>
        <v>1</v>
      </c>
      <c r="E12" s="7">
        <f t="shared" si="2"/>
        <v>92.979086940958481</v>
      </c>
      <c r="F12" s="4">
        <f>IFERROR(VLOOKUP($A12,[13]Sheet1!$A$1:$E$32,3,),0)</f>
        <v>33000.262261740863</v>
      </c>
      <c r="G12" s="4">
        <f>IFERROR(VLOOKUP($A12,[13]Sheet1!$A$1:$E$32,4,),0)</f>
        <v>0</v>
      </c>
      <c r="H12" s="4">
        <f>IFERROR(VLOOKUP($A12,[13]Sheet1!$A$1:$E$32,5,),0)</f>
        <v>3707.226788893342</v>
      </c>
      <c r="I12" s="5">
        <f>IFERROR(VLOOKUP($A12,[14]Sheet1!$A$1:$E$31,3,FALSE),0)</f>
        <v>36369.405983015895</v>
      </c>
      <c r="J12" s="5">
        <f>IFERROR(VLOOKUP($A12,[14]Sheet1!$A$1:$E$31,4,FALSE),0)</f>
        <v>4.0978193283081055E-8</v>
      </c>
      <c r="K12" s="5">
        <f>IFERROR(VLOOKUP($A12,[14]Sheet1!$A$1:$E$31,5,FALSE),0)</f>
        <v>-40.305105347186327</v>
      </c>
    </row>
    <row r="13" spans="1:11">
      <c r="A13" s="5" t="s">
        <v>11</v>
      </c>
      <c r="B13" s="2" t="s">
        <v>130</v>
      </c>
      <c r="C13" s="7">
        <f t="shared" si="0"/>
        <v>-5.8337403377847634</v>
      </c>
      <c r="D13" s="7">
        <f t="shared" si="1"/>
        <v>1</v>
      </c>
      <c r="E13" s="7">
        <f t="shared" si="2"/>
        <v>5.8895220251617454E-2</v>
      </c>
      <c r="F13" s="4">
        <f>IFERROR(VLOOKUP($A13,[13]Sheet1!$A$1:$E$32,3,),0)</f>
        <v>133.08218123941333</v>
      </c>
      <c r="G13" s="4">
        <f>IFERROR(VLOOKUP($A13,[13]Sheet1!$A$1:$E$32,4,),0)</f>
        <v>0</v>
      </c>
      <c r="H13" s="4">
        <f>IFERROR(VLOOKUP($A13,[13]Sheet1!$A$1:$E$32,5,),0)</f>
        <v>-15.007334148336668</v>
      </c>
      <c r="I13" s="5">
        <f>IFERROR(VLOOKUP($A13,[14]Sheet1!$A$1:$E$31,3,FALSE),0)</f>
        <v>19.474281237111427</v>
      </c>
      <c r="J13" s="5">
        <f>IFERROR(VLOOKUP($A13,[14]Sheet1!$A$1:$E$31,4,FALSE),0)</f>
        <v>-6.9441739469766617E-8</v>
      </c>
      <c r="K13" s="5">
        <f>IFERROR(VLOOKUP($A13,[14]Sheet1!$A$1:$E$31,5,FALSE),0)</f>
        <v>-15.946507202257635</v>
      </c>
    </row>
    <row r="14" spans="1:11">
      <c r="A14" s="5" t="s">
        <v>20</v>
      </c>
      <c r="B14" s="2" t="s">
        <v>130</v>
      </c>
      <c r="C14" s="7" t="str">
        <f t="shared" si="0"/>
        <v/>
      </c>
      <c r="D14" s="7" t="str">
        <f t="shared" si="1"/>
        <v/>
      </c>
      <c r="E14" s="7" t="str">
        <f t="shared" si="2"/>
        <v/>
      </c>
      <c r="F14" s="4">
        <f>IFERROR(VLOOKUP($A14,[13]Sheet1!$A$1:$E$32,3,),0)</f>
        <v>0</v>
      </c>
      <c r="G14" s="4">
        <f>IFERROR(VLOOKUP($A14,[13]Sheet1!$A$1:$E$32,4,),0)</f>
        <v>0</v>
      </c>
      <c r="H14" s="4">
        <f>IFERROR(VLOOKUP($A14,[13]Sheet1!$A$1:$E$32,5,),0)</f>
        <v>0</v>
      </c>
      <c r="I14" s="5">
        <f>IFERROR(VLOOKUP($A14,[14]Sheet1!$A$1:$E$31,3,FALSE),0)</f>
        <v>0</v>
      </c>
      <c r="J14" s="5">
        <f>IFERROR(VLOOKUP($A14,[14]Sheet1!$A$1:$E$31,4,FALSE),0)</f>
        <v>0</v>
      </c>
      <c r="K14" s="5">
        <f>IFERROR(VLOOKUP($A14,[14]Sheet1!$A$1:$E$31,5,FALSE),0)</f>
        <v>0</v>
      </c>
    </row>
    <row r="15" spans="1:11">
      <c r="A15" s="5" t="s">
        <v>10</v>
      </c>
      <c r="B15" s="2" t="s">
        <v>130</v>
      </c>
      <c r="C15" s="7">
        <f t="shared" si="0"/>
        <v>8.6142093436831851E-2</v>
      </c>
      <c r="D15" s="7">
        <f t="shared" si="1"/>
        <v>-1.1101698336986481</v>
      </c>
      <c r="E15" s="7">
        <f t="shared" si="2"/>
        <v>-2.189830281891131</v>
      </c>
      <c r="F15" s="4">
        <f>IFERROR(VLOOKUP($A15,[13]Sheet1!$A$1:$E$32,3,),0)</f>
        <v>18515.826002130285</v>
      </c>
      <c r="G15" s="4">
        <f>IFERROR(VLOOKUP($A15,[13]Sheet1!$A$1:$E$32,4,),0)</f>
        <v>32256.645313886926</v>
      </c>
      <c r="H15" s="4">
        <f>IFERROR(VLOOKUP($A15,[13]Sheet1!$A$1:$E$32,5,),0)</f>
        <v>6067.5218411516398</v>
      </c>
      <c r="I15" s="5">
        <f>IFERROR(VLOOKUP($A15,[14]Sheet1!$A$1:$E$31,3,FALSE),0)</f>
        <v>20261.165186789818</v>
      </c>
      <c r="J15" s="5">
        <f>IFERROR(VLOOKUP($A15,[14]Sheet1!$A$1:$E$31,4,FALSE),0)</f>
        <v>15286.279236277565</v>
      </c>
      <c r="K15" s="5">
        <f>IFERROR(VLOOKUP($A15,[14]Sheet1!$A$1:$E$31,5,FALSE),0)</f>
        <v>1902.1456644879654</v>
      </c>
    </row>
    <row r="16" spans="1:11">
      <c r="A16" s="5" t="s">
        <v>6</v>
      </c>
      <c r="B16" s="2" t="s">
        <v>130</v>
      </c>
      <c r="C16" s="7">
        <f t="shared" si="0"/>
        <v>-8.0346780426657424E-2</v>
      </c>
      <c r="D16" s="7">
        <f t="shared" si="1"/>
        <v>-0.98873825938362903</v>
      </c>
      <c r="E16" s="7">
        <f t="shared" si="2"/>
        <v>307.21518570277715</v>
      </c>
      <c r="F16" s="4">
        <f>IFERROR(VLOOKUP($A16,[13]Sheet1!$A$1:$E$32,3,),0)</f>
        <v>80492.636235065758</v>
      </c>
      <c r="G16" s="4">
        <f>IFERROR(VLOOKUP($A16,[13]Sheet1!$A$1:$E$32,4,),0)</f>
        <v>25187.998581156135</v>
      </c>
      <c r="H16" s="4">
        <f>IFERROR(VLOOKUP($A16,[13]Sheet1!$A$1:$E$32,5,),0)</f>
        <v>2143.3282183557749</v>
      </c>
      <c r="I16" s="5">
        <f>IFERROR(VLOOKUP($A16,[14]Sheet1!$A$1:$E$31,3,FALSE),0)</f>
        <v>74506.295287219808</v>
      </c>
      <c r="J16" s="5">
        <f>IFERROR(VLOOKUP($A16,[14]Sheet1!$A$1:$E$31,4,FALSE),0)</f>
        <v>12665.316042626277</v>
      </c>
      <c r="K16" s="5">
        <f>IFERROR(VLOOKUP($A16,[14]Sheet1!$A$1:$E$31,5,FALSE),0)</f>
        <v>-6.999418443068862</v>
      </c>
    </row>
    <row r="17" spans="1:11">
      <c r="A17" s="5" t="s">
        <v>21</v>
      </c>
      <c r="B17" s="2" t="s">
        <v>130</v>
      </c>
      <c r="C17" s="7" t="str">
        <f t="shared" si="0"/>
        <v/>
      </c>
      <c r="D17" s="7" t="str">
        <f t="shared" si="1"/>
        <v/>
      </c>
      <c r="E17" s="7" t="str">
        <f t="shared" si="2"/>
        <v/>
      </c>
      <c r="F17" s="4">
        <f>IFERROR(VLOOKUP($A17,[13]Sheet1!$A$1:$E$32,3,),0)</f>
        <v>0</v>
      </c>
      <c r="G17" s="4">
        <f>IFERROR(VLOOKUP($A17,[13]Sheet1!$A$1:$E$32,4,),0)</f>
        <v>0</v>
      </c>
      <c r="H17" s="4">
        <f>IFERROR(VLOOKUP($A17,[13]Sheet1!$A$1:$E$32,5,),0)</f>
        <v>0</v>
      </c>
      <c r="I17" s="5">
        <f>IFERROR(VLOOKUP($A17,[14]Sheet1!$A$1:$E$31,3,FALSE),0)</f>
        <v>0</v>
      </c>
      <c r="J17" s="5">
        <f>IFERROR(VLOOKUP($A17,[14]Sheet1!$A$1:$E$31,4,FALSE),0)</f>
        <v>0</v>
      </c>
      <c r="K17" s="5">
        <f>IFERROR(VLOOKUP($A17,[14]Sheet1!$A$1:$E$31,5,FALSE),0)</f>
        <v>0</v>
      </c>
    </row>
    <row r="18" spans="1:11">
      <c r="A18" s="5" t="s">
        <v>9</v>
      </c>
      <c r="B18" s="2" t="s">
        <v>130</v>
      </c>
      <c r="C18" s="7">
        <f t="shared" si="0"/>
        <v>-1.3192749281231065E-2</v>
      </c>
      <c r="D18" s="7">
        <f t="shared" si="1"/>
        <v>-0.33180644078617555</v>
      </c>
      <c r="E18" s="7">
        <f t="shared" si="2"/>
        <v>99.0601304283622</v>
      </c>
      <c r="F18" s="4">
        <f>IFERROR(VLOOKUP($A18,[13]Sheet1!$A$1:$E$32,3,),0)</f>
        <v>343590.54698675871</v>
      </c>
      <c r="G18" s="4">
        <f>IFERROR(VLOOKUP($A18,[13]Sheet1!$A$1:$E$32,4,),0)</f>
        <v>156219.39463114738</v>
      </c>
      <c r="H18" s="4">
        <f>IFERROR(VLOOKUP($A18,[13]Sheet1!$A$1:$E$32,5,),0)</f>
        <v>27679.581424109638</v>
      </c>
      <c r="I18" s="5">
        <f>IFERROR(VLOOKUP($A18,[14]Sheet1!$A$1:$E$31,3,FALSE),0)</f>
        <v>339116.66583728045</v>
      </c>
      <c r="J18" s="5">
        <f>IFERROR(VLOOKUP($A18,[14]Sheet1!$A$1:$E$31,4,FALSE),0)</f>
        <v>117298.87305465341</v>
      </c>
      <c r="K18" s="5">
        <f>IFERROR(VLOOKUP($A18,[14]Sheet1!$A$1:$E$31,5,FALSE),0)</f>
        <v>-282.27151343971491</v>
      </c>
    </row>
    <row r="19" spans="1:11">
      <c r="A19" s="5" t="s">
        <v>22</v>
      </c>
      <c r="B19" s="2" t="s">
        <v>130</v>
      </c>
      <c r="C19" s="7" t="str">
        <f t="shared" si="0"/>
        <v/>
      </c>
      <c r="D19" s="7" t="str">
        <f t="shared" si="1"/>
        <v/>
      </c>
      <c r="E19" s="7" t="str">
        <f t="shared" si="2"/>
        <v/>
      </c>
      <c r="F19" s="4">
        <f>IFERROR(VLOOKUP($A19,[13]Sheet1!$A$1:$E$32,3,),0)</f>
        <v>0</v>
      </c>
      <c r="G19" s="4">
        <f>IFERROR(VLOOKUP($A19,[13]Sheet1!$A$1:$E$32,4,),0)</f>
        <v>0</v>
      </c>
      <c r="H19" s="4">
        <f>IFERROR(VLOOKUP($A19,[13]Sheet1!$A$1:$E$32,5,),0)</f>
        <v>0</v>
      </c>
      <c r="I19" s="5">
        <f>IFERROR(VLOOKUP($A19,[14]Sheet1!$A$1:$E$31,3,FALSE),0)</f>
        <v>0</v>
      </c>
      <c r="J19" s="5">
        <f>IFERROR(VLOOKUP($A19,[14]Sheet1!$A$1:$E$31,4,FALSE),0)</f>
        <v>0</v>
      </c>
      <c r="K19" s="5">
        <f>IFERROR(VLOOKUP($A19,[14]Sheet1!$A$1:$E$31,5,FALSE),0)</f>
        <v>0</v>
      </c>
    </row>
    <row r="20" spans="1:11">
      <c r="A20" s="5" t="s">
        <v>8</v>
      </c>
      <c r="B20" s="2" t="s">
        <v>130</v>
      </c>
      <c r="C20" s="7">
        <f t="shared" si="0"/>
        <v>7.6101243004246047E-2</v>
      </c>
      <c r="D20" s="7">
        <f t="shared" si="1"/>
        <v>1</v>
      </c>
      <c r="E20" s="7">
        <f t="shared" si="2"/>
        <v>78.199792575910493</v>
      </c>
      <c r="F20" s="4">
        <f>IFERROR(VLOOKUP($A20,[13]Sheet1!$A$1:$E$32,3,),0)</f>
        <v>216552.58936235309</v>
      </c>
      <c r="G20" s="4">
        <f>IFERROR(VLOOKUP($A20,[13]Sheet1!$A$1:$E$32,4,),0)</f>
        <v>0</v>
      </c>
      <c r="H20" s="4">
        <f>IFERROR(VLOOKUP($A20,[13]Sheet1!$A$1:$E$32,5,),0)</f>
        <v>22809.204880639911</v>
      </c>
      <c r="I20" s="5">
        <f>IFERROR(VLOOKUP($A20,[14]Sheet1!$A$1:$E$31,3,FALSE),0)</f>
        <v>234389.95639145374</v>
      </c>
      <c r="J20" s="5">
        <f>IFERROR(VLOOKUP($A20,[14]Sheet1!$A$1:$E$31,4,FALSE),0)</f>
        <v>-1.2367963790893555E-6</v>
      </c>
      <c r="K20" s="5">
        <f>IFERROR(VLOOKUP($A20,[14]Sheet1!$A$1:$E$31,5,FALSE),0)</f>
        <v>-295.45681561529636</v>
      </c>
    </row>
    <row r="21" spans="1:11">
      <c r="A21" s="5" t="s">
        <v>23</v>
      </c>
      <c r="B21" s="2" t="s">
        <v>130</v>
      </c>
      <c r="C21" s="7" t="str">
        <f t="shared" si="0"/>
        <v/>
      </c>
      <c r="D21" s="7" t="str">
        <f t="shared" si="1"/>
        <v/>
      </c>
      <c r="E21" s="7" t="str">
        <f t="shared" si="2"/>
        <v/>
      </c>
      <c r="F21" s="4">
        <f>IFERROR(VLOOKUP($A21,[13]Sheet1!$A$1:$E$32,3,),0)</f>
        <v>0</v>
      </c>
      <c r="G21" s="4">
        <f>IFERROR(VLOOKUP($A21,[13]Sheet1!$A$1:$E$32,4,),0)</f>
        <v>0</v>
      </c>
      <c r="H21" s="4">
        <f>IFERROR(VLOOKUP($A21,[13]Sheet1!$A$1:$E$32,5,),0)</f>
        <v>0</v>
      </c>
      <c r="I21" s="5">
        <f>IFERROR(VLOOKUP($A21,[14]Sheet1!$A$1:$E$31,3,FALSE),0)</f>
        <v>0</v>
      </c>
      <c r="J21" s="5">
        <f>IFERROR(VLOOKUP($A21,[14]Sheet1!$A$1:$E$31,4,FALSE),0)</f>
        <v>0</v>
      </c>
      <c r="K21" s="5">
        <f>IFERROR(VLOOKUP($A21,[14]Sheet1!$A$1:$E$31,5,FALSE),0)</f>
        <v>0</v>
      </c>
    </row>
    <row r="22" spans="1:11">
      <c r="A22" s="5" t="s">
        <v>24</v>
      </c>
      <c r="B22" s="2" t="s">
        <v>130</v>
      </c>
      <c r="C22" s="7" t="str">
        <f t="shared" si="0"/>
        <v/>
      </c>
      <c r="D22" s="7" t="str">
        <f t="shared" si="1"/>
        <v/>
      </c>
      <c r="E22" s="7" t="str">
        <f t="shared" si="2"/>
        <v/>
      </c>
      <c r="F22" s="4">
        <f>IFERROR(VLOOKUP($A22,[13]Sheet1!$A$1:$E$32,3,),0)</f>
        <v>0</v>
      </c>
      <c r="G22" s="4">
        <f>IFERROR(VLOOKUP($A22,[13]Sheet1!$A$1:$E$32,4,),0)</f>
        <v>0</v>
      </c>
      <c r="H22" s="4">
        <f>IFERROR(VLOOKUP($A22,[13]Sheet1!$A$1:$E$32,5,),0)</f>
        <v>0</v>
      </c>
      <c r="I22" s="5">
        <f>IFERROR(VLOOKUP($A22,[14]Sheet1!$A$1:$E$31,3,FALSE),0)</f>
        <v>0</v>
      </c>
      <c r="J22" s="5">
        <f>IFERROR(VLOOKUP($A22,[14]Sheet1!$A$1:$E$31,4,FALSE),0)</f>
        <v>0</v>
      </c>
      <c r="K22" s="5">
        <f>IFERROR(VLOOKUP($A22,[14]Sheet1!$A$1:$E$31,5,FALSE),0)</f>
        <v>0</v>
      </c>
    </row>
    <row r="23" spans="1:11">
      <c r="D23" s="4"/>
    </row>
    <row r="24" spans="1:11">
      <c r="D24" s="4"/>
    </row>
    <row r="25" spans="1:11">
      <c r="D25" s="4"/>
    </row>
    <row r="26" spans="1:11">
      <c r="D26" s="4"/>
    </row>
  </sheetData>
  <mergeCells count="5">
    <mergeCell ref="I1:K1"/>
    <mergeCell ref="C1:E2"/>
    <mergeCell ref="I2:K2"/>
    <mergeCell ref="F1:H1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Bond_Risk_IMM</vt:lpstr>
      <vt:lpstr>Bond_Risk_PAR</vt:lpstr>
      <vt:lpstr>Swap_PnL</vt:lpstr>
      <vt:lpstr>Bond_PnL</vt:lpstr>
      <vt:lpstr>Future_PnL</vt:lpstr>
      <vt:lpstr>Swap_Risk_IMM</vt:lpstr>
      <vt:lpstr>Swap_Risk_PAR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SiMian</dc:creator>
  <cp:lastModifiedBy>SiMian</cp:lastModifiedBy>
  <dcterms:created xsi:type="dcterms:W3CDTF">2017-09-28T00:32:59Z</dcterms:created>
  <dcterms:modified xsi:type="dcterms:W3CDTF">2017-10-10T10:27:05Z</dcterms:modified>
</cp:coreProperties>
</file>