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queryTables/queryTable1.xml" ContentType="application/vnd.openxmlformats-officedocument.spreadsheetml.queryTable+xml"/>
  <Override PartName="/xl/queryTables/queryTable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Matt\Documents\MIS301(H)\"/>
    </mc:Choice>
  </mc:AlternateContent>
  <bookViews>
    <workbookView xWindow="0" yWindow="0" windowWidth="19200" windowHeight="7224" firstSheet="2" activeTab="4"/>
  </bookViews>
  <sheets>
    <sheet name="Portfolio" sheetId="1" r:id="rId1"/>
    <sheet name="Initial and Current Prices" sheetId="18" r:id="rId2"/>
    <sheet name="Sold on 1.28.16" sheetId="20" r:id="rId3"/>
    <sheet name="Stocks Sold After 3yrs" sheetId="21" r:id="rId4"/>
    <sheet name="Tables and Charts" sheetId="22" r:id="rId5"/>
    <sheet name="ETFs" sheetId="25" r:id="rId6"/>
    <sheet name="Data Queries" sheetId="17" r:id="rId7"/>
  </sheets>
  <definedNames>
    <definedName name="MSN_MoneyCentral_Investor_Stock_Quotes" localSheetId="6">'Data Queries'!$D$76:$S$93</definedName>
    <definedName name="Yahoo" localSheetId="6">'Data Queries'!$C$3:$O$74</definedName>
  </definedNames>
  <calcPr calcId="152511"/>
  <pivotCaches>
    <pivotCache cacheId="16" r:id="rId8"/>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5" i="18" l="1"/>
  <c r="V4" i="20"/>
  <c r="I7" i="25"/>
  <c r="J7" i="25" s="1"/>
  <c r="I8" i="25"/>
  <c r="I6" i="25"/>
  <c r="J6" i="25" s="1"/>
  <c r="K6" i="25" s="1"/>
  <c r="L43" i="22"/>
  <c r="L42" i="22"/>
  <c r="J8" i="25"/>
  <c r="H7" i="25"/>
  <c r="H8" i="25"/>
  <c r="H6" i="25"/>
  <c r="G7" i="25"/>
  <c r="G8" i="25"/>
  <c r="G6" i="25"/>
  <c r="H26" i="21"/>
  <c r="H25" i="21"/>
  <c r="H24" i="21"/>
  <c r="H22" i="21"/>
  <c r="H21" i="21"/>
  <c r="J5" i="20"/>
  <c r="J6" i="20"/>
  <c r="J7" i="20"/>
  <c r="J8" i="20"/>
  <c r="L8" i="20" s="1"/>
  <c r="J9" i="20"/>
  <c r="J10" i="20"/>
  <c r="K10" i="20" s="1"/>
  <c r="J11" i="20"/>
  <c r="J12" i="20"/>
  <c r="L12" i="20" s="1"/>
  <c r="J13" i="20"/>
  <c r="J14" i="20"/>
  <c r="J15" i="20"/>
  <c r="J4" i="20"/>
  <c r="H5" i="21"/>
  <c r="H6" i="21"/>
  <c r="H7" i="21"/>
  <c r="H8" i="21"/>
  <c r="F8" i="21" s="1"/>
  <c r="H9" i="21"/>
  <c r="H10" i="21"/>
  <c r="J10" i="21" s="1"/>
  <c r="H11" i="21"/>
  <c r="H12" i="21"/>
  <c r="J12" i="21" s="1"/>
  <c r="H13" i="21"/>
  <c r="H14" i="21"/>
  <c r="H15" i="21"/>
  <c r="H4" i="21"/>
  <c r="L27" i="21"/>
  <c r="O26" i="21"/>
  <c r="O25" i="21"/>
  <c r="O23" i="21"/>
  <c r="O24" i="21"/>
  <c r="O22" i="21"/>
  <c r="O21" i="21"/>
  <c r="N22" i="21"/>
  <c r="N24" i="21"/>
  <c r="P24" i="21" s="1"/>
  <c r="Q24" i="21" s="1"/>
  <c r="N25" i="21"/>
  <c r="N26" i="21"/>
  <c r="N21" i="21"/>
  <c r="M24" i="21"/>
  <c r="M25" i="21"/>
  <c r="M26" i="21"/>
  <c r="L22" i="21"/>
  <c r="L23" i="21"/>
  <c r="L24" i="21"/>
  <c r="L25" i="21"/>
  <c r="L26" i="21"/>
  <c r="L21" i="21"/>
  <c r="I22" i="21"/>
  <c r="I23" i="21"/>
  <c r="I24" i="21"/>
  <c r="I25" i="21"/>
  <c r="I26" i="21"/>
  <c r="I21" i="21"/>
  <c r="F26" i="21"/>
  <c r="F25" i="21"/>
  <c r="F24" i="21"/>
  <c r="F22" i="21"/>
  <c r="M22" i="21" s="1"/>
  <c r="F21" i="21"/>
  <c r="M21" i="21" s="1"/>
  <c r="M7" i="21"/>
  <c r="F9" i="21"/>
  <c r="K13" i="21"/>
  <c r="J5" i="21"/>
  <c r="K5" i="21" s="1"/>
  <c r="J6" i="21"/>
  <c r="K6" i="21" s="1"/>
  <c r="J7" i="21"/>
  <c r="J9" i="21"/>
  <c r="K9" i="21" s="1"/>
  <c r="J11" i="21"/>
  <c r="K11" i="21" s="1"/>
  <c r="J13" i="21"/>
  <c r="M13" i="21" s="1"/>
  <c r="J14" i="21"/>
  <c r="K14" i="21" s="1"/>
  <c r="J15" i="21"/>
  <c r="K15" i="21" s="1"/>
  <c r="J4" i="21"/>
  <c r="M4" i="21" s="1"/>
  <c r="F15" i="21"/>
  <c r="F14" i="21"/>
  <c r="F13" i="21"/>
  <c r="F11" i="21"/>
  <c r="F7" i="21"/>
  <c r="K7" i="21" s="1"/>
  <c r="F6" i="21"/>
  <c r="F5" i="21"/>
  <c r="F4" i="21"/>
  <c r="L5" i="20"/>
  <c r="L6" i="20"/>
  <c r="L7" i="20"/>
  <c r="L9" i="20"/>
  <c r="L11" i="20"/>
  <c r="L13" i="20"/>
  <c r="L14" i="20"/>
  <c r="L15" i="20"/>
  <c r="L4" i="20"/>
  <c r="K15" i="20"/>
  <c r="G15" i="20"/>
  <c r="K14" i="20"/>
  <c r="G14" i="20"/>
  <c r="K13" i="20"/>
  <c r="G13" i="20"/>
  <c r="K11" i="20"/>
  <c r="G11" i="20"/>
  <c r="K9" i="20"/>
  <c r="G9" i="20"/>
  <c r="K7" i="20"/>
  <c r="G7" i="20"/>
  <c r="K6" i="20"/>
  <c r="G6" i="20"/>
  <c r="K5" i="20"/>
  <c r="G5" i="20"/>
  <c r="K4" i="20"/>
  <c r="G4" i="20"/>
  <c r="G6" i="18"/>
  <c r="G7" i="18"/>
  <c r="G8" i="18"/>
  <c r="G9" i="18"/>
  <c r="G10" i="18"/>
  <c r="G11" i="18"/>
  <c r="G12" i="18"/>
  <c r="G13" i="18"/>
  <c r="G14" i="18"/>
  <c r="G15" i="18"/>
  <c r="G16" i="18"/>
  <c r="G5" i="18"/>
  <c r="H6" i="18"/>
  <c r="I6" i="18" s="1"/>
  <c r="K6" i="18" s="1"/>
  <c r="H7" i="18"/>
  <c r="I7" i="18" s="1"/>
  <c r="K7" i="18" s="1"/>
  <c r="H8" i="18"/>
  <c r="I8" i="18" s="1"/>
  <c r="K8" i="18" s="1"/>
  <c r="H9" i="18"/>
  <c r="I9" i="18" s="1"/>
  <c r="K9" i="18" s="1"/>
  <c r="H10" i="18"/>
  <c r="I10" i="18" s="1"/>
  <c r="K10" i="18" s="1"/>
  <c r="H11" i="18"/>
  <c r="H12" i="18"/>
  <c r="I12" i="18" s="1"/>
  <c r="K12" i="18" s="1"/>
  <c r="H13" i="18"/>
  <c r="I13" i="18" s="1"/>
  <c r="K13" i="18" s="1"/>
  <c r="H14" i="18"/>
  <c r="I14" i="18" s="1"/>
  <c r="K14" i="18" s="1"/>
  <c r="H15" i="18"/>
  <c r="I15" i="18" s="1"/>
  <c r="K15" i="18" s="1"/>
  <c r="H16" i="18"/>
  <c r="I16" i="18" s="1"/>
  <c r="K16" i="18" s="1"/>
  <c r="H5" i="18"/>
  <c r="I5" i="18" s="1"/>
  <c r="K5" i="18" s="1"/>
  <c r="D16" i="18"/>
  <c r="D15" i="18"/>
  <c r="D14" i="18"/>
  <c r="D13" i="18"/>
  <c r="D12" i="18"/>
  <c r="I11" i="18"/>
  <c r="K11" i="18" s="1"/>
  <c r="D11" i="18"/>
  <c r="D10" i="18"/>
  <c r="D9" i="18"/>
  <c r="D8" i="18"/>
  <c r="D7" i="18"/>
  <c r="D6" i="18"/>
  <c r="D5" i="18"/>
  <c r="K8" i="25" l="1"/>
  <c r="K7" i="25"/>
  <c r="J9" i="25"/>
  <c r="N43" i="22" s="1"/>
  <c r="G9" i="25"/>
  <c r="P26" i="21"/>
  <c r="Q26" i="21" s="1"/>
  <c r="P22" i="21"/>
  <c r="Q22" i="21" s="1"/>
  <c r="N4" i="20"/>
  <c r="O4" i="20" s="1"/>
  <c r="P4" i="20" s="1"/>
  <c r="P25" i="21"/>
  <c r="Q25" i="21" s="1"/>
  <c r="P21" i="21"/>
  <c r="Q21" i="21" s="1"/>
  <c r="H23" i="21"/>
  <c r="L10" i="20"/>
  <c r="N10" i="20" s="1"/>
  <c r="O10" i="20" s="1"/>
  <c r="P10" i="20" s="1"/>
  <c r="G10" i="20"/>
  <c r="F10" i="21"/>
  <c r="K10" i="21" s="1"/>
  <c r="G8" i="20"/>
  <c r="G12" i="20"/>
  <c r="K8" i="20"/>
  <c r="K12" i="20"/>
  <c r="N13" i="21"/>
  <c r="O13" i="21"/>
  <c r="M14" i="21"/>
  <c r="M6" i="21"/>
  <c r="N7" i="21"/>
  <c r="O7" i="21" s="1"/>
  <c r="F12" i="21"/>
  <c r="F16" i="21" s="1"/>
  <c r="J8" i="21"/>
  <c r="M8" i="21" s="1"/>
  <c r="N4" i="21"/>
  <c r="O4" i="21"/>
  <c r="K4" i="21"/>
  <c r="L5" i="18"/>
  <c r="N42" i="22" s="1"/>
  <c r="I17" i="18"/>
  <c r="G17" i="18"/>
  <c r="I27" i="21"/>
  <c r="N13" i="20"/>
  <c r="N9" i="20"/>
  <c r="O9" i="20" s="1"/>
  <c r="N5" i="20"/>
  <c r="O5" i="20" s="1"/>
  <c r="N14" i="20"/>
  <c r="O14" i="20" s="1"/>
  <c r="N6" i="20"/>
  <c r="O6" i="20" s="1"/>
  <c r="N12" i="20"/>
  <c r="O12" i="20" s="1"/>
  <c r="N8" i="20"/>
  <c r="O8" i="20" s="1"/>
  <c r="N15" i="20"/>
  <c r="O15" i="20" s="1"/>
  <c r="N11" i="20"/>
  <c r="O11" i="20" s="1"/>
  <c r="N7" i="20"/>
  <c r="K16" i="20"/>
  <c r="L6" i="25" l="1"/>
  <c r="M43" i="22" s="1"/>
  <c r="M6" i="25"/>
  <c r="F23" i="21"/>
  <c r="M23" i="21" s="1"/>
  <c r="M27" i="21" s="1"/>
  <c r="N23" i="21"/>
  <c r="P23" i="21" s="1"/>
  <c r="H16" i="20"/>
  <c r="K8" i="21"/>
  <c r="N6" i="21"/>
  <c r="O6" i="21" s="1"/>
  <c r="P15" i="21" s="1"/>
  <c r="K12" i="21"/>
  <c r="N8" i="21"/>
  <c r="O8" i="21"/>
  <c r="O14" i="21"/>
  <c r="N14" i="21"/>
  <c r="L7" i="21"/>
  <c r="L8" i="21"/>
  <c r="L12" i="21"/>
  <c r="L4" i="21"/>
  <c r="L5" i="21"/>
  <c r="L9" i="21"/>
  <c r="L13" i="21"/>
  <c r="L15" i="21"/>
  <c r="L6" i="21"/>
  <c r="L10" i="21"/>
  <c r="L14" i="21"/>
  <c r="L11" i="21"/>
  <c r="R10" i="20"/>
  <c r="S10" i="20" s="1"/>
  <c r="Q10" i="20"/>
  <c r="R4" i="20"/>
  <c r="Q4" i="20"/>
  <c r="P11" i="20"/>
  <c r="P15" i="20"/>
  <c r="P8" i="20"/>
  <c r="P6" i="20"/>
  <c r="P5" i="20"/>
  <c r="O7" i="20"/>
  <c r="P7" i="20" s="1"/>
  <c r="P12" i="20"/>
  <c r="P14" i="20"/>
  <c r="P9" i="20"/>
  <c r="O13" i="20"/>
  <c r="P13" i="20" s="1"/>
  <c r="J15" i="18"/>
  <c r="Q23" i="21" l="1"/>
  <c r="R21" i="21"/>
  <c r="S21" i="21" s="1"/>
  <c r="S4" i="20"/>
  <c r="R13" i="20"/>
  <c r="S13" i="20" s="1"/>
  <c r="Q13" i="20"/>
  <c r="Q7" i="20"/>
  <c r="R7" i="20"/>
  <c r="S7" i="20" s="1"/>
  <c r="R15" i="20"/>
  <c r="S15" i="20" s="1"/>
  <c r="Q15" i="20"/>
  <c r="R14" i="20"/>
  <c r="S14" i="20" s="1"/>
  <c r="Q14" i="20"/>
  <c r="R6" i="20"/>
  <c r="S6" i="20" s="1"/>
  <c r="Q6" i="20"/>
  <c r="R11" i="20"/>
  <c r="S11" i="20" s="1"/>
  <c r="Q11" i="20"/>
  <c r="R9" i="20"/>
  <c r="S9" i="20" s="1"/>
  <c r="Q9" i="20"/>
  <c r="R5" i="20"/>
  <c r="S5" i="20" s="1"/>
  <c r="Q5" i="20"/>
  <c r="R12" i="20"/>
  <c r="S12" i="20" s="1"/>
  <c r="Q12" i="20"/>
  <c r="R8" i="20"/>
  <c r="S8" i="20" s="1"/>
  <c r="Q8" i="20"/>
  <c r="J13" i="18"/>
  <c r="J14" i="18"/>
  <c r="J8" i="18"/>
  <c r="J11" i="18"/>
  <c r="J16" i="18"/>
  <c r="J10" i="18"/>
  <c r="J7" i="18"/>
  <c r="T4" i="20" l="1"/>
  <c r="U4" i="20" s="1"/>
  <c r="J6" i="18"/>
  <c r="J9" i="18" s="1"/>
  <c r="J12" i="18"/>
  <c r="J5" i="18"/>
  <c r="D17" i="18"/>
  <c r="J17" i="18" l="1"/>
  <c r="M5" i="18"/>
  <c r="M42" i="22" s="1"/>
</calcChain>
</file>

<file path=xl/connections.xml><?xml version="1.0" encoding="utf-8"?>
<connections xmlns="http://schemas.openxmlformats.org/spreadsheetml/2006/main">
  <connection id="1" odcFile="C:\Users\Matt\Documents\My Data Sources\MSN MoneyCentral Investor Stock Quotes.iqy" name="MSN MoneyCentral Investor Stock Quotes" type="4" refreshedVersion="5" background="1" saveData="1">
    <webPr parsePre="1" consecutive="1" xl2000="1" url="http://moneycentral.msn.com/investor/external/excel/quotes.asp?SYMBOL=[&quot;QUOTE&quot;,&quot;Enter stock, fund or other MSN MoneyCentral Investor symbols separated by commas.&quot;]" htmlFormat="all"/>
    <parameters count="1">
      <parameter name="QUOTE" parameterType="value" string="DIA, NASDAQ, FDN"/>
    </parameters>
  </connection>
  <connection id="2" odcFile="C:\Users\Matt\Documents\Yahoo.iqy" name="Yahoo" type="4" refreshedVersion="5" background="1" saveData="1">
    <webPr parsePre="1" consecutive="1" xl2000="1" url="http://finance.yahoo.com/quotes/[&quot;QUOTE&quot;,&quot;Enter stock, fund or other symbols separated by commas.&quot;]" post="Selection=2" htmlTables="1"/>
    <parameters count="1">
      <parameter name="QUOTE" parameterType="value" string="LOGM,SWI,T,RCI,CARB,MSFT,ATVI,EA,COKE,PEP,SNE,AAPL"/>
    </parameters>
  </connection>
</connections>
</file>

<file path=xl/sharedStrings.xml><?xml version="1.0" encoding="utf-8"?>
<sst xmlns="http://schemas.openxmlformats.org/spreadsheetml/2006/main" count="478" uniqueCount="201">
  <si>
    <t>Portfolio</t>
  </si>
  <si>
    <t>Sector</t>
  </si>
  <si>
    <t>Industry</t>
  </si>
  <si>
    <t>Stock</t>
  </si>
  <si>
    <t>Company</t>
  </si>
  <si>
    <t>Technology</t>
  </si>
  <si>
    <t>Application Software</t>
  </si>
  <si>
    <t>LogMein, Inc.</t>
  </si>
  <si>
    <t>LOGM</t>
  </si>
  <si>
    <t>SolarWinds, Inc.</t>
  </si>
  <si>
    <t>SWI</t>
  </si>
  <si>
    <t>Wireless Communications</t>
  </si>
  <si>
    <t>AT&amp;T</t>
  </si>
  <si>
    <t>T</t>
  </si>
  <si>
    <t>Rogers</t>
  </si>
  <si>
    <t>RCI</t>
  </si>
  <si>
    <t>Business Software and Services</t>
  </si>
  <si>
    <t>Carbonite, Inc.</t>
  </si>
  <si>
    <t>CARB</t>
  </si>
  <si>
    <t>Microsoft</t>
  </si>
  <si>
    <t>MSFT</t>
  </si>
  <si>
    <t>Activision Blizzard, Inc.</t>
  </si>
  <si>
    <t>Multimedia and Graphics Software</t>
  </si>
  <si>
    <t>ATVI</t>
  </si>
  <si>
    <t>Electronic Arts Inc.</t>
  </si>
  <si>
    <t>EA</t>
  </si>
  <si>
    <t>COKE</t>
  </si>
  <si>
    <t>Coca-Cola Bottling</t>
  </si>
  <si>
    <t>Consumer Goods</t>
  </si>
  <si>
    <t>Beverages - Soft Drinks</t>
  </si>
  <si>
    <t>Electronic Equipment</t>
  </si>
  <si>
    <t>Sony</t>
  </si>
  <si>
    <t>SNE</t>
  </si>
  <si>
    <t>Apple</t>
  </si>
  <si>
    <t>Initial Investment</t>
  </si>
  <si>
    <t>Starting Cash</t>
  </si>
  <si>
    <t># purchased</t>
  </si>
  <si>
    <t>Transaction Fee</t>
  </si>
  <si>
    <t>Transaction Fees</t>
  </si>
  <si>
    <t>Current Price</t>
  </si>
  <si>
    <t>AAPL</t>
  </si>
  <si>
    <t>Stock Quotes Provided by MSN Money</t>
  </si>
  <si>
    <t xml:space="preserve">Click here to visit MSN Money </t>
  </si>
  <si>
    <t>Last</t>
  </si>
  <si>
    <t>Previous Close</t>
  </si>
  <si>
    <t>High</t>
  </si>
  <si>
    <t>Low</t>
  </si>
  <si>
    <t>Volume</t>
  </si>
  <si>
    <t>Change</t>
  </si>
  <si>
    <t>% Change</t>
  </si>
  <si>
    <t>52 Wk High</t>
  </si>
  <si>
    <t>52 Wk Low</t>
  </si>
  <si>
    <t>Market Cap</t>
  </si>
  <si>
    <t>EPS</t>
  </si>
  <si>
    <t>P/E Ratio</t>
  </si>
  <si>
    <t># Shares Out</t>
  </si>
  <si>
    <t>Chart</t>
  </si>
  <si>
    <t>News</t>
  </si>
  <si>
    <t>N/A</t>
  </si>
  <si>
    <t>MSN Money Home</t>
  </si>
  <si>
    <t xml:space="preserve">Microsoft Office Tools on the Web </t>
  </si>
  <si>
    <t>Discover MSN Money's tools, columns, and more!</t>
  </si>
  <si>
    <t>Get the latest from Microsoft Office</t>
  </si>
  <si>
    <t xml:space="preserve">Terms of Use. © 2014 Microsoft Corporation and/or its suppliers. All rights reserved. </t>
  </si>
  <si>
    <t>DATA PROVIDERS</t>
  </si>
  <si>
    <t>Copyright © 2014 Microsoft. All rights reserved.</t>
  </si>
  <si>
    <t>Fundamental company data and historical chart data provided by Morningstar Inc. Real-time index quotes and delayed quotes supplied by Morningstar Inc. Quotes delayed by up to 15 minutes, except where indicated otherwise. Fund summary, fund performance and dividend data provided by Morningstar Inc. Analyst recommendations provided by Zacks Investment Research. IPO data provided by Hoover's Inc. Index membership data provided by Morningstar Inc.</t>
  </si>
  <si>
    <t xml:space="preserve">AdChoices </t>
  </si>
  <si>
    <t xml:space="preserve">NASDAQ Composite </t>
  </si>
  <si>
    <t>Current Total Value</t>
  </si>
  <si>
    <t>PepsiCo</t>
  </si>
  <si>
    <t>PEP</t>
  </si>
  <si>
    <t>Profits</t>
  </si>
  <si>
    <t>Search Finance</t>
  </si>
  <si>
    <t>Search Web</t>
  </si>
  <si>
    <t>Symbol</t>
  </si>
  <si>
    <t>Time &amp; Price</t>
  </si>
  <si>
    <t>Chg &amp; % Chg</t>
  </si>
  <si>
    <t>Day's Low &amp; High</t>
  </si>
  <si>
    <t>Avg Vol</t>
  </si>
  <si>
    <t>Mkt Cap</t>
  </si>
  <si>
    <t>More Info</t>
  </si>
  <si>
    <t> MSFT</t>
  </si>
  <si>
    <t>04:00pm EST</t>
  </si>
  <si>
    <t>Sparkline Chart</t>
  </si>
  <si>
    <t>Chart, News, Stats, Options, Board</t>
  </si>
  <si>
    <t>day and time</t>
  </si>
  <si>
    <t>symbols</t>
  </si>
  <si>
    <t>news headline and source</t>
  </si>
  <si>
    <t>Today</t>
  </si>
  <si>
    <t> LOGM</t>
  </si>
  <si>
    <t>1.28B</t>
  </si>
  <si>
    <t> SWI</t>
  </si>
  <si>
    <t> T</t>
  </si>
  <si>
    <t> RCI</t>
  </si>
  <si>
    <t>04:02pm EST</t>
  </si>
  <si>
    <t> ATVI</t>
  </si>
  <si>
    <t> EA</t>
  </si>
  <si>
    <t> COKE</t>
  </si>
  <si>
    <t>Chart, News, Stats, Board</t>
  </si>
  <si>
    <t> PEP</t>
  </si>
  <si>
    <t> SNE</t>
  </si>
  <si>
    <t> AAPL</t>
  </si>
  <si>
    <t> CARB</t>
  </si>
  <si>
    <t>Stock Price (On 1/20/11)</t>
  </si>
  <si>
    <t>Yellow indicates between $0 and $25,000</t>
  </si>
  <si>
    <t>Green indicates over $25,000 gain</t>
  </si>
  <si>
    <t>Red indicates negative gain</t>
  </si>
  <si>
    <t>Sell Price</t>
  </si>
  <si>
    <t>$ From Selling</t>
  </si>
  <si>
    <t>Income Tax</t>
  </si>
  <si>
    <t>$ After Tax</t>
  </si>
  <si>
    <t>Amount Sold</t>
  </si>
  <si>
    <t>Profit on Selling</t>
  </si>
  <si>
    <t>Total Value (After Selling)</t>
  </si>
  <si>
    <t>Initial Portfolio Value</t>
  </si>
  <si>
    <t>Percentage Gain (After Selling)</t>
  </si>
  <si>
    <t>Total Portfolio Value (After Selling</t>
  </si>
  <si>
    <t>Portfolio Percentage Gain</t>
  </si>
  <si>
    <t>Stock Price (On 1/21/14)</t>
  </si>
  <si>
    <t>Total Value (1/21/14)</t>
  </si>
  <si>
    <t>Percentage Gain</t>
  </si>
  <si>
    <t>Sell?</t>
  </si>
  <si>
    <t>$ from Selling</t>
  </si>
  <si>
    <t>Tax</t>
  </si>
  <si>
    <t>Portfolio After Reinvesting</t>
  </si>
  <si>
    <t>Total $ For Reinvestment</t>
  </si>
  <si>
    <t>Secondary Investment</t>
  </si>
  <si>
    <t># Purchased</t>
  </si>
  <si>
    <t>Total Invested</t>
  </si>
  <si>
    <t>Total # of Stocks</t>
  </si>
  <si>
    <t>Current Stock Price</t>
  </si>
  <si>
    <t>% Gains by Stock</t>
  </si>
  <si>
    <t>Current Portfolio Value</t>
  </si>
  <si>
    <t>Current Portfolio % Gains</t>
  </si>
  <si>
    <t>Current Total Portfolio Value</t>
  </si>
  <si>
    <t>Current Total Portfolio % Gain</t>
  </si>
  <si>
    <t>Current Percentage Gains</t>
  </si>
  <si>
    <t>Current Gains (Assuming none sold)</t>
  </si>
  <si>
    <t>Grand Total</t>
  </si>
  <si>
    <t>Average of Current Percentage Gains</t>
  </si>
  <si>
    <t>Sum of Initial Investment</t>
  </si>
  <si>
    <t>Sum of Current Total Value</t>
  </si>
  <si>
    <t>Technology Sector</t>
  </si>
  <si>
    <t>Consumer Goods Sector</t>
  </si>
  <si>
    <t>17.32B</t>
  </si>
  <si>
    <t>1.65B</t>
  </si>
  <si>
    <t>4.3B</t>
  </si>
  <si>
    <t>How Apple can get its growth back at USA TODAY02:47pm EST</t>
  </si>
  <si>
    <t>Dividend Aristocrats Part 51: AT&amp;T Inc. (T) at Insider Monkey02:47pm EST</t>
  </si>
  <si>
    <t>4 Quotes Apple, Inc. Investors Shouldn't Overlook at Motley Fool02:45pm EST</t>
  </si>
  <si>
    <t>Microsoft investors brace for revenue slump at MarketWatch02:39pm EST</t>
  </si>
  <si>
    <t>The Fed's going to cut rates, not raise them at MarketWatch02:38pm EST</t>
  </si>
  <si>
    <t>Samsung maintains lead in smartphone market at San Jose Mercury News02:38pm EST</t>
  </si>
  <si>
    <t>Sanders Campaign Burns Microsoft in Iowa at Fortune02:31pm EST</t>
  </si>
  <si>
    <t>Apple gets serious about education, buys student data startup LearnSprout Business Insider02:08pm EST</t>
  </si>
  <si>
    <t>4 Top-Name Stocks Make Notable Moves After Earnings Investors Business Daily Video02:07pm EST</t>
  </si>
  <si>
    <t>Key Takeaways From AT&amp;T's Q4 Results at Forbes02:04pm EST</t>
  </si>
  <si>
    <t xml:space="preserve">SPDR® Dow Jones Industrial Average ETF </t>
  </si>
  <si>
    <t xml:space="preserve">First Trust Dow Jones Internet ETF </t>
  </si>
  <si>
    <t>ETF</t>
  </si>
  <si>
    <t>Dow Jones Industrial Average</t>
  </si>
  <si>
    <t>Nasdaq</t>
  </si>
  <si>
    <t>DJ Internet Index Fund</t>
  </si>
  <si>
    <t>DIA</t>
  </si>
  <si>
    <t>QQQ</t>
  </si>
  <si>
    <t>FDN</t>
  </si>
  <si>
    <t>Purchase Price (1/20/11)</t>
  </si>
  <si>
    <t># of Shares Bought</t>
  </si>
  <si>
    <t>Initial Investment Value</t>
  </si>
  <si>
    <t>Percent Gain</t>
  </si>
  <si>
    <t>Total Percent Gain</t>
  </si>
  <si>
    <t>Total Gain</t>
  </si>
  <si>
    <t>Tech Earnings Week: Amazon Jumps, Facebook Rockets Investors Business Daily Video03:20pm EST</t>
  </si>
  <si>
    <t>Apple (AAPL) Stock Rises on Education-Technology Startup Deal at TheStreet03:12pm EST</t>
  </si>
  <si>
    <t>Apple Is Planning Some Major Product Upgrades at Fortune03:11pm EST</t>
  </si>
  <si>
    <t>Percentage Gains</t>
  </si>
  <si>
    <t>Stocks</t>
  </si>
  <si>
    <t>ETFs</t>
  </si>
  <si>
    <t>Curent Total Value</t>
  </si>
  <si>
    <t>Facebook Price Targets Raised After ‘Blowout’ Q4 Earnings at Investor's Business Daily03:42pm EST</t>
  </si>
  <si>
    <t>Apple Supplier Cirrus Logic Rockets On iPhone 7 Earbud Expectations at Investor's Business Daily03:37pm EST</t>
  </si>
  <si>
    <t>218.58B</t>
  </si>
  <si>
    <t>239.28M</t>
  </si>
  <si>
    <t>415.811B</t>
  </si>
  <si>
    <t>24.71B</t>
  </si>
  <si>
    <t>21.69B</t>
  </si>
  <si>
    <t>141.97B</t>
  </si>
  <si>
    <t>25.59B</t>
  </si>
  <si>
    <t>521.68B</t>
  </si>
  <si>
    <t>AT&amp;T Sees Positive Price Movement over the Trailing 3 Months Market Realist04:07pm EST</t>
  </si>
  <si>
    <t>Microsoft earnings: 78 cents per share, vs expected EPS of 71 cents at CNBC04:06pm EST</t>
  </si>
  <si>
    <t>Apple's iPhone 7 Plus Secret Camera Project Revealed at Forbes04:02pm EST</t>
  </si>
  <si>
    <t>Electronic Arts posts higher revenue, raises full-year forecast Reuters04:01pm EST</t>
  </si>
  <si>
    <t>[$$] Electronic Arts' Profit Buoyed by 'Star Wars Battlefront' at The Wall Street Journal04:01pm EST</t>
  </si>
  <si>
    <t>Electronic Arts Reports Q3 FY16 Financial Results Business Wire04:01pm EST</t>
  </si>
  <si>
    <t>Why Fund Managers Ride the Benchmarks at TheStreet04:00pm EST</t>
  </si>
  <si>
    <t>Instant Analysis: Sony Corp (ADR) Forms a New Division for All Things PlayStation at Motley Fool03:58pm EST</t>
  </si>
  <si>
    <t>LIVE: Microsoft earnings Business Insider03:49pm EST</t>
  </si>
  <si>
    <t>Stocks push higher in volatile trading; Amazon &amp; Microsoft earnings after hours Yahoo Finance03:46pm EST</t>
  </si>
  <si>
    <t>Total Profit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</si>
</sst>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8" formatCode="&quot;$&quot;#,##0.00_);[Red]\(&quot;$&quot;#,##0.00\)"/>
    <numFmt numFmtId="44" formatCode="_(&quot;$&quot;* #,##0.00_);_(&quot;$&quot;* \(#,##0.00\);_(&quot;$&quot;* &quot;-&quot;??_);_(@_)"/>
    <numFmt numFmtId="166" formatCode="&quot;$&quot;#,##0.00"/>
    <numFmt numFmtId="168" formatCode="&quot;$&quot;#,##0"/>
  </numFmts>
  <fonts count="13">
    <font>
      <sz val="11"/>
      <color theme="1"/>
      <name val="Calibri"/>
      <family val="2"/>
      <scheme val="minor"/>
    </font>
    <font>
      <sz val="11"/>
      <color theme="1"/>
      <name val="Calibri"/>
      <family val="2"/>
      <scheme val="minor"/>
    </font>
    <font>
      <sz val="11"/>
      <color theme="1"/>
      <name val="Arial"/>
      <family val="2"/>
    </font>
    <font>
      <sz val="10"/>
      <color theme="1"/>
      <name val="Calibri"/>
      <family val="2"/>
      <scheme val="minor"/>
    </font>
    <font>
      <sz val="14"/>
      <color theme="1"/>
      <name val="Calibri"/>
      <family val="2"/>
      <scheme val="minor"/>
    </font>
    <font>
      <sz val="16"/>
      <color theme="1"/>
      <name val="Calibri"/>
      <family val="2"/>
      <scheme val="minor"/>
    </font>
    <font>
      <b/>
      <sz val="18"/>
      <color rgb="FFFFFFFF"/>
      <name val="Times Roman"/>
    </font>
    <font>
      <sz val="10"/>
      <name val="Arial"/>
      <family val="2"/>
    </font>
    <font>
      <b/>
      <sz val="8"/>
      <name val="Arial"/>
      <family val="2"/>
    </font>
    <font>
      <sz val="10"/>
      <color rgb="FFFFFFFF"/>
      <name val="Arial"/>
      <family val="2"/>
    </font>
    <font>
      <u/>
      <sz val="11"/>
      <color theme="10"/>
      <name val="Calibri"/>
      <family val="2"/>
      <scheme val="minor"/>
    </font>
    <font>
      <sz val="18"/>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000080"/>
        <bgColor indexed="64"/>
      </patternFill>
    </fill>
    <fill>
      <patternFill patternType="solid">
        <fgColor rgb="FFFFFFFF"/>
        <bgColor indexed="64"/>
      </patternFill>
    </fill>
  </fills>
  <borders count="16">
    <border>
      <left/>
      <right/>
      <top/>
      <bottom/>
      <diagonal/>
    </border>
    <border>
      <left/>
      <right/>
      <top style="thin">
        <color indexed="64"/>
      </top>
      <bottom style="medium">
        <color indexed="64"/>
      </bottom>
      <diagonal/>
    </border>
    <border>
      <left/>
      <right/>
      <top style="medium">
        <color indexed="64"/>
      </top>
      <bottom/>
      <diagonal/>
    </border>
    <border>
      <left/>
      <right style="thin">
        <color indexed="64"/>
      </right>
      <top/>
      <bottom/>
      <diagonal/>
    </border>
    <border>
      <left/>
      <right style="thin">
        <color indexed="64"/>
      </right>
      <top style="thin">
        <color indexed="64"/>
      </top>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rgb="FF000000"/>
      </right>
      <top style="medium">
        <color indexed="64"/>
      </top>
      <bottom/>
      <diagonal/>
    </border>
    <border>
      <left/>
      <right style="medium">
        <color rgb="FF000000"/>
      </right>
      <top/>
      <bottom style="medium">
        <color indexed="64"/>
      </bottom>
      <diagonal/>
    </border>
    <border>
      <left/>
      <right/>
      <top/>
      <bottom style="medium">
        <color indexed="64"/>
      </bottom>
      <diagonal/>
    </border>
    <border>
      <left/>
      <right style="medium">
        <color indexed="64"/>
      </right>
      <top/>
      <bottom/>
      <diagonal/>
    </border>
    <border>
      <left style="medium">
        <color indexed="64"/>
      </left>
      <right/>
      <top/>
      <bottom style="medium">
        <color indexed="64"/>
      </bottom>
      <diagonal/>
    </border>
  </borders>
  <cellStyleXfs count="3">
    <xf numFmtId="0" fontId="0" fillId="0" borderId="0"/>
    <xf numFmtId="44" fontId="1" fillId="0" borderId="0" applyFont="0" applyFill="0" applyBorder="0" applyAlignment="0" applyProtection="0"/>
    <xf numFmtId="0" fontId="10" fillId="0" borderId="0" applyNumberFormat="0" applyFill="0" applyBorder="0" applyAlignment="0" applyProtection="0"/>
  </cellStyleXfs>
  <cellXfs count="47">
    <xf numFmtId="0" fontId="0" fillId="0" borderId="0" xfId="0"/>
    <xf numFmtId="0" fontId="2" fillId="0" borderId="0" xfId="0" applyFont="1"/>
    <xf numFmtId="0" fontId="4" fillId="0" borderId="0" xfId="0" applyFont="1"/>
    <xf numFmtId="6" fontId="0" fillId="0" borderId="0" xfId="0" applyNumberFormat="1"/>
    <xf numFmtId="0" fontId="5" fillId="0" borderId="0" xfId="0" applyFont="1"/>
    <xf numFmtId="8" fontId="0" fillId="0" borderId="0" xfId="0" applyNumberFormat="1"/>
    <xf numFmtId="166" fontId="0" fillId="0" borderId="0" xfId="0" applyNumberFormat="1"/>
    <xf numFmtId="168" fontId="0" fillId="0" borderId="0" xfId="0" applyNumberFormat="1"/>
    <xf numFmtId="3" fontId="0" fillId="0" borderId="0" xfId="0" applyNumberFormat="1"/>
    <xf numFmtId="0" fontId="7" fillId="3" borderId="0" xfId="0" applyFont="1" applyFill="1" applyAlignment="1">
      <alignment horizontal="left" wrapText="1"/>
    </xf>
    <xf numFmtId="0" fontId="7" fillId="3" borderId="0" xfId="0" applyFont="1" applyFill="1" applyAlignment="1">
      <alignment horizontal="center" wrapText="1"/>
    </xf>
    <xf numFmtId="0" fontId="7" fillId="3" borderId="3" xfId="0" applyFont="1" applyFill="1" applyBorder="1" applyAlignment="1">
      <alignment horizontal="center" wrapText="1"/>
    </xf>
    <xf numFmtId="0" fontId="8" fillId="3" borderId="4" xfId="0" applyFont="1" applyFill="1" applyBorder="1" applyAlignment="1">
      <alignment horizontal="right" wrapText="1"/>
    </xf>
    <xf numFmtId="0" fontId="10" fillId="0" borderId="5" xfId="2" applyBorder="1" applyAlignment="1">
      <alignment vertical="top" wrapText="1"/>
    </xf>
    <xf numFmtId="0" fontId="10" fillId="0" borderId="6" xfId="2" applyBorder="1" applyAlignment="1">
      <alignment vertical="top" wrapText="1"/>
    </xf>
    <xf numFmtId="0" fontId="10" fillId="0" borderId="7" xfId="2" applyBorder="1" applyAlignment="1">
      <alignment vertical="top" wrapText="1"/>
    </xf>
    <xf numFmtId="0" fontId="7" fillId="0" borderId="8" xfId="0" applyFont="1" applyBorder="1" applyAlignment="1">
      <alignment horizontal="right" vertical="top" wrapText="1"/>
    </xf>
    <xf numFmtId="0" fontId="7" fillId="0" borderId="9" xfId="0" applyFont="1" applyBorder="1" applyAlignment="1">
      <alignment horizontal="right" vertical="top" wrapText="1"/>
    </xf>
    <xf numFmtId="3" fontId="7" fillId="0" borderId="9" xfId="0" applyNumberFormat="1" applyFont="1" applyBorder="1" applyAlignment="1">
      <alignment horizontal="right" vertical="top" wrapText="1"/>
    </xf>
    <xf numFmtId="10" fontId="7" fillId="0" borderId="9" xfId="0" applyNumberFormat="1" applyFont="1" applyBorder="1" applyAlignment="1">
      <alignment horizontal="right" vertical="top" wrapText="1"/>
    </xf>
    <xf numFmtId="0" fontId="7" fillId="3" borderId="0" xfId="0" applyFont="1" applyFill="1" applyAlignment="1">
      <alignment wrapText="1"/>
    </xf>
    <xf numFmtId="0" fontId="7" fillId="3" borderId="0" xfId="0" applyFont="1" applyFill="1"/>
    <xf numFmtId="0" fontId="7" fillId="3" borderId="14" xfId="0" applyFont="1" applyFill="1" applyBorder="1" applyAlignment="1">
      <alignment horizontal="center"/>
    </xf>
    <xf numFmtId="0" fontId="6" fillId="2" borderId="1" xfId="0" applyFont="1" applyFill="1" applyBorder="1" applyAlignment="1">
      <alignment wrapText="1"/>
    </xf>
    <xf numFmtId="0" fontId="10" fillId="0" borderId="2" xfId="2" applyBorder="1" applyAlignment="1">
      <alignment wrapText="1"/>
    </xf>
    <xf numFmtId="0" fontId="10" fillId="3" borderId="10" xfId="2" applyFill="1" applyBorder="1" applyAlignment="1">
      <alignment horizontal="center" wrapText="1"/>
    </xf>
    <xf numFmtId="0" fontId="10" fillId="3" borderId="2" xfId="2" applyFill="1" applyBorder="1" applyAlignment="1">
      <alignment horizontal="center" wrapText="1"/>
    </xf>
    <xf numFmtId="0" fontId="10" fillId="3" borderId="11" xfId="2" applyFill="1" applyBorder="1" applyAlignment="1">
      <alignment horizontal="center" wrapText="1"/>
    </xf>
    <xf numFmtId="0" fontId="9" fillId="2" borderId="13" xfId="0" applyFont="1" applyFill="1" applyBorder="1" applyAlignment="1">
      <alignment vertical="top" wrapText="1"/>
    </xf>
    <xf numFmtId="0" fontId="9" fillId="2" borderId="12" xfId="0" applyFont="1" applyFill="1" applyBorder="1" applyAlignment="1">
      <alignment vertical="top" wrapText="1"/>
    </xf>
    <xf numFmtId="0" fontId="9" fillId="2" borderId="15" xfId="0" applyFont="1" applyFill="1" applyBorder="1" applyAlignment="1">
      <alignment vertical="top" wrapText="1"/>
    </xf>
    <xf numFmtId="0" fontId="10" fillId="3" borderId="0" xfId="2" applyFill="1" applyAlignment="1">
      <alignment wrapText="1"/>
    </xf>
    <xf numFmtId="0" fontId="3" fillId="0" borderId="0" xfId="0" applyFont="1" applyAlignment="1">
      <alignment horizontal="left" vertical="center" wrapText="1"/>
    </xf>
    <xf numFmtId="0" fontId="0" fillId="0" borderId="0" xfId="0" applyAlignment="1">
      <alignment horizontal="left" vertical="center" wrapText="1"/>
    </xf>
    <xf numFmtId="0" fontId="10" fillId="0" borderId="0" xfId="2"/>
    <xf numFmtId="1" fontId="0" fillId="0" borderId="0" xfId="0" applyNumberFormat="1"/>
    <xf numFmtId="166" fontId="0" fillId="0" borderId="0" xfId="1" applyNumberFormat="1" applyFont="1"/>
    <xf numFmtId="44" fontId="0" fillId="0" borderId="0" xfId="0" applyNumberFormat="1"/>
    <xf numFmtId="44" fontId="4" fillId="0" borderId="0" xfId="0" applyNumberFormat="1" applyFont="1"/>
    <xf numFmtId="10" fontId="0" fillId="0" borderId="0" xfId="0" applyNumberFormat="1"/>
    <xf numFmtId="0" fontId="4" fillId="0" borderId="0" xfId="0" applyNumberFormat="1" applyFont="1"/>
    <xf numFmtId="0" fontId="0" fillId="0" borderId="0" xfId="0" applyNumberFormat="1"/>
    <xf numFmtId="0" fontId="11" fillId="0" borderId="0" xfId="0" applyFont="1"/>
    <xf numFmtId="0" fontId="0" fillId="0" borderId="0" xfId="0" pivotButton="1"/>
    <xf numFmtId="0" fontId="0" fillId="0" borderId="0" xfId="0" applyAlignment="1">
      <alignment horizontal="left"/>
    </xf>
    <xf numFmtId="9" fontId="0" fillId="0" borderId="0" xfId="0" applyNumberFormat="1"/>
    <xf numFmtId="166" fontId="12" fillId="0" borderId="0" xfId="0" applyNumberFormat="1" applyFont="1"/>
  </cellXfs>
  <cellStyles count="3">
    <cellStyle name="Currency" xfId="1" builtinId="4"/>
    <cellStyle name="Hyperlink" xfId="2" builtinId="8"/>
    <cellStyle name="Normal" xfId="0" builtinId="0"/>
  </cellStyles>
  <dxfs count="33">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ill>
        <patternFill>
          <bgColor theme="0"/>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numFmt numFmtId="14" formatCode="0.00%"/>
    </dxf>
    <dxf>
      <numFmt numFmtId="168" formatCode="&quot;$&quot;#,##0"/>
    </dxf>
    <dxf>
      <numFmt numFmtId="166" formatCode="&quot;$&quot;#,##0.00"/>
    </dxf>
    <dxf>
      <numFmt numFmtId="168" formatCode="&quot;$&quot;#,##0"/>
    </dxf>
    <dxf>
      <numFmt numFmtId="168" formatCode="&quot;$&quot;#,##0"/>
    </dxf>
    <dxf>
      <numFmt numFmtId="168" formatCode="&quot;$&quot;#,##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Total Purchase Price</c:v>
          </c:tx>
          <c:spPr>
            <a:solidFill>
              <a:schemeClr val="accent1"/>
            </a:solidFill>
            <a:ln>
              <a:noFill/>
            </a:ln>
            <a:effectLst/>
          </c:spPr>
          <c:invertIfNegative val="0"/>
          <c:cat>
            <c:strRef>
              <c:f>'Initial and Current Prices'!$C$5:$C$16</c:f>
              <c:strCache>
                <c:ptCount val="12"/>
                <c:pt idx="0">
                  <c:v>LOGM</c:v>
                </c:pt>
                <c:pt idx="1">
                  <c:v>SWI</c:v>
                </c:pt>
                <c:pt idx="2">
                  <c:v>T</c:v>
                </c:pt>
                <c:pt idx="3">
                  <c:v>RCI</c:v>
                </c:pt>
                <c:pt idx="4">
                  <c:v>CARB</c:v>
                </c:pt>
                <c:pt idx="5">
                  <c:v>MSFT</c:v>
                </c:pt>
                <c:pt idx="6">
                  <c:v>ATVI</c:v>
                </c:pt>
                <c:pt idx="7">
                  <c:v>EA</c:v>
                </c:pt>
                <c:pt idx="8">
                  <c:v>COKE</c:v>
                </c:pt>
                <c:pt idx="9">
                  <c:v>PEP</c:v>
                </c:pt>
                <c:pt idx="10">
                  <c:v>SNE</c:v>
                </c:pt>
                <c:pt idx="11">
                  <c:v>AAPL</c:v>
                </c:pt>
              </c:strCache>
            </c:strRef>
          </c:cat>
          <c:val>
            <c:numRef>
              <c:f>'Initial and Current Prices'!$D$5:$D$16</c:f>
              <c:numCache>
                <c:formatCode>"$"#,##0_);[Red]\("$"#,##0\)</c:formatCode>
                <c:ptCount val="12"/>
                <c:pt idx="0">
                  <c:v>29407</c:v>
                </c:pt>
                <c:pt idx="1">
                  <c:v>24375</c:v>
                </c:pt>
                <c:pt idx="2">
                  <c:v>25641</c:v>
                </c:pt>
                <c:pt idx="3">
                  <c:v>61237.5</c:v>
                </c:pt>
                <c:pt idx="4">
                  <c:v>84240</c:v>
                </c:pt>
                <c:pt idx="5">
                  <c:v>57000</c:v>
                </c:pt>
                <c:pt idx="6">
                  <c:v>23020</c:v>
                </c:pt>
                <c:pt idx="7">
                  <c:v>15740</c:v>
                </c:pt>
                <c:pt idx="8">
                  <c:v>54780</c:v>
                </c:pt>
                <c:pt idx="9">
                  <c:v>22023.96</c:v>
                </c:pt>
                <c:pt idx="10">
                  <c:v>64115.999999999993</c:v>
                </c:pt>
                <c:pt idx="11">
                  <c:v>35400</c:v>
                </c:pt>
              </c:numCache>
            </c:numRef>
          </c:val>
        </c:ser>
        <c:ser>
          <c:idx val="2"/>
          <c:order val="2"/>
          <c:tx>
            <c:v>Total Current Value</c:v>
          </c:tx>
          <c:spPr>
            <a:solidFill>
              <a:schemeClr val="accent3"/>
            </a:solidFill>
            <a:ln>
              <a:noFill/>
            </a:ln>
            <a:effectLst/>
          </c:spPr>
          <c:invertIfNegative val="0"/>
          <c:val>
            <c:numRef>
              <c:f>'Initial and Current Prices'!$I$5:$I$16</c:f>
              <c:numCache>
                <c:formatCode>"$"#,##0.00</c:formatCode>
                <c:ptCount val="12"/>
                <c:pt idx="0">
                  <c:v>35840</c:v>
                </c:pt>
                <c:pt idx="1">
                  <c:v>74825</c:v>
                </c:pt>
                <c:pt idx="2">
                  <c:v>31977</c:v>
                </c:pt>
                <c:pt idx="3">
                  <c:v>58046.25</c:v>
                </c:pt>
                <c:pt idx="4">
                  <c:v>68484</c:v>
                </c:pt>
                <c:pt idx="5">
                  <c:v>104110</c:v>
                </c:pt>
                <c:pt idx="6">
                  <c:v>67580</c:v>
                </c:pt>
                <c:pt idx="7">
                  <c:v>69790</c:v>
                </c:pt>
                <c:pt idx="8">
                  <c:v>176670.47999999998</c:v>
                </c:pt>
                <c:pt idx="9">
                  <c:v>32548.3</c:v>
                </c:pt>
                <c:pt idx="10">
                  <c:v>36522</c:v>
                </c:pt>
                <c:pt idx="11">
                  <c:v>75272</c:v>
                </c:pt>
              </c:numCache>
            </c:numRef>
          </c:val>
        </c:ser>
        <c:dLbls>
          <c:showLegendKey val="0"/>
          <c:showVal val="0"/>
          <c:showCatName val="0"/>
          <c:showSerName val="0"/>
          <c:showPercent val="0"/>
          <c:showBubbleSize val="0"/>
        </c:dLbls>
        <c:gapWidth val="219"/>
        <c:overlap val="-27"/>
        <c:axId val="533273744"/>
        <c:axId val="533264336"/>
        <c:extLst>
          <c:ext xmlns:c15="http://schemas.microsoft.com/office/drawing/2012/chart" uri="{02D57815-91ED-43cb-92C2-25804820EDAC}">
            <c15:filteredBarSeries>
              <c15:ser>
                <c:idx val="1"/>
                <c:order val="1"/>
                <c:tx>
                  <c:v>Companies</c:v>
                </c:tx>
                <c:spPr>
                  <a:solidFill>
                    <a:schemeClr val="accent2"/>
                  </a:solidFill>
                  <a:ln>
                    <a:noFill/>
                  </a:ln>
                  <a:effectLst/>
                </c:spPr>
                <c:invertIfNegative val="0"/>
                <c:cat>
                  <c:strRef>
                    <c:extLst>
                      <c:ext uri="{02D57815-91ED-43cb-92C2-25804820EDAC}">
                        <c15:formulaRef>
                          <c15:sqref>'Initial and Current Prices'!$C$5:$C$16</c15:sqref>
                        </c15:formulaRef>
                      </c:ext>
                    </c:extLst>
                    <c:strCache>
                      <c:ptCount val="12"/>
                      <c:pt idx="0">
                        <c:v>LOGM</c:v>
                      </c:pt>
                      <c:pt idx="1">
                        <c:v>SWI</c:v>
                      </c:pt>
                      <c:pt idx="2">
                        <c:v>T</c:v>
                      </c:pt>
                      <c:pt idx="3">
                        <c:v>RCI</c:v>
                      </c:pt>
                      <c:pt idx="4">
                        <c:v>CARB</c:v>
                      </c:pt>
                      <c:pt idx="5">
                        <c:v>MSFT</c:v>
                      </c:pt>
                      <c:pt idx="6">
                        <c:v>ATVI</c:v>
                      </c:pt>
                      <c:pt idx="7">
                        <c:v>EA</c:v>
                      </c:pt>
                      <c:pt idx="8">
                        <c:v>COKE</c:v>
                      </c:pt>
                      <c:pt idx="9">
                        <c:v>PEP</c:v>
                      </c:pt>
                      <c:pt idx="10">
                        <c:v>SNE</c:v>
                      </c:pt>
                      <c:pt idx="11">
                        <c:v>AAPL</c:v>
                      </c:pt>
                    </c:strCache>
                  </c:strRef>
                </c:cat>
                <c:val>
                  <c:numRef>
                    <c:extLst>
                      <c:ext uri="{02D57815-91ED-43cb-92C2-25804820EDAC}">
                        <c15:formulaRef>
                          <c15:sqref>'Initial and Current Prices'!$C$5:$C$16</c15:sqref>
                        </c15:formulaRef>
                      </c:ext>
                    </c:extLst>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15:ser>
            </c15:filteredBarSeries>
          </c:ext>
        </c:extLst>
      </c:barChart>
      <c:lineChart>
        <c:grouping val="standard"/>
        <c:varyColors val="0"/>
        <c:ser>
          <c:idx val="3"/>
          <c:order val="3"/>
          <c:tx>
            <c:v>Current Percent Gain</c:v>
          </c:tx>
          <c:spPr>
            <a:ln w="28575" cap="rnd">
              <a:solidFill>
                <a:schemeClr val="accent4"/>
              </a:solidFill>
              <a:round/>
            </a:ln>
            <a:effectLst/>
          </c:spPr>
          <c:marker>
            <c:symbol val="none"/>
          </c:marker>
          <c:val>
            <c:numRef>
              <c:f>'Initial and Current Prices'!$K$5:$K$16</c:f>
              <c:numCache>
                <c:formatCode>0.00%</c:formatCode>
                <c:ptCount val="12"/>
                <c:pt idx="0">
                  <c:v>0.21875743870507022</c:v>
                </c:pt>
                <c:pt idx="1">
                  <c:v>2.0697435897435899</c:v>
                </c:pt>
                <c:pt idx="2">
                  <c:v>0.24710424710424711</c:v>
                </c:pt>
                <c:pt idx="3">
                  <c:v>-5.2112676056338028E-2</c:v>
                </c:pt>
                <c:pt idx="4">
                  <c:v>-0.18703703703703703</c:v>
                </c:pt>
                <c:pt idx="5">
                  <c:v>0.82649122807017539</c:v>
                </c:pt>
                <c:pt idx="6">
                  <c:v>1.9357080799304953</c:v>
                </c:pt>
                <c:pt idx="7">
                  <c:v>3.4339263024142315</c:v>
                </c:pt>
                <c:pt idx="8">
                  <c:v>2.2250909090909086</c:v>
                </c:pt>
                <c:pt idx="9">
                  <c:v>0.47785865938732186</c:v>
                </c:pt>
                <c:pt idx="10">
                  <c:v>-0.43037619314991571</c:v>
                </c:pt>
                <c:pt idx="11">
                  <c:v>1.1263276836158191</c:v>
                </c:pt>
              </c:numCache>
            </c:numRef>
          </c:val>
          <c:smooth val="0"/>
        </c:ser>
        <c:dLbls>
          <c:showLegendKey val="0"/>
          <c:showVal val="0"/>
          <c:showCatName val="0"/>
          <c:showSerName val="0"/>
          <c:showPercent val="0"/>
          <c:showBubbleSize val="0"/>
        </c:dLbls>
        <c:marker val="1"/>
        <c:smooth val="0"/>
        <c:axId val="533127000"/>
        <c:axId val="533121120"/>
      </c:lineChart>
      <c:catAx>
        <c:axId val="5332737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Stocks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264336"/>
        <c:crosses val="autoZero"/>
        <c:auto val="1"/>
        <c:lblAlgn val="ctr"/>
        <c:lblOffset val="100"/>
        <c:noMultiLvlLbl val="0"/>
      </c:catAx>
      <c:valAx>
        <c:axId val="5332643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Value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273744"/>
        <c:crosses val="autoZero"/>
        <c:crossBetween val="between"/>
      </c:valAx>
      <c:valAx>
        <c:axId val="533121120"/>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127000"/>
        <c:crosses val="max"/>
        <c:crossBetween val="between"/>
      </c:valAx>
      <c:catAx>
        <c:axId val="533127000"/>
        <c:scaling>
          <c:orientation val="minMax"/>
        </c:scaling>
        <c:delete val="1"/>
        <c:axPos val="b"/>
        <c:majorTickMark val="out"/>
        <c:minorTickMark val="none"/>
        <c:tickLblPos val="nextTo"/>
        <c:crossAx val="533121120"/>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Stocks</a:t>
            </a:r>
            <a:r>
              <a:rPr lang="en-US" baseline="0"/>
              <a:t> vs ETFs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'Tables and Charts'!$L$41</c:f>
              <c:strCache>
                <c:ptCount val="1"/>
                <c:pt idx="0">
                  <c:v>Initial Investment Value</c:v>
                </c:pt>
              </c:strCache>
            </c:strRef>
          </c:tx>
          <c:spPr>
            <a:solidFill>
              <a:schemeClr val="accent1"/>
            </a:solidFill>
            <a:ln>
              <a:noFill/>
            </a:ln>
            <a:effectLst/>
          </c:spPr>
          <c:invertIfNegative val="0"/>
          <c:cat>
            <c:strRef>
              <c:f>'Tables and Charts'!$K$42:$K$43</c:f>
              <c:strCache>
                <c:ptCount val="2"/>
                <c:pt idx="0">
                  <c:v>Stocks</c:v>
                </c:pt>
                <c:pt idx="1">
                  <c:v>ETFs</c:v>
                </c:pt>
              </c:strCache>
            </c:strRef>
          </c:cat>
          <c:val>
            <c:numRef>
              <c:f>'Tables and Charts'!$L$42:$L$43</c:f>
              <c:numCache>
                <c:formatCode>"$"#,##0_);[Red]\("$"#,##0\)</c:formatCode>
                <c:ptCount val="2"/>
                <c:pt idx="0">
                  <c:v>497560.46</c:v>
                </c:pt>
                <c:pt idx="1">
                  <c:v>498195.83999999997</c:v>
                </c:pt>
              </c:numCache>
            </c:numRef>
          </c:val>
        </c:ser>
        <c:ser>
          <c:idx val="2"/>
          <c:order val="2"/>
          <c:tx>
            <c:strRef>
              <c:f>'Tables and Charts'!$N$41</c:f>
              <c:strCache>
                <c:ptCount val="1"/>
                <c:pt idx="0">
                  <c:v>Curent Total Value</c:v>
                </c:pt>
              </c:strCache>
            </c:strRef>
          </c:tx>
          <c:spPr>
            <a:solidFill>
              <a:schemeClr val="accent3"/>
            </a:solidFill>
            <a:ln>
              <a:noFill/>
            </a:ln>
            <a:effectLst/>
          </c:spPr>
          <c:invertIfNegative val="0"/>
          <c:cat>
            <c:strRef>
              <c:f>'Tables and Charts'!$K$42:$K$43</c:f>
              <c:strCache>
                <c:ptCount val="2"/>
                <c:pt idx="0">
                  <c:v>Stocks</c:v>
                </c:pt>
                <c:pt idx="1">
                  <c:v>ETFs</c:v>
                </c:pt>
              </c:strCache>
            </c:strRef>
          </c:cat>
          <c:val>
            <c:numRef>
              <c:f>'Tables and Charts'!$N$42:$N$43</c:f>
              <c:numCache>
                <c:formatCode>"$"#,##0.00</c:formatCode>
                <c:ptCount val="2"/>
                <c:pt idx="0">
                  <c:v>831665.03</c:v>
                </c:pt>
                <c:pt idx="1">
                  <c:v>841047.67</c:v>
                </c:pt>
              </c:numCache>
            </c:numRef>
          </c:val>
        </c:ser>
        <c:dLbls>
          <c:showLegendKey val="0"/>
          <c:showVal val="0"/>
          <c:showCatName val="0"/>
          <c:showSerName val="0"/>
          <c:showPercent val="0"/>
          <c:showBubbleSize val="0"/>
        </c:dLbls>
        <c:gapWidth val="219"/>
        <c:overlap val="-27"/>
        <c:axId val="533127784"/>
        <c:axId val="533128568"/>
      </c:barChart>
      <c:lineChart>
        <c:grouping val="standard"/>
        <c:varyColors val="0"/>
        <c:ser>
          <c:idx val="1"/>
          <c:order val="1"/>
          <c:tx>
            <c:strRef>
              <c:f>'Tables and Charts'!$M$41</c:f>
              <c:strCache>
                <c:ptCount val="1"/>
                <c:pt idx="0">
                  <c:v>Percentage Gains</c:v>
                </c:pt>
              </c:strCache>
            </c:strRef>
          </c:tx>
          <c:spPr>
            <a:ln w="28575" cap="rnd">
              <a:solidFill>
                <a:schemeClr val="accent2"/>
              </a:solidFill>
              <a:round/>
            </a:ln>
            <a:effectLst/>
          </c:spPr>
          <c:marker>
            <c:symbol val="none"/>
          </c:marker>
          <c:cat>
            <c:strRef>
              <c:f>'Tables and Charts'!$K$42:$K$43</c:f>
              <c:strCache>
                <c:ptCount val="2"/>
                <c:pt idx="0">
                  <c:v>Stocks</c:v>
                </c:pt>
                <c:pt idx="1">
                  <c:v>ETFs</c:v>
                </c:pt>
              </c:strCache>
            </c:strRef>
          </c:cat>
          <c:val>
            <c:numRef>
              <c:f>'Tables and Charts'!$M$42:$M$43</c:f>
              <c:numCache>
                <c:formatCode>0.00%</c:formatCode>
                <c:ptCount val="2"/>
                <c:pt idx="0">
                  <c:v>0.6714853708431735</c:v>
                </c:pt>
                <c:pt idx="1">
                  <c:v>0.68818685840491989</c:v>
                </c:pt>
              </c:numCache>
            </c:numRef>
          </c:val>
          <c:smooth val="0"/>
        </c:ser>
        <c:dLbls>
          <c:showLegendKey val="0"/>
          <c:showVal val="0"/>
          <c:showCatName val="0"/>
          <c:showSerName val="0"/>
          <c:showPercent val="0"/>
          <c:showBubbleSize val="0"/>
        </c:dLbls>
        <c:marker val="1"/>
        <c:smooth val="0"/>
        <c:axId val="287961576"/>
        <c:axId val="287963144"/>
      </c:lineChart>
      <c:catAx>
        <c:axId val="533127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128568"/>
        <c:crosses val="autoZero"/>
        <c:auto val="1"/>
        <c:lblAlgn val="ctr"/>
        <c:lblOffset val="100"/>
        <c:noMultiLvlLbl val="0"/>
      </c:catAx>
      <c:valAx>
        <c:axId val="53312856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127784"/>
        <c:crosses val="autoZero"/>
        <c:crossBetween val="between"/>
      </c:valAx>
      <c:valAx>
        <c:axId val="28796314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961576"/>
        <c:crosses val="max"/>
        <c:crossBetween val="between"/>
      </c:valAx>
      <c:catAx>
        <c:axId val="287961576"/>
        <c:scaling>
          <c:orientation val="minMax"/>
        </c:scaling>
        <c:delete val="1"/>
        <c:axPos val="b"/>
        <c:numFmt formatCode="General" sourceLinked="1"/>
        <c:majorTickMark val="out"/>
        <c:minorTickMark val="none"/>
        <c:tickLblPos val="nextTo"/>
        <c:crossAx val="287963144"/>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441960</xdr:colOff>
      <xdr:row>1</xdr:row>
      <xdr:rowOff>30480</xdr:rowOff>
    </xdr:from>
    <xdr:to>
      <xdr:col>14</xdr:col>
      <xdr:colOff>457200</xdr:colOff>
      <xdr:row>22</xdr:row>
      <xdr:rowOff>7620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35859</xdr:colOff>
      <xdr:row>41</xdr:row>
      <xdr:rowOff>116541</xdr:rowOff>
    </xdr:from>
    <xdr:to>
      <xdr:col>8</xdr:col>
      <xdr:colOff>259977</xdr:colOff>
      <xdr:row>56</xdr:row>
      <xdr:rowOff>170329</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att" refreshedDate="42396.853877546295" createdVersion="5" refreshedVersion="5" minRefreshableVersion="3" recordCount="12">
  <cacheSource type="worksheet">
    <worksheetSource ref="A4:K16" sheet="Initial and Current Prices"/>
  </cacheSource>
  <cacheFields count="11">
    <cacheField name="Sector" numFmtId="0">
      <sharedItems/>
    </cacheField>
    <cacheField name="Industry" numFmtId="0">
      <sharedItems count="6">
        <s v="Application Software"/>
        <s v="Wireless Communications"/>
        <s v="Business Software and Services"/>
        <s v="Multimedia and Graphics Software"/>
        <s v="Beverages - Soft Drinks"/>
        <s v="Electronic Equipment"/>
      </sharedItems>
    </cacheField>
    <cacheField name="Stock" numFmtId="0">
      <sharedItems/>
    </cacheField>
    <cacheField name="Initial Investment" numFmtId="6">
      <sharedItems containsSemiMixedTypes="0" containsString="0" containsNumber="1" minValue="7870" maxValue="89050"/>
    </cacheField>
    <cacheField name="Stock Price (On 1/20/11)" numFmtId="8">
      <sharedItems containsSemiMixedTypes="0" containsString="0" containsNumber="1" minValue="10.8" maxValue="65.94"/>
    </cacheField>
    <cacheField name="# purchased" numFmtId="0">
      <sharedItems containsSemiMixedTypes="0" containsString="0" containsNumber="1" containsInteger="1" minValue="334" maxValue="7800"/>
    </cacheField>
    <cacheField name="Transaction Fee" numFmtId="168">
      <sharedItems containsSemiMixedTypes="0" containsString="0" containsNumber="1" containsInteger="1" minValue="30" maxValue="50"/>
    </cacheField>
    <cacheField name="Current Price" numFmtId="166">
      <sharedItems containsSemiMixedTypes="0" containsString="0" containsNumber="1" minValue="8.86" maxValue="170.7"/>
    </cacheField>
    <cacheField name="Current Total Value" numFmtId="166">
      <sharedItems containsSemiMixedTypes="0" containsString="0" containsNumber="1" minValue="29755" maxValue="170017.19999999998"/>
    </cacheField>
    <cacheField name="Current Gains (Assuming none sold)" numFmtId="0">
      <sharedItems containsSemiMixedTypes="0" containsString="0" containsNumber="1" minValue="-36500" maxValue="115187.19999999998"/>
    </cacheField>
    <cacheField name="Current Percentage Gains" numFmtId="10">
      <sharedItems containsSemiMixedTypes="0" containsString="0" containsNumber="1" minValue="-0.40932060640089835" maxValue="3.4148665819567978" count="12">
        <n v="0.2189954772673173"/>
        <n v="2.051794871794872"/>
        <n v="0.24534924534924521"/>
        <n v="-3.8028169014084505E-2"/>
        <n v="-0.17962962962962964"/>
        <n v="0.79719298245614034"/>
        <n v="1.9600347523892268"/>
        <n v="3.4148665819567978"/>
        <n v="2.1036363636363635"/>
        <n v="0.45495905368516837"/>
        <n v="-0.40932060640089835"/>
        <n v="1.111186440677966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
  <r>
    <s v="Technology"/>
    <x v="0"/>
    <s v="LOGM"/>
    <n v="29407"/>
    <n v="42.01"/>
    <n v="700"/>
    <n v="50"/>
    <n v="51.21"/>
    <n v="35847"/>
    <n v="6390"/>
    <x v="0"/>
  </r>
  <r>
    <s v="Technology"/>
    <x v="0"/>
    <s v="SWI"/>
    <n v="9750"/>
    <n v="19.5"/>
    <n v="500"/>
    <n v="50"/>
    <n v="59.51"/>
    <n v="29755"/>
    <n v="19955"/>
    <x v="1"/>
  </r>
  <r>
    <s v="Technology"/>
    <x v="1"/>
    <s v="T"/>
    <n v="25641"/>
    <n v="28.49"/>
    <n v="900"/>
    <n v="50"/>
    <n v="35.479999999999997"/>
    <n v="31931.999999999996"/>
    <n v="6240.9999999999964"/>
    <x v="2"/>
  </r>
  <r>
    <s v="Technology"/>
    <x v="1"/>
    <s v="RCI"/>
    <n v="61237.5"/>
    <n v="35.5"/>
    <n v="1725"/>
    <n v="50"/>
    <n v="34.15"/>
    <n v="58908.75"/>
    <n v="-2378.75"/>
    <x v="3"/>
  </r>
  <r>
    <s v="Technology"/>
    <x v="2"/>
    <s v="CARB"/>
    <n v="84240"/>
    <n v="10.8"/>
    <n v="7800"/>
    <n v="50"/>
    <n v="8.86"/>
    <n v="69108"/>
    <n v="-15182"/>
    <x v="4"/>
  </r>
  <r>
    <s v="Technology"/>
    <x v="2"/>
    <s v="MSFT"/>
    <n v="57000"/>
    <n v="28.5"/>
    <n v="2000"/>
    <n v="50"/>
    <n v="51.22"/>
    <n v="102440"/>
    <n v="45390"/>
    <x v="5"/>
  </r>
  <r>
    <s v="Technology"/>
    <x v="3"/>
    <s v="ATVI"/>
    <n v="23020"/>
    <n v="11.51"/>
    <n v="2000"/>
    <n v="50"/>
    <n v="34.07"/>
    <n v="68140"/>
    <n v="45070"/>
    <x v="6"/>
  </r>
  <r>
    <s v="Technology"/>
    <x v="3"/>
    <s v="EA"/>
    <n v="7870"/>
    <n v="15.74"/>
    <n v="500"/>
    <n v="50"/>
    <n v="69.489999999999995"/>
    <n v="34745"/>
    <n v="26825"/>
    <x v="7"/>
  </r>
  <r>
    <s v="Consumer Goods"/>
    <x v="4"/>
    <s v="COKE"/>
    <n v="54780"/>
    <n v="55"/>
    <n v="996"/>
    <n v="50"/>
    <n v="170.7"/>
    <n v="170017.19999999998"/>
    <n v="115187.19999999998"/>
    <x v="8"/>
  </r>
  <r>
    <s v="Consumer Goods"/>
    <x v="4"/>
    <s v="PEP"/>
    <n v="22023.96"/>
    <n v="65.94"/>
    <n v="334"/>
    <n v="30"/>
    <n v="95.94"/>
    <n v="32043.96"/>
    <n v="9990"/>
    <x v="9"/>
  </r>
  <r>
    <s v="Consumer Goods"/>
    <x v="5"/>
    <s v="SNE"/>
    <n v="89050"/>
    <n v="35.619999999999997"/>
    <n v="2500"/>
    <n v="50"/>
    <n v="21.04"/>
    <n v="52600"/>
    <n v="-36500"/>
    <x v="10"/>
  </r>
  <r>
    <s v="Consumer Goods"/>
    <x v="5"/>
    <s v="AAPL"/>
    <n v="35400"/>
    <n v="44.25"/>
    <n v="800"/>
    <n v="50"/>
    <n v="93.42"/>
    <n v="74736"/>
    <n v="39286"/>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1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Industry">
  <location ref="D35:G38" firstHeaderRow="0" firstDataRow="1" firstDataCol="1"/>
  <pivotFields count="11">
    <pivotField showAll="0"/>
    <pivotField axis="axisRow" showAll="0">
      <items count="7">
        <item h="1" x="0"/>
        <item x="4"/>
        <item h="1" x="2"/>
        <item x="5"/>
        <item h="1" x="3"/>
        <item h="1" x="1"/>
        <item t="default"/>
      </items>
    </pivotField>
    <pivotField showAll="0"/>
    <pivotField dataField="1" numFmtId="6" showAll="0"/>
    <pivotField numFmtId="8" showAll="0"/>
    <pivotField showAll="0"/>
    <pivotField numFmtId="168" showAll="0"/>
    <pivotField numFmtId="166" showAll="0"/>
    <pivotField dataField="1" numFmtId="166" showAll="0"/>
    <pivotField showAll="0"/>
    <pivotField dataField="1" numFmtId="10" showAll="0"/>
  </pivotFields>
  <rowFields count="1">
    <field x="1"/>
  </rowFields>
  <rowItems count="3">
    <i>
      <x v="1"/>
    </i>
    <i>
      <x v="3"/>
    </i>
    <i t="grand">
      <x/>
    </i>
  </rowItems>
  <colFields count="1">
    <field x="-2"/>
  </colFields>
  <colItems count="3">
    <i>
      <x/>
    </i>
    <i i="1">
      <x v="1"/>
    </i>
    <i i="2">
      <x v="2"/>
    </i>
  </colItems>
  <dataFields count="3">
    <dataField name="Sum of Initial Investment" fld="3" baseField="0" baseItem="0" numFmtId="166"/>
    <dataField name="Sum of Current Total Value" fld="8" baseField="0" baseItem="0" numFmtId="168"/>
    <dataField name="Average of Current Percentage Gains" fld="10" subtotal="average" baseField="1" baseItem="1" numFmtId="10"/>
  </dataFields>
  <formats count="3">
    <format dxfId="28">
      <pivotArea outline="0" collapsedLevelsAreSubtotals="1" fieldPosition="0">
        <references count="1">
          <reference field="4294967294" count="1" selected="0">
            <x v="0"/>
          </reference>
        </references>
      </pivotArea>
    </format>
    <format dxfId="27">
      <pivotArea outline="0" collapsedLevelsAreSubtotals="1" fieldPosition="0">
        <references count="1">
          <reference field="4294967294" count="1" selected="0">
            <x v="1"/>
          </reference>
        </references>
      </pivotArea>
    </format>
    <format dxfId="26">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1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Industry">
  <location ref="D26:G31" firstHeaderRow="0" firstDataRow="1" firstDataCol="1"/>
  <pivotFields count="11">
    <pivotField showAll="0"/>
    <pivotField axis="axisRow" showAll="0">
      <items count="7">
        <item x="0"/>
        <item h="1" x="4"/>
        <item x="2"/>
        <item h="1" x="5"/>
        <item x="3"/>
        <item x="1"/>
        <item t="default"/>
      </items>
    </pivotField>
    <pivotField showAll="0"/>
    <pivotField dataField="1" numFmtId="6" showAll="0"/>
    <pivotField numFmtId="8" showAll="0"/>
    <pivotField showAll="0"/>
    <pivotField numFmtId="168" showAll="0"/>
    <pivotField numFmtId="166" showAll="0"/>
    <pivotField dataField="1" numFmtId="166" showAll="0"/>
    <pivotField showAll="0"/>
    <pivotField dataField="1" numFmtId="10" showAll="0">
      <items count="13">
        <item x="10"/>
        <item x="4"/>
        <item x="3"/>
        <item x="0"/>
        <item x="2"/>
        <item x="9"/>
        <item x="5"/>
        <item x="11"/>
        <item x="6"/>
        <item x="1"/>
        <item x="8"/>
        <item x="7"/>
        <item t="default"/>
      </items>
    </pivotField>
  </pivotFields>
  <rowFields count="1">
    <field x="1"/>
  </rowFields>
  <rowItems count="5">
    <i>
      <x/>
    </i>
    <i>
      <x v="2"/>
    </i>
    <i>
      <x v="4"/>
    </i>
    <i>
      <x v="5"/>
    </i>
    <i t="grand">
      <x/>
    </i>
  </rowItems>
  <colFields count="1">
    <field x="-2"/>
  </colFields>
  <colItems count="3">
    <i>
      <x/>
    </i>
    <i i="1">
      <x v="1"/>
    </i>
    <i i="2">
      <x v="2"/>
    </i>
  </colItems>
  <dataFields count="3">
    <dataField name="Sum of Initial Investment" fld="3" baseField="0" baseItem="0"/>
    <dataField name="Sum of Current Total Value" fld="8" baseField="0" baseItem="0" numFmtId="168"/>
    <dataField name="Average of Current Percentage Gains" fld="10" subtotal="average" baseField="1" baseItem="0" numFmtId="9"/>
  </dataFields>
  <formats count="4">
    <format dxfId="32">
      <pivotArea outline="0" collapsedLevelsAreSubtotals="1" fieldPosition="0"/>
    </format>
    <format dxfId="31">
      <pivotArea collapsedLevelsAreSubtotals="1" fieldPosition="0">
        <references count="2">
          <reference field="4294967294" count="1" selected="0">
            <x v="0"/>
          </reference>
          <reference field="1" count="0"/>
        </references>
      </pivotArea>
    </format>
    <format dxfId="30">
      <pivotArea field="1" grandRow="1" outline="0" collapsedLevelsAreSubtotals="1" axis="axisRow" fieldPosition="0">
        <references count="1">
          <reference field="4294967294" count="1" selected="0">
            <x v="0"/>
          </reference>
        </references>
      </pivotArea>
    </format>
    <format dxfId="29">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MSN MoneyCentral Investor Stock Quotes" preserveFormatting="0"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Yahoo"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8" Type="http://schemas.openxmlformats.org/officeDocument/2006/relationships/hyperlink" Target="http://www.msn.com/en-us/money/indexdetails/29.10.@CCO.29.COMP" TargetMode="External"/><Relationship Id="rId13" Type="http://schemas.openxmlformats.org/officeDocument/2006/relationships/hyperlink" Target="http://office.microsoft.com/" TargetMode="External"/><Relationship Id="rId18" Type="http://schemas.openxmlformats.org/officeDocument/2006/relationships/queryTable" Target="../queryTables/queryTable2.xml"/><Relationship Id="rId3" Type="http://schemas.openxmlformats.org/officeDocument/2006/relationships/hyperlink" Target="http://www.msn.com/en-us/money/etfdetails/126.1.DIA.ARCX" TargetMode="External"/><Relationship Id="rId7" Type="http://schemas.openxmlformats.org/officeDocument/2006/relationships/hyperlink" Target="http://www.msn.com/en-us/money/indexdetails/charts/fi-29.10.@CCO.29.COMP" TargetMode="External"/><Relationship Id="rId12" Type="http://schemas.openxmlformats.org/officeDocument/2006/relationships/hyperlink" Target="http://money.msn.com/" TargetMode="External"/><Relationship Id="rId17" Type="http://schemas.openxmlformats.org/officeDocument/2006/relationships/queryTable" Target="../queryTables/queryTable1.xml"/><Relationship Id="rId2" Type="http://schemas.openxmlformats.org/officeDocument/2006/relationships/hyperlink" Target="http://money.msn.com/" TargetMode="External"/><Relationship Id="rId16" Type="http://schemas.openxmlformats.org/officeDocument/2006/relationships/printerSettings" Target="../printerSettings/printerSettings3.bin"/><Relationship Id="rId1" Type="http://schemas.openxmlformats.org/officeDocument/2006/relationships/hyperlink" Target="http://go.microsoft.com/fwlink/?LinkID=286759" TargetMode="External"/><Relationship Id="rId6" Type="http://schemas.openxmlformats.org/officeDocument/2006/relationships/hyperlink" Target="http://www.msn.com/en-us/money/indexdetails/29.10.@CCO.29.COMP" TargetMode="External"/><Relationship Id="rId11" Type="http://schemas.openxmlformats.org/officeDocument/2006/relationships/hyperlink" Target="http://www.msn.com/en-us/money/etfdetails/126.1.FDN.ARCX" TargetMode="External"/><Relationship Id="rId5" Type="http://schemas.openxmlformats.org/officeDocument/2006/relationships/hyperlink" Target="http://www.msn.com/en-us/money/etfdetails/126.1.DIA.ARCX" TargetMode="External"/><Relationship Id="rId15" Type="http://schemas.openxmlformats.org/officeDocument/2006/relationships/hyperlink" Target="http://go.microsoft.com/fwlink/?LinkID=286759" TargetMode="External"/><Relationship Id="rId10" Type="http://schemas.openxmlformats.org/officeDocument/2006/relationships/hyperlink" Target="http://www.msn.com/en-us/money/etfdetails/charts/fi-126.1.FDN.ARCX" TargetMode="External"/><Relationship Id="rId4" Type="http://schemas.openxmlformats.org/officeDocument/2006/relationships/hyperlink" Target="http://www.msn.com/en-us/money/etfdetails/charts/fi-126.1.DIA.ARCX" TargetMode="External"/><Relationship Id="rId9" Type="http://schemas.openxmlformats.org/officeDocument/2006/relationships/hyperlink" Target="http://www.msn.com/en-us/money/etfdetails/126.1.FDN.ARCX" TargetMode="External"/><Relationship Id="rId14" Type="http://schemas.openxmlformats.org/officeDocument/2006/relationships/hyperlink" Target="http://g.msn.com/0TO_/en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3"/>
  <sheetViews>
    <sheetView workbookViewId="0">
      <selection activeCell="E19" sqref="E19"/>
    </sheetView>
  </sheetViews>
  <sheetFormatPr defaultRowHeight="14.4"/>
  <cols>
    <col min="1" max="1" width="21.33203125" customWidth="1"/>
    <col min="3" max="3" width="14.5546875" customWidth="1"/>
    <col min="4" max="4" width="28.21875" customWidth="1"/>
    <col min="5" max="5" width="15.88671875" customWidth="1"/>
    <col min="7" max="7" width="18.77734375" customWidth="1"/>
    <col min="8" max="8" width="26.21875" customWidth="1"/>
    <col min="9" max="9" width="13" customWidth="1"/>
    <col min="10" max="10" width="17.77734375" customWidth="1"/>
    <col min="11" max="11" width="14" customWidth="1"/>
    <col min="12" max="12" width="20.88671875" customWidth="1"/>
    <col min="13" max="13" width="22.21875" style="37" customWidth="1"/>
  </cols>
  <sheetData>
    <row r="2" spans="1:13">
      <c r="J2" t="s">
        <v>38</v>
      </c>
    </row>
    <row r="3" spans="1:13">
      <c r="A3" t="s">
        <v>35</v>
      </c>
      <c r="J3">
        <v>0</v>
      </c>
      <c r="K3" s="3">
        <v>10</v>
      </c>
    </row>
    <row r="4" spans="1:13">
      <c r="A4" s="3">
        <v>500000</v>
      </c>
      <c r="J4">
        <v>50</v>
      </c>
      <c r="K4" s="3">
        <v>20</v>
      </c>
    </row>
    <row r="5" spans="1:13">
      <c r="B5" t="s">
        <v>0</v>
      </c>
      <c r="J5">
        <v>201</v>
      </c>
      <c r="K5" s="3">
        <v>30</v>
      </c>
    </row>
    <row r="6" spans="1:13">
      <c r="B6" s="1"/>
      <c r="J6">
        <v>500</v>
      </c>
      <c r="K6" s="3">
        <v>50</v>
      </c>
    </row>
    <row r="9" spans="1:13" ht="18">
      <c r="C9" s="2" t="s">
        <v>1</v>
      </c>
      <c r="D9" s="2" t="s">
        <v>2</v>
      </c>
      <c r="E9" s="2" t="s">
        <v>4</v>
      </c>
      <c r="F9" s="2" t="s">
        <v>3</v>
      </c>
      <c r="G9" s="2"/>
      <c r="H9" s="2"/>
      <c r="I9" s="2"/>
      <c r="J9" s="2"/>
      <c r="K9" s="2"/>
      <c r="L9" s="2"/>
      <c r="M9" s="38"/>
    </row>
    <row r="10" spans="1:13">
      <c r="C10" t="s">
        <v>5</v>
      </c>
      <c r="D10" t="s">
        <v>6</v>
      </c>
      <c r="E10" t="s">
        <v>7</v>
      </c>
      <c r="F10" t="s">
        <v>8</v>
      </c>
      <c r="G10" s="3"/>
      <c r="H10" s="5"/>
      <c r="J10" s="7"/>
      <c r="K10" s="36"/>
      <c r="L10" s="6"/>
    </row>
    <row r="11" spans="1:13">
      <c r="C11" t="s">
        <v>5</v>
      </c>
      <c r="D11" t="s">
        <v>6</v>
      </c>
      <c r="E11" t="s">
        <v>9</v>
      </c>
      <c r="F11" t="s">
        <v>10</v>
      </c>
      <c r="G11" s="3"/>
      <c r="H11" s="5"/>
      <c r="J11" s="7"/>
      <c r="K11" s="36"/>
      <c r="L11" s="6"/>
    </row>
    <row r="12" spans="1:13">
      <c r="C12" t="s">
        <v>5</v>
      </c>
      <c r="D12" t="s">
        <v>11</v>
      </c>
      <c r="E12" t="s">
        <v>12</v>
      </c>
      <c r="F12" t="s">
        <v>13</v>
      </c>
      <c r="G12" s="3"/>
      <c r="H12" s="5"/>
      <c r="J12" s="7"/>
      <c r="K12" s="36"/>
      <c r="L12" s="6"/>
    </row>
    <row r="13" spans="1:13">
      <c r="C13" t="s">
        <v>5</v>
      </c>
      <c r="D13" t="s">
        <v>11</v>
      </c>
      <c r="E13" t="s">
        <v>14</v>
      </c>
      <c r="F13" t="s">
        <v>15</v>
      </c>
      <c r="G13" s="3"/>
      <c r="H13" s="5"/>
      <c r="J13" s="7"/>
      <c r="K13" s="36"/>
      <c r="L13" s="6"/>
    </row>
    <row r="14" spans="1:13">
      <c r="C14" t="s">
        <v>5</v>
      </c>
      <c r="D14" t="s">
        <v>16</v>
      </c>
      <c r="E14" t="s">
        <v>17</v>
      </c>
      <c r="F14" t="s">
        <v>18</v>
      </c>
      <c r="G14" s="3"/>
      <c r="H14" s="5"/>
      <c r="J14" s="7"/>
      <c r="K14" s="36"/>
      <c r="L14" s="6"/>
    </row>
    <row r="15" spans="1:13">
      <c r="C15" t="s">
        <v>5</v>
      </c>
      <c r="D15" t="s">
        <v>16</v>
      </c>
      <c r="E15" t="s">
        <v>19</v>
      </c>
      <c r="F15" t="s">
        <v>20</v>
      </c>
      <c r="G15" s="3"/>
      <c r="H15" s="5"/>
      <c r="J15" s="7"/>
      <c r="K15" s="36"/>
      <c r="L15" s="6"/>
    </row>
    <row r="16" spans="1:13">
      <c r="C16" t="s">
        <v>5</v>
      </c>
      <c r="D16" t="s">
        <v>22</v>
      </c>
      <c r="E16" t="s">
        <v>21</v>
      </c>
      <c r="F16" t="s">
        <v>23</v>
      </c>
      <c r="G16" s="3"/>
      <c r="H16" s="5"/>
      <c r="J16" s="7"/>
      <c r="K16" s="36"/>
      <c r="L16" s="6"/>
    </row>
    <row r="17" spans="3:12">
      <c r="C17" t="s">
        <v>5</v>
      </c>
      <c r="D17" t="s">
        <v>22</v>
      </c>
      <c r="E17" t="s">
        <v>24</v>
      </c>
      <c r="F17" t="s">
        <v>25</v>
      </c>
      <c r="G17" s="3"/>
      <c r="H17" s="5"/>
      <c r="J17" s="7"/>
      <c r="K17" s="36"/>
      <c r="L17" s="6"/>
    </row>
    <row r="18" spans="3:12">
      <c r="C18" t="s">
        <v>28</v>
      </c>
      <c r="D18" t="s">
        <v>29</v>
      </c>
      <c r="E18" t="s">
        <v>27</v>
      </c>
      <c r="F18" t="s">
        <v>26</v>
      </c>
      <c r="G18" s="3"/>
      <c r="H18" s="5"/>
      <c r="J18" s="7"/>
      <c r="K18" s="36"/>
      <c r="L18" s="6"/>
    </row>
    <row r="19" spans="3:12">
      <c r="C19" t="s">
        <v>28</v>
      </c>
      <c r="D19" t="s">
        <v>29</v>
      </c>
      <c r="E19" t="s">
        <v>70</v>
      </c>
      <c r="F19" t="s">
        <v>71</v>
      </c>
      <c r="G19" s="3"/>
      <c r="H19" s="5"/>
      <c r="J19" s="7"/>
      <c r="K19" s="36"/>
      <c r="L19" s="6"/>
    </row>
    <row r="20" spans="3:12">
      <c r="C20" t="s">
        <v>28</v>
      </c>
      <c r="D20" t="s">
        <v>30</v>
      </c>
      <c r="E20" t="s">
        <v>31</v>
      </c>
      <c r="F20" t="s">
        <v>32</v>
      </c>
      <c r="G20" s="3"/>
      <c r="H20" s="5"/>
      <c r="J20" s="7"/>
      <c r="K20" s="36"/>
      <c r="L20" s="6"/>
    </row>
    <row r="21" spans="3:12">
      <c r="C21" t="s">
        <v>28</v>
      </c>
      <c r="D21" t="s">
        <v>30</v>
      </c>
      <c r="E21" t="s">
        <v>33</v>
      </c>
      <c r="F21" t="s">
        <v>40</v>
      </c>
      <c r="G21" s="3"/>
      <c r="H21" s="5"/>
      <c r="J21" s="7"/>
      <c r="K21" s="36"/>
      <c r="L21" s="6"/>
    </row>
    <row r="22" spans="3:12">
      <c r="G22" s="3"/>
      <c r="J22" s="7"/>
      <c r="L22" s="6"/>
    </row>
    <row r="23" spans="3:12">
      <c r="G23" s="3"/>
    </row>
  </sheetData>
  <conditionalFormatting sqref="M1:M1048576">
    <cfRule type="cellIs" dxfId="25" priority="1" operator="lessThan">
      <formula>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N6" sqref="N6"/>
    </sheetView>
  </sheetViews>
  <sheetFormatPr defaultRowHeight="14.4"/>
  <cols>
    <col min="1" max="1" width="18.5546875" customWidth="1"/>
    <col min="2" max="2" width="30.109375" customWidth="1"/>
    <col min="4" max="4" width="19.5546875" customWidth="1"/>
    <col min="5" max="5" width="27.88671875" customWidth="1"/>
    <col min="6" max="6" width="17.44140625" customWidth="1"/>
    <col min="7" max="7" width="19.44140625" customWidth="1"/>
    <col min="8" max="8" width="15.21875" customWidth="1"/>
    <col min="9" max="9" width="21" customWidth="1"/>
    <col min="10" max="10" width="37.33203125" customWidth="1"/>
    <col min="11" max="11" width="31" customWidth="1"/>
    <col min="12" max="12" width="34.5546875" customWidth="1"/>
    <col min="13" max="13" width="32" customWidth="1"/>
    <col min="14" max="14" width="11" bestFit="1" customWidth="1"/>
  </cols>
  <sheetData>
    <row r="1" spans="1:14">
      <c r="L1" t="s">
        <v>107</v>
      </c>
    </row>
    <row r="2" spans="1:14">
      <c r="L2" t="s">
        <v>105</v>
      </c>
    </row>
    <row r="3" spans="1:14">
      <c r="L3" t="s">
        <v>106</v>
      </c>
    </row>
    <row r="4" spans="1:14" ht="18">
      <c r="A4" s="2" t="s">
        <v>1</v>
      </c>
      <c r="B4" s="2" t="s">
        <v>2</v>
      </c>
      <c r="C4" s="2" t="s">
        <v>3</v>
      </c>
      <c r="D4" s="2" t="s">
        <v>34</v>
      </c>
      <c r="E4" s="2" t="s">
        <v>104</v>
      </c>
      <c r="F4" s="2" t="s">
        <v>36</v>
      </c>
      <c r="G4" s="2" t="s">
        <v>37</v>
      </c>
      <c r="H4" s="2" t="s">
        <v>39</v>
      </c>
      <c r="I4" s="2" t="s">
        <v>69</v>
      </c>
      <c r="J4" s="40" t="s">
        <v>138</v>
      </c>
      <c r="K4" s="40" t="s">
        <v>137</v>
      </c>
      <c r="L4" s="2" t="s">
        <v>135</v>
      </c>
      <c r="M4" s="2" t="s">
        <v>136</v>
      </c>
      <c r="N4" s="2" t="s">
        <v>72</v>
      </c>
    </row>
    <row r="5" spans="1:14">
      <c r="A5" t="s">
        <v>5</v>
      </c>
      <c r="B5" t="s">
        <v>6</v>
      </c>
      <c r="C5" t="s">
        <v>8</v>
      </c>
      <c r="D5" s="3">
        <f>E5*F5</f>
        <v>29407</v>
      </c>
      <c r="E5" s="5">
        <v>42.01</v>
      </c>
      <c r="F5">
        <v>700</v>
      </c>
      <c r="G5" s="7">
        <f>VLOOKUP(F5,Portfolio!$J$3:$K$6,2)</f>
        <v>50</v>
      </c>
      <c r="H5" s="36">
        <f>'Data Queries'!E7</f>
        <v>51.2</v>
      </c>
      <c r="I5" s="6">
        <f>H5*F5</f>
        <v>35840</v>
      </c>
      <c r="J5" s="6">
        <f>I5-G5-D5</f>
        <v>6383</v>
      </c>
      <c r="K5" s="39">
        <f>(I5-D5)/D5</f>
        <v>0.21875743870507022</v>
      </c>
      <c r="L5" s="6">
        <f>SUM(I5:I16)</f>
        <v>831665.03</v>
      </c>
      <c r="M5" s="39">
        <f>(L5-D17)/D17</f>
        <v>0.6714853708431735</v>
      </c>
      <c r="N5" s="6">
        <f>L5-G17-D17</f>
        <v>333524.57</v>
      </c>
    </row>
    <row r="6" spans="1:14">
      <c r="A6" t="s">
        <v>5</v>
      </c>
      <c r="B6" t="s">
        <v>6</v>
      </c>
      <c r="C6" t="s">
        <v>10</v>
      </c>
      <c r="D6" s="3">
        <f t="shared" ref="D6:D16" si="0">E6*F6</f>
        <v>24375</v>
      </c>
      <c r="E6" s="5">
        <v>19.5</v>
      </c>
      <c r="F6">
        <v>1250</v>
      </c>
      <c r="G6" s="7">
        <f>VLOOKUP(F6,Portfolio!$J$3:$K$6,2)</f>
        <v>50</v>
      </c>
      <c r="H6" s="36">
        <f>'Data Queries'!E8</f>
        <v>59.86</v>
      </c>
      <c r="I6" s="6">
        <f t="shared" ref="I6:I16" si="1">H6*F6</f>
        <v>74825</v>
      </c>
      <c r="J6" s="37">
        <f t="shared" ref="J6:J17" si="2">I6-G6-D6</f>
        <v>50400</v>
      </c>
      <c r="K6" s="39">
        <f t="shared" ref="K6:K16" si="3">(I6-D6)/D6</f>
        <v>2.0697435897435899</v>
      </c>
    </row>
    <row r="7" spans="1:14">
      <c r="A7" t="s">
        <v>5</v>
      </c>
      <c r="B7" t="s">
        <v>11</v>
      </c>
      <c r="C7" t="s">
        <v>13</v>
      </c>
      <c r="D7" s="3">
        <f t="shared" si="0"/>
        <v>25641</v>
      </c>
      <c r="E7" s="5">
        <v>28.49</v>
      </c>
      <c r="F7">
        <v>900</v>
      </c>
      <c r="G7" s="7">
        <f>VLOOKUP(F7,Portfolio!$J$3:$K$6,2)</f>
        <v>50</v>
      </c>
      <c r="H7" s="36">
        <f>'Data Queries'!E9</f>
        <v>35.53</v>
      </c>
      <c r="I7" s="6">
        <f t="shared" si="1"/>
        <v>31977</v>
      </c>
      <c r="J7" s="37">
        <f t="shared" si="2"/>
        <v>6286</v>
      </c>
      <c r="K7" s="39">
        <f t="shared" si="3"/>
        <v>0.24710424710424711</v>
      </c>
    </row>
    <row r="8" spans="1:14">
      <c r="A8" t="s">
        <v>5</v>
      </c>
      <c r="B8" t="s">
        <v>11</v>
      </c>
      <c r="C8" t="s">
        <v>15</v>
      </c>
      <c r="D8" s="3">
        <f t="shared" si="0"/>
        <v>61237.5</v>
      </c>
      <c r="E8" s="5">
        <v>35.5</v>
      </c>
      <c r="F8">
        <v>1725</v>
      </c>
      <c r="G8" s="7">
        <f>VLOOKUP(F8,Portfolio!$J$3:$K$6,2)</f>
        <v>50</v>
      </c>
      <c r="H8" s="36">
        <f>'Data Queries'!E10</f>
        <v>33.65</v>
      </c>
      <c r="I8" s="6">
        <f t="shared" si="1"/>
        <v>58046.25</v>
      </c>
      <c r="J8" s="37">
        <f t="shared" si="2"/>
        <v>-3241.25</v>
      </c>
      <c r="K8" s="39">
        <f t="shared" si="3"/>
        <v>-5.2112676056338028E-2</v>
      </c>
    </row>
    <row r="9" spans="1:14">
      <c r="A9" t="s">
        <v>5</v>
      </c>
      <c r="B9" t="s">
        <v>16</v>
      </c>
      <c r="C9" t="s">
        <v>18</v>
      </c>
      <c r="D9" s="3">
        <f t="shared" si="0"/>
        <v>84240</v>
      </c>
      <c r="E9" s="5">
        <v>10.8</v>
      </c>
      <c r="F9">
        <v>7800</v>
      </c>
      <c r="G9" s="7">
        <f>VLOOKUP(F9,Portfolio!$J$3:$K$6,2)</f>
        <v>50</v>
      </c>
      <c r="H9" s="36">
        <f>'Data Queries'!E11</f>
        <v>8.7799999999999994</v>
      </c>
      <c r="I9" s="6">
        <f t="shared" si="1"/>
        <v>68484</v>
      </c>
      <c r="J9" s="37">
        <f t="shared" si="2"/>
        <v>-15806</v>
      </c>
      <c r="K9" s="39">
        <f t="shared" si="3"/>
        <v>-0.18703703703703703</v>
      </c>
    </row>
    <row r="10" spans="1:14">
      <c r="A10" t="s">
        <v>5</v>
      </c>
      <c r="B10" t="s">
        <v>16</v>
      </c>
      <c r="C10" t="s">
        <v>20</v>
      </c>
      <c r="D10" s="3">
        <f t="shared" si="0"/>
        <v>57000</v>
      </c>
      <c r="E10" s="5">
        <v>28.5</v>
      </c>
      <c r="F10">
        <v>2000</v>
      </c>
      <c r="G10" s="7">
        <f>VLOOKUP(F10,Portfolio!$J$3:$K$6,2)</f>
        <v>50</v>
      </c>
      <c r="H10" s="36">
        <f>'Data Queries'!E12</f>
        <v>52.055</v>
      </c>
      <c r="I10" s="6">
        <f t="shared" si="1"/>
        <v>104110</v>
      </c>
      <c r="J10" s="37">
        <f t="shared" si="2"/>
        <v>47060</v>
      </c>
      <c r="K10" s="39">
        <f t="shared" si="3"/>
        <v>0.82649122807017539</v>
      </c>
    </row>
    <row r="11" spans="1:14">
      <c r="A11" t="s">
        <v>5</v>
      </c>
      <c r="B11" t="s">
        <v>22</v>
      </c>
      <c r="C11" t="s">
        <v>23</v>
      </c>
      <c r="D11" s="3">
        <f t="shared" si="0"/>
        <v>23020</v>
      </c>
      <c r="E11" s="5">
        <v>11.51</v>
      </c>
      <c r="F11">
        <v>2000</v>
      </c>
      <c r="G11" s="7">
        <f>VLOOKUP(F11,Portfolio!$J$3:$K$6,2)</f>
        <v>50</v>
      </c>
      <c r="H11" s="36">
        <f>'Data Queries'!E13</f>
        <v>33.79</v>
      </c>
      <c r="I11" s="6">
        <f t="shared" si="1"/>
        <v>67580</v>
      </c>
      <c r="J11" s="37">
        <f t="shared" si="2"/>
        <v>44510</v>
      </c>
      <c r="K11" s="39">
        <f t="shared" si="3"/>
        <v>1.9357080799304953</v>
      </c>
    </row>
    <row r="12" spans="1:14">
      <c r="A12" t="s">
        <v>5</v>
      </c>
      <c r="B12" t="s">
        <v>22</v>
      </c>
      <c r="C12" t="s">
        <v>25</v>
      </c>
      <c r="D12" s="3">
        <f t="shared" si="0"/>
        <v>15740</v>
      </c>
      <c r="E12" s="5">
        <v>15.74</v>
      </c>
      <c r="F12">
        <v>1000</v>
      </c>
      <c r="G12" s="7">
        <f>VLOOKUP(F12,Portfolio!$J$3:$K$6,2)</f>
        <v>50</v>
      </c>
      <c r="H12" s="36">
        <f>'Data Queries'!E14</f>
        <v>69.790000000000006</v>
      </c>
      <c r="I12" s="6">
        <f t="shared" si="1"/>
        <v>69790</v>
      </c>
      <c r="J12" s="37">
        <f t="shared" si="2"/>
        <v>54000</v>
      </c>
      <c r="K12" s="39">
        <f t="shared" si="3"/>
        <v>3.4339263024142315</v>
      </c>
    </row>
    <row r="13" spans="1:14">
      <c r="A13" t="s">
        <v>28</v>
      </c>
      <c r="B13" t="s">
        <v>29</v>
      </c>
      <c r="C13" t="s">
        <v>26</v>
      </c>
      <c r="D13" s="3">
        <f t="shared" si="0"/>
        <v>54780</v>
      </c>
      <c r="E13" s="5">
        <v>55</v>
      </c>
      <c r="F13">
        <v>996</v>
      </c>
      <c r="G13" s="7">
        <f>VLOOKUP(F13,Portfolio!$J$3:$K$6,2)</f>
        <v>50</v>
      </c>
      <c r="H13" s="36">
        <f>'Data Queries'!E15</f>
        <v>177.38</v>
      </c>
      <c r="I13" s="6">
        <f t="shared" si="1"/>
        <v>176670.47999999998</v>
      </c>
      <c r="J13" s="37">
        <f t="shared" si="2"/>
        <v>121840.47999999998</v>
      </c>
      <c r="K13" s="39">
        <f t="shared" si="3"/>
        <v>2.2250909090909086</v>
      </c>
    </row>
    <row r="14" spans="1:14">
      <c r="A14" t="s">
        <v>28</v>
      </c>
      <c r="B14" t="s">
        <v>29</v>
      </c>
      <c r="C14" t="s">
        <v>71</v>
      </c>
      <c r="D14" s="3">
        <f t="shared" si="0"/>
        <v>22023.96</v>
      </c>
      <c r="E14" s="5">
        <v>65.94</v>
      </c>
      <c r="F14">
        <v>334</v>
      </c>
      <c r="G14" s="7">
        <f>VLOOKUP(F14,Portfolio!$J$3:$K$6,2)</f>
        <v>30</v>
      </c>
      <c r="H14" s="36">
        <f>'Data Queries'!E16</f>
        <v>97.45</v>
      </c>
      <c r="I14" s="6">
        <f t="shared" si="1"/>
        <v>32548.3</v>
      </c>
      <c r="J14" s="37">
        <f t="shared" si="2"/>
        <v>10494.34</v>
      </c>
      <c r="K14" s="39">
        <f t="shared" si="3"/>
        <v>0.47785865938732186</v>
      </c>
    </row>
    <row r="15" spans="1:14">
      <c r="A15" t="s">
        <v>28</v>
      </c>
      <c r="B15" t="s">
        <v>30</v>
      </c>
      <c r="C15" t="s">
        <v>32</v>
      </c>
      <c r="D15" s="3">
        <f t="shared" si="0"/>
        <v>64115.999999999993</v>
      </c>
      <c r="E15" s="5">
        <v>35.619999999999997</v>
      </c>
      <c r="F15">
        <v>1800</v>
      </c>
      <c r="G15" s="7">
        <f>VLOOKUP(F15,Portfolio!$J$3:$K$6,2)</f>
        <v>50</v>
      </c>
      <c r="H15" s="36">
        <f>'Data Queries'!E17</f>
        <v>20.29</v>
      </c>
      <c r="I15" s="6">
        <f t="shared" si="1"/>
        <v>36522</v>
      </c>
      <c r="J15" s="37">
        <f t="shared" si="2"/>
        <v>-27643.999999999993</v>
      </c>
      <c r="K15" s="39">
        <f t="shared" si="3"/>
        <v>-0.43037619314991571</v>
      </c>
    </row>
    <row r="16" spans="1:14">
      <c r="A16" t="s">
        <v>28</v>
      </c>
      <c r="B16" t="s">
        <v>30</v>
      </c>
      <c r="C16" t="s">
        <v>40</v>
      </c>
      <c r="D16" s="3">
        <f t="shared" si="0"/>
        <v>35400</v>
      </c>
      <c r="E16" s="5">
        <v>44.25</v>
      </c>
      <c r="F16">
        <v>800</v>
      </c>
      <c r="G16" s="7">
        <f>VLOOKUP(F16,Portfolio!$J$3:$K$6,2)</f>
        <v>50</v>
      </c>
      <c r="H16" s="36">
        <f>'Data Queries'!E18</f>
        <v>94.09</v>
      </c>
      <c r="I16" s="6">
        <f t="shared" si="1"/>
        <v>75272</v>
      </c>
      <c r="J16" s="37">
        <f t="shared" si="2"/>
        <v>39822</v>
      </c>
      <c r="K16" s="39">
        <f t="shared" si="3"/>
        <v>1.1263276836158191</v>
      </c>
    </row>
    <row r="17" spans="4:11">
      <c r="D17" s="3">
        <f>SUM(D5:D16,G5:G16)</f>
        <v>497560.46</v>
      </c>
      <c r="G17" s="7">
        <f>SUM(G5:G16)</f>
        <v>580</v>
      </c>
      <c r="I17" s="6">
        <f>SUM(I5:I16)</f>
        <v>831665.03</v>
      </c>
      <c r="J17" s="37">
        <f t="shared" si="2"/>
        <v>333524.57</v>
      </c>
      <c r="K17" s="37"/>
    </row>
  </sheetData>
  <conditionalFormatting sqref="J5:J17">
    <cfRule type="cellIs" dxfId="24" priority="4" operator="lessThan">
      <formula>0</formula>
    </cfRule>
  </conditionalFormatting>
  <conditionalFormatting sqref="L1:L3 J5:J1048576">
    <cfRule type="cellIs" dxfId="23" priority="3" operator="between">
      <formula>1</formula>
      <formula>25000</formula>
    </cfRule>
  </conditionalFormatting>
  <conditionalFormatting sqref="J1:J3 J5:J1048576">
    <cfRule type="containsText" dxfId="22" priority="1" operator="containsText" text="Gains">
      <formula>NOT(ISERROR(SEARCH("Gains",J1)))</formula>
    </cfRule>
    <cfRule type="cellIs" dxfId="21" priority="2" operator="greaterThan">
      <formula>25001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V17"/>
  <sheetViews>
    <sheetView topLeftCell="N1" workbookViewId="0">
      <selection activeCell="S10" sqref="S10"/>
    </sheetView>
  </sheetViews>
  <sheetFormatPr defaultRowHeight="14.4"/>
  <cols>
    <col min="3" max="3" width="20.33203125" customWidth="1"/>
    <col min="4" max="4" width="30.6640625" customWidth="1"/>
    <col min="5" max="5" width="19.77734375" customWidth="1"/>
    <col min="7" max="7" width="21.33203125" customWidth="1"/>
    <col min="8" max="8" width="22.6640625" customWidth="1"/>
    <col min="9" max="9" width="28.5546875" customWidth="1"/>
    <col min="10" max="10" width="16.21875" customWidth="1"/>
    <col min="11" max="12" width="18" customWidth="1"/>
    <col min="13" max="13" width="11.5546875" customWidth="1"/>
    <col min="14" max="15" width="15.77734375" customWidth="1"/>
    <col min="16" max="16" width="13.44140625" customWidth="1"/>
    <col min="17" max="17" width="19.21875" customWidth="1"/>
    <col min="18" max="18" width="27.109375" customWidth="1"/>
    <col min="19" max="19" width="35.109375" customWidth="1"/>
    <col min="20" max="20" width="35.88671875" customWidth="1"/>
    <col min="21" max="21" width="27.5546875" customWidth="1"/>
    <col min="22" max="22" width="12.5546875" bestFit="1" customWidth="1"/>
  </cols>
  <sheetData>
    <row r="3" spans="3:22" ht="18">
      <c r="C3" s="2" t="s">
        <v>1</v>
      </c>
      <c r="D3" s="2" t="s">
        <v>2</v>
      </c>
      <c r="E3" s="2" t="s">
        <v>4</v>
      </c>
      <c r="F3" s="2" t="s">
        <v>3</v>
      </c>
      <c r="G3" s="2" t="s">
        <v>34</v>
      </c>
      <c r="H3" s="2" t="s">
        <v>115</v>
      </c>
      <c r="I3" s="2" t="s">
        <v>104</v>
      </c>
      <c r="J3" s="2" t="s">
        <v>36</v>
      </c>
      <c r="K3" s="2" t="s">
        <v>37</v>
      </c>
      <c r="L3" s="2" t="s">
        <v>112</v>
      </c>
      <c r="M3" s="2" t="s">
        <v>108</v>
      </c>
      <c r="N3" s="2" t="s">
        <v>109</v>
      </c>
      <c r="O3" s="2" t="s">
        <v>110</v>
      </c>
      <c r="P3" s="2" t="s">
        <v>111</v>
      </c>
      <c r="Q3" s="2" t="s">
        <v>113</v>
      </c>
      <c r="R3" s="2" t="s">
        <v>114</v>
      </c>
      <c r="S3" s="2" t="s">
        <v>116</v>
      </c>
      <c r="T3" s="2" t="s">
        <v>117</v>
      </c>
      <c r="U3" s="2" t="s">
        <v>118</v>
      </c>
      <c r="V3" s="2" t="s">
        <v>200</v>
      </c>
    </row>
    <row r="4" spans="3:22">
      <c r="C4" t="s">
        <v>5</v>
      </c>
      <c r="D4" t="s">
        <v>6</v>
      </c>
      <c r="E4" t="s">
        <v>7</v>
      </c>
      <c r="F4" t="s">
        <v>8</v>
      </c>
      <c r="G4" s="3">
        <f>I4*J4</f>
        <v>29407</v>
      </c>
      <c r="I4" s="5">
        <v>42.01</v>
      </c>
      <c r="J4">
        <f>'Initial and Current Prices'!F5</f>
        <v>700</v>
      </c>
      <c r="K4" s="7">
        <f>VLOOKUP(J4,Portfolio!$J$3:$K$6,2)</f>
        <v>50</v>
      </c>
      <c r="L4" s="41">
        <f>0.5*J4</f>
        <v>350</v>
      </c>
      <c r="M4">
        <v>51.2</v>
      </c>
      <c r="N4">
        <f>M4*L4</f>
        <v>17920</v>
      </c>
      <c r="O4" s="6">
        <f>0.15*N4</f>
        <v>2688</v>
      </c>
      <c r="P4" s="6">
        <f>N4-O4</f>
        <v>15232</v>
      </c>
      <c r="Q4" s="37">
        <f>P4-K4-0.5*G4</f>
        <v>478.5</v>
      </c>
      <c r="R4" s="6">
        <f>P4+0.5*'Initial and Current Prices'!I5</f>
        <v>33152</v>
      </c>
      <c r="S4" s="39">
        <f>(R4-G4)/G4</f>
        <v>0.12735063080218995</v>
      </c>
      <c r="T4" s="6">
        <f>SUM(R4:R15)</f>
        <v>769290.15274999989</v>
      </c>
      <c r="U4" s="39">
        <f>(T4-H16)/H16</f>
        <v>0.54792836875316964</v>
      </c>
      <c r="V4" s="6">
        <f>T4-K16-H16</f>
        <v>271729.69274999987</v>
      </c>
    </row>
    <row r="5" spans="3:22">
      <c r="C5" t="s">
        <v>5</v>
      </c>
      <c r="D5" t="s">
        <v>6</v>
      </c>
      <c r="E5" t="s">
        <v>9</v>
      </c>
      <c r="F5" t="s">
        <v>10</v>
      </c>
      <c r="G5" s="3">
        <f t="shared" ref="G5:G15" si="0">I5*J5</f>
        <v>24375</v>
      </c>
      <c r="H5" s="3"/>
      <c r="I5" s="5">
        <v>19.5</v>
      </c>
      <c r="J5">
        <f>'Initial and Current Prices'!F6</f>
        <v>1250</v>
      </c>
      <c r="K5" s="7">
        <f>VLOOKUP(J5,Portfolio!$J$3:$K$6,2)</f>
        <v>50</v>
      </c>
      <c r="L5" s="41">
        <f t="shared" ref="L5:L15" si="1">0.5*J5</f>
        <v>625</v>
      </c>
      <c r="M5">
        <v>59.86</v>
      </c>
      <c r="N5">
        <f t="shared" ref="N5:N15" si="2">M5*L5</f>
        <v>37412.5</v>
      </c>
      <c r="O5" s="6">
        <f t="shared" ref="O5:O15" si="3">0.15*N5</f>
        <v>5611.875</v>
      </c>
      <c r="P5" s="6">
        <f t="shared" ref="P5:P15" si="4">N5-O5</f>
        <v>31800.625</v>
      </c>
      <c r="Q5" s="37">
        <f t="shared" ref="Q5:Q15" si="5">P5-K5-0.5*G5</f>
        <v>19563.125</v>
      </c>
      <c r="R5" s="6">
        <f>P5+0.5*'Initial and Current Prices'!I6</f>
        <v>69213.125</v>
      </c>
      <c r="S5" s="39">
        <f t="shared" ref="S5:S15" si="6">(R5-G5)/G5</f>
        <v>1.8395128205128206</v>
      </c>
    </row>
    <row r="6" spans="3:22">
      <c r="C6" t="s">
        <v>5</v>
      </c>
      <c r="D6" t="s">
        <v>11</v>
      </c>
      <c r="E6" t="s">
        <v>12</v>
      </c>
      <c r="F6" t="s">
        <v>13</v>
      </c>
      <c r="G6" s="3">
        <f t="shared" si="0"/>
        <v>25641</v>
      </c>
      <c r="H6" s="3"/>
      <c r="I6" s="5">
        <v>28.49</v>
      </c>
      <c r="J6">
        <f>'Initial and Current Prices'!F7</f>
        <v>900</v>
      </c>
      <c r="K6" s="7">
        <f>VLOOKUP(J6,Portfolio!$J$3:$K$6,2)</f>
        <v>50</v>
      </c>
      <c r="L6" s="41">
        <f t="shared" si="1"/>
        <v>450</v>
      </c>
      <c r="M6">
        <v>35.53</v>
      </c>
      <c r="N6">
        <f t="shared" si="2"/>
        <v>15988.5</v>
      </c>
      <c r="O6" s="6">
        <f t="shared" si="3"/>
        <v>2398.2750000000001</v>
      </c>
      <c r="P6" s="6">
        <f t="shared" si="4"/>
        <v>13590.225</v>
      </c>
      <c r="Q6" s="37">
        <f t="shared" si="5"/>
        <v>719.72500000000036</v>
      </c>
      <c r="R6" s="6">
        <f>P6+0.5*'Initial and Current Prices'!I7</f>
        <v>29578.724999999999</v>
      </c>
      <c r="S6" s="39">
        <f t="shared" si="6"/>
        <v>0.15357142857142853</v>
      </c>
    </row>
    <row r="7" spans="3:22">
      <c r="C7" t="s">
        <v>5</v>
      </c>
      <c r="D7" t="s">
        <v>11</v>
      </c>
      <c r="E7" t="s">
        <v>14</v>
      </c>
      <c r="F7" t="s">
        <v>15</v>
      </c>
      <c r="G7" s="3">
        <f t="shared" si="0"/>
        <v>61237.5</v>
      </c>
      <c r="H7" s="3"/>
      <c r="I7" s="5">
        <v>35.5</v>
      </c>
      <c r="J7">
        <f>'Initial and Current Prices'!F8</f>
        <v>1725</v>
      </c>
      <c r="K7" s="7">
        <f>VLOOKUP(J7,Portfolio!$J$3:$K$6,2)</f>
        <v>50</v>
      </c>
      <c r="L7" s="35">
        <f t="shared" si="1"/>
        <v>862.5</v>
      </c>
      <c r="M7">
        <v>33.65</v>
      </c>
      <c r="N7">
        <f t="shared" si="2"/>
        <v>29023.125</v>
      </c>
      <c r="O7" s="6">
        <f t="shared" si="3"/>
        <v>4353.46875</v>
      </c>
      <c r="P7" s="6">
        <f t="shared" si="4"/>
        <v>24669.65625</v>
      </c>
      <c r="Q7" s="37">
        <f t="shared" si="5"/>
        <v>-5999.09375</v>
      </c>
      <c r="R7" s="6">
        <f>P7+0.5*'Initial and Current Prices'!I8</f>
        <v>53692.78125</v>
      </c>
      <c r="S7" s="39">
        <f t="shared" si="6"/>
        <v>-0.12320422535211267</v>
      </c>
    </row>
    <row r="8" spans="3:22">
      <c r="C8" t="s">
        <v>5</v>
      </c>
      <c r="D8" t="s">
        <v>16</v>
      </c>
      <c r="E8" t="s">
        <v>17</v>
      </c>
      <c r="F8" t="s">
        <v>18</v>
      </c>
      <c r="G8" s="3">
        <f t="shared" si="0"/>
        <v>84240</v>
      </c>
      <c r="H8" s="3"/>
      <c r="I8" s="5">
        <v>10.8</v>
      </c>
      <c r="J8">
        <f>'Initial and Current Prices'!F9</f>
        <v>7800</v>
      </c>
      <c r="K8" s="7">
        <f>VLOOKUP(J8,Portfolio!$J$3:$K$6,2)</f>
        <v>50</v>
      </c>
      <c r="L8" s="41">
        <f t="shared" si="1"/>
        <v>3900</v>
      </c>
      <c r="M8">
        <v>8.7799999999999994</v>
      </c>
      <c r="N8">
        <f t="shared" si="2"/>
        <v>34242</v>
      </c>
      <c r="O8" s="6">
        <f t="shared" si="3"/>
        <v>5136.3</v>
      </c>
      <c r="P8" s="6">
        <f t="shared" si="4"/>
        <v>29105.7</v>
      </c>
      <c r="Q8" s="37">
        <f t="shared" si="5"/>
        <v>-13064.3</v>
      </c>
      <c r="R8" s="6">
        <f>P8+0.5*'Initial and Current Prices'!I9</f>
        <v>63347.7</v>
      </c>
      <c r="S8" s="39">
        <f t="shared" si="6"/>
        <v>-0.24800925925925929</v>
      </c>
    </row>
    <row r="9" spans="3:22">
      <c r="C9" t="s">
        <v>5</v>
      </c>
      <c r="D9" t="s">
        <v>16</v>
      </c>
      <c r="E9" t="s">
        <v>19</v>
      </c>
      <c r="F9" t="s">
        <v>20</v>
      </c>
      <c r="G9" s="3">
        <f t="shared" si="0"/>
        <v>57000</v>
      </c>
      <c r="H9" s="3"/>
      <c r="I9" s="5">
        <v>28.5</v>
      </c>
      <c r="J9">
        <f>'Initial and Current Prices'!F10</f>
        <v>2000</v>
      </c>
      <c r="K9" s="7">
        <f>VLOOKUP(J9,Portfolio!$J$3:$K$6,2)</f>
        <v>50</v>
      </c>
      <c r="L9" s="41">
        <f t="shared" si="1"/>
        <v>1000</v>
      </c>
      <c r="M9">
        <v>52.055</v>
      </c>
      <c r="N9">
        <f t="shared" si="2"/>
        <v>52055</v>
      </c>
      <c r="O9" s="6">
        <f t="shared" si="3"/>
        <v>7808.25</v>
      </c>
      <c r="P9" s="6">
        <f t="shared" si="4"/>
        <v>44246.75</v>
      </c>
      <c r="Q9" s="37">
        <f t="shared" si="5"/>
        <v>15696.75</v>
      </c>
      <c r="R9" s="6">
        <f>P9+0.5*'Initial and Current Prices'!I10</f>
        <v>96301.75</v>
      </c>
      <c r="S9" s="39">
        <f t="shared" si="6"/>
        <v>0.68950438596491226</v>
      </c>
    </row>
    <row r="10" spans="3:22">
      <c r="C10" t="s">
        <v>5</v>
      </c>
      <c r="D10" t="s">
        <v>22</v>
      </c>
      <c r="E10" t="s">
        <v>21</v>
      </c>
      <c r="F10" t="s">
        <v>23</v>
      </c>
      <c r="G10" s="3">
        <f t="shared" si="0"/>
        <v>23020</v>
      </c>
      <c r="H10" s="3"/>
      <c r="I10" s="5">
        <v>11.51</v>
      </c>
      <c r="J10">
        <f>'Initial and Current Prices'!F11</f>
        <v>2000</v>
      </c>
      <c r="K10" s="7">
        <f>VLOOKUP(J10,Portfolio!$J$3:$K$6,2)</f>
        <v>50</v>
      </c>
      <c r="L10" s="41">
        <f t="shared" si="1"/>
        <v>1000</v>
      </c>
      <c r="M10">
        <v>33.79</v>
      </c>
      <c r="N10">
        <f t="shared" si="2"/>
        <v>33790</v>
      </c>
      <c r="O10" s="6">
        <f t="shared" si="3"/>
        <v>5068.5</v>
      </c>
      <c r="P10" s="6">
        <f t="shared" si="4"/>
        <v>28721.5</v>
      </c>
      <c r="Q10" s="37">
        <f t="shared" si="5"/>
        <v>17161.5</v>
      </c>
      <c r="R10" s="6">
        <f>P10+0.5*'Initial and Current Prices'!I11</f>
        <v>62511.5</v>
      </c>
      <c r="S10" s="39">
        <f t="shared" si="6"/>
        <v>1.7155299739357082</v>
      </c>
    </row>
    <row r="11" spans="3:22">
      <c r="C11" t="s">
        <v>5</v>
      </c>
      <c r="D11" t="s">
        <v>22</v>
      </c>
      <c r="E11" t="s">
        <v>24</v>
      </c>
      <c r="F11" t="s">
        <v>25</v>
      </c>
      <c r="G11" s="3">
        <f t="shared" si="0"/>
        <v>15740</v>
      </c>
      <c r="H11" s="3"/>
      <c r="I11" s="5">
        <v>15.74</v>
      </c>
      <c r="J11">
        <f>'Initial and Current Prices'!F12</f>
        <v>1000</v>
      </c>
      <c r="K11" s="7">
        <f>VLOOKUP(J11,Portfolio!$J$3:$K$6,2)</f>
        <v>50</v>
      </c>
      <c r="L11" s="41">
        <f t="shared" si="1"/>
        <v>500</v>
      </c>
      <c r="M11">
        <v>69.790000000000006</v>
      </c>
      <c r="N11">
        <f t="shared" si="2"/>
        <v>34895</v>
      </c>
      <c r="O11" s="6">
        <f t="shared" si="3"/>
        <v>5234.25</v>
      </c>
      <c r="P11" s="6">
        <f t="shared" si="4"/>
        <v>29660.75</v>
      </c>
      <c r="Q11" s="37">
        <f t="shared" si="5"/>
        <v>21740.75</v>
      </c>
      <c r="R11" s="6">
        <f>P11+0.5*'Initial and Current Prices'!I12</f>
        <v>64555.75</v>
      </c>
      <c r="S11" s="39">
        <f t="shared" si="6"/>
        <v>3.1013818297331639</v>
      </c>
    </row>
    <row r="12" spans="3:22">
      <c r="C12" t="s">
        <v>28</v>
      </c>
      <c r="D12" t="s">
        <v>29</v>
      </c>
      <c r="E12" t="s">
        <v>27</v>
      </c>
      <c r="F12" t="s">
        <v>26</v>
      </c>
      <c r="G12" s="3">
        <f t="shared" si="0"/>
        <v>54780</v>
      </c>
      <c r="H12" s="3"/>
      <c r="I12" s="5">
        <v>55</v>
      </c>
      <c r="J12">
        <f>'Initial and Current Prices'!F13</f>
        <v>996</v>
      </c>
      <c r="K12" s="7">
        <f>VLOOKUP(J12,Portfolio!$J$3:$K$6,2)</f>
        <v>50</v>
      </c>
      <c r="L12" s="41">
        <f t="shared" si="1"/>
        <v>498</v>
      </c>
      <c r="M12">
        <v>177.38</v>
      </c>
      <c r="N12">
        <f t="shared" si="2"/>
        <v>88335.239999999991</v>
      </c>
      <c r="O12" s="6">
        <f t="shared" si="3"/>
        <v>13250.285999999998</v>
      </c>
      <c r="P12" s="6">
        <f t="shared" si="4"/>
        <v>75084.953999999998</v>
      </c>
      <c r="Q12" s="37">
        <f t="shared" si="5"/>
        <v>47644.953999999998</v>
      </c>
      <c r="R12" s="6">
        <f>P12+0.5*'Initial and Current Prices'!I13</f>
        <v>163420.19399999999</v>
      </c>
      <c r="S12" s="39">
        <f t="shared" si="6"/>
        <v>1.9832090909090907</v>
      </c>
    </row>
    <row r="13" spans="3:22">
      <c r="C13" t="s">
        <v>28</v>
      </c>
      <c r="D13" t="s">
        <v>29</v>
      </c>
      <c r="E13" t="s">
        <v>70</v>
      </c>
      <c r="F13" t="s">
        <v>71</v>
      </c>
      <c r="G13" s="3">
        <f t="shared" si="0"/>
        <v>22023.96</v>
      </c>
      <c r="H13" s="3"/>
      <c r="I13" s="5">
        <v>65.94</v>
      </c>
      <c r="J13">
        <f>'Initial and Current Prices'!F14</f>
        <v>334</v>
      </c>
      <c r="K13" s="7">
        <f>VLOOKUP(J13,Portfolio!$J$3:$K$6,2)</f>
        <v>30</v>
      </c>
      <c r="L13" s="41">
        <f t="shared" si="1"/>
        <v>167</v>
      </c>
      <c r="M13">
        <v>97.45</v>
      </c>
      <c r="N13">
        <f t="shared" si="2"/>
        <v>16274.15</v>
      </c>
      <c r="O13" s="6">
        <f t="shared" si="3"/>
        <v>2441.1224999999999</v>
      </c>
      <c r="P13" s="6">
        <f t="shared" si="4"/>
        <v>13833.0275</v>
      </c>
      <c r="Q13" s="37">
        <f t="shared" si="5"/>
        <v>2791.0475000000006</v>
      </c>
      <c r="R13" s="6">
        <f>P13+0.5*'Initial and Current Prices'!I14</f>
        <v>30107.177499999998</v>
      </c>
      <c r="S13" s="39">
        <f t="shared" si="6"/>
        <v>0.36701925993327261</v>
      </c>
    </row>
    <row r="14" spans="3:22">
      <c r="C14" t="s">
        <v>28</v>
      </c>
      <c r="D14" t="s">
        <v>30</v>
      </c>
      <c r="E14" t="s">
        <v>31</v>
      </c>
      <c r="F14" t="s">
        <v>32</v>
      </c>
      <c r="G14" s="3">
        <f t="shared" si="0"/>
        <v>64115.999999999993</v>
      </c>
      <c r="H14" s="3"/>
      <c r="I14" s="5">
        <v>35.619999999999997</v>
      </c>
      <c r="J14">
        <f>'Initial and Current Prices'!F15</f>
        <v>1800</v>
      </c>
      <c r="K14" s="7">
        <f>VLOOKUP(J14,Portfolio!$J$3:$K$6,2)</f>
        <v>50</v>
      </c>
      <c r="L14" s="41">
        <f t="shared" si="1"/>
        <v>900</v>
      </c>
      <c r="M14">
        <v>20.29</v>
      </c>
      <c r="N14">
        <f t="shared" si="2"/>
        <v>18261</v>
      </c>
      <c r="O14" s="6">
        <f t="shared" si="3"/>
        <v>2739.15</v>
      </c>
      <c r="P14" s="6">
        <f t="shared" si="4"/>
        <v>15521.85</v>
      </c>
      <c r="Q14" s="37">
        <f t="shared" si="5"/>
        <v>-16586.149999999994</v>
      </c>
      <c r="R14" s="6">
        <f>P14+0.5*'Initial and Current Prices'!I15</f>
        <v>33782.85</v>
      </c>
      <c r="S14" s="39">
        <f t="shared" si="6"/>
        <v>-0.47309797866367204</v>
      </c>
    </row>
    <row r="15" spans="3:22">
      <c r="C15" t="s">
        <v>28</v>
      </c>
      <c r="D15" t="s">
        <v>30</v>
      </c>
      <c r="E15" t="s">
        <v>33</v>
      </c>
      <c r="F15" t="s">
        <v>40</v>
      </c>
      <c r="G15" s="3">
        <f t="shared" si="0"/>
        <v>35400</v>
      </c>
      <c r="H15" s="3"/>
      <c r="I15" s="5">
        <v>44.25</v>
      </c>
      <c r="J15">
        <f>'Initial and Current Prices'!F16</f>
        <v>800</v>
      </c>
      <c r="K15" s="7">
        <f>VLOOKUP(J15,Portfolio!$J$3:$K$6,2)</f>
        <v>50</v>
      </c>
      <c r="L15" s="41">
        <f t="shared" si="1"/>
        <v>400</v>
      </c>
      <c r="M15">
        <v>94.09</v>
      </c>
      <c r="N15">
        <f t="shared" si="2"/>
        <v>37636</v>
      </c>
      <c r="O15" s="6">
        <f t="shared" si="3"/>
        <v>5645.4</v>
      </c>
      <c r="P15" s="6">
        <f t="shared" si="4"/>
        <v>31990.6</v>
      </c>
      <c r="Q15" s="37">
        <f t="shared" si="5"/>
        <v>14240.599999999999</v>
      </c>
      <c r="R15" s="6">
        <f>P15+0.5*'Initial and Current Prices'!I16</f>
        <v>69626.600000000006</v>
      </c>
      <c r="S15" s="39">
        <f t="shared" si="6"/>
        <v>0.96685310734463292</v>
      </c>
    </row>
    <row r="16" spans="3:22">
      <c r="G16" s="3"/>
      <c r="H16" s="3">
        <f>SUM($G$4:$G$15)</f>
        <v>496980.46</v>
      </c>
      <c r="K16" s="7">
        <f>SUM(K4:K15)</f>
        <v>580</v>
      </c>
      <c r="L16" s="7"/>
    </row>
    <row r="17" spans="18:18" ht="21">
      <c r="R17" s="4"/>
    </row>
  </sheetData>
  <conditionalFormatting sqref="Q4:Q15">
    <cfRule type="cellIs" dxfId="10" priority="4" operator="greaterThan">
      <formula>10001</formula>
    </cfRule>
    <cfRule type="cellIs" dxfId="9" priority="5" operator="between">
      <formula>0</formula>
      <formula>10000</formula>
    </cfRule>
    <cfRule type="cellIs" dxfId="8" priority="6" operator="lessThan">
      <formula>0</formula>
    </cfRule>
  </conditionalFormatting>
  <conditionalFormatting sqref="S4:S15">
    <cfRule type="cellIs" dxfId="0" priority="3" operator="greaterThan">
      <formula>0.25</formula>
    </cfRule>
    <cfRule type="cellIs" dxfId="1" priority="2" operator="lessThan">
      <formula>0</formula>
    </cfRule>
    <cfRule type="cellIs" dxfId="2" priority="1" operator="between">
      <formula>0</formula>
      <formula>0.25</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T36"/>
  <sheetViews>
    <sheetView topLeftCell="A13" workbookViewId="0">
      <selection activeCell="P23" sqref="P23"/>
    </sheetView>
  </sheetViews>
  <sheetFormatPr defaultRowHeight="14.4"/>
  <cols>
    <col min="3" max="3" width="17" customWidth="1"/>
    <col min="4" max="4" width="28.77734375" customWidth="1"/>
    <col min="6" max="6" width="19" customWidth="1"/>
    <col min="7" max="7" width="26.33203125" customWidth="1"/>
    <col min="8" max="8" width="13.44140625" customWidth="1"/>
    <col min="9" max="9" width="26.21875" customWidth="1"/>
    <col min="10" max="10" width="26.109375" customWidth="1"/>
    <col min="11" max="11" width="22.21875" customWidth="1"/>
    <col min="12" max="12" width="16.6640625" customWidth="1"/>
    <col min="13" max="13" width="23.77734375" customWidth="1"/>
    <col min="14" max="14" width="18.6640625" customWidth="1"/>
    <col min="15" max="15" width="20.44140625" customWidth="1"/>
    <col min="16" max="16" width="26.33203125" customWidth="1"/>
    <col min="17" max="17" width="19.44140625" customWidth="1"/>
    <col min="18" max="18" width="24.44140625" customWidth="1"/>
    <col min="19" max="19" width="26.6640625" customWidth="1"/>
    <col min="20" max="20" width="10" bestFit="1" customWidth="1"/>
  </cols>
  <sheetData>
    <row r="3" spans="3:16" ht="18">
      <c r="C3" s="2" t="s">
        <v>1</v>
      </c>
      <c r="D3" s="2" t="s">
        <v>2</v>
      </c>
      <c r="E3" s="2" t="s">
        <v>3</v>
      </c>
      <c r="F3" s="2" t="s">
        <v>34</v>
      </c>
      <c r="G3" s="2" t="s">
        <v>104</v>
      </c>
      <c r="H3" s="2" t="s">
        <v>36</v>
      </c>
      <c r="I3" s="2" t="s">
        <v>119</v>
      </c>
      <c r="J3" s="2" t="s">
        <v>120</v>
      </c>
      <c r="K3" s="2" t="s">
        <v>121</v>
      </c>
      <c r="L3" s="2" t="s">
        <v>122</v>
      </c>
      <c r="M3" s="2" t="s">
        <v>123</v>
      </c>
      <c r="N3" s="2" t="s">
        <v>124</v>
      </c>
      <c r="O3" s="2" t="s">
        <v>111</v>
      </c>
      <c r="P3" s="2" t="s">
        <v>126</v>
      </c>
    </row>
    <row r="4" spans="3:16">
      <c r="C4" t="s">
        <v>5</v>
      </c>
      <c r="D4" t="s">
        <v>6</v>
      </c>
      <c r="E4" t="s">
        <v>8</v>
      </c>
      <c r="F4" s="3">
        <f>G4*H4</f>
        <v>29407</v>
      </c>
      <c r="G4" s="5">
        <v>42.01</v>
      </c>
      <c r="H4">
        <f>'Initial and Current Prices'!F5</f>
        <v>700</v>
      </c>
      <c r="I4" s="5">
        <v>33.32</v>
      </c>
      <c r="J4" s="5">
        <f>I4*H4</f>
        <v>23324</v>
      </c>
      <c r="K4" s="39">
        <f>(J4-F4)/F4</f>
        <v>-0.20685551059271601</v>
      </c>
      <c r="L4" t="str">
        <f>IF(K4&gt;MEDIAN($K$4:$K$15), "NO","YES")</f>
        <v>YES</v>
      </c>
      <c r="M4" s="5">
        <f>J4</f>
        <v>23324</v>
      </c>
      <c r="N4" s="7">
        <f t="shared" ref="N4:N15" si="0">0.15*M4</f>
        <v>3498.6</v>
      </c>
      <c r="O4" s="7">
        <f t="shared" ref="O4:O15" si="1">M4-N4</f>
        <v>19825.400000000001</v>
      </c>
    </row>
    <row r="5" spans="3:16">
      <c r="C5" t="s">
        <v>5</v>
      </c>
      <c r="D5" t="s">
        <v>6</v>
      </c>
      <c r="E5" t="s">
        <v>10</v>
      </c>
      <c r="F5" s="3">
        <f t="shared" ref="F5:F15" si="2">G5*H5</f>
        <v>24375</v>
      </c>
      <c r="G5" s="5">
        <v>19.5</v>
      </c>
      <c r="H5">
        <f>'Initial and Current Prices'!F6</f>
        <v>1250</v>
      </c>
      <c r="I5" s="5">
        <v>41</v>
      </c>
      <c r="J5" s="5">
        <f t="shared" ref="J5:J15" si="3">I5*H5</f>
        <v>51250</v>
      </c>
      <c r="K5" s="39">
        <f t="shared" ref="K5:K15" si="4">(J5-F5)/F5</f>
        <v>1.1025641025641026</v>
      </c>
      <c r="L5" t="str">
        <f t="shared" ref="L5:L15" si="5">IF(K5&gt;MEDIAN($K$4:$K$15), "NO","YES")</f>
        <v>NO</v>
      </c>
      <c r="M5" s="5"/>
      <c r="N5" s="7"/>
      <c r="O5" s="7"/>
    </row>
    <row r="6" spans="3:16">
      <c r="C6" t="s">
        <v>5</v>
      </c>
      <c r="D6" t="s">
        <v>11</v>
      </c>
      <c r="E6" t="s">
        <v>13</v>
      </c>
      <c r="F6" s="3">
        <f t="shared" si="2"/>
        <v>25641</v>
      </c>
      <c r="G6" s="5">
        <v>28.49</v>
      </c>
      <c r="H6">
        <f>'Initial and Current Prices'!F7</f>
        <v>900</v>
      </c>
      <c r="I6" s="5">
        <v>33.840000000000003</v>
      </c>
      <c r="J6" s="5">
        <f t="shared" si="3"/>
        <v>30456.000000000004</v>
      </c>
      <c r="K6" s="39">
        <f t="shared" si="4"/>
        <v>0.18778518778518793</v>
      </c>
      <c r="L6" t="str">
        <f t="shared" si="5"/>
        <v>YES</v>
      </c>
      <c r="M6" s="5">
        <f t="shared" ref="M6:M15" si="6">J6</f>
        <v>30456.000000000004</v>
      </c>
      <c r="N6" s="7">
        <f t="shared" si="0"/>
        <v>4568.4000000000005</v>
      </c>
      <c r="O6" s="7">
        <f t="shared" si="1"/>
        <v>25887.600000000002</v>
      </c>
    </row>
    <row r="7" spans="3:16">
      <c r="C7" t="s">
        <v>5</v>
      </c>
      <c r="D7" t="s">
        <v>11</v>
      </c>
      <c r="E7" t="s">
        <v>15</v>
      </c>
      <c r="F7" s="3">
        <f t="shared" si="2"/>
        <v>61237.5</v>
      </c>
      <c r="G7" s="5">
        <v>35.5</v>
      </c>
      <c r="H7">
        <f>'Initial and Current Prices'!F8</f>
        <v>1725</v>
      </c>
      <c r="I7" s="5">
        <v>43.41</v>
      </c>
      <c r="J7" s="5">
        <f t="shared" si="3"/>
        <v>74882.25</v>
      </c>
      <c r="K7" s="39">
        <f t="shared" si="4"/>
        <v>0.2228169014084507</v>
      </c>
      <c r="L7" t="str">
        <f t="shared" si="5"/>
        <v>YES</v>
      </c>
      <c r="M7" s="5">
        <f t="shared" si="6"/>
        <v>74882.25</v>
      </c>
      <c r="N7" s="7">
        <f t="shared" si="0"/>
        <v>11232.3375</v>
      </c>
      <c r="O7" s="7">
        <f t="shared" si="1"/>
        <v>63649.912499999999</v>
      </c>
    </row>
    <row r="8" spans="3:16">
      <c r="C8" t="s">
        <v>5</v>
      </c>
      <c r="D8" t="s">
        <v>16</v>
      </c>
      <c r="E8" t="s">
        <v>18</v>
      </c>
      <c r="F8" s="3">
        <f t="shared" si="2"/>
        <v>84240</v>
      </c>
      <c r="G8" s="5">
        <v>10.8</v>
      </c>
      <c r="H8">
        <f>'Initial and Current Prices'!F9</f>
        <v>7800</v>
      </c>
      <c r="I8" s="5">
        <v>12.65</v>
      </c>
      <c r="J8" s="5">
        <f t="shared" si="3"/>
        <v>98670</v>
      </c>
      <c r="K8" s="39">
        <f t="shared" si="4"/>
        <v>0.17129629629629631</v>
      </c>
      <c r="L8" t="str">
        <f t="shared" si="5"/>
        <v>YES</v>
      </c>
      <c r="M8" s="5">
        <f t="shared" si="6"/>
        <v>98670</v>
      </c>
      <c r="N8" s="7">
        <f t="shared" si="0"/>
        <v>14800.5</v>
      </c>
      <c r="O8" s="7">
        <f t="shared" si="1"/>
        <v>83869.5</v>
      </c>
    </row>
    <row r="9" spans="3:16">
      <c r="C9" t="s">
        <v>5</v>
      </c>
      <c r="D9" t="s">
        <v>16</v>
      </c>
      <c r="E9" t="s">
        <v>20</v>
      </c>
      <c r="F9" s="3">
        <f t="shared" si="2"/>
        <v>57000</v>
      </c>
      <c r="G9" s="5">
        <v>28.5</v>
      </c>
      <c r="H9">
        <f>'Initial and Current Prices'!F10</f>
        <v>2000</v>
      </c>
      <c r="I9" s="5">
        <v>36.82</v>
      </c>
      <c r="J9" s="5">
        <f t="shared" si="3"/>
        <v>73640</v>
      </c>
      <c r="K9" s="39">
        <f t="shared" si="4"/>
        <v>0.29192982456140348</v>
      </c>
      <c r="L9" t="str">
        <f t="shared" si="5"/>
        <v>NO</v>
      </c>
      <c r="M9" s="5"/>
      <c r="N9" s="7"/>
      <c r="O9" s="7"/>
    </row>
    <row r="10" spans="3:16">
      <c r="C10" t="s">
        <v>5</v>
      </c>
      <c r="D10" t="s">
        <v>22</v>
      </c>
      <c r="E10" t="s">
        <v>23</v>
      </c>
      <c r="F10" s="3">
        <f t="shared" si="2"/>
        <v>23020</v>
      </c>
      <c r="G10" s="5">
        <v>11.51</v>
      </c>
      <c r="H10">
        <f>'Initial and Current Prices'!F11</f>
        <v>2000</v>
      </c>
      <c r="I10" s="5">
        <v>17.02</v>
      </c>
      <c r="J10" s="5">
        <f t="shared" si="3"/>
        <v>34040</v>
      </c>
      <c r="K10" s="39">
        <f t="shared" si="4"/>
        <v>0.47871416159860991</v>
      </c>
      <c r="L10" t="str">
        <f t="shared" si="5"/>
        <v>NO</v>
      </c>
      <c r="M10" s="5"/>
      <c r="N10" s="7"/>
      <c r="O10" s="7"/>
    </row>
    <row r="11" spans="3:16">
      <c r="C11" t="s">
        <v>5</v>
      </c>
      <c r="D11" t="s">
        <v>22</v>
      </c>
      <c r="E11" t="s">
        <v>25</v>
      </c>
      <c r="F11" s="3">
        <f t="shared" si="2"/>
        <v>15740</v>
      </c>
      <c r="G11" s="5">
        <v>15.74</v>
      </c>
      <c r="H11">
        <f>'Initial and Current Prices'!F12</f>
        <v>1000</v>
      </c>
      <c r="I11" s="5">
        <v>24.24</v>
      </c>
      <c r="J11" s="5">
        <f t="shared" si="3"/>
        <v>24240</v>
      </c>
      <c r="K11" s="39">
        <f t="shared" si="4"/>
        <v>0.54002541296060991</v>
      </c>
      <c r="L11" t="str">
        <f t="shared" si="5"/>
        <v>NO</v>
      </c>
      <c r="M11" s="5"/>
      <c r="N11" s="7"/>
      <c r="O11" s="7"/>
    </row>
    <row r="12" spans="3:16">
      <c r="C12" t="s">
        <v>28</v>
      </c>
      <c r="D12" t="s">
        <v>29</v>
      </c>
      <c r="E12" t="s">
        <v>26</v>
      </c>
      <c r="F12" s="3">
        <f t="shared" si="2"/>
        <v>54780</v>
      </c>
      <c r="G12" s="5">
        <v>55</v>
      </c>
      <c r="H12">
        <f>'Initial and Current Prices'!F13</f>
        <v>996</v>
      </c>
      <c r="I12" s="5">
        <v>72.94</v>
      </c>
      <c r="J12" s="5">
        <f t="shared" si="3"/>
        <v>72648.239999999991</v>
      </c>
      <c r="K12" s="39">
        <f t="shared" si="4"/>
        <v>0.32618181818181802</v>
      </c>
      <c r="L12" t="str">
        <f t="shared" si="5"/>
        <v>NO</v>
      </c>
      <c r="M12" s="5"/>
      <c r="N12" s="7"/>
      <c r="O12" s="7"/>
    </row>
    <row r="13" spans="3:16">
      <c r="C13" t="s">
        <v>28</v>
      </c>
      <c r="D13" t="s">
        <v>29</v>
      </c>
      <c r="E13" t="s">
        <v>71</v>
      </c>
      <c r="F13" s="3">
        <f t="shared" si="2"/>
        <v>22023.96</v>
      </c>
      <c r="G13" s="5">
        <v>65.94</v>
      </c>
      <c r="H13">
        <f>'Initial and Current Prices'!F14</f>
        <v>334</v>
      </c>
      <c r="I13" s="5">
        <v>82.81</v>
      </c>
      <c r="J13" s="5">
        <f t="shared" si="3"/>
        <v>27658.54</v>
      </c>
      <c r="K13" s="39">
        <f t="shared" si="4"/>
        <v>0.25583864118895977</v>
      </c>
      <c r="L13" t="str">
        <f t="shared" si="5"/>
        <v>YES</v>
      </c>
      <c r="M13" s="5">
        <f t="shared" si="6"/>
        <v>27658.54</v>
      </c>
      <c r="N13" s="7">
        <f t="shared" si="0"/>
        <v>4148.7809999999999</v>
      </c>
      <c r="O13" s="7">
        <f t="shared" si="1"/>
        <v>23509.759000000002</v>
      </c>
    </row>
    <row r="14" spans="3:16">
      <c r="C14" t="s">
        <v>28</v>
      </c>
      <c r="D14" t="s">
        <v>30</v>
      </c>
      <c r="E14" t="s">
        <v>32</v>
      </c>
      <c r="F14" s="3">
        <f t="shared" si="2"/>
        <v>64115.999999999993</v>
      </c>
      <c r="G14" s="5">
        <v>35.619999999999997</v>
      </c>
      <c r="H14">
        <f>'Initial and Current Prices'!F15</f>
        <v>1800</v>
      </c>
      <c r="I14" s="5">
        <v>17.05</v>
      </c>
      <c r="J14" s="5">
        <f t="shared" si="3"/>
        <v>30690</v>
      </c>
      <c r="K14" s="39">
        <f t="shared" si="4"/>
        <v>-0.52133632790567097</v>
      </c>
      <c r="L14" t="str">
        <f t="shared" si="5"/>
        <v>YES</v>
      </c>
      <c r="M14" s="5">
        <f t="shared" si="6"/>
        <v>30690</v>
      </c>
      <c r="N14" s="7">
        <f t="shared" si="0"/>
        <v>4603.5</v>
      </c>
      <c r="O14" s="7">
        <f t="shared" si="1"/>
        <v>26086.5</v>
      </c>
    </row>
    <row r="15" spans="3:16">
      <c r="C15" t="s">
        <v>28</v>
      </c>
      <c r="D15" t="s">
        <v>30</v>
      </c>
      <c r="E15" t="s">
        <v>40</v>
      </c>
      <c r="F15" s="3">
        <f t="shared" si="2"/>
        <v>35400</v>
      </c>
      <c r="G15" s="5">
        <v>44.25</v>
      </c>
      <c r="H15">
        <f>'Initial and Current Prices'!F16</f>
        <v>800</v>
      </c>
      <c r="I15" s="5">
        <v>75.53</v>
      </c>
      <c r="J15" s="5">
        <f t="shared" si="3"/>
        <v>60424</v>
      </c>
      <c r="K15" s="39">
        <f t="shared" si="4"/>
        <v>0.70689265536723167</v>
      </c>
      <c r="L15" t="str">
        <f t="shared" si="5"/>
        <v>NO</v>
      </c>
      <c r="M15" s="5"/>
      <c r="N15" s="7"/>
      <c r="O15" s="7"/>
      <c r="P15" s="7">
        <f>SUM(O4:O14)</f>
        <v>242828.6715</v>
      </c>
    </row>
    <row r="16" spans="3:16">
      <c r="F16" s="3">
        <f>SUM(F4:F15)</f>
        <v>496980.46</v>
      </c>
      <c r="P16" s="6"/>
    </row>
    <row r="18" spans="3:20" ht="23.4">
      <c r="C18" s="42" t="s">
        <v>125</v>
      </c>
    </row>
    <row r="20" spans="3:20" ht="18">
      <c r="C20" s="2" t="s">
        <v>1</v>
      </c>
      <c r="D20" s="2" t="s">
        <v>2</v>
      </c>
      <c r="E20" s="2" t="s">
        <v>3</v>
      </c>
      <c r="F20" s="2" t="s">
        <v>34</v>
      </c>
      <c r="G20" s="2" t="s">
        <v>104</v>
      </c>
      <c r="H20" s="2" t="s">
        <v>36</v>
      </c>
      <c r="I20" s="2" t="s">
        <v>127</v>
      </c>
      <c r="J20" s="2" t="s">
        <v>119</v>
      </c>
      <c r="K20" s="2" t="s">
        <v>128</v>
      </c>
      <c r="L20" s="2" t="s">
        <v>37</v>
      </c>
      <c r="M20" s="2" t="s">
        <v>129</v>
      </c>
      <c r="N20" s="2" t="s">
        <v>130</v>
      </c>
      <c r="O20" s="2" t="s">
        <v>131</v>
      </c>
      <c r="P20" s="2" t="s">
        <v>69</v>
      </c>
      <c r="Q20" s="2" t="s">
        <v>132</v>
      </c>
      <c r="R20" s="2" t="s">
        <v>133</v>
      </c>
      <c r="S20" s="2" t="s">
        <v>134</v>
      </c>
      <c r="T20" s="6"/>
    </row>
    <row r="21" spans="3:20">
      <c r="C21" t="s">
        <v>5</v>
      </c>
      <c r="D21" t="s">
        <v>6</v>
      </c>
      <c r="E21" t="s">
        <v>10</v>
      </c>
      <c r="F21" s="3">
        <f t="shared" ref="F21:F26" si="7">G21*H21</f>
        <v>24375</v>
      </c>
      <c r="G21" s="5">
        <v>19.5</v>
      </c>
      <c r="H21">
        <f>H5</f>
        <v>1250</v>
      </c>
      <c r="I21" s="6">
        <f>J21*K21</f>
        <v>42230</v>
      </c>
      <c r="J21" s="5">
        <v>41</v>
      </c>
      <c r="K21" s="35">
        <v>1030</v>
      </c>
      <c r="L21" s="6">
        <f>VLOOKUP(K21,$J$33:$K$36,2)</f>
        <v>50</v>
      </c>
      <c r="M21" s="6">
        <f>I21+F21</f>
        <v>66605</v>
      </c>
      <c r="N21" s="6">
        <f>K21+H21</f>
        <v>2280</v>
      </c>
      <c r="O21" s="6">
        <f>'Data Queries'!E8</f>
        <v>59.86</v>
      </c>
      <c r="P21" s="6">
        <f>O21*N21</f>
        <v>136480.79999999999</v>
      </c>
      <c r="Q21" s="39">
        <f>(P21-(I21+F21))/(I21+F21)</f>
        <v>1.0491074243675398</v>
      </c>
      <c r="R21" s="6">
        <f>SUM(P21:P26,-L27)</f>
        <v>1049209.5350000001</v>
      </c>
      <c r="S21" s="39">
        <f>(R21-F16)/F16</f>
        <v>1.1111685859842462</v>
      </c>
    </row>
    <row r="22" spans="3:20">
      <c r="C22" t="s">
        <v>5</v>
      </c>
      <c r="D22" t="s">
        <v>16</v>
      </c>
      <c r="E22" t="s">
        <v>20</v>
      </c>
      <c r="F22" s="3">
        <f t="shared" si="7"/>
        <v>57000</v>
      </c>
      <c r="G22" s="5">
        <v>28.5</v>
      </c>
      <c r="H22">
        <f>H9</f>
        <v>2000</v>
      </c>
      <c r="I22" s="6">
        <f t="shared" ref="I22:I26" si="8">J22*K22</f>
        <v>42158.9</v>
      </c>
      <c r="J22" s="5">
        <v>36.82</v>
      </c>
      <c r="K22" s="35">
        <v>1145</v>
      </c>
      <c r="L22" s="6">
        <f t="shared" ref="L22:L26" si="9">VLOOKUP(K22,$J$33:$K$36,2)</f>
        <v>50</v>
      </c>
      <c r="M22" s="6">
        <f t="shared" ref="M22:M26" si="10">I22+F22</f>
        <v>99158.9</v>
      </c>
      <c r="N22" s="6">
        <f t="shared" ref="N22:N26" si="11">K22+H22</f>
        <v>3145</v>
      </c>
      <c r="O22" s="6">
        <f>'Data Queries'!E12</f>
        <v>52.055</v>
      </c>
      <c r="P22" s="6">
        <f t="shared" ref="P22:P26" si="12">O22*N22</f>
        <v>163712.97500000001</v>
      </c>
      <c r="Q22" s="39">
        <f t="shared" ref="Q22:Q26" si="13">(P22-(I22+F22))/(I22+F22)</f>
        <v>0.65101644935552949</v>
      </c>
    </row>
    <row r="23" spans="3:20">
      <c r="C23" t="s">
        <v>5</v>
      </c>
      <c r="D23" t="s">
        <v>22</v>
      </c>
      <c r="E23" t="s">
        <v>23</v>
      </c>
      <c r="F23" s="3">
        <f t="shared" si="7"/>
        <v>23020</v>
      </c>
      <c r="G23" s="5">
        <v>11.51</v>
      </c>
      <c r="H23">
        <f>H10</f>
        <v>2000</v>
      </c>
      <c r="I23" s="6">
        <f t="shared" si="8"/>
        <v>42209.599999999999</v>
      </c>
      <c r="J23" s="5">
        <v>17.02</v>
      </c>
      <c r="K23" s="35">
        <v>2480</v>
      </c>
      <c r="L23" s="6">
        <f t="shared" si="9"/>
        <v>50</v>
      </c>
      <c r="M23" s="6">
        <f t="shared" si="10"/>
        <v>65229.599999999999</v>
      </c>
      <c r="N23" s="6">
        <f t="shared" si="11"/>
        <v>4480</v>
      </c>
      <c r="O23" s="6">
        <f>'Data Queries'!E13</f>
        <v>33.79</v>
      </c>
      <c r="P23" s="6">
        <f t="shared" si="12"/>
        <v>151379.19999999998</v>
      </c>
      <c r="Q23" s="39">
        <f t="shared" si="13"/>
        <v>1.3207132958043584</v>
      </c>
    </row>
    <row r="24" spans="3:20">
      <c r="C24" t="s">
        <v>5</v>
      </c>
      <c r="D24" t="s">
        <v>22</v>
      </c>
      <c r="E24" t="s">
        <v>25</v>
      </c>
      <c r="F24" s="3">
        <f t="shared" si="7"/>
        <v>15740</v>
      </c>
      <c r="G24" s="5">
        <v>15.74</v>
      </c>
      <c r="H24">
        <f>H11</f>
        <v>1000</v>
      </c>
      <c r="I24" s="6">
        <f t="shared" si="8"/>
        <v>42226.079999999994</v>
      </c>
      <c r="J24" s="5">
        <v>24.24</v>
      </c>
      <c r="K24" s="35">
        <v>1742</v>
      </c>
      <c r="L24" s="6">
        <f t="shared" si="9"/>
        <v>50</v>
      </c>
      <c r="M24" s="6">
        <f t="shared" si="10"/>
        <v>57966.079999999994</v>
      </c>
      <c r="N24" s="6">
        <f t="shared" si="11"/>
        <v>2742</v>
      </c>
      <c r="O24" s="6">
        <f>'Data Queries'!E14</f>
        <v>69.790000000000006</v>
      </c>
      <c r="P24" s="6">
        <f t="shared" si="12"/>
        <v>191364.18000000002</v>
      </c>
      <c r="Q24" s="39">
        <f t="shared" si="13"/>
        <v>2.30131311277216</v>
      </c>
    </row>
    <row r="25" spans="3:20">
      <c r="C25" t="s">
        <v>28</v>
      </c>
      <c r="D25" t="s">
        <v>29</v>
      </c>
      <c r="E25" t="s">
        <v>26</v>
      </c>
      <c r="F25" s="3">
        <f t="shared" si="7"/>
        <v>54780</v>
      </c>
      <c r="G25" s="5">
        <v>55</v>
      </c>
      <c r="H25">
        <f>H12</f>
        <v>996</v>
      </c>
      <c r="I25" s="6">
        <f t="shared" si="8"/>
        <v>42305.2</v>
      </c>
      <c r="J25" s="5">
        <v>72.94</v>
      </c>
      <c r="K25" s="35">
        <v>580</v>
      </c>
      <c r="L25" s="6">
        <f t="shared" si="9"/>
        <v>50</v>
      </c>
      <c r="M25" s="6">
        <f t="shared" si="10"/>
        <v>97085.2</v>
      </c>
      <c r="N25" s="6">
        <f t="shared" si="11"/>
        <v>1576</v>
      </c>
      <c r="O25" s="6">
        <f>'Data Queries'!E15</f>
        <v>177.38</v>
      </c>
      <c r="P25" s="6">
        <f t="shared" si="12"/>
        <v>279550.88</v>
      </c>
      <c r="Q25" s="39">
        <f t="shared" si="13"/>
        <v>1.8794386786039479</v>
      </c>
    </row>
    <row r="26" spans="3:20">
      <c r="C26" t="s">
        <v>28</v>
      </c>
      <c r="D26" t="s">
        <v>30</v>
      </c>
      <c r="E26" t="s">
        <v>40</v>
      </c>
      <c r="F26" s="3">
        <f t="shared" si="7"/>
        <v>35400</v>
      </c>
      <c r="G26" s="5">
        <v>44.25</v>
      </c>
      <c r="H26">
        <f>H15</f>
        <v>800</v>
      </c>
      <c r="I26" s="6">
        <f t="shared" si="8"/>
        <v>41541.5</v>
      </c>
      <c r="J26" s="5">
        <v>75.53</v>
      </c>
      <c r="K26" s="35">
        <v>550</v>
      </c>
      <c r="L26" s="6">
        <f t="shared" si="9"/>
        <v>50</v>
      </c>
      <c r="M26" s="6">
        <f t="shared" si="10"/>
        <v>76941.5</v>
      </c>
      <c r="N26" s="6">
        <f t="shared" si="11"/>
        <v>1350</v>
      </c>
      <c r="O26" s="6">
        <f>'Data Queries'!E18</f>
        <v>94.09</v>
      </c>
      <c r="P26" s="6">
        <f t="shared" si="12"/>
        <v>127021.5</v>
      </c>
      <c r="Q26" s="39">
        <f t="shared" si="13"/>
        <v>0.6508841132548755</v>
      </c>
    </row>
    <row r="27" spans="3:20">
      <c r="I27" s="6">
        <f>SUM(I21:I26,L21:L26)</f>
        <v>252971.27999999997</v>
      </c>
      <c r="L27" s="6">
        <f>SUM(L21:L26)</f>
        <v>300</v>
      </c>
      <c r="M27" s="6">
        <f>SUM(M21:M26,L27)</f>
        <v>463286.28</v>
      </c>
    </row>
    <row r="32" spans="3:20">
      <c r="J32" t="s">
        <v>38</v>
      </c>
    </row>
    <row r="33" spans="10:11">
      <c r="J33">
        <v>0</v>
      </c>
      <c r="K33" s="3">
        <v>10</v>
      </c>
    </row>
    <row r="34" spans="10:11">
      <c r="J34">
        <v>50</v>
      </c>
      <c r="K34" s="3">
        <v>20</v>
      </c>
    </row>
    <row r="35" spans="10:11">
      <c r="J35">
        <v>201</v>
      </c>
      <c r="K35" s="3">
        <v>30</v>
      </c>
    </row>
    <row r="36" spans="10:11">
      <c r="J36">
        <v>500</v>
      </c>
      <c r="K36" s="3">
        <v>50</v>
      </c>
    </row>
  </sheetData>
  <conditionalFormatting sqref="K4:K15">
    <cfRule type="cellIs" dxfId="20" priority="1" operator="greaterThan">
      <formula>0.21</formula>
    </cfRule>
    <cfRule type="cellIs" dxfId="19" priority="2" operator="between">
      <formula>0</formula>
      <formula>0.2</formula>
    </cfRule>
    <cfRule type="cellIs" dxfId="18" priority="3" operator="lessThan">
      <formula>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5:N43"/>
  <sheetViews>
    <sheetView tabSelected="1" topLeftCell="C1" zoomScale="85" zoomScaleNormal="85" workbookViewId="0">
      <selection activeCell="G25" sqref="G25"/>
    </sheetView>
  </sheetViews>
  <sheetFormatPr defaultRowHeight="14.4"/>
  <cols>
    <col min="4" max="4" width="19.88671875" customWidth="1"/>
    <col min="5" max="5" width="22.44140625" bestFit="1" customWidth="1"/>
    <col min="6" max="6" width="24" bestFit="1" customWidth="1"/>
    <col min="7" max="7" width="32.33203125" customWidth="1"/>
    <col min="8" max="11" width="7" customWidth="1"/>
    <col min="12" max="12" width="21.33203125" bestFit="1" customWidth="1"/>
    <col min="13" max="13" width="15.88671875" bestFit="1" customWidth="1"/>
    <col min="14" max="14" width="16.88671875" bestFit="1" customWidth="1"/>
    <col min="15" max="16" width="8" customWidth="1"/>
    <col min="17" max="17" width="10.77734375" bestFit="1" customWidth="1"/>
  </cols>
  <sheetData>
    <row r="25" spans="4:7" ht="21">
      <c r="D25" s="4" t="s">
        <v>143</v>
      </c>
    </row>
    <row r="26" spans="4:7">
      <c r="D26" s="43" t="s">
        <v>2</v>
      </c>
      <c r="E26" t="s">
        <v>141</v>
      </c>
      <c r="F26" t="s">
        <v>142</v>
      </c>
      <c r="G26" t="s">
        <v>140</v>
      </c>
    </row>
    <row r="27" spans="4:7">
      <c r="D27" s="44" t="s">
        <v>6</v>
      </c>
      <c r="E27" s="7">
        <v>39157</v>
      </c>
      <c r="F27" s="7">
        <v>65602</v>
      </c>
      <c r="G27" s="45">
        <v>1.1353951745310946</v>
      </c>
    </row>
    <row r="28" spans="4:7">
      <c r="D28" s="44" t="s">
        <v>16</v>
      </c>
      <c r="E28" s="7">
        <v>141240</v>
      </c>
      <c r="F28" s="7">
        <v>171548</v>
      </c>
      <c r="G28" s="45">
        <v>0.30878167641325538</v>
      </c>
    </row>
    <row r="29" spans="4:7">
      <c r="D29" s="44" t="s">
        <v>22</v>
      </c>
      <c r="E29" s="7">
        <v>30890</v>
      </c>
      <c r="F29" s="7">
        <v>102885</v>
      </c>
      <c r="G29" s="45">
        <v>2.6874506671730121</v>
      </c>
    </row>
    <row r="30" spans="4:7">
      <c r="D30" s="44" t="s">
        <v>11</v>
      </c>
      <c r="E30" s="7">
        <v>86878.5</v>
      </c>
      <c r="F30" s="7">
        <v>90840.75</v>
      </c>
      <c r="G30" s="45">
        <v>0.10366053816758035</v>
      </c>
    </row>
    <row r="31" spans="4:7">
      <c r="D31" s="44" t="s">
        <v>139</v>
      </c>
      <c r="E31" s="7">
        <v>298165.5</v>
      </c>
      <c r="F31" s="7">
        <v>430875.75</v>
      </c>
      <c r="G31" s="45">
        <v>1.0588220140712357</v>
      </c>
    </row>
    <row r="34" spans="4:14" ht="21">
      <c r="D34" s="4" t="s">
        <v>144</v>
      </c>
    </row>
    <row r="35" spans="4:14">
      <c r="D35" s="43" t="s">
        <v>2</v>
      </c>
      <c r="E35" t="s">
        <v>141</v>
      </c>
      <c r="F35" t="s">
        <v>142</v>
      </c>
      <c r="G35" t="s">
        <v>140</v>
      </c>
    </row>
    <row r="36" spans="4:14">
      <c r="D36" s="44" t="s">
        <v>29</v>
      </c>
      <c r="E36" s="6">
        <v>76803.959999999992</v>
      </c>
      <c r="F36" s="7">
        <v>202061.15999999997</v>
      </c>
      <c r="G36" s="39">
        <v>1.279297708660766</v>
      </c>
    </row>
    <row r="37" spans="4:14">
      <c r="D37" s="44" t="s">
        <v>30</v>
      </c>
      <c r="E37" s="6">
        <v>124450</v>
      </c>
      <c r="F37" s="7">
        <v>127336</v>
      </c>
      <c r="G37" s="39">
        <v>0.35093291713853392</v>
      </c>
    </row>
    <row r="38" spans="4:14">
      <c r="D38" s="44" t="s">
        <v>139</v>
      </c>
      <c r="E38" s="6">
        <v>201253.96</v>
      </c>
      <c r="F38" s="7">
        <v>329397.15999999997</v>
      </c>
      <c r="G38" s="39">
        <v>0.81511531289964989</v>
      </c>
    </row>
    <row r="41" spans="4:14">
      <c r="L41" t="s">
        <v>169</v>
      </c>
      <c r="M41" t="s">
        <v>176</v>
      </c>
      <c r="N41" t="s">
        <v>179</v>
      </c>
    </row>
    <row r="42" spans="4:14">
      <c r="K42" t="s">
        <v>177</v>
      </c>
      <c r="L42" s="3">
        <f>'Initial and Current Prices'!D17</f>
        <v>497560.46</v>
      </c>
      <c r="M42" s="39">
        <f>'Initial and Current Prices'!M5</f>
        <v>0.6714853708431735</v>
      </c>
      <c r="N42" s="6">
        <f>'Initial and Current Prices'!L5</f>
        <v>831665.03</v>
      </c>
    </row>
    <row r="43" spans="4:14">
      <c r="K43" t="s">
        <v>178</v>
      </c>
      <c r="L43" s="3">
        <f>ETFs!G9</f>
        <v>498195.83999999997</v>
      </c>
      <c r="M43" s="39">
        <f>ETFs!L6</f>
        <v>0.68818685840491989</v>
      </c>
      <c r="N43" s="6">
        <f>ETFs!J9</f>
        <v>841047.67</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M18"/>
  <sheetViews>
    <sheetView topLeftCell="D1" workbookViewId="0">
      <selection activeCell="J7" sqref="J7"/>
    </sheetView>
  </sheetViews>
  <sheetFormatPr defaultRowHeight="14.4"/>
  <cols>
    <col min="3" max="3" width="24.5546875" customWidth="1"/>
    <col min="5" max="5" width="26.44140625" customWidth="1"/>
    <col min="6" max="6" width="20.6640625" bestFit="1" customWidth="1"/>
    <col min="7" max="7" width="25.77734375" bestFit="1" customWidth="1"/>
    <col min="8" max="8" width="18" customWidth="1"/>
    <col min="9" max="9" width="14.6640625" bestFit="1" customWidth="1"/>
    <col min="10" max="10" width="21.33203125" bestFit="1" customWidth="1"/>
    <col min="11" max="11" width="14.44140625" bestFit="1" customWidth="1"/>
    <col min="12" max="12" width="20.33203125" bestFit="1" customWidth="1"/>
    <col min="13" max="13" width="17.77734375" customWidth="1"/>
  </cols>
  <sheetData>
    <row r="5" spans="3:13" ht="18">
      <c r="C5" s="2" t="s">
        <v>160</v>
      </c>
      <c r="D5" s="2" t="s">
        <v>75</v>
      </c>
      <c r="E5" s="2" t="s">
        <v>167</v>
      </c>
      <c r="F5" s="2" t="s">
        <v>168</v>
      </c>
      <c r="G5" s="2" t="s">
        <v>169</v>
      </c>
      <c r="H5" s="2" t="s">
        <v>37</v>
      </c>
      <c r="I5" s="2" t="s">
        <v>39</v>
      </c>
      <c r="J5" s="2" t="s">
        <v>69</v>
      </c>
      <c r="K5" s="2" t="s">
        <v>170</v>
      </c>
      <c r="L5" s="2" t="s">
        <v>171</v>
      </c>
      <c r="M5" s="2" t="s">
        <v>172</v>
      </c>
    </row>
    <row r="6" spans="3:13">
      <c r="C6" t="s">
        <v>161</v>
      </c>
      <c r="D6" t="s">
        <v>164</v>
      </c>
      <c r="E6" s="5">
        <v>105.03</v>
      </c>
      <c r="F6" s="41">
        <v>1585</v>
      </c>
      <c r="G6" s="5">
        <f>E6*F6</f>
        <v>166472.54999999999</v>
      </c>
      <c r="H6" s="7">
        <f>VLOOKUP(F6,$F$15:$G$18,2)</f>
        <v>50</v>
      </c>
      <c r="I6" s="6">
        <f>'Data Queries'!G79</f>
        <v>160.51</v>
      </c>
      <c r="J6" s="6">
        <f>I6*F6</f>
        <v>254408.34999999998</v>
      </c>
      <c r="K6" s="39">
        <f>(J6-G6)/G6</f>
        <v>0.52823002951537656</v>
      </c>
      <c r="L6" s="39">
        <f>(J9-G9)/G9</f>
        <v>0.68818685840491989</v>
      </c>
      <c r="M6" s="6">
        <f>J9-SUM(G6:G8)-SUM(H6:H8)</f>
        <v>342851.83000000007</v>
      </c>
    </row>
    <row r="7" spans="3:13">
      <c r="C7" t="s">
        <v>162</v>
      </c>
      <c r="D7" t="s">
        <v>165</v>
      </c>
      <c r="E7" s="46">
        <v>2704.29</v>
      </c>
      <c r="F7" s="41">
        <v>61</v>
      </c>
      <c r="G7" s="5">
        <f t="shared" ref="G7:G8" si="0">E7*F7</f>
        <v>164961.69</v>
      </c>
      <c r="H7" s="7">
        <f t="shared" ref="H7:H8" si="1">VLOOKUP(F7,$F$15:$G$18,2)</f>
        <v>20</v>
      </c>
      <c r="I7" s="6">
        <f>'Data Queries'!G80</f>
        <v>4506.68</v>
      </c>
      <c r="J7" s="6">
        <f t="shared" ref="J7:J8" si="2">I7*F7</f>
        <v>274907.48000000004</v>
      </c>
      <c r="K7" s="39">
        <f t="shared" ref="K7:K8" si="3">(J7-G7)/G7</f>
        <v>0.66649286873819025</v>
      </c>
    </row>
    <row r="8" spans="3:13">
      <c r="C8" t="s">
        <v>163</v>
      </c>
      <c r="D8" t="s">
        <v>166</v>
      </c>
      <c r="E8" s="5">
        <v>34.950000000000003</v>
      </c>
      <c r="F8" s="41">
        <v>4768</v>
      </c>
      <c r="G8" s="5">
        <f t="shared" si="0"/>
        <v>166641.60000000001</v>
      </c>
      <c r="H8" s="7">
        <f t="shared" si="1"/>
        <v>50</v>
      </c>
      <c r="I8" s="6">
        <f>'Data Queries'!G81</f>
        <v>65.38</v>
      </c>
      <c r="J8" s="6">
        <f t="shared" si="2"/>
        <v>311731.83999999997</v>
      </c>
      <c r="K8" s="39">
        <f t="shared" si="3"/>
        <v>0.87067238912732448</v>
      </c>
    </row>
    <row r="9" spans="3:13">
      <c r="G9" s="5">
        <f>SUM(G6:G8,H6:H8)</f>
        <v>498195.83999999997</v>
      </c>
      <c r="J9" s="6">
        <f>SUM(J6:J8)</f>
        <v>841047.67</v>
      </c>
    </row>
    <row r="14" spans="3:13">
      <c r="F14" t="s">
        <v>38</v>
      </c>
    </row>
    <row r="15" spans="3:13">
      <c r="F15">
        <v>0</v>
      </c>
      <c r="G15" s="3">
        <v>10</v>
      </c>
    </row>
    <row r="16" spans="3:13">
      <c r="F16">
        <v>50</v>
      </c>
      <c r="G16" s="3">
        <v>20</v>
      </c>
    </row>
    <row r="17" spans="6:7">
      <c r="F17">
        <v>201</v>
      </c>
      <c r="G17" s="3">
        <v>30</v>
      </c>
    </row>
    <row r="18" spans="6:7">
      <c r="F18">
        <v>500</v>
      </c>
      <c r="G18" s="3">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S95"/>
  <sheetViews>
    <sheetView topLeftCell="B43" workbookViewId="0">
      <selection activeCell="D11" sqref="D11"/>
    </sheetView>
  </sheetViews>
  <sheetFormatPr defaultRowHeight="14.4"/>
  <cols>
    <col min="3" max="3" width="11.44140625" customWidth="1"/>
    <col min="4" max="4" width="31.44140625" customWidth="1"/>
    <col min="5" max="6" width="6.44140625" customWidth="1"/>
    <col min="7" max="10" width="10" customWidth="1"/>
    <col min="11" max="11" width="14.33203125" customWidth="1"/>
    <col min="12" max="13" width="8.5546875" customWidth="1"/>
    <col min="14" max="15" width="10" customWidth="1"/>
    <col min="16" max="16" width="15.6640625" customWidth="1"/>
    <col min="17" max="17" width="6.33203125" customWidth="1"/>
    <col min="18" max="18" width="8.5546875" customWidth="1"/>
    <col min="19" max="19" width="14.33203125" customWidth="1"/>
    <col min="20" max="20" width="15.33203125" customWidth="1"/>
    <col min="21" max="21" width="6.109375" customWidth="1"/>
    <col min="22" max="22" width="8.33203125" customWidth="1"/>
    <col min="23" max="23" width="13.88671875" customWidth="1"/>
    <col min="24" max="24" width="10.88671875" bestFit="1" customWidth="1"/>
    <col min="25" max="25" width="9.88671875" bestFit="1" customWidth="1"/>
    <col min="26" max="26" width="8.21875" customWidth="1"/>
    <col min="27" max="27" width="13.33203125" bestFit="1" customWidth="1"/>
    <col min="28" max="28" width="9.21875" customWidth="1"/>
  </cols>
  <sheetData>
    <row r="3" spans="3:14">
      <c r="D3" t="s">
        <v>73</v>
      </c>
    </row>
    <row r="4" spans="3:14">
      <c r="D4" t="s">
        <v>74</v>
      </c>
    </row>
    <row r="6" spans="3:14">
      <c r="C6" t="s">
        <v>75</v>
      </c>
      <c r="D6" t="s">
        <v>76</v>
      </c>
      <c r="F6" t="s">
        <v>77</v>
      </c>
      <c r="H6" t="s">
        <v>78</v>
      </c>
      <c r="J6" t="s">
        <v>47</v>
      </c>
      <c r="K6" t="s">
        <v>79</v>
      </c>
      <c r="L6" t="s">
        <v>80</v>
      </c>
      <c r="M6" t="s">
        <v>56</v>
      </c>
      <c r="N6" t="s">
        <v>81</v>
      </c>
    </row>
    <row r="7" spans="3:14">
      <c r="C7" t="s">
        <v>90</v>
      </c>
      <c r="D7" t="s">
        <v>83</v>
      </c>
      <c r="E7">
        <v>51.2</v>
      </c>
      <c r="F7">
        <v>-0.01</v>
      </c>
      <c r="G7" s="39">
        <v>-2.0000000000000001E-4</v>
      </c>
      <c r="H7">
        <v>50.7</v>
      </c>
      <c r="I7">
        <v>52.62</v>
      </c>
      <c r="J7" s="8">
        <v>204698</v>
      </c>
      <c r="K7" s="8">
        <v>220635</v>
      </c>
      <c r="L7" t="s">
        <v>91</v>
      </c>
      <c r="M7" t="s">
        <v>84</v>
      </c>
      <c r="N7" t="s">
        <v>85</v>
      </c>
    </row>
    <row r="8" spans="3:14">
      <c r="C8" t="s">
        <v>92</v>
      </c>
      <c r="D8" t="s">
        <v>95</v>
      </c>
      <c r="E8">
        <v>59.86</v>
      </c>
      <c r="F8">
        <v>0.35</v>
      </c>
      <c r="G8" s="39">
        <v>5.8999999999999999E-3</v>
      </c>
      <c r="H8">
        <v>59.52</v>
      </c>
      <c r="I8">
        <v>59.95</v>
      </c>
      <c r="J8" s="8">
        <v>1842060</v>
      </c>
      <c r="K8" s="8">
        <v>927436</v>
      </c>
      <c r="L8" t="s">
        <v>147</v>
      </c>
      <c r="M8" t="s">
        <v>84</v>
      </c>
      <c r="N8" t="s">
        <v>85</v>
      </c>
    </row>
    <row r="9" spans="3:14">
      <c r="C9" t="s">
        <v>93</v>
      </c>
      <c r="D9" t="s">
        <v>83</v>
      </c>
      <c r="E9">
        <v>35.53</v>
      </c>
      <c r="F9">
        <v>0.05</v>
      </c>
      <c r="G9" s="39">
        <v>1.4E-3</v>
      </c>
      <c r="H9">
        <v>35.21</v>
      </c>
      <c r="I9">
        <v>35.79</v>
      </c>
      <c r="J9" s="8">
        <v>25635517</v>
      </c>
      <c r="K9" s="8">
        <v>25773500</v>
      </c>
      <c r="L9" t="s">
        <v>182</v>
      </c>
      <c r="M9" t="s">
        <v>84</v>
      </c>
      <c r="N9" t="s">
        <v>85</v>
      </c>
    </row>
    <row r="10" spans="3:14">
      <c r="C10" t="s">
        <v>94</v>
      </c>
      <c r="D10" t="s">
        <v>95</v>
      </c>
      <c r="E10">
        <v>33.65</v>
      </c>
      <c r="F10">
        <v>-0.5</v>
      </c>
      <c r="G10" s="39">
        <v>-1.46E-2</v>
      </c>
      <c r="H10">
        <v>33.380000000000003</v>
      </c>
      <c r="I10">
        <v>34.39</v>
      </c>
      <c r="J10" s="8">
        <v>792659</v>
      </c>
      <c r="K10" s="8">
        <v>424408</v>
      </c>
      <c r="L10" t="s">
        <v>145</v>
      </c>
      <c r="M10" t="s">
        <v>84</v>
      </c>
      <c r="N10" t="s">
        <v>85</v>
      </c>
    </row>
    <row r="11" spans="3:14">
      <c r="C11" t="s">
        <v>103</v>
      </c>
      <c r="D11" t="s">
        <v>83</v>
      </c>
      <c r="E11">
        <v>8.7799999999999994</v>
      </c>
      <c r="F11">
        <v>-0.08</v>
      </c>
      <c r="G11" s="39">
        <v>-8.9999999999999993E-3</v>
      </c>
      <c r="H11">
        <v>8.76</v>
      </c>
      <c r="I11">
        <v>9.0399999999999991</v>
      </c>
      <c r="J11" s="8">
        <v>55785</v>
      </c>
      <c r="K11" s="8">
        <v>96344</v>
      </c>
      <c r="L11" t="s">
        <v>183</v>
      </c>
      <c r="M11" t="s">
        <v>84</v>
      </c>
      <c r="N11" t="s">
        <v>85</v>
      </c>
    </row>
    <row r="12" spans="3:14">
      <c r="C12" t="s">
        <v>82</v>
      </c>
      <c r="D12" t="s">
        <v>83</v>
      </c>
      <c r="E12">
        <v>52.055</v>
      </c>
      <c r="F12">
        <v>0.83499999999999996</v>
      </c>
      <c r="G12" s="39">
        <v>1.6299999999999999E-2</v>
      </c>
      <c r="H12">
        <v>51.255000000000003</v>
      </c>
      <c r="I12">
        <v>52.204999999999998</v>
      </c>
      <c r="J12" s="8">
        <v>53921951</v>
      </c>
      <c r="K12" s="8">
        <v>38067400</v>
      </c>
      <c r="L12" t="s">
        <v>184</v>
      </c>
      <c r="M12" t="s">
        <v>84</v>
      </c>
      <c r="N12" t="s">
        <v>85</v>
      </c>
    </row>
    <row r="13" spans="3:14">
      <c r="C13" t="s">
        <v>96</v>
      </c>
      <c r="D13" t="s">
        <v>83</v>
      </c>
      <c r="E13">
        <v>33.79</v>
      </c>
      <c r="F13">
        <v>-0.28000000000000003</v>
      </c>
      <c r="G13" s="39">
        <v>-8.2000000000000007E-3</v>
      </c>
      <c r="H13">
        <v>33.17</v>
      </c>
      <c r="I13">
        <v>34.93</v>
      </c>
      <c r="J13" s="8">
        <v>13344105</v>
      </c>
      <c r="K13" s="8">
        <v>9223780</v>
      </c>
      <c r="L13" t="s">
        <v>185</v>
      </c>
      <c r="M13" t="s">
        <v>84</v>
      </c>
      <c r="N13" t="s">
        <v>85</v>
      </c>
    </row>
    <row r="14" spans="3:14">
      <c r="C14" t="s">
        <v>97</v>
      </c>
      <c r="D14" t="s">
        <v>83</v>
      </c>
      <c r="E14">
        <v>69.790000000000006</v>
      </c>
      <c r="F14">
        <v>0.3</v>
      </c>
      <c r="G14" s="39">
        <v>4.3E-3</v>
      </c>
      <c r="H14">
        <v>68.72</v>
      </c>
      <c r="I14">
        <v>71.03</v>
      </c>
      <c r="J14" s="8">
        <v>5453578</v>
      </c>
      <c r="K14" s="8">
        <v>4148120</v>
      </c>
      <c r="L14" t="s">
        <v>186</v>
      </c>
      <c r="M14" t="s">
        <v>84</v>
      </c>
      <c r="N14" t="s">
        <v>85</v>
      </c>
    </row>
    <row r="15" spans="3:14">
      <c r="C15" t="s">
        <v>98</v>
      </c>
      <c r="D15" t="s">
        <v>83</v>
      </c>
      <c r="E15">
        <v>177.38</v>
      </c>
      <c r="F15">
        <v>6.68</v>
      </c>
      <c r="G15" s="39">
        <v>3.9100000000000003E-2</v>
      </c>
      <c r="H15">
        <v>171.01</v>
      </c>
      <c r="I15">
        <v>179.26</v>
      </c>
      <c r="J15" s="8">
        <v>46123</v>
      </c>
      <c r="K15" s="8">
        <v>46606</v>
      </c>
      <c r="L15" t="s">
        <v>146</v>
      </c>
      <c r="M15" t="s">
        <v>84</v>
      </c>
      <c r="N15" t="s">
        <v>99</v>
      </c>
    </row>
    <row r="16" spans="3:14">
      <c r="C16" t="s">
        <v>100</v>
      </c>
      <c r="D16" t="s">
        <v>83</v>
      </c>
      <c r="E16">
        <v>97.45</v>
      </c>
      <c r="F16">
        <v>1.51</v>
      </c>
      <c r="G16" s="39">
        <v>1.5699999999999999E-2</v>
      </c>
      <c r="H16">
        <v>96.08</v>
      </c>
      <c r="I16">
        <v>97.9</v>
      </c>
      <c r="J16" s="8">
        <v>5015205</v>
      </c>
      <c r="K16" s="8">
        <v>4540710</v>
      </c>
      <c r="L16" t="s">
        <v>187</v>
      </c>
      <c r="M16" t="s">
        <v>84</v>
      </c>
      <c r="N16" t="s">
        <v>85</v>
      </c>
    </row>
    <row r="17" spans="3:14">
      <c r="C17" t="s">
        <v>101</v>
      </c>
      <c r="D17" t="s">
        <v>95</v>
      </c>
      <c r="E17">
        <v>20.29</v>
      </c>
      <c r="F17">
        <v>-0.75</v>
      </c>
      <c r="G17" s="39">
        <v>-3.56E-2</v>
      </c>
      <c r="H17">
        <v>19.899999999999999</v>
      </c>
      <c r="I17">
        <v>20.49</v>
      </c>
      <c r="J17" s="8">
        <v>2331116</v>
      </c>
      <c r="K17" s="8">
        <v>1303380</v>
      </c>
      <c r="L17" t="s">
        <v>188</v>
      </c>
      <c r="M17" t="s">
        <v>84</v>
      </c>
      <c r="N17" t="s">
        <v>85</v>
      </c>
    </row>
    <row r="18" spans="3:14">
      <c r="C18" t="s">
        <v>102</v>
      </c>
      <c r="D18" t="s">
        <v>83</v>
      </c>
      <c r="E18">
        <v>94.09</v>
      </c>
      <c r="F18">
        <v>0.67</v>
      </c>
      <c r="G18" s="39">
        <v>7.1999999999999998E-3</v>
      </c>
      <c r="H18">
        <v>92.39</v>
      </c>
      <c r="I18">
        <v>106.96</v>
      </c>
      <c r="J18" s="8">
        <v>55155018</v>
      </c>
      <c r="K18" s="8">
        <v>48532100</v>
      </c>
      <c r="L18" t="s">
        <v>189</v>
      </c>
      <c r="M18" t="s">
        <v>84</v>
      </c>
      <c r="N18" t="s">
        <v>85</v>
      </c>
    </row>
    <row r="20" spans="3:14">
      <c r="C20" t="s">
        <v>86</v>
      </c>
      <c r="D20" t="s">
        <v>87</v>
      </c>
      <c r="E20" t="s">
        <v>88</v>
      </c>
    </row>
    <row r="21" spans="3:14">
      <c r="C21" t="s">
        <v>89</v>
      </c>
    </row>
    <row r="22" spans="3:14">
      <c r="C22" t="s">
        <v>13</v>
      </c>
      <c r="D22" t="s">
        <v>190</v>
      </c>
    </row>
    <row r="24" spans="3:14">
      <c r="C24" t="s">
        <v>20</v>
      </c>
      <c r="D24" t="s">
        <v>191</v>
      </c>
    </row>
    <row r="26" spans="3:14">
      <c r="C26" t="s">
        <v>40</v>
      </c>
      <c r="D26" t="s">
        <v>192</v>
      </c>
    </row>
    <row r="28" spans="3:14">
      <c r="C28" t="s">
        <v>25</v>
      </c>
      <c r="D28" t="s">
        <v>193</v>
      </c>
    </row>
    <row r="30" spans="3:14">
      <c r="C30" t="s">
        <v>25</v>
      </c>
      <c r="D30" t="s">
        <v>194</v>
      </c>
    </row>
    <row r="32" spans="3:14">
      <c r="C32" t="s">
        <v>25</v>
      </c>
      <c r="D32" t="s">
        <v>195</v>
      </c>
    </row>
    <row r="34" spans="3:4">
      <c r="C34" t="s">
        <v>40</v>
      </c>
      <c r="D34" t="s">
        <v>196</v>
      </c>
    </row>
    <row r="36" spans="3:4">
      <c r="C36" t="s">
        <v>32</v>
      </c>
      <c r="D36" t="s">
        <v>197</v>
      </c>
    </row>
    <row r="38" spans="3:4">
      <c r="C38" t="s">
        <v>20</v>
      </c>
      <c r="D38" t="s">
        <v>198</v>
      </c>
    </row>
    <row r="40" spans="3:4">
      <c r="C40" t="s">
        <v>40</v>
      </c>
      <c r="D40" t="s">
        <v>199</v>
      </c>
    </row>
    <row r="41" spans="3:4">
      <c r="C41" t="s">
        <v>20</v>
      </c>
    </row>
    <row r="43" spans="3:4">
      <c r="C43" t="s">
        <v>40</v>
      </c>
      <c r="D43" t="s">
        <v>180</v>
      </c>
    </row>
    <row r="45" spans="3:4">
      <c r="C45" t="s">
        <v>40</v>
      </c>
      <c r="D45" t="s">
        <v>181</v>
      </c>
    </row>
    <row r="47" spans="3:4">
      <c r="C47" t="s">
        <v>40</v>
      </c>
      <c r="D47" t="s">
        <v>173</v>
      </c>
    </row>
    <row r="48" spans="3:4">
      <c r="C48" t="s">
        <v>20</v>
      </c>
    </row>
    <row r="50" spans="3:4">
      <c r="C50" t="s">
        <v>40</v>
      </c>
      <c r="D50" t="s">
        <v>174</v>
      </c>
    </row>
    <row r="52" spans="3:4">
      <c r="C52" t="s">
        <v>40</v>
      </c>
      <c r="D52" t="s">
        <v>175</v>
      </c>
    </row>
    <row r="54" spans="3:4">
      <c r="C54" t="s">
        <v>40</v>
      </c>
      <c r="D54" t="s">
        <v>148</v>
      </c>
    </row>
    <row r="56" spans="3:4">
      <c r="C56" t="s">
        <v>13</v>
      </c>
      <c r="D56" t="s">
        <v>149</v>
      </c>
    </row>
    <row r="58" spans="3:4">
      <c r="C58" t="s">
        <v>40</v>
      </c>
      <c r="D58" t="s">
        <v>150</v>
      </c>
    </row>
    <row r="60" spans="3:4">
      <c r="C60" t="s">
        <v>40</v>
      </c>
      <c r="D60" t="s">
        <v>151</v>
      </c>
    </row>
    <row r="61" spans="3:4">
      <c r="C61" t="s">
        <v>20</v>
      </c>
    </row>
    <row r="63" spans="3:4">
      <c r="C63" t="s">
        <v>40</v>
      </c>
      <c r="D63" t="s">
        <v>152</v>
      </c>
    </row>
    <row r="65" spans="3:19">
      <c r="C65" t="s">
        <v>40</v>
      </c>
      <c r="D65" t="s">
        <v>153</v>
      </c>
    </row>
    <row r="67" spans="3:19">
      <c r="C67" t="s">
        <v>20</v>
      </c>
      <c r="D67" t="s">
        <v>154</v>
      </c>
    </row>
    <row r="69" spans="3:19">
      <c r="C69" t="s">
        <v>40</v>
      </c>
      <c r="D69" t="s">
        <v>155</v>
      </c>
    </row>
    <row r="71" spans="3:19">
      <c r="C71" t="s">
        <v>40</v>
      </c>
      <c r="D71" t="s">
        <v>156</v>
      </c>
    </row>
    <row r="73" spans="3:19">
      <c r="C73" t="s">
        <v>13</v>
      </c>
      <c r="D73" t="s">
        <v>157</v>
      </c>
    </row>
    <row r="76" spans="3:19" ht="23.4" customHeight="1" thickBot="1">
      <c r="D76" s="23" t="s">
        <v>41</v>
      </c>
      <c r="E76" s="23"/>
      <c r="F76" s="23"/>
      <c r="G76" s="23"/>
      <c r="H76" s="23"/>
      <c r="I76" s="23"/>
      <c r="J76" s="23"/>
      <c r="K76" s="23"/>
      <c r="L76" s="23"/>
      <c r="M76" s="23"/>
      <c r="N76" s="23"/>
      <c r="O76" s="23"/>
      <c r="P76" s="23"/>
      <c r="Q76" s="23"/>
      <c r="R76" s="23"/>
      <c r="S76" s="23"/>
    </row>
    <row r="77" spans="3:19" ht="14.4" customHeight="1">
      <c r="D77" s="24" t="s">
        <v>42</v>
      </c>
      <c r="E77" s="24"/>
      <c r="F77" s="24"/>
      <c r="G77" s="24"/>
      <c r="H77" s="24"/>
      <c r="I77" s="24"/>
      <c r="J77" s="24"/>
      <c r="K77" s="24"/>
      <c r="L77" s="24"/>
      <c r="M77" s="24"/>
      <c r="N77" s="24"/>
      <c r="O77" s="24"/>
      <c r="P77" s="24"/>
      <c r="Q77" s="24"/>
      <c r="R77" s="24"/>
      <c r="S77" s="24"/>
    </row>
    <row r="78" spans="3:19" ht="21.6" customHeight="1">
      <c r="D78" s="9"/>
      <c r="E78" s="10"/>
      <c r="F78" s="11"/>
      <c r="G78" s="12" t="s">
        <v>43</v>
      </c>
      <c r="H78" s="12" t="s">
        <v>44</v>
      </c>
      <c r="I78" s="12" t="s">
        <v>45</v>
      </c>
      <c r="J78" s="12" t="s">
        <v>46</v>
      </c>
      <c r="K78" s="12" t="s">
        <v>47</v>
      </c>
      <c r="L78" s="12" t="s">
        <v>48</v>
      </c>
      <c r="M78" s="12" t="s">
        <v>49</v>
      </c>
      <c r="N78" s="12" t="s">
        <v>50</v>
      </c>
      <c r="O78" s="12" t="s">
        <v>51</v>
      </c>
      <c r="P78" s="12" t="s">
        <v>52</v>
      </c>
      <c r="Q78" s="12" t="s">
        <v>53</v>
      </c>
      <c r="R78" s="12" t="s">
        <v>54</v>
      </c>
      <c r="S78" s="12" t="s">
        <v>55</v>
      </c>
    </row>
    <row r="79" spans="3:19" ht="28.8" customHeight="1">
      <c r="D79" s="13" t="s">
        <v>158</v>
      </c>
      <c r="E79" s="14" t="s">
        <v>56</v>
      </c>
      <c r="F79" s="15" t="s">
        <v>57</v>
      </c>
      <c r="G79" s="16">
        <v>160.51</v>
      </c>
      <c r="H79" s="17">
        <v>159.30000000000001</v>
      </c>
      <c r="I79" s="17">
        <v>160.9</v>
      </c>
      <c r="J79" s="17">
        <v>158.47</v>
      </c>
      <c r="K79" s="18">
        <v>8613436</v>
      </c>
      <c r="L79" s="17">
        <v>1.21</v>
      </c>
      <c r="M79" s="19">
        <v>0.76</v>
      </c>
      <c r="N79" s="17">
        <v>183.35</v>
      </c>
      <c r="O79" s="17">
        <v>150.565</v>
      </c>
      <c r="P79" s="18" t="s">
        <v>58</v>
      </c>
      <c r="Q79" s="17" t="s">
        <v>58</v>
      </c>
      <c r="R79" s="17" t="s">
        <v>58</v>
      </c>
      <c r="S79" s="18" t="s">
        <v>58</v>
      </c>
    </row>
    <row r="80" spans="3:19" ht="28.8" customHeight="1">
      <c r="D80" s="13" t="s">
        <v>68</v>
      </c>
      <c r="E80" s="14" t="s">
        <v>56</v>
      </c>
      <c r="F80" s="15" t="s">
        <v>57</v>
      </c>
      <c r="G80" s="16">
        <v>4506.68</v>
      </c>
      <c r="H80" s="17">
        <v>4468.17</v>
      </c>
      <c r="I80" s="17">
        <v>4533.8100000000004</v>
      </c>
      <c r="J80" s="17">
        <v>4447.5</v>
      </c>
      <c r="K80" s="18">
        <v>0</v>
      </c>
      <c r="L80" s="17">
        <v>38.51</v>
      </c>
      <c r="M80" s="19">
        <v>0.86</v>
      </c>
      <c r="N80" s="17">
        <v>5231.9426999999996</v>
      </c>
      <c r="O80" s="17">
        <v>4292.1440000000002</v>
      </c>
      <c r="P80" s="18" t="s">
        <v>58</v>
      </c>
      <c r="Q80" s="17" t="s">
        <v>58</v>
      </c>
      <c r="R80" s="17" t="s">
        <v>58</v>
      </c>
      <c r="S80" s="18" t="s">
        <v>58</v>
      </c>
    </row>
    <row r="81" spans="4:19" ht="28.8" customHeight="1">
      <c r="D81" s="13" t="s">
        <v>159</v>
      </c>
      <c r="E81" s="14" t="s">
        <v>56</v>
      </c>
      <c r="F81" s="15" t="s">
        <v>57</v>
      </c>
      <c r="G81" s="16">
        <v>65.38</v>
      </c>
      <c r="H81" s="17">
        <v>63.97</v>
      </c>
      <c r="I81" s="17">
        <v>65.86</v>
      </c>
      <c r="J81" s="17">
        <v>64.16</v>
      </c>
      <c r="K81" s="18">
        <v>784923</v>
      </c>
      <c r="L81" s="17">
        <v>1.41</v>
      </c>
      <c r="M81" s="19">
        <v>2.2000000000000002</v>
      </c>
      <c r="N81" s="17">
        <v>78.09</v>
      </c>
      <c r="O81" s="17">
        <v>35.340000000000003</v>
      </c>
      <c r="P81" s="18" t="s">
        <v>58</v>
      </c>
      <c r="Q81" s="17" t="s">
        <v>58</v>
      </c>
      <c r="R81" s="17" t="s">
        <v>58</v>
      </c>
      <c r="S81" s="18" t="s">
        <v>58</v>
      </c>
    </row>
    <row r="82" spans="4:19" ht="28.8" customHeight="1" thickBot="1">
      <c r="D82" s="20"/>
      <c r="E82" s="20"/>
      <c r="F82" s="21"/>
      <c r="G82" s="21"/>
      <c r="H82" s="21"/>
      <c r="I82" s="21"/>
      <c r="J82" s="21"/>
      <c r="K82" s="21"/>
      <c r="L82" s="21"/>
      <c r="M82" s="21"/>
      <c r="N82" s="21"/>
      <c r="O82" s="20"/>
      <c r="P82" s="20"/>
      <c r="Q82" s="20"/>
      <c r="R82" s="20"/>
      <c r="S82" s="20"/>
    </row>
    <row r="83" spans="4:19" ht="28.8" customHeight="1">
      <c r="D83" s="25" t="s">
        <v>59</v>
      </c>
      <c r="E83" s="26"/>
      <c r="F83" s="27"/>
      <c r="G83" s="21"/>
      <c r="H83" s="25" t="s">
        <v>60</v>
      </c>
      <c r="I83" s="26"/>
      <c r="J83" s="27"/>
      <c r="K83" s="21"/>
      <c r="L83" s="21"/>
      <c r="M83" s="21"/>
      <c r="N83" s="21"/>
      <c r="O83" s="21"/>
      <c r="P83" s="21"/>
      <c r="Q83" s="21"/>
      <c r="R83" s="21"/>
      <c r="S83" s="21"/>
    </row>
    <row r="84" spans="4:19" ht="26.4" customHeight="1" thickBot="1">
      <c r="D84" s="28" t="s">
        <v>61</v>
      </c>
      <c r="E84" s="28"/>
      <c r="F84" s="29"/>
      <c r="G84" s="22"/>
      <c r="H84" s="30" t="s">
        <v>62</v>
      </c>
      <c r="I84" s="28"/>
      <c r="J84" s="29"/>
      <c r="K84" s="21"/>
      <c r="L84" s="21"/>
      <c r="M84" s="21"/>
      <c r="N84" s="21"/>
      <c r="O84" s="21"/>
      <c r="P84" s="21"/>
      <c r="Q84" s="21"/>
      <c r="R84" s="21"/>
      <c r="S84" s="21"/>
    </row>
    <row r="85" spans="4:19" ht="66.599999999999994" customHeight="1">
      <c r="D85" s="20"/>
      <c r="E85" s="20"/>
      <c r="F85" s="20"/>
      <c r="G85" s="20"/>
      <c r="H85" s="20"/>
      <c r="I85" s="20"/>
      <c r="J85" s="20"/>
      <c r="K85" s="20"/>
      <c r="L85" s="20"/>
      <c r="M85" s="20"/>
      <c r="N85" s="20"/>
      <c r="O85" s="20"/>
      <c r="P85" s="20"/>
      <c r="Q85" s="20"/>
      <c r="R85" s="20"/>
      <c r="S85" s="20"/>
    </row>
    <row r="86" spans="4:19" ht="14.4" customHeight="1">
      <c r="D86" s="31" t="s">
        <v>63</v>
      </c>
      <c r="E86" s="31"/>
      <c r="F86" s="31"/>
      <c r="G86" s="31"/>
      <c r="H86" s="31"/>
      <c r="I86" s="31"/>
      <c r="J86" s="31"/>
      <c r="K86" s="31"/>
      <c r="L86" s="31"/>
      <c r="M86" s="31"/>
      <c r="N86" s="31"/>
      <c r="O86" s="31"/>
      <c r="P86" s="31"/>
      <c r="Q86" s="31"/>
      <c r="R86" s="31"/>
      <c r="S86" s="31"/>
    </row>
    <row r="87" spans="4:19" ht="14.4" customHeight="1">
      <c r="D87" s="32" t="s">
        <v>64</v>
      </c>
      <c r="E87" s="32"/>
      <c r="F87" s="32"/>
      <c r="G87" s="32"/>
      <c r="H87" s="32"/>
      <c r="I87" s="32"/>
      <c r="J87" s="32"/>
      <c r="K87" s="32"/>
      <c r="L87" s="32"/>
      <c r="M87" s="32"/>
      <c r="N87" s="32"/>
      <c r="O87" s="32"/>
      <c r="P87" s="32"/>
      <c r="Q87" s="32"/>
      <c r="R87" s="32"/>
      <c r="S87" s="32"/>
    </row>
    <row r="88" spans="4:19" ht="15" customHeight="1">
      <c r="D88" s="33"/>
      <c r="E88" s="33"/>
      <c r="F88" s="33"/>
      <c r="G88" s="33"/>
      <c r="H88" s="33"/>
      <c r="I88" s="33"/>
      <c r="J88" s="33"/>
      <c r="K88" s="33"/>
      <c r="L88" s="33"/>
      <c r="M88" s="33"/>
      <c r="N88" s="33"/>
      <c r="O88" s="33"/>
      <c r="P88" s="33"/>
      <c r="Q88" s="33"/>
      <c r="R88" s="33"/>
      <c r="S88" s="33"/>
    </row>
    <row r="89" spans="4:19" ht="14.4" customHeight="1">
      <c r="D89" s="32" t="s">
        <v>65</v>
      </c>
      <c r="E89" s="32"/>
      <c r="F89" s="32"/>
      <c r="G89" s="32"/>
      <c r="H89" s="32"/>
      <c r="I89" s="32"/>
      <c r="J89" s="32"/>
      <c r="K89" s="32"/>
      <c r="L89" s="32"/>
      <c r="M89" s="32"/>
      <c r="N89" s="32"/>
      <c r="O89" s="32"/>
      <c r="P89" s="32"/>
      <c r="Q89" s="32"/>
      <c r="R89" s="32"/>
      <c r="S89" s="32"/>
    </row>
    <row r="90" spans="4:19" ht="14.4" customHeight="1">
      <c r="D90" s="33"/>
      <c r="E90" s="33"/>
      <c r="F90" s="33"/>
      <c r="G90" s="33"/>
      <c r="H90" s="33"/>
      <c r="I90" s="33"/>
      <c r="J90" s="33"/>
      <c r="K90" s="33"/>
      <c r="L90" s="33"/>
      <c r="M90" s="33"/>
      <c r="N90" s="33"/>
      <c r="O90" s="33"/>
      <c r="P90" s="33"/>
      <c r="Q90" s="33"/>
      <c r="R90" s="33"/>
      <c r="S90" s="33"/>
    </row>
    <row r="91" spans="4:19" ht="41.4" customHeight="1">
      <c r="D91" s="32" t="s">
        <v>66</v>
      </c>
      <c r="E91" s="32"/>
      <c r="F91" s="32"/>
      <c r="G91" s="32"/>
      <c r="H91" s="32"/>
      <c r="I91" s="32"/>
      <c r="J91" s="32"/>
      <c r="K91" s="32"/>
      <c r="L91" s="32"/>
      <c r="M91" s="32"/>
      <c r="N91" s="32"/>
      <c r="O91" s="32"/>
      <c r="P91" s="32"/>
      <c r="Q91" s="32"/>
      <c r="R91" s="32"/>
      <c r="S91" s="32"/>
    </row>
    <row r="92" spans="4:19" ht="207" customHeight="1">
      <c r="D92" s="33"/>
      <c r="E92" s="33"/>
      <c r="F92" s="33"/>
      <c r="G92" s="33"/>
      <c r="H92" s="33"/>
      <c r="I92" s="33"/>
      <c r="J92" s="33"/>
      <c r="K92" s="33"/>
      <c r="L92" s="33"/>
      <c r="M92" s="33"/>
      <c r="N92" s="33"/>
      <c r="O92" s="33"/>
      <c r="P92" s="33"/>
      <c r="Q92" s="33"/>
      <c r="R92" s="33"/>
      <c r="S92" s="33"/>
    </row>
    <row r="93" spans="4:19" ht="14.4" customHeight="1">
      <c r="D93" s="34" t="s">
        <v>67</v>
      </c>
    </row>
    <row r="94" spans="4:19">
      <c r="D94" s="34" t="s">
        <v>67</v>
      </c>
    </row>
    <row r="95" spans="4:19" ht="41.4" customHeight="1"/>
  </sheetData>
  <mergeCells count="13">
    <mergeCell ref="D92:S92"/>
    <mergeCell ref="D86:S86"/>
    <mergeCell ref="D87:S87"/>
    <mergeCell ref="D88:S88"/>
    <mergeCell ref="D89:S89"/>
    <mergeCell ref="D90:S90"/>
    <mergeCell ref="D91:S91"/>
    <mergeCell ref="D76:S76"/>
    <mergeCell ref="D77:S77"/>
    <mergeCell ref="D83:F83"/>
    <mergeCell ref="H83:J83"/>
    <mergeCell ref="D84:F84"/>
    <mergeCell ref="H84:J84"/>
  </mergeCells>
  <hyperlinks>
    <hyperlink ref="D94" r:id="rId1" display="http://go.microsoft.com/fwlink/?LinkID=286759"/>
    <hyperlink ref="D77" r:id="rId2" display="http://money.msn.com/"/>
    <hyperlink ref="D79" r:id="rId3" display="http://www.msn.com/en-us/money/etfdetails/126.1.DIA.ARCX"/>
    <hyperlink ref="E79" r:id="rId4" display="http://www.msn.com/en-us/money/etfdetails/charts/fi-126.1.DIA.ARCX"/>
    <hyperlink ref="F79" r:id="rId5" display="http://www.msn.com/en-us/money/etfdetails/126.1.DIA.ARCX"/>
    <hyperlink ref="D80" r:id="rId6" display="http://www.msn.com/en-us/money/indexdetails/29.10.@CCO.29.COMP"/>
    <hyperlink ref="E80" r:id="rId7" display="http://www.msn.com/en-us/money/indexdetails/charts/fi-29.10.@CCO.29.COMP"/>
    <hyperlink ref="F80" r:id="rId8" display="http://www.msn.com/en-us/money/indexdetails/29.10.@CCO.29.COMP"/>
    <hyperlink ref="D81" r:id="rId9" display="http://www.msn.com/en-us/money/etfdetails/126.1.FDN.ARCX"/>
    <hyperlink ref="E81" r:id="rId10" display="http://www.msn.com/en-us/money/etfdetails/charts/fi-126.1.FDN.ARCX"/>
    <hyperlink ref="F81" r:id="rId11" display="http://www.msn.com/en-us/money/etfdetails/126.1.FDN.ARCX"/>
    <hyperlink ref="D83" r:id="rId12" display="http://money.msn.com/"/>
    <hyperlink ref="H83" r:id="rId13" display="http://office.microsoft.com/"/>
    <hyperlink ref="D86" r:id="rId14" display="http://g.msn.com/0TO_/enus"/>
    <hyperlink ref="D93" r:id="rId15" display="http://go.microsoft.com/fwlink/?LinkID=286759"/>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Portfolio</vt:lpstr>
      <vt:lpstr>Initial and Current Prices</vt:lpstr>
      <vt:lpstr>Sold on 1.28.16</vt:lpstr>
      <vt:lpstr>Stocks Sold After 3yrs</vt:lpstr>
      <vt:lpstr>Tables and Charts</vt:lpstr>
      <vt:lpstr>ETFs</vt:lpstr>
      <vt:lpstr>Data Queries</vt:lpstr>
      <vt:lpstr>'Data Queries'!MSN_MoneyCentral_Investor_Stock_Quotes</vt:lpstr>
      <vt:lpstr>'Data Queries'!Yahoo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Matt</cp:lastModifiedBy>
  <dcterms:created xsi:type="dcterms:W3CDTF">2016-01-25T03:28:13Z</dcterms:created>
  <dcterms:modified xsi:type="dcterms:W3CDTF">2016-01-29T05:45:25Z</dcterms:modified>
</cp:coreProperties>
</file>